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ml.chartshape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threadedComments/threadedComment5.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6.xml" ContentType="application/vnd.ms-excel.threadedcomments+xml"/>
  <Override PartName="/xl/comments13.xml" ContentType="application/vnd.openxmlformats-officedocument.spreadsheetml.comments+xml"/>
  <Override PartName="/xl/threadedComments/threadedComment7.xml" ContentType="application/vnd.ms-excel.threadedcomments+xml"/>
  <Override PartName="/xl/comments14.xml" ContentType="application/vnd.openxmlformats-officedocument.spreadsheetml.comments+xml"/>
  <Override PartName="/xl/threadedComments/threadedComment8.xml" ContentType="application/vnd.ms-excel.threadedcomments+xml"/>
  <Override PartName="/xl/comments15.xml" ContentType="application/vnd.openxmlformats-officedocument.spreadsheetml.comments+xml"/>
  <Override PartName="/xl/threadedComments/threadedComment9.xml" ContentType="application/vnd.ms-excel.threadedcomments+xml"/>
  <Override PartName="/xl/comments16.xml" ContentType="application/vnd.openxmlformats-officedocument.spreadsheetml.comments+xml"/>
  <Override PartName="/xl/threadedComments/threadedComment10.xml" ContentType="application/vnd.ms-excel.threadedcomments+xml"/>
  <Override PartName="/xl/comments17.xml" ContentType="application/vnd.openxmlformats-officedocument.spreadsheetml.comments+xml"/>
  <Override PartName="/xl/threadedComments/threadedComment11.xml" ContentType="application/vnd.ms-excel.threadedcomments+xml"/>
  <Override PartName="/xl/comments18.xml" ContentType="application/vnd.openxmlformats-officedocument.spreadsheetml.comments+xml"/>
  <Override PartName="/xl/threadedComments/threadedComment12.xml" ContentType="application/vnd.ms-excel.threadedcomments+xml"/>
  <Override PartName="/xl/comments19.xml" ContentType="application/vnd.openxmlformats-officedocument.spreadsheetml.comments+xml"/>
  <Override PartName="/xl/threadedComments/threadedComment13.xml" ContentType="application/vnd.ms-excel.threadedcomments+xml"/>
  <Override PartName="/xl/comments20.xml" ContentType="application/vnd.openxmlformats-officedocument.spreadsheetml.comments+xml"/>
  <Override PartName="/xl/threadedComments/threadedComment14.xml" ContentType="application/vnd.ms-excel.threadedcomments+xml"/>
  <Override PartName="/xl/comments21.xml" ContentType="application/vnd.openxmlformats-officedocument.spreadsheetml.comments+xml"/>
  <Override PartName="/xl/threadedComments/threadedComment15.xml" ContentType="application/vnd.ms-excel.threadedcomments+xml"/>
  <Override PartName="/xl/comments22.xml" ContentType="application/vnd.openxmlformats-officedocument.spreadsheetml.comments+xml"/>
  <Override PartName="/xl/threadedComments/threadedComment16.xml" ContentType="application/vnd.ms-excel.threadedcomments+xml"/>
  <Override PartName="/xl/comments23.xml" ContentType="application/vnd.openxmlformats-officedocument.spreadsheetml.comments+xml"/>
  <Override PartName="/xl/threadedComments/threadedComment17.xml" ContentType="application/vnd.ms-excel.threadedcomments+xml"/>
  <Override PartName="/xl/comments24.xml" ContentType="application/vnd.openxmlformats-officedocument.spreadsheetml.comments+xml"/>
  <Override PartName="/xl/comments25.xml" ContentType="application/vnd.openxmlformats-officedocument.spreadsheetml.comments+xml"/>
  <Override PartName="/xl/threadedComments/threadedComment18.xml" ContentType="application/vnd.ms-excel.threadedcomments+xml"/>
  <Override PartName="/xl/comments26.xml" ContentType="application/vnd.openxmlformats-officedocument.spreadsheetml.comments+xml"/>
  <Override PartName="/xl/threadedComments/threadedComment19.xml" ContentType="application/vnd.ms-excel.threadedcomments+xml"/>
  <Override PartName="/xl/comments27.xml" ContentType="application/vnd.openxmlformats-officedocument.spreadsheetml.comments+xml"/>
  <Override PartName="/xl/threadedComments/threadedComment20.xml" ContentType="application/vnd.ms-excel.threadedcomments+xml"/>
  <Override PartName="/xl/comments2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C:\Users\NMACEK\Desktop\"/>
    </mc:Choice>
  </mc:AlternateContent>
  <xr:revisionPtr revIDLastSave="0" documentId="8_{F7FF78F9-9968-46CC-8A84-AF3A10F3C323}" xr6:coauthVersionLast="47" xr6:coauthVersionMax="47" xr10:uidLastSave="{00000000-0000-0000-0000-000000000000}"/>
  <bookViews>
    <workbookView xWindow="-110" yWindow="-110" windowWidth="19420" windowHeight="11500" tabRatio="985" xr2:uid="{095896B3-19DF-4B1E-88FA-8F012C3E9167}"/>
  </bookViews>
  <sheets>
    <sheet name="Summary Table" sheetId="32" r:id="rId1"/>
    <sheet name="S6C" sheetId="33" r:id="rId2"/>
    <sheet name="S6C-A" sheetId="34" r:id="rId3"/>
    <sheet name="S6C-B" sheetId="35" r:id="rId4"/>
    <sheet name="S6C-C" sheetId="36" r:id="rId5"/>
    <sheet name="S6C-D" sheetId="37" r:id="rId6"/>
    <sheet name="Comparisons-26" sheetId="38" r:id="rId7"/>
    <sheet name="Comparisons-25" sheetId="39" r:id="rId8"/>
    <sheet name="Comparisons-24" sheetId="40" r:id="rId9"/>
    <sheet name="S6C-26" sheetId="22" r:id="rId10"/>
    <sheet name="S6C-Deadhead-26" sheetId="23" r:id="rId11"/>
    <sheet name="S6C-Avg-26" sheetId="24" r:id="rId12"/>
    <sheet name="S6C-Cost-26" sheetId="25" r:id="rId13"/>
    <sheet name="S6C-Combo-26" sheetId="26" r:id="rId14"/>
    <sheet name="S6C-25" sheetId="12" r:id="rId15"/>
    <sheet name="S6C-Avg-25" sheetId="13" r:id="rId16"/>
    <sheet name="S6C-Deadhead-25" sheetId="14" r:id="rId17"/>
    <sheet name="S6C-Cost-25" sheetId="15" r:id="rId18"/>
    <sheet name="S6C-Combo-25" sheetId="16" r:id="rId19"/>
    <sheet name="S6C-24" sheetId="2" r:id="rId20"/>
    <sheet name="S6C-Avg-24" sheetId="3" r:id="rId21"/>
    <sheet name="S6C-Deadhead-24" sheetId="4" r:id="rId22"/>
    <sheet name="S6C-Cost-24" sheetId="5" r:id="rId23"/>
    <sheet name="S6C-Combo-24" sheetId="6" r:id="rId24"/>
    <sheet name="Ridership-26" sheetId="27" r:id="rId25"/>
    <sheet name="Revenue Hours-26" sheetId="28" r:id="rId26"/>
    <sheet name="Revenue Miles-26" sheetId="29" r:id="rId27"/>
    <sheet name="Sizing - Reimb Exp-26" sheetId="30" r:id="rId28"/>
    <sheet name="Op Cost-26" sheetId="31" r:id="rId29"/>
    <sheet name="Ridership-25" sheetId="17" r:id="rId30"/>
    <sheet name="Revenue Hours-25" sheetId="18" r:id="rId31"/>
    <sheet name="Revenue Miles-25" sheetId="19" r:id="rId32"/>
    <sheet name="Sizing - Reimb Exp-25" sheetId="20" r:id="rId33"/>
    <sheet name="Op Cost-25" sheetId="21" r:id="rId34"/>
    <sheet name="Ridership-24" sheetId="7" r:id="rId35"/>
    <sheet name="Revenue Hours-24" sheetId="8" r:id="rId36"/>
    <sheet name="Revenue Miles-24" sheetId="9" r:id="rId37"/>
    <sheet name="Sizing - Reimb Expen-24" sheetId="10" r:id="rId38"/>
    <sheet name="Op Cost-24" sheetId="11" r:id="rId39"/>
  </sheets>
  <definedNames>
    <definedName name="_1__123Graph_ACHART_37" localSheetId="8" hidden="1">#REF!</definedName>
    <definedName name="_1__123Graph_ACHART_37" localSheetId="7" hidden="1">#REF!</definedName>
    <definedName name="_1__123Graph_ACHART_37" hidden="1">#REF!</definedName>
    <definedName name="_2__123Graph_BCHART_37" localSheetId="8" hidden="1">#REF!</definedName>
    <definedName name="_2__123Graph_BCHART_37" localSheetId="7" hidden="1">#REF!</definedName>
    <definedName name="_2__123Graph_BCHART_37" hidden="1">#REF!</definedName>
    <definedName name="_3__123Graph_CCHART_37" localSheetId="8" hidden="1">#REF!</definedName>
    <definedName name="_3__123Graph_CCHART_37" localSheetId="7" hidden="1">#REF!</definedName>
    <definedName name="_3__123Graph_CCHART_37"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8</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9" hidden="1">'S6C-24'!$A$10:$CO$10</definedName>
    <definedName name="_xlnm._FilterDatabase" localSheetId="14" hidden="1">'S6C-25'!$A$10:$CQ$10</definedName>
    <definedName name="_xlnm._FilterDatabase" localSheetId="9" hidden="1">'S6C-26'!$A$11:$CP$11</definedName>
    <definedName name="_xlnm._FilterDatabase" localSheetId="20" hidden="1">'S6C-Avg-24'!$A$10:$CO$10</definedName>
    <definedName name="_xlnm._FilterDatabase" localSheetId="15" hidden="1">'S6C-Avg-25'!$A$10:$CQ$10</definedName>
    <definedName name="_xlnm._FilterDatabase" localSheetId="11" hidden="1">'S6C-Avg-26'!$A$11:$CP$11</definedName>
    <definedName name="_xlnm._FilterDatabase" localSheetId="23" hidden="1">'S6C-Combo-24'!$A$10:$CO$10</definedName>
    <definedName name="_xlnm._FilterDatabase" localSheetId="18" hidden="1">'S6C-Combo-25'!$A$10:$CQ$10</definedName>
    <definedName name="_xlnm._FilterDatabase" localSheetId="13" hidden="1">'S6C-Combo-26'!$A$11:$CP$11</definedName>
    <definedName name="_xlnm._FilterDatabase" localSheetId="22" hidden="1">'S6C-Cost-24'!$A$10:$CO$10</definedName>
    <definedName name="_xlnm._FilterDatabase" localSheetId="17" hidden="1">'S6C-Cost-25'!$A$10:$CQ$10</definedName>
    <definedName name="_xlnm._FilterDatabase" localSheetId="12" hidden="1">'S6C-Cost-26'!$A$11:$CP$11</definedName>
    <definedName name="_xlnm._FilterDatabase" localSheetId="21" hidden="1">'S6C-Deadhead-24'!$A$10:$CO$10</definedName>
    <definedName name="_xlnm._FilterDatabase" localSheetId="16" hidden="1">'S6C-Deadhead-25'!$A$10:$CQ$10</definedName>
    <definedName name="_xlnm._FilterDatabase" localSheetId="10" hidden="1">'S6C-Deadhead-26'!$A$11:$CP$11</definedName>
    <definedName name="_Order1" hidden="1">0</definedName>
    <definedName name="_Order2" hidden="1">255</definedName>
    <definedName name="Demonstration_Program_Approved" localSheetId="8">#REF!</definedName>
    <definedName name="Demonstration_Program_Approved">#REF!</definedName>
    <definedName name="Districts_Summary" localSheetId="8">#REF!</definedName>
    <definedName name="Districts_Summary">#REF!</definedName>
    <definedName name="Interns_Approved" localSheetId="8">#REF!</definedName>
    <definedName name="Interns_Approved">#REF!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Z_SCORE" hidden="1">"c1339"</definedName>
    <definedName name="Large_Urban_Capital">#REF!</definedName>
    <definedName name="Nonurban_Capital">#REF!</definedName>
    <definedName name="Pal_Workbook_GUID" hidden="1">"PV8GPTPHTGTVXMW4LKC2SKTR"</definedName>
    <definedName name="Richmond" localSheetId="8">#REF!</definedName>
    <definedName name="Richmond">#REF!</definedName>
    <definedName name="Richmond_Main_Street_Station">#REF!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lem" localSheetId="8">#REF!</definedName>
    <definedName name="Salem">#REF!</definedName>
    <definedName name="Small_Urban_Capital">#REF!</definedName>
    <definedName name="SpProjFundBal" localSheetId="8">#REF!</definedName>
    <definedName name="SpProjFundBal">#REF!</definedName>
    <definedName name="State_TDM_RS_Approved" localSheetId="8">#REF!</definedName>
    <definedName name="State_TDM_RS_Approved" localSheetId="7">#REF!</definedName>
    <definedName name="State_TDM_RS_Approved">#REF!</definedName>
    <definedName name="State_TDM_RS_Grants" localSheetId="8">#REF!</definedName>
    <definedName name="State_TDM_RS_Grants" localSheetId="7">#REF!</definedName>
    <definedName name="State_TDM_RS_Grants">#REF!</definedName>
    <definedName name="StateFundSources">#REF!</definedName>
    <definedName name="StateFundSrcs" localSheetId="8">#REF!</definedName>
    <definedName name="StateFundSrcs" localSheetId="7">#REF!</definedName>
    <definedName name="StateFundSrcs">#REF!</definedName>
    <definedName name="Staunton" localSheetId="8">#REF!</definedName>
    <definedName name="Staunton">#REF!</definedName>
    <definedName name="Tech_Assist_Approved" localSheetId="8">#REF!</definedName>
    <definedName name="Tech_Assist_Approved">#REF!</definedName>
    <definedName name="TEIF_Approved" localSheetId="8">#REF!</definedName>
    <definedName name="TEIF_Approved">#REF!</definedName>
    <definedName name="TRIP2" localSheetId="8">#REF!</definedName>
    <definedName name="TRIP2">#REF!</definedName>
    <definedName name="x" localSheetId="8">#REF!</definedName>
    <definedName name="x">#REF!</definedName>
    <definedName name="Z_94D8ABD2_F813_4BD2_AD55_22BDD5D9923A_.wvu.Cols" localSheetId="19" hidden="1">'S6C-24'!$X:$AK</definedName>
    <definedName name="Z_94D8ABD2_F813_4BD2_AD55_22BDD5D9923A_.wvu.Cols" localSheetId="14" hidden="1">'S6C-25'!$X:$AK</definedName>
    <definedName name="Z_94D8ABD2_F813_4BD2_AD55_22BDD5D9923A_.wvu.Cols" localSheetId="9" hidden="1">'S6C-26'!$Y:$AL</definedName>
    <definedName name="Z_94D8ABD2_F813_4BD2_AD55_22BDD5D9923A_.wvu.Cols" localSheetId="20" hidden="1">'S6C-Avg-24'!$X:$AK</definedName>
    <definedName name="Z_94D8ABD2_F813_4BD2_AD55_22BDD5D9923A_.wvu.Cols" localSheetId="15" hidden="1">'S6C-Avg-25'!$X:$AK</definedName>
    <definedName name="Z_94D8ABD2_F813_4BD2_AD55_22BDD5D9923A_.wvu.Cols" localSheetId="11" hidden="1">'S6C-Avg-26'!$Y:$AL</definedName>
    <definedName name="Z_94D8ABD2_F813_4BD2_AD55_22BDD5D9923A_.wvu.Cols" localSheetId="23" hidden="1">'S6C-Combo-24'!$X:$AK</definedName>
    <definedName name="Z_94D8ABD2_F813_4BD2_AD55_22BDD5D9923A_.wvu.Cols" localSheetId="18" hidden="1">'S6C-Combo-25'!$X:$AK</definedName>
    <definedName name="Z_94D8ABD2_F813_4BD2_AD55_22BDD5D9923A_.wvu.Cols" localSheetId="13" hidden="1">'S6C-Combo-26'!$Y:$AL</definedName>
    <definedName name="Z_94D8ABD2_F813_4BD2_AD55_22BDD5D9923A_.wvu.Cols" localSheetId="22" hidden="1">'S6C-Cost-24'!$X:$AK</definedName>
    <definedName name="Z_94D8ABD2_F813_4BD2_AD55_22BDD5D9923A_.wvu.Cols" localSheetId="17" hidden="1">'S6C-Cost-25'!$X:$AK</definedName>
    <definedName name="Z_94D8ABD2_F813_4BD2_AD55_22BDD5D9923A_.wvu.Cols" localSheetId="12" hidden="1">'S6C-Cost-26'!$Y:$AL</definedName>
    <definedName name="Z_94D8ABD2_F813_4BD2_AD55_22BDD5D9923A_.wvu.Cols" localSheetId="21" hidden="1">'S6C-Deadhead-24'!$X:$AK</definedName>
    <definedName name="Z_94D8ABD2_F813_4BD2_AD55_22BDD5D9923A_.wvu.Cols" localSheetId="16" hidden="1">'S6C-Deadhead-25'!$X:$AK</definedName>
    <definedName name="Z_94D8ABD2_F813_4BD2_AD55_22BDD5D9923A_.wvu.Cols" localSheetId="10" hidden="1">'S6C-Deadhead-26'!$Y:$AL</definedName>
    <definedName name="Z_94D8ABD2_F813_4BD2_AD55_22BDD5D9923A_.wvu.PrintArea" localSheetId="19" hidden="1">'S6C-24'!$A$3:$W$51</definedName>
    <definedName name="Z_94D8ABD2_F813_4BD2_AD55_22BDD5D9923A_.wvu.PrintArea" localSheetId="14" hidden="1">'S6C-25'!$A$3:$W$51</definedName>
    <definedName name="Z_94D8ABD2_F813_4BD2_AD55_22BDD5D9923A_.wvu.PrintArea" localSheetId="9" hidden="1">'S6C-26'!$A$1:$X$50</definedName>
    <definedName name="Z_94D8ABD2_F813_4BD2_AD55_22BDD5D9923A_.wvu.PrintArea" localSheetId="20" hidden="1">'S6C-Avg-24'!$A$3:$W$51</definedName>
    <definedName name="Z_94D8ABD2_F813_4BD2_AD55_22BDD5D9923A_.wvu.PrintArea" localSheetId="15" hidden="1">'S6C-Avg-25'!$A$3:$W$51</definedName>
    <definedName name="Z_94D8ABD2_F813_4BD2_AD55_22BDD5D9923A_.wvu.PrintArea" localSheetId="11" hidden="1">'S6C-Avg-26'!$A$1:$X$50</definedName>
    <definedName name="Z_94D8ABD2_F813_4BD2_AD55_22BDD5D9923A_.wvu.PrintArea" localSheetId="23" hidden="1">'S6C-Combo-24'!$A$3:$W$51</definedName>
    <definedName name="Z_94D8ABD2_F813_4BD2_AD55_22BDD5D9923A_.wvu.PrintArea" localSheetId="18" hidden="1">'S6C-Combo-25'!$A$3:$W$51</definedName>
    <definedName name="Z_94D8ABD2_F813_4BD2_AD55_22BDD5D9923A_.wvu.PrintArea" localSheetId="13" hidden="1">'S6C-Combo-26'!$A$1:$X$50</definedName>
    <definedName name="Z_94D8ABD2_F813_4BD2_AD55_22BDD5D9923A_.wvu.PrintArea" localSheetId="22" hidden="1">'S6C-Cost-24'!$A$3:$W$51</definedName>
    <definedName name="Z_94D8ABD2_F813_4BD2_AD55_22BDD5D9923A_.wvu.PrintArea" localSheetId="17" hidden="1">'S6C-Cost-25'!$A$3:$W$51</definedName>
    <definedName name="Z_94D8ABD2_F813_4BD2_AD55_22BDD5D9923A_.wvu.PrintArea" localSheetId="12" hidden="1">'S6C-Cost-26'!$A$1:$X$50</definedName>
    <definedName name="Z_94D8ABD2_F813_4BD2_AD55_22BDD5D9923A_.wvu.PrintArea" localSheetId="21" hidden="1">'S6C-Deadhead-24'!$A$3:$W$51</definedName>
    <definedName name="Z_94D8ABD2_F813_4BD2_AD55_22BDD5D9923A_.wvu.PrintArea" localSheetId="16" hidden="1">'S6C-Deadhead-25'!$A$3:$W$51</definedName>
    <definedName name="Z_94D8ABD2_F813_4BD2_AD55_22BDD5D9923A_.wvu.PrintArea" localSheetId="10" hidden="1">'S6C-Deadhead-26'!$A$1:$X$50</definedName>
    <definedName name="Z_B2E70C88_7433_47A3_885C_FE173A612781_.wvu.Cols" localSheetId="19" hidden="1">'S6C-24'!$X:$AK</definedName>
    <definedName name="Z_B2E70C88_7433_47A3_885C_FE173A612781_.wvu.Cols" localSheetId="14" hidden="1">'S6C-25'!$X:$AK</definedName>
    <definedName name="Z_B2E70C88_7433_47A3_885C_FE173A612781_.wvu.Cols" localSheetId="9" hidden="1">'S6C-26'!$Y:$AL</definedName>
    <definedName name="Z_B2E70C88_7433_47A3_885C_FE173A612781_.wvu.Cols" localSheetId="20" hidden="1">'S6C-Avg-24'!$X:$AK</definedName>
    <definedName name="Z_B2E70C88_7433_47A3_885C_FE173A612781_.wvu.Cols" localSheetId="15" hidden="1">'S6C-Avg-25'!$X:$AK</definedName>
    <definedName name="Z_B2E70C88_7433_47A3_885C_FE173A612781_.wvu.Cols" localSheetId="11" hidden="1">'S6C-Avg-26'!$Y:$AL</definedName>
    <definedName name="Z_B2E70C88_7433_47A3_885C_FE173A612781_.wvu.Cols" localSheetId="23" hidden="1">'S6C-Combo-24'!$X:$AK</definedName>
    <definedName name="Z_B2E70C88_7433_47A3_885C_FE173A612781_.wvu.Cols" localSheetId="18" hidden="1">'S6C-Combo-25'!$X:$AK</definedName>
    <definedName name="Z_B2E70C88_7433_47A3_885C_FE173A612781_.wvu.Cols" localSheetId="13" hidden="1">'S6C-Combo-26'!$Y:$AL</definedName>
    <definedName name="Z_B2E70C88_7433_47A3_885C_FE173A612781_.wvu.Cols" localSheetId="22" hidden="1">'S6C-Cost-24'!$X:$AK</definedName>
    <definedName name="Z_B2E70C88_7433_47A3_885C_FE173A612781_.wvu.Cols" localSheetId="17" hidden="1">'S6C-Cost-25'!$X:$AK</definedName>
    <definedName name="Z_B2E70C88_7433_47A3_885C_FE173A612781_.wvu.Cols" localSheetId="12" hidden="1">'S6C-Cost-26'!$Y:$AL</definedName>
    <definedName name="Z_B2E70C88_7433_47A3_885C_FE173A612781_.wvu.Cols" localSheetId="21" hidden="1">'S6C-Deadhead-24'!$X:$AK</definedName>
    <definedName name="Z_B2E70C88_7433_47A3_885C_FE173A612781_.wvu.Cols" localSheetId="16" hidden="1">'S6C-Deadhead-25'!$X:$AK</definedName>
    <definedName name="Z_B2E70C88_7433_47A3_885C_FE173A612781_.wvu.Cols" localSheetId="10" hidden="1">'S6C-Deadhead-26'!$Y:$AL</definedName>
    <definedName name="Z_B2E70C88_7433_47A3_885C_FE173A612781_.wvu.PrintArea" localSheetId="19" hidden="1">'S6C-24'!$A$3:$W$51</definedName>
    <definedName name="Z_B2E70C88_7433_47A3_885C_FE173A612781_.wvu.PrintArea" localSheetId="14" hidden="1">'S6C-25'!$A$3:$W$51</definedName>
    <definedName name="Z_B2E70C88_7433_47A3_885C_FE173A612781_.wvu.PrintArea" localSheetId="9" hidden="1">'S6C-26'!$A$1:$X$50</definedName>
    <definedName name="Z_B2E70C88_7433_47A3_885C_FE173A612781_.wvu.PrintArea" localSheetId="20" hidden="1">'S6C-Avg-24'!$A$3:$W$51</definedName>
    <definedName name="Z_B2E70C88_7433_47A3_885C_FE173A612781_.wvu.PrintArea" localSheetId="15" hidden="1">'S6C-Avg-25'!$A$3:$W$51</definedName>
    <definedName name="Z_B2E70C88_7433_47A3_885C_FE173A612781_.wvu.PrintArea" localSheetId="11" hidden="1">'S6C-Avg-26'!$A$1:$X$50</definedName>
    <definedName name="Z_B2E70C88_7433_47A3_885C_FE173A612781_.wvu.PrintArea" localSheetId="23" hidden="1">'S6C-Combo-24'!$A$3:$W$51</definedName>
    <definedName name="Z_B2E70C88_7433_47A3_885C_FE173A612781_.wvu.PrintArea" localSheetId="18" hidden="1">'S6C-Combo-25'!$A$3:$W$51</definedName>
    <definedName name="Z_B2E70C88_7433_47A3_885C_FE173A612781_.wvu.PrintArea" localSheetId="13" hidden="1">'S6C-Combo-26'!$A$1:$X$50</definedName>
    <definedName name="Z_B2E70C88_7433_47A3_885C_FE173A612781_.wvu.PrintArea" localSheetId="22" hidden="1">'S6C-Cost-24'!$A$3:$W$51</definedName>
    <definedName name="Z_B2E70C88_7433_47A3_885C_FE173A612781_.wvu.PrintArea" localSheetId="17" hidden="1">'S6C-Cost-25'!$A$3:$W$51</definedName>
    <definedName name="Z_B2E70C88_7433_47A3_885C_FE173A612781_.wvu.PrintArea" localSheetId="12" hidden="1">'S6C-Cost-26'!$A$1:$X$50</definedName>
    <definedName name="Z_B2E70C88_7433_47A3_885C_FE173A612781_.wvu.PrintArea" localSheetId="21" hidden="1">'S6C-Deadhead-24'!$A$3:$W$51</definedName>
    <definedName name="Z_B2E70C88_7433_47A3_885C_FE173A612781_.wvu.PrintArea" localSheetId="16" hidden="1">'S6C-Deadhead-25'!$A$3:$W$51</definedName>
    <definedName name="Z_B2E70C88_7433_47A3_885C_FE173A612781_.wvu.PrintArea" localSheetId="10" hidden="1">'S6C-Deadhead-26'!$A$1:$X$50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3" l="1" a="1"/>
  <c r="A2" i="3" s="1"/>
  <c r="A2" i="4" a="1"/>
  <c r="A2" i="4" s="1"/>
  <c r="A2" i="5" a="1"/>
  <c r="A2" i="5" s="1"/>
  <c r="A2" i="6" a="1"/>
  <c r="A2" i="6" s="1"/>
  <c r="A2" i="2" a="1"/>
  <c r="A2" i="2" s="1"/>
  <c r="A2" i="13" a="1"/>
  <c r="A2" i="13" s="1"/>
  <c r="A2" i="14" a="1"/>
  <c r="A2" i="14" s="1"/>
  <c r="A2" i="15" a="1"/>
  <c r="A2" i="15" s="1"/>
  <c r="A2" i="16" a="1"/>
  <c r="A2" i="16" s="1"/>
  <c r="A2" i="12" a="1"/>
  <c r="A2" i="12" s="1"/>
  <c r="A2" i="24" a="1"/>
  <c r="A2" i="24" s="1"/>
  <c r="A2" i="25" a="1"/>
  <c r="A2" i="25" s="1"/>
  <c r="A2" i="26" a="1"/>
  <c r="A2" i="26" s="1"/>
  <c r="A2" i="23" a="1"/>
  <c r="A2" i="23" s="1"/>
  <c r="A2" i="22" a="1"/>
  <c r="A2" i="22" s="1"/>
  <c r="S64" i="37" l="1"/>
  <c r="S64" i="34"/>
  <c r="O32" i="34"/>
  <c r="O30" i="34"/>
  <c r="N29" i="34"/>
  <c r="S32" i="33"/>
  <c r="S31" i="33"/>
  <c r="S30" i="33"/>
  <c r="S29" i="33"/>
  <c r="N37" i="33"/>
  <c r="N31" i="33"/>
  <c r="O30" i="33"/>
  <c r="O29" i="33"/>
  <c r="O80" i="37"/>
  <c r="N80" i="37"/>
  <c r="O79" i="37"/>
  <c r="N79" i="37"/>
  <c r="O78" i="37"/>
  <c r="N78" i="37"/>
  <c r="O77" i="37"/>
  <c r="N77" i="37"/>
  <c r="O76" i="37"/>
  <c r="N76" i="37"/>
  <c r="O75" i="37"/>
  <c r="N75" i="37"/>
  <c r="O74" i="37"/>
  <c r="N74" i="37"/>
  <c r="O73" i="37"/>
  <c r="N73" i="37"/>
  <c r="O72" i="37"/>
  <c r="N72" i="37"/>
  <c r="O71" i="37"/>
  <c r="N71" i="37"/>
  <c r="O70" i="37"/>
  <c r="N70" i="37"/>
  <c r="O69" i="37"/>
  <c r="N69" i="37"/>
  <c r="O68" i="37"/>
  <c r="N68" i="37"/>
  <c r="O67" i="37"/>
  <c r="N67" i="37"/>
  <c r="O66" i="37"/>
  <c r="N66" i="37"/>
  <c r="O65" i="37"/>
  <c r="N65" i="37"/>
  <c r="O63" i="37"/>
  <c r="D63" i="37" s="1"/>
  <c r="N63" i="37"/>
  <c r="O62" i="37"/>
  <c r="N62" i="37"/>
  <c r="O61" i="37"/>
  <c r="N61" i="37"/>
  <c r="O60" i="37"/>
  <c r="N60" i="37"/>
  <c r="O59" i="37"/>
  <c r="N59" i="37"/>
  <c r="O58" i="37"/>
  <c r="N58" i="37"/>
  <c r="O57" i="37"/>
  <c r="N57" i="37"/>
  <c r="O56" i="37"/>
  <c r="N56" i="37"/>
  <c r="O55" i="37"/>
  <c r="N55" i="37"/>
  <c r="O54" i="37"/>
  <c r="N54" i="37"/>
  <c r="O53" i="37"/>
  <c r="N53" i="37"/>
  <c r="O52" i="37"/>
  <c r="N52" i="37"/>
  <c r="O51" i="37"/>
  <c r="N51" i="37"/>
  <c r="O50" i="37"/>
  <c r="N50" i="37"/>
  <c r="O49" i="37"/>
  <c r="N49" i="37"/>
  <c r="O48" i="37"/>
  <c r="N48" i="37"/>
  <c r="O47" i="37"/>
  <c r="N47" i="37"/>
  <c r="O46" i="37"/>
  <c r="N46" i="37"/>
  <c r="O45" i="37"/>
  <c r="N45" i="37"/>
  <c r="O44" i="37"/>
  <c r="N44" i="37"/>
  <c r="O43" i="37"/>
  <c r="N43" i="37"/>
  <c r="O42" i="37"/>
  <c r="N42" i="37"/>
  <c r="S37" i="37"/>
  <c r="R37" i="37"/>
  <c r="Q37" i="37"/>
  <c r="O37" i="37"/>
  <c r="S36" i="37"/>
  <c r="Q36" i="37"/>
  <c r="O36" i="37"/>
  <c r="S35" i="37"/>
  <c r="Q35" i="37"/>
  <c r="S34" i="37"/>
  <c r="Q34" i="37"/>
  <c r="S33" i="37"/>
  <c r="Q33" i="37"/>
  <c r="N33" i="37"/>
  <c r="S32" i="37"/>
  <c r="Q32" i="37"/>
  <c r="S31" i="37"/>
  <c r="Q31" i="37"/>
  <c r="S30" i="37"/>
  <c r="R30" i="37"/>
  <c r="Q30" i="37"/>
  <c r="S29" i="37"/>
  <c r="Q29" i="37"/>
  <c r="Q38" i="37" s="1"/>
  <c r="O29" i="37"/>
  <c r="S28" i="37"/>
  <c r="Q28" i="37"/>
  <c r="N28" i="37"/>
  <c r="O80" i="36"/>
  <c r="N80" i="36"/>
  <c r="O79" i="36"/>
  <c r="N79" i="36"/>
  <c r="O78" i="36"/>
  <c r="N78" i="36"/>
  <c r="O77" i="36"/>
  <c r="N77" i="36"/>
  <c r="O76" i="36"/>
  <c r="N76" i="36"/>
  <c r="O75" i="36"/>
  <c r="N75" i="36"/>
  <c r="O74" i="36"/>
  <c r="N74" i="36"/>
  <c r="O73" i="36"/>
  <c r="N73" i="36"/>
  <c r="O72" i="36"/>
  <c r="N72" i="36"/>
  <c r="O71" i="36"/>
  <c r="N71" i="36"/>
  <c r="O70" i="36"/>
  <c r="N70" i="36"/>
  <c r="O69" i="36"/>
  <c r="N69" i="36"/>
  <c r="O68" i="36"/>
  <c r="N68" i="36"/>
  <c r="O67" i="36"/>
  <c r="N67" i="36"/>
  <c r="O66" i="36"/>
  <c r="D66" i="36" s="1"/>
  <c r="N66" i="36"/>
  <c r="O65" i="36"/>
  <c r="D65" i="36" s="1"/>
  <c r="N65" i="36"/>
  <c r="O63" i="36"/>
  <c r="D63" i="36" s="1"/>
  <c r="N63" i="36"/>
  <c r="O62" i="36"/>
  <c r="N62" i="36"/>
  <c r="O61" i="36"/>
  <c r="N61" i="36"/>
  <c r="O60" i="36"/>
  <c r="N60" i="36"/>
  <c r="O59" i="36"/>
  <c r="N59" i="36"/>
  <c r="O58" i="36"/>
  <c r="D58" i="36" s="1"/>
  <c r="N58" i="36"/>
  <c r="O57" i="36"/>
  <c r="N57" i="36"/>
  <c r="O56" i="36"/>
  <c r="N56" i="36"/>
  <c r="O55" i="36"/>
  <c r="N55" i="36"/>
  <c r="O54" i="36"/>
  <c r="N54" i="36"/>
  <c r="O53" i="36"/>
  <c r="N53" i="36"/>
  <c r="O52" i="36"/>
  <c r="N52" i="36"/>
  <c r="O51" i="36"/>
  <c r="D51" i="36" s="1"/>
  <c r="N51" i="36"/>
  <c r="O50" i="36"/>
  <c r="N50" i="36"/>
  <c r="O49" i="36"/>
  <c r="N49" i="36"/>
  <c r="O48" i="36"/>
  <c r="N48" i="36"/>
  <c r="O47" i="36"/>
  <c r="N47" i="36"/>
  <c r="O46" i="36"/>
  <c r="N46" i="36"/>
  <c r="O45" i="36"/>
  <c r="D45" i="36" s="1"/>
  <c r="N45" i="36"/>
  <c r="O44" i="36"/>
  <c r="N44" i="36"/>
  <c r="O43" i="36"/>
  <c r="N43" i="36"/>
  <c r="O42" i="36"/>
  <c r="N42" i="36"/>
  <c r="S37" i="36"/>
  <c r="Q37" i="36"/>
  <c r="O37" i="36"/>
  <c r="S36" i="36"/>
  <c r="Q36" i="36"/>
  <c r="S35" i="36"/>
  <c r="Q35" i="36"/>
  <c r="S34" i="36"/>
  <c r="Q34" i="36"/>
  <c r="N34" i="36"/>
  <c r="S33" i="36"/>
  <c r="Q33" i="36"/>
  <c r="S32" i="36"/>
  <c r="Q32" i="36"/>
  <c r="S31" i="36"/>
  <c r="Q31" i="36"/>
  <c r="S30" i="36"/>
  <c r="Q30" i="36"/>
  <c r="S29" i="36"/>
  <c r="Q29" i="36"/>
  <c r="O29" i="36"/>
  <c r="S28" i="36"/>
  <c r="Q28" i="36"/>
  <c r="O80" i="35"/>
  <c r="N80" i="35"/>
  <c r="O79" i="35"/>
  <c r="N79" i="35"/>
  <c r="O78" i="35"/>
  <c r="N78" i="35"/>
  <c r="O77" i="35"/>
  <c r="N77" i="35"/>
  <c r="O76" i="35"/>
  <c r="N76" i="35"/>
  <c r="O75" i="35"/>
  <c r="N75" i="35"/>
  <c r="O74" i="35"/>
  <c r="N74" i="35"/>
  <c r="O73" i="35"/>
  <c r="N73" i="35"/>
  <c r="O72" i="35"/>
  <c r="N72" i="35"/>
  <c r="D72" i="35" s="1"/>
  <c r="O71" i="35"/>
  <c r="D71" i="35" s="1"/>
  <c r="N71" i="35"/>
  <c r="O70" i="35"/>
  <c r="N70" i="35"/>
  <c r="O69" i="35"/>
  <c r="N69" i="35"/>
  <c r="O68" i="35"/>
  <c r="N68" i="35"/>
  <c r="O67" i="35"/>
  <c r="N67" i="35"/>
  <c r="O66" i="35"/>
  <c r="N66" i="35"/>
  <c r="D66" i="35" s="1"/>
  <c r="O65" i="35"/>
  <c r="D65" i="35" s="1"/>
  <c r="N65" i="35"/>
  <c r="O63" i="35"/>
  <c r="N63" i="35"/>
  <c r="O62" i="35"/>
  <c r="N62" i="35"/>
  <c r="O61" i="35"/>
  <c r="N61" i="35"/>
  <c r="O60" i="35"/>
  <c r="N60" i="35"/>
  <c r="O59" i="35"/>
  <c r="N59" i="35"/>
  <c r="O58" i="35"/>
  <c r="N58" i="35"/>
  <c r="O57" i="35"/>
  <c r="N57" i="35"/>
  <c r="O56" i="35"/>
  <c r="N56" i="35"/>
  <c r="O55" i="35"/>
  <c r="N55" i="35"/>
  <c r="O54" i="35"/>
  <c r="N54" i="35"/>
  <c r="O53" i="35"/>
  <c r="N53" i="35"/>
  <c r="O52" i="35"/>
  <c r="N52" i="35"/>
  <c r="O51" i="35"/>
  <c r="O83" i="35" s="1"/>
  <c r="N51" i="35"/>
  <c r="O50" i="35"/>
  <c r="N50" i="35"/>
  <c r="O49" i="35"/>
  <c r="N49" i="35"/>
  <c r="O48" i="35"/>
  <c r="N48" i="35"/>
  <c r="O47" i="35"/>
  <c r="N47" i="35"/>
  <c r="O46" i="35"/>
  <c r="N46" i="35"/>
  <c r="O45" i="35"/>
  <c r="O81" i="35" s="1"/>
  <c r="O84" i="35" s="1"/>
  <c r="N45" i="35"/>
  <c r="O44" i="35"/>
  <c r="N44" i="35"/>
  <c r="O43" i="35"/>
  <c r="N43" i="35"/>
  <c r="O42" i="35"/>
  <c r="N42" i="35"/>
  <c r="S37" i="35"/>
  <c r="R37" i="35"/>
  <c r="F37" i="35" s="1"/>
  <c r="Q37" i="35"/>
  <c r="O37" i="35"/>
  <c r="S36" i="35"/>
  <c r="Q36" i="35"/>
  <c r="S35" i="35"/>
  <c r="R35" i="35"/>
  <c r="Q35" i="35"/>
  <c r="S34" i="35"/>
  <c r="Q34" i="35"/>
  <c r="O34" i="35"/>
  <c r="D34" i="35" s="1"/>
  <c r="N34" i="35"/>
  <c r="S33" i="35"/>
  <c r="Q33" i="35"/>
  <c r="O33" i="35"/>
  <c r="N33" i="35"/>
  <c r="S32" i="35"/>
  <c r="Q32" i="35"/>
  <c r="S31" i="35"/>
  <c r="Q31" i="35"/>
  <c r="S30" i="35"/>
  <c r="R30" i="35"/>
  <c r="Q30" i="35"/>
  <c r="O30" i="35"/>
  <c r="S29" i="35"/>
  <c r="Q29" i="35"/>
  <c r="S28" i="35"/>
  <c r="Q28" i="35"/>
  <c r="N28" i="35"/>
  <c r="O80" i="34"/>
  <c r="N80" i="34"/>
  <c r="O79" i="34"/>
  <c r="N79" i="34"/>
  <c r="O78" i="34"/>
  <c r="D78" i="34" s="1"/>
  <c r="N78" i="34"/>
  <c r="O77" i="34"/>
  <c r="N77" i="34"/>
  <c r="O76" i="34"/>
  <c r="N76" i="34"/>
  <c r="O75" i="34"/>
  <c r="O37" i="34" s="1"/>
  <c r="N75" i="34"/>
  <c r="N37" i="34" s="1"/>
  <c r="O74" i="34"/>
  <c r="N74" i="34"/>
  <c r="O73" i="34"/>
  <c r="N73" i="34"/>
  <c r="O72" i="34"/>
  <c r="O36" i="34" s="1"/>
  <c r="N72" i="34"/>
  <c r="N36" i="34" s="1"/>
  <c r="O71" i="34"/>
  <c r="N71" i="34"/>
  <c r="O70" i="34"/>
  <c r="N70" i="34"/>
  <c r="O69" i="34"/>
  <c r="N69" i="34"/>
  <c r="N35" i="34" s="1"/>
  <c r="O68" i="34"/>
  <c r="O35" i="34" s="1"/>
  <c r="N68" i="34"/>
  <c r="O67" i="34"/>
  <c r="N67" i="34"/>
  <c r="O66" i="34"/>
  <c r="O34" i="34" s="1"/>
  <c r="N66" i="34"/>
  <c r="N34" i="34" s="1"/>
  <c r="O65" i="34"/>
  <c r="N65" i="34"/>
  <c r="O63" i="34"/>
  <c r="N63" i="34"/>
  <c r="O62" i="34"/>
  <c r="N62" i="34"/>
  <c r="O61" i="34"/>
  <c r="N61" i="34"/>
  <c r="O60" i="34"/>
  <c r="N60" i="34"/>
  <c r="O59" i="34"/>
  <c r="D59" i="34" s="1"/>
  <c r="N59" i="34"/>
  <c r="N33" i="34" s="1"/>
  <c r="O58" i="34"/>
  <c r="N58" i="34"/>
  <c r="O57" i="34"/>
  <c r="N57" i="34"/>
  <c r="O56" i="34"/>
  <c r="N56" i="34"/>
  <c r="O55" i="34"/>
  <c r="N55" i="34"/>
  <c r="N32" i="34" s="1"/>
  <c r="O54" i="34"/>
  <c r="D54" i="34" s="1"/>
  <c r="N54" i="34"/>
  <c r="O53" i="34"/>
  <c r="O31" i="34" s="1"/>
  <c r="N53" i="34"/>
  <c r="O52" i="34"/>
  <c r="N52" i="34"/>
  <c r="O51" i="34"/>
  <c r="N51" i="34"/>
  <c r="O50" i="34"/>
  <c r="N50" i="34"/>
  <c r="O49" i="34"/>
  <c r="N49" i="34"/>
  <c r="N31" i="34" s="1"/>
  <c r="O48" i="34"/>
  <c r="D48" i="34" s="1"/>
  <c r="N48" i="34"/>
  <c r="N30" i="34" s="1"/>
  <c r="O47" i="34"/>
  <c r="O29" i="34" s="1"/>
  <c r="N47" i="34"/>
  <c r="O46" i="34"/>
  <c r="N46" i="34"/>
  <c r="O45" i="34"/>
  <c r="N45" i="34"/>
  <c r="O44" i="34"/>
  <c r="N44" i="34"/>
  <c r="O43" i="34"/>
  <c r="N43" i="34"/>
  <c r="O42" i="34"/>
  <c r="O28" i="34" s="1"/>
  <c r="N42" i="34"/>
  <c r="S80" i="33"/>
  <c r="F80" i="33" s="1"/>
  <c r="T43" i="32" s="1"/>
  <c r="R80" i="33"/>
  <c r="Q80" i="33"/>
  <c r="O80" i="33"/>
  <c r="S79" i="33"/>
  <c r="R79" i="33"/>
  <c r="Q79" i="33"/>
  <c r="O79" i="33"/>
  <c r="S78" i="33"/>
  <c r="R78" i="33"/>
  <c r="Q78" i="33"/>
  <c r="O78" i="33"/>
  <c r="X78" i="33" s="1"/>
  <c r="Y78" i="33" s="1"/>
  <c r="S77" i="33"/>
  <c r="F77" i="33" s="1"/>
  <c r="T40" i="32" s="1"/>
  <c r="R77" i="33"/>
  <c r="Q77" i="33"/>
  <c r="O77" i="33"/>
  <c r="S76" i="33"/>
  <c r="R76" i="33"/>
  <c r="V76" i="33" s="1"/>
  <c r="W76" i="33" s="1"/>
  <c r="Q76" i="33"/>
  <c r="O76" i="33"/>
  <c r="S75" i="33"/>
  <c r="S37" i="33" s="1"/>
  <c r="R75" i="33"/>
  <c r="R37" i="33" s="1"/>
  <c r="Q75" i="33"/>
  <c r="Q37" i="33" s="1"/>
  <c r="O75" i="33"/>
  <c r="X75" i="33" s="1"/>
  <c r="Y75" i="33" s="1"/>
  <c r="S74" i="33"/>
  <c r="F74" i="33" s="1"/>
  <c r="D37" i="32" s="1"/>
  <c r="R74" i="33"/>
  <c r="Q74" i="33"/>
  <c r="O74" i="33"/>
  <c r="S73" i="33"/>
  <c r="R73" i="33"/>
  <c r="Q73" i="33"/>
  <c r="O73" i="33"/>
  <c r="S72" i="33"/>
  <c r="S36" i="33" s="1"/>
  <c r="R72" i="33"/>
  <c r="R36" i="33" s="1"/>
  <c r="Q72" i="33"/>
  <c r="Q36" i="33" s="1"/>
  <c r="O72" i="33"/>
  <c r="O36" i="33" s="1"/>
  <c r="S71" i="33"/>
  <c r="S117" i="33" s="1"/>
  <c r="R71" i="33"/>
  <c r="Q71" i="33"/>
  <c r="O71" i="33"/>
  <c r="S70" i="33"/>
  <c r="R70" i="33"/>
  <c r="Q70" i="33"/>
  <c r="O70" i="33"/>
  <c r="S69" i="33"/>
  <c r="R69" i="33"/>
  <c r="Q69" i="33"/>
  <c r="O69" i="33"/>
  <c r="S68" i="33"/>
  <c r="S35" i="33" s="1"/>
  <c r="R68" i="33"/>
  <c r="S114" i="33" s="1"/>
  <c r="Q68" i="33"/>
  <c r="Q35" i="33" s="1"/>
  <c r="O68" i="33"/>
  <c r="O35" i="33" s="1"/>
  <c r="S67" i="33"/>
  <c r="R67" i="33"/>
  <c r="Q67" i="33"/>
  <c r="O67" i="33"/>
  <c r="S66" i="33"/>
  <c r="S34" i="33" s="1"/>
  <c r="R66" i="33"/>
  <c r="R34" i="33" s="1"/>
  <c r="Q66" i="33"/>
  <c r="Q34" i="33" s="1"/>
  <c r="O66" i="33"/>
  <c r="AD66" i="33" s="1"/>
  <c r="AE66" i="33" s="1"/>
  <c r="S65" i="33"/>
  <c r="S111" i="33" s="1"/>
  <c r="R65" i="33"/>
  <c r="Q65" i="33"/>
  <c r="O65" i="33"/>
  <c r="R64" i="33"/>
  <c r="Q64" i="33"/>
  <c r="F64" i="33" s="1"/>
  <c r="S63" i="33"/>
  <c r="R63" i="33"/>
  <c r="S109" i="33" s="1"/>
  <c r="Q63" i="33"/>
  <c r="O63" i="33"/>
  <c r="S62" i="33"/>
  <c r="R62" i="33"/>
  <c r="S108" i="33" s="1"/>
  <c r="Q62" i="33"/>
  <c r="O62" i="33"/>
  <c r="S61" i="33"/>
  <c r="R61" i="33"/>
  <c r="Q61" i="33"/>
  <c r="O61" i="33"/>
  <c r="S60" i="33"/>
  <c r="R60" i="33"/>
  <c r="S106" i="33" s="1"/>
  <c r="Q60" i="33"/>
  <c r="O60" i="33"/>
  <c r="D60" i="33" s="1"/>
  <c r="S59" i="33"/>
  <c r="S33" i="33" s="1"/>
  <c r="R59" i="33"/>
  <c r="F59" i="33" s="1"/>
  <c r="Q59" i="33"/>
  <c r="Q33" i="33" s="1"/>
  <c r="O59" i="33"/>
  <c r="O33" i="33" s="1"/>
  <c r="S58" i="33"/>
  <c r="R58" i="33"/>
  <c r="Q58" i="33"/>
  <c r="O58" i="33"/>
  <c r="X58" i="33" s="1"/>
  <c r="Y58" i="33" s="1"/>
  <c r="S57" i="33"/>
  <c r="R57" i="33"/>
  <c r="S103" i="33" s="1"/>
  <c r="Q57" i="33"/>
  <c r="O57" i="33"/>
  <c r="S56" i="33"/>
  <c r="X56" i="33" s="1"/>
  <c r="Y56" i="33" s="1"/>
  <c r="R56" i="33"/>
  <c r="R102" i="33" s="1"/>
  <c r="Q56" i="33"/>
  <c r="O56" i="33"/>
  <c r="O32" i="33" s="1"/>
  <c r="S55" i="33"/>
  <c r="R55" i="33"/>
  <c r="F55" i="33" s="1"/>
  <c r="T18" i="32" s="1"/>
  <c r="Q55" i="33"/>
  <c r="Q32" i="33" s="1"/>
  <c r="O55" i="33"/>
  <c r="X55" i="33" s="1"/>
  <c r="Y55" i="33" s="1"/>
  <c r="S54" i="33"/>
  <c r="R54" i="33"/>
  <c r="F54" i="33" s="1"/>
  <c r="T17" i="32" s="1"/>
  <c r="Q54" i="33"/>
  <c r="O54" i="33"/>
  <c r="S53" i="33"/>
  <c r="R53" i="33"/>
  <c r="Q53" i="33"/>
  <c r="O53" i="33"/>
  <c r="S52" i="33"/>
  <c r="R52" i="33"/>
  <c r="F52" i="33" s="1"/>
  <c r="Q52" i="33"/>
  <c r="O52" i="33"/>
  <c r="S51" i="33"/>
  <c r="R51" i="33"/>
  <c r="R97" i="33" s="1"/>
  <c r="Q51" i="33"/>
  <c r="O51" i="33"/>
  <c r="S50" i="33"/>
  <c r="R50" i="33"/>
  <c r="F50" i="33" s="1"/>
  <c r="D13" i="32" s="1"/>
  <c r="Q50" i="33"/>
  <c r="O50" i="33"/>
  <c r="O31" i="33" s="1"/>
  <c r="S49" i="33"/>
  <c r="R49" i="33"/>
  <c r="F49" i="33" s="1"/>
  <c r="Q49" i="33"/>
  <c r="Q31" i="33" s="1"/>
  <c r="O49" i="33"/>
  <c r="S48" i="33"/>
  <c r="R48" i="33"/>
  <c r="R30" i="33" s="1"/>
  <c r="Q48" i="33"/>
  <c r="Q30" i="33" s="1"/>
  <c r="O48" i="33"/>
  <c r="S47" i="33"/>
  <c r="R47" i="33"/>
  <c r="R29" i="33" s="1"/>
  <c r="Q47" i="33"/>
  <c r="Q29" i="33" s="1"/>
  <c r="O47" i="33"/>
  <c r="S46" i="33"/>
  <c r="R46" i="33"/>
  <c r="Q46" i="33"/>
  <c r="O46" i="33"/>
  <c r="X46" i="33" s="1"/>
  <c r="Y46" i="33" s="1"/>
  <c r="S45" i="33"/>
  <c r="R45" i="33"/>
  <c r="Q45" i="33"/>
  <c r="O45" i="33"/>
  <c r="S44" i="33"/>
  <c r="R44" i="33"/>
  <c r="F44" i="33" s="1"/>
  <c r="Q44" i="33"/>
  <c r="O44" i="33"/>
  <c r="S43" i="33"/>
  <c r="R43" i="33"/>
  <c r="Q43" i="33"/>
  <c r="O43" i="33"/>
  <c r="S42" i="33"/>
  <c r="R42" i="33"/>
  <c r="R28" i="33" s="1"/>
  <c r="Q42" i="33"/>
  <c r="Q28" i="33" s="1"/>
  <c r="O42" i="33"/>
  <c r="O28" i="33" s="1"/>
  <c r="N80" i="33"/>
  <c r="N79" i="33"/>
  <c r="N78" i="33"/>
  <c r="N77" i="33"/>
  <c r="N76" i="33"/>
  <c r="N75" i="33"/>
  <c r="N74" i="33"/>
  <c r="N73" i="33"/>
  <c r="N72" i="33"/>
  <c r="N36" i="33" s="1"/>
  <c r="N71" i="33"/>
  <c r="N70" i="33"/>
  <c r="N69" i="33"/>
  <c r="N68" i="33"/>
  <c r="N35" i="33" s="1"/>
  <c r="N67" i="33"/>
  <c r="N66" i="33"/>
  <c r="N34" i="33" s="1"/>
  <c r="N65" i="33"/>
  <c r="N63" i="33"/>
  <c r="N62" i="33"/>
  <c r="N61" i="33"/>
  <c r="N60" i="33"/>
  <c r="N59" i="33"/>
  <c r="N33" i="33" s="1"/>
  <c r="N58" i="33"/>
  <c r="N57" i="33"/>
  <c r="N56" i="33"/>
  <c r="N55" i="33"/>
  <c r="N32" i="33" s="1"/>
  <c r="N54" i="33"/>
  <c r="N53" i="33"/>
  <c r="N52" i="33"/>
  <c r="N51" i="33"/>
  <c r="N50" i="33"/>
  <c r="N49" i="33"/>
  <c r="N48" i="33"/>
  <c r="N30" i="33" s="1"/>
  <c r="N47" i="33"/>
  <c r="N29" i="33" s="1"/>
  <c r="N46" i="33"/>
  <c r="N45" i="33"/>
  <c r="N44" i="33"/>
  <c r="N43" i="33"/>
  <c r="N42" i="33"/>
  <c r="N28" i="33" s="1"/>
  <c r="M80" i="37"/>
  <c r="M79" i="37"/>
  <c r="M78" i="37"/>
  <c r="M77" i="37"/>
  <c r="M76" i="37"/>
  <c r="M75" i="37"/>
  <c r="M74" i="37"/>
  <c r="M73" i="37"/>
  <c r="D73" i="37" s="1"/>
  <c r="M72" i="37"/>
  <c r="M71" i="37"/>
  <c r="D71" i="37" s="1"/>
  <c r="M70" i="37"/>
  <c r="M69" i="37"/>
  <c r="M68" i="37"/>
  <c r="M67" i="37"/>
  <c r="M66" i="37"/>
  <c r="M65" i="37"/>
  <c r="M64" i="37"/>
  <c r="M63" i="37"/>
  <c r="M62" i="37"/>
  <c r="M61" i="37"/>
  <c r="M60" i="37"/>
  <c r="D60" i="37" s="1"/>
  <c r="M59" i="37"/>
  <c r="M58" i="37"/>
  <c r="M57" i="37"/>
  <c r="M56" i="37"/>
  <c r="M55" i="37"/>
  <c r="M54" i="37"/>
  <c r="M53" i="37"/>
  <c r="M52" i="37"/>
  <c r="M51" i="37"/>
  <c r="M50" i="37"/>
  <c r="M49" i="37"/>
  <c r="M48" i="37"/>
  <c r="M47" i="37"/>
  <c r="M46" i="37"/>
  <c r="M45" i="37"/>
  <c r="M44" i="37"/>
  <c r="M43" i="37"/>
  <c r="M42" i="37"/>
  <c r="M37" i="37"/>
  <c r="M36" i="37"/>
  <c r="M35" i="37"/>
  <c r="M34" i="37"/>
  <c r="M33" i="37"/>
  <c r="M32" i="37"/>
  <c r="M31" i="37"/>
  <c r="M30" i="37"/>
  <c r="M29" i="37"/>
  <c r="M28" i="37"/>
  <c r="M80" i="36"/>
  <c r="M79" i="36"/>
  <c r="M78" i="36"/>
  <c r="M77" i="36"/>
  <c r="M76" i="36"/>
  <c r="M75" i="36"/>
  <c r="M74" i="36"/>
  <c r="M73" i="36"/>
  <c r="M72" i="36"/>
  <c r="D72" i="36" s="1"/>
  <c r="M71" i="36"/>
  <c r="M70" i="36"/>
  <c r="M69" i="36"/>
  <c r="M68" i="36"/>
  <c r="M67" i="36"/>
  <c r="M66" i="36"/>
  <c r="M65" i="36"/>
  <c r="M64" i="36"/>
  <c r="D64" i="36" s="1"/>
  <c r="M63" i="36"/>
  <c r="M62" i="36"/>
  <c r="M61" i="36"/>
  <c r="M60" i="36"/>
  <c r="D60" i="36" s="1"/>
  <c r="M59" i="36"/>
  <c r="M58" i="36"/>
  <c r="M57" i="36"/>
  <c r="M56" i="36"/>
  <c r="M55" i="36"/>
  <c r="M54" i="36"/>
  <c r="M53" i="36"/>
  <c r="M52" i="36"/>
  <c r="M51" i="36"/>
  <c r="M50" i="36"/>
  <c r="M49" i="36"/>
  <c r="M48" i="36"/>
  <c r="M47" i="36"/>
  <c r="D47" i="36" s="1"/>
  <c r="M46" i="36"/>
  <c r="M45" i="36"/>
  <c r="M44" i="36"/>
  <c r="M43" i="36"/>
  <c r="M42" i="36"/>
  <c r="M37" i="36"/>
  <c r="M36" i="36"/>
  <c r="M35" i="36"/>
  <c r="M34" i="36"/>
  <c r="M33" i="36"/>
  <c r="M32" i="36"/>
  <c r="M31" i="36"/>
  <c r="M30" i="36"/>
  <c r="M29" i="36"/>
  <c r="M28" i="36"/>
  <c r="M80" i="35"/>
  <c r="M79" i="35"/>
  <c r="M78" i="35"/>
  <c r="M77" i="35"/>
  <c r="M76" i="35"/>
  <c r="M75" i="35"/>
  <c r="M74" i="35"/>
  <c r="M73" i="35"/>
  <c r="M72" i="35"/>
  <c r="M71" i="35"/>
  <c r="M70" i="35"/>
  <c r="M69" i="35"/>
  <c r="M68" i="35"/>
  <c r="M67" i="35"/>
  <c r="M66" i="35"/>
  <c r="M65" i="35"/>
  <c r="M64" i="35"/>
  <c r="M63" i="35"/>
  <c r="M62" i="35"/>
  <c r="M61" i="35"/>
  <c r="M60" i="35"/>
  <c r="M59" i="35"/>
  <c r="M58" i="35"/>
  <c r="M57" i="35"/>
  <c r="M56" i="35"/>
  <c r="M55" i="35"/>
  <c r="M54" i="35"/>
  <c r="M53" i="35"/>
  <c r="M52" i="35"/>
  <c r="M51" i="35"/>
  <c r="M50" i="35"/>
  <c r="M49" i="35"/>
  <c r="M48" i="35"/>
  <c r="M47" i="35"/>
  <c r="M46" i="35"/>
  <c r="M45" i="35"/>
  <c r="M44" i="35"/>
  <c r="M43" i="35"/>
  <c r="M42" i="35"/>
  <c r="M37" i="35"/>
  <c r="M36" i="35"/>
  <c r="M35" i="35"/>
  <c r="M34" i="35"/>
  <c r="M33" i="35"/>
  <c r="M32" i="35"/>
  <c r="M31" i="35"/>
  <c r="M30" i="35"/>
  <c r="M29" i="35"/>
  <c r="M28" i="35"/>
  <c r="M80" i="34"/>
  <c r="M79" i="34"/>
  <c r="M78" i="34"/>
  <c r="M77" i="34"/>
  <c r="M76" i="34"/>
  <c r="M75" i="34"/>
  <c r="M37" i="34" s="1"/>
  <c r="M74" i="34"/>
  <c r="M73" i="34"/>
  <c r="M72" i="34"/>
  <c r="M36" i="34" s="1"/>
  <c r="M71" i="34"/>
  <c r="M70" i="34"/>
  <c r="M69" i="34"/>
  <c r="M68" i="34"/>
  <c r="M35" i="34" s="1"/>
  <c r="M67" i="34"/>
  <c r="M66" i="34"/>
  <c r="M34" i="34" s="1"/>
  <c r="M65" i="34"/>
  <c r="M64" i="34"/>
  <c r="M63" i="34"/>
  <c r="M62" i="34"/>
  <c r="M61" i="34"/>
  <c r="M60" i="34"/>
  <c r="M59" i="34"/>
  <c r="M33" i="34" s="1"/>
  <c r="M58" i="34"/>
  <c r="M57" i="34"/>
  <c r="M56" i="34"/>
  <c r="M55" i="34"/>
  <c r="M32" i="34" s="1"/>
  <c r="M54" i="34"/>
  <c r="M53" i="34"/>
  <c r="M52" i="34"/>
  <c r="M51" i="34"/>
  <c r="M50" i="34"/>
  <c r="M49" i="34"/>
  <c r="M31" i="34" s="1"/>
  <c r="M48" i="34"/>
  <c r="M30" i="34" s="1"/>
  <c r="M47" i="34"/>
  <c r="M29" i="34" s="1"/>
  <c r="M46" i="34"/>
  <c r="M45" i="34"/>
  <c r="M44" i="34"/>
  <c r="M43" i="34"/>
  <c r="M42" i="34"/>
  <c r="M28" i="34" s="1"/>
  <c r="M80" i="33"/>
  <c r="D80" i="33" s="1"/>
  <c r="C43" i="32" s="1"/>
  <c r="M79" i="33"/>
  <c r="M78" i="33"/>
  <c r="M77" i="33"/>
  <c r="M76" i="33"/>
  <c r="M75" i="33"/>
  <c r="M37" i="33" s="1"/>
  <c r="M74" i="33"/>
  <c r="M73" i="33"/>
  <c r="D73" i="33" s="1"/>
  <c r="C36" i="32" s="1"/>
  <c r="M72" i="33"/>
  <c r="M36" i="33" s="1"/>
  <c r="M71" i="33"/>
  <c r="M70" i="33"/>
  <c r="M69" i="33"/>
  <c r="M68" i="33"/>
  <c r="M35" i="33" s="1"/>
  <c r="M67" i="33"/>
  <c r="M66" i="33"/>
  <c r="M34" i="33" s="1"/>
  <c r="M65" i="33"/>
  <c r="M64" i="33"/>
  <c r="M63" i="33"/>
  <c r="M62" i="33"/>
  <c r="M61" i="33"/>
  <c r="M60" i="33"/>
  <c r="M59" i="33"/>
  <c r="M58" i="33"/>
  <c r="M57" i="33"/>
  <c r="M56" i="33"/>
  <c r="M55" i="33"/>
  <c r="M32" i="33" s="1"/>
  <c r="M54" i="33"/>
  <c r="M53" i="33"/>
  <c r="M52" i="33"/>
  <c r="M51" i="33"/>
  <c r="M50" i="33"/>
  <c r="M49" i="33"/>
  <c r="M31" i="33" s="1"/>
  <c r="M48" i="33"/>
  <c r="M30" i="33" s="1"/>
  <c r="M47" i="33"/>
  <c r="M29" i="33" s="1"/>
  <c r="M46" i="33"/>
  <c r="M45" i="33"/>
  <c r="M44" i="33"/>
  <c r="M43" i="33"/>
  <c r="M42" i="33"/>
  <c r="M28" i="33" s="1"/>
  <c r="N89" i="40"/>
  <c r="H89" i="40"/>
  <c r="E89" i="40"/>
  <c r="C89" i="40"/>
  <c r="N88" i="40"/>
  <c r="H88" i="40"/>
  <c r="F88" i="40"/>
  <c r="G88" i="40" s="1"/>
  <c r="E88" i="40"/>
  <c r="C88" i="40"/>
  <c r="N87" i="40"/>
  <c r="H87" i="40"/>
  <c r="E87" i="40"/>
  <c r="C87" i="40"/>
  <c r="O86" i="40"/>
  <c r="N86" i="40"/>
  <c r="I86" i="40"/>
  <c r="H86" i="40"/>
  <c r="E86" i="40"/>
  <c r="C86" i="40"/>
  <c r="N85" i="40"/>
  <c r="H85" i="40"/>
  <c r="E85" i="40"/>
  <c r="C85" i="40"/>
  <c r="N84" i="40"/>
  <c r="H84" i="40"/>
  <c r="F84" i="40"/>
  <c r="G84" i="40" s="1"/>
  <c r="E84" i="40"/>
  <c r="C84" i="40"/>
  <c r="N83" i="40"/>
  <c r="I83" i="40"/>
  <c r="J83" i="40" s="1"/>
  <c r="H83" i="40"/>
  <c r="E83" i="40"/>
  <c r="C83" i="40"/>
  <c r="O82" i="40"/>
  <c r="P82" i="40" s="1"/>
  <c r="N82" i="40"/>
  <c r="H82" i="40"/>
  <c r="G82" i="40"/>
  <c r="E82" i="40"/>
  <c r="C82" i="40"/>
  <c r="O81" i="40"/>
  <c r="P81" i="40" s="1"/>
  <c r="N81" i="40"/>
  <c r="K81" i="40"/>
  <c r="H81" i="40"/>
  <c r="E81" i="40"/>
  <c r="C81" i="40"/>
  <c r="N80" i="40"/>
  <c r="I80" i="40"/>
  <c r="J80" i="40" s="1"/>
  <c r="H80" i="40"/>
  <c r="E80" i="40"/>
  <c r="C80" i="40"/>
  <c r="N75" i="40"/>
  <c r="H75" i="40"/>
  <c r="E75" i="40"/>
  <c r="C75" i="40"/>
  <c r="P74" i="40"/>
  <c r="O74" i="40"/>
  <c r="M74" i="40"/>
  <c r="J74" i="40"/>
  <c r="I74" i="40"/>
  <c r="G74" i="40"/>
  <c r="F74" i="40"/>
  <c r="P73" i="40"/>
  <c r="O73" i="40"/>
  <c r="J73" i="40"/>
  <c r="I73" i="40"/>
  <c r="G73" i="40"/>
  <c r="F73" i="40"/>
  <c r="P72" i="40"/>
  <c r="O72" i="40"/>
  <c r="M72" i="40"/>
  <c r="J72" i="40"/>
  <c r="I72" i="40"/>
  <c r="G72" i="40"/>
  <c r="F72" i="40"/>
  <c r="P71" i="40"/>
  <c r="O71" i="40"/>
  <c r="M71" i="40"/>
  <c r="J71" i="40"/>
  <c r="I71" i="40"/>
  <c r="G71" i="40"/>
  <c r="F71" i="40"/>
  <c r="P70" i="40"/>
  <c r="O70" i="40"/>
  <c r="O89" i="40" s="1"/>
  <c r="P89" i="40" s="1"/>
  <c r="M70" i="40"/>
  <c r="L70" i="40"/>
  <c r="J70" i="40"/>
  <c r="I70" i="40"/>
  <c r="G70" i="40"/>
  <c r="F70" i="40"/>
  <c r="F89" i="40" s="1"/>
  <c r="G89" i="40" s="1"/>
  <c r="P69" i="40"/>
  <c r="O69" i="40"/>
  <c r="J69" i="40"/>
  <c r="I69" i="40"/>
  <c r="G69" i="40"/>
  <c r="F69" i="40"/>
  <c r="P68" i="40"/>
  <c r="O68" i="40"/>
  <c r="L68" i="40"/>
  <c r="M68" i="40"/>
  <c r="J68" i="40"/>
  <c r="I68" i="40"/>
  <c r="G68" i="40"/>
  <c r="F68" i="40"/>
  <c r="P67" i="40"/>
  <c r="O67" i="40"/>
  <c r="M67" i="40"/>
  <c r="L67" i="40"/>
  <c r="J67" i="40"/>
  <c r="I67" i="40"/>
  <c r="G67" i="40"/>
  <c r="F67" i="40"/>
  <c r="P66" i="40"/>
  <c r="O66" i="40"/>
  <c r="J66" i="40"/>
  <c r="I66" i="40"/>
  <c r="I88" i="40" s="1"/>
  <c r="J88" i="40" s="1"/>
  <c r="G66" i="40"/>
  <c r="F66" i="40"/>
  <c r="P65" i="40"/>
  <c r="O65" i="40"/>
  <c r="J65" i="40"/>
  <c r="I65" i="40"/>
  <c r="G65" i="40"/>
  <c r="F65" i="40"/>
  <c r="P64" i="40"/>
  <c r="O64" i="40"/>
  <c r="M64" i="40"/>
  <c r="L64" i="40"/>
  <c r="J64" i="40"/>
  <c r="I64" i="40"/>
  <c r="G64" i="40"/>
  <c r="F64" i="40"/>
  <c r="P63" i="40"/>
  <c r="O63" i="40"/>
  <c r="O87" i="40" s="1"/>
  <c r="P87" i="40" s="1"/>
  <c r="L63" i="40"/>
  <c r="M63" i="40"/>
  <c r="J63" i="40"/>
  <c r="I63" i="40"/>
  <c r="G63" i="40"/>
  <c r="F63" i="40"/>
  <c r="P62" i="40"/>
  <c r="O62" i="40"/>
  <c r="J62" i="40"/>
  <c r="I62" i="40"/>
  <c r="I87" i="40" s="1"/>
  <c r="J87" i="40" s="1"/>
  <c r="G62" i="40"/>
  <c r="F62" i="40"/>
  <c r="P61" i="40"/>
  <c r="O61" i="40"/>
  <c r="J61" i="40"/>
  <c r="I61" i="40"/>
  <c r="G61" i="40"/>
  <c r="F61" i="40"/>
  <c r="P60" i="40"/>
  <c r="O60" i="40"/>
  <c r="M60" i="40"/>
  <c r="L60" i="40"/>
  <c r="J60" i="40"/>
  <c r="I60" i="40"/>
  <c r="G60" i="40"/>
  <c r="F60" i="40"/>
  <c r="F86" i="40" s="1"/>
  <c r="P59" i="40"/>
  <c r="O59" i="40"/>
  <c r="M59" i="40"/>
  <c r="L59" i="40"/>
  <c r="J59" i="40"/>
  <c r="I59" i="40"/>
  <c r="G59" i="40"/>
  <c r="F59" i="40"/>
  <c r="P58" i="40"/>
  <c r="O58" i="40"/>
  <c r="M58" i="40"/>
  <c r="L58" i="40"/>
  <c r="J58" i="40"/>
  <c r="I58" i="40"/>
  <c r="G58" i="40"/>
  <c r="F58" i="40"/>
  <c r="P57" i="40"/>
  <c r="O57" i="40"/>
  <c r="J57" i="40"/>
  <c r="I57" i="40"/>
  <c r="G57" i="40"/>
  <c r="F57" i="40"/>
  <c r="P56" i="40"/>
  <c r="O56" i="40"/>
  <c r="M56" i="40"/>
  <c r="L56" i="40"/>
  <c r="J56" i="40"/>
  <c r="I56" i="40"/>
  <c r="G56" i="40"/>
  <c r="F56" i="40"/>
  <c r="P55" i="40"/>
  <c r="O55" i="40"/>
  <c r="M55" i="40"/>
  <c r="J55" i="40"/>
  <c r="I55" i="40"/>
  <c r="G55" i="40"/>
  <c r="F55" i="40"/>
  <c r="P54" i="40"/>
  <c r="O54" i="40"/>
  <c r="J54" i="40"/>
  <c r="I54" i="40"/>
  <c r="G54" i="40"/>
  <c r="F54" i="40"/>
  <c r="P53" i="40"/>
  <c r="O53" i="40"/>
  <c r="O85" i="40" s="1"/>
  <c r="P85" i="40" s="1"/>
  <c r="J53" i="40"/>
  <c r="I53" i="40"/>
  <c r="G53" i="40"/>
  <c r="F53" i="40"/>
  <c r="P52" i="40"/>
  <c r="O52" i="40"/>
  <c r="M52" i="40"/>
  <c r="L52" i="40"/>
  <c r="J52" i="40"/>
  <c r="I52" i="40"/>
  <c r="G52" i="40"/>
  <c r="F52" i="40"/>
  <c r="P51" i="40"/>
  <c r="O51" i="40"/>
  <c r="M51" i="40"/>
  <c r="L51" i="40"/>
  <c r="J51" i="40"/>
  <c r="I51" i="40"/>
  <c r="G51" i="40"/>
  <c r="F51" i="40"/>
  <c r="P50" i="40"/>
  <c r="O50" i="40"/>
  <c r="M50" i="40"/>
  <c r="J50" i="40"/>
  <c r="I50" i="40"/>
  <c r="G50" i="40"/>
  <c r="F50" i="40"/>
  <c r="P49" i="40"/>
  <c r="O49" i="40"/>
  <c r="J49" i="40"/>
  <c r="I49" i="40"/>
  <c r="G49" i="40"/>
  <c r="F49" i="40"/>
  <c r="P48" i="40"/>
  <c r="O48" i="40"/>
  <c r="L48" i="40"/>
  <c r="M48" i="40"/>
  <c r="J48" i="40"/>
  <c r="I48" i="40"/>
  <c r="G48" i="40"/>
  <c r="F48" i="40"/>
  <c r="P47" i="40"/>
  <c r="O47" i="40"/>
  <c r="M47" i="40"/>
  <c r="J47" i="40"/>
  <c r="I47" i="40"/>
  <c r="G47" i="40"/>
  <c r="F47" i="40"/>
  <c r="P46" i="40"/>
  <c r="O46" i="40"/>
  <c r="M46" i="40"/>
  <c r="J46" i="40"/>
  <c r="I46" i="40"/>
  <c r="G46" i="40"/>
  <c r="F46" i="40"/>
  <c r="F78" i="40" s="1"/>
  <c r="P45" i="40"/>
  <c r="O45" i="40"/>
  <c r="K83" i="40"/>
  <c r="J45" i="40"/>
  <c r="I45" i="40"/>
  <c r="G45" i="40"/>
  <c r="F45" i="40"/>
  <c r="P44" i="40"/>
  <c r="O44" i="40"/>
  <c r="M44" i="40"/>
  <c r="L44" i="40"/>
  <c r="J44" i="40"/>
  <c r="I44" i="40"/>
  <c r="F44" i="40"/>
  <c r="P43" i="40"/>
  <c r="O43" i="40"/>
  <c r="O83" i="40" s="1"/>
  <c r="P83" i="40" s="1"/>
  <c r="L43" i="40"/>
  <c r="J43" i="40"/>
  <c r="I43" i="40"/>
  <c r="G43" i="40"/>
  <c r="F43" i="40"/>
  <c r="P42" i="40"/>
  <c r="O42" i="40"/>
  <c r="K82" i="40"/>
  <c r="J42" i="40"/>
  <c r="I42" i="40"/>
  <c r="I82" i="40" s="1"/>
  <c r="J82" i="40" s="1"/>
  <c r="G42" i="40"/>
  <c r="F42" i="40"/>
  <c r="F82" i="40" s="1"/>
  <c r="P41" i="40"/>
  <c r="O41" i="40"/>
  <c r="L41" i="40"/>
  <c r="J41" i="40"/>
  <c r="I41" i="40"/>
  <c r="F41" i="40"/>
  <c r="P40" i="40"/>
  <c r="O40" i="40"/>
  <c r="M40" i="40"/>
  <c r="L40" i="40"/>
  <c r="L81" i="40" s="1"/>
  <c r="M81" i="40" s="1"/>
  <c r="J40" i="40"/>
  <c r="I40" i="40"/>
  <c r="I81" i="40" s="1"/>
  <c r="J81" i="40" s="1"/>
  <c r="G40" i="40"/>
  <c r="F40" i="40"/>
  <c r="F81" i="40" s="1"/>
  <c r="G81" i="40" s="1"/>
  <c r="P39" i="40"/>
  <c r="O39" i="40"/>
  <c r="M39" i="40"/>
  <c r="J39" i="40"/>
  <c r="I39" i="40"/>
  <c r="G39" i="40"/>
  <c r="F39" i="40"/>
  <c r="P38" i="40"/>
  <c r="O38" i="40"/>
  <c r="J38" i="40"/>
  <c r="I38" i="40"/>
  <c r="G38" i="40"/>
  <c r="F38" i="40"/>
  <c r="P37" i="40"/>
  <c r="O37" i="40"/>
  <c r="M37" i="40"/>
  <c r="L37" i="40"/>
  <c r="J37" i="40"/>
  <c r="I37" i="40"/>
  <c r="G37" i="40"/>
  <c r="F37" i="40"/>
  <c r="P36" i="40"/>
  <c r="O36" i="40"/>
  <c r="L36" i="40"/>
  <c r="M36" i="40"/>
  <c r="J36" i="40"/>
  <c r="I36" i="40"/>
  <c r="G36" i="40"/>
  <c r="F36" i="40"/>
  <c r="P35" i="40"/>
  <c r="O35" i="40"/>
  <c r="J35" i="40"/>
  <c r="I35" i="40"/>
  <c r="G35" i="40"/>
  <c r="F35" i="40"/>
  <c r="Z89" i="39"/>
  <c r="R37" i="36" s="1"/>
  <c r="F37" i="36" s="1"/>
  <c r="T89" i="39"/>
  <c r="Q89" i="39"/>
  <c r="N89" i="39"/>
  <c r="K89" i="39"/>
  <c r="H89" i="39"/>
  <c r="E89" i="39"/>
  <c r="C89" i="39"/>
  <c r="N37" i="37" s="1"/>
  <c r="AA88" i="39"/>
  <c r="Z88" i="39"/>
  <c r="R36" i="37" s="1"/>
  <c r="U88" i="39"/>
  <c r="V88" i="39" s="1"/>
  <c r="T88" i="39"/>
  <c r="Q88" i="39"/>
  <c r="N88" i="39"/>
  <c r="K88" i="39"/>
  <c r="H88" i="39"/>
  <c r="E88" i="39"/>
  <c r="C88" i="39"/>
  <c r="N36" i="36" s="1"/>
  <c r="Z87" i="39"/>
  <c r="R35" i="36" s="1"/>
  <c r="T87" i="39"/>
  <c r="Q87" i="39"/>
  <c r="O87" i="39"/>
  <c r="P87" i="39" s="1"/>
  <c r="N87" i="39"/>
  <c r="K87" i="39"/>
  <c r="H87" i="39"/>
  <c r="E87" i="39"/>
  <c r="C87" i="39"/>
  <c r="N35" i="37" s="1"/>
  <c r="Z86" i="39"/>
  <c r="R34" i="37" s="1"/>
  <c r="T86" i="39"/>
  <c r="Q86" i="39"/>
  <c r="N86" i="39"/>
  <c r="K86" i="39"/>
  <c r="H86" i="39"/>
  <c r="E86" i="39"/>
  <c r="C86" i="39"/>
  <c r="N34" i="37" s="1"/>
  <c r="Z85" i="39"/>
  <c r="R33" i="36" s="1"/>
  <c r="F33" i="36" s="1"/>
  <c r="T85" i="39"/>
  <c r="Q85" i="39"/>
  <c r="N85" i="39"/>
  <c r="K85" i="39"/>
  <c r="H85" i="39"/>
  <c r="E85" i="39"/>
  <c r="C85" i="39"/>
  <c r="N33" i="36" s="1"/>
  <c r="Z84" i="39"/>
  <c r="R32" i="37" s="1"/>
  <c r="F32" i="37" s="1"/>
  <c r="T84" i="39"/>
  <c r="Q84" i="39"/>
  <c r="N84" i="39"/>
  <c r="K84" i="39"/>
  <c r="H84" i="39"/>
  <c r="E84" i="39"/>
  <c r="C84" i="39"/>
  <c r="N32" i="37" s="1"/>
  <c r="Z83" i="39"/>
  <c r="R31" i="36" s="1"/>
  <c r="T83" i="39"/>
  <c r="Q83" i="39"/>
  <c r="N83" i="39"/>
  <c r="K83" i="39"/>
  <c r="H83" i="39"/>
  <c r="E83" i="39"/>
  <c r="C83" i="39"/>
  <c r="N31" i="36" s="1"/>
  <c r="Z82" i="39"/>
  <c r="R30" i="36" s="1"/>
  <c r="T82" i="39"/>
  <c r="Q82" i="39"/>
  <c r="N82" i="39"/>
  <c r="K82" i="39"/>
  <c r="H82" i="39"/>
  <c r="E82" i="39"/>
  <c r="C82" i="39"/>
  <c r="N30" i="37" s="1"/>
  <c r="Z81" i="39"/>
  <c r="R29" i="37" s="1"/>
  <c r="W81" i="39"/>
  <c r="T81" i="39"/>
  <c r="Q81" i="39"/>
  <c r="N81" i="39"/>
  <c r="K81" i="39"/>
  <c r="H81" i="39"/>
  <c r="E81" i="39"/>
  <c r="C81" i="39"/>
  <c r="N29" i="36" s="1"/>
  <c r="Z80" i="39"/>
  <c r="R28" i="36" s="1"/>
  <c r="T80" i="39"/>
  <c r="Q80" i="39"/>
  <c r="N80" i="39"/>
  <c r="K80" i="39"/>
  <c r="H80" i="39"/>
  <c r="E80" i="39"/>
  <c r="C80" i="39"/>
  <c r="N28" i="36" s="1"/>
  <c r="Z75" i="39"/>
  <c r="T75" i="39"/>
  <c r="Q75" i="39"/>
  <c r="N75" i="39"/>
  <c r="K75" i="39"/>
  <c r="H75" i="39"/>
  <c r="E75" i="39"/>
  <c r="C75" i="39"/>
  <c r="AB74" i="39"/>
  <c r="AA74" i="39"/>
  <c r="Y74" i="39"/>
  <c r="X74" i="39"/>
  <c r="V74" i="39"/>
  <c r="U74" i="39"/>
  <c r="S74" i="39"/>
  <c r="R74" i="39"/>
  <c r="P74" i="39"/>
  <c r="O74" i="39"/>
  <c r="M74" i="39"/>
  <c r="L74" i="39"/>
  <c r="J74" i="39"/>
  <c r="I74" i="39"/>
  <c r="G74" i="39"/>
  <c r="F74" i="39"/>
  <c r="AB73" i="39"/>
  <c r="AA73" i="39"/>
  <c r="V73" i="39"/>
  <c r="U73" i="39"/>
  <c r="S73" i="39"/>
  <c r="R73" i="39"/>
  <c r="P73" i="39"/>
  <c r="O73" i="39"/>
  <c r="M73" i="39"/>
  <c r="L73" i="39"/>
  <c r="J73" i="39"/>
  <c r="I73" i="39"/>
  <c r="G73" i="39"/>
  <c r="F73" i="39"/>
  <c r="AB72" i="39"/>
  <c r="AA72" i="39"/>
  <c r="Y72" i="39"/>
  <c r="V72" i="39"/>
  <c r="U72" i="39"/>
  <c r="S72" i="39"/>
  <c r="R72" i="39"/>
  <c r="P72" i="39"/>
  <c r="O72" i="39"/>
  <c r="M72" i="39"/>
  <c r="L72" i="39"/>
  <c r="J72" i="39"/>
  <c r="I72" i="39"/>
  <c r="G72" i="39"/>
  <c r="F72" i="39"/>
  <c r="AB71" i="39"/>
  <c r="AA71" i="39"/>
  <c r="Y71" i="39"/>
  <c r="X71" i="39"/>
  <c r="V71" i="39"/>
  <c r="U71" i="39"/>
  <c r="S71" i="39"/>
  <c r="R71" i="39"/>
  <c r="P71" i="39"/>
  <c r="O71" i="39"/>
  <c r="M71" i="39"/>
  <c r="L71" i="39"/>
  <c r="J71" i="39"/>
  <c r="I71" i="39"/>
  <c r="G71" i="39"/>
  <c r="F71" i="39"/>
  <c r="AB70" i="39"/>
  <c r="AA70" i="39"/>
  <c r="Y70" i="39"/>
  <c r="V70" i="39"/>
  <c r="U70" i="39"/>
  <c r="S70" i="39"/>
  <c r="R70" i="39"/>
  <c r="P70" i="39"/>
  <c r="O70" i="39"/>
  <c r="M70" i="39"/>
  <c r="L70" i="39"/>
  <c r="J70" i="39"/>
  <c r="I70" i="39"/>
  <c r="G70" i="39"/>
  <c r="F70" i="39"/>
  <c r="AB69" i="39"/>
  <c r="AA69" i="39"/>
  <c r="Y69" i="39"/>
  <c r="X69" i="39"/>
  <c r="V69" i="39"/>
  <c r="U69" i="39"/>
  <c r="S69" i="39"/>
  <c r="R69" i="39"/>
  <c r="P69" i="39"/>
  <c r="O69" i="39"/>
  <c r="M69" i="39"/>
  <c r="L69" i="39"/>
  <c r="J69" i="39"/>
  <c r="I69" i="39"/>
  <c r="G69" i="39"/>
  <c r="F69" i="39"/>
  <c r="AB68" i="39"/>
  <c r="AA68" i="39"/>
  <c r="Y68" i="39"/>
  <c r="X68" i="39"/>
  <c r="V68" i="39"/>
  <c r="U68" i="39"/>
  <c r="S68" i="39"/>
  <c r="R68" i="39"/>
  <c r="P68" i="39"/>
  <c r="O68" i="39"/>
  <c r="M68" i="39"/>
  <c r="L68" i="39"/>
  <c r="J68" i="39"/>
  <c r="I68" i="39"/>
  <c r="G68" i="39"/>
  <c r="F68" i="39"/>
  <c r="AB67" i="39"/>
  <c r="AA67" i="39"/>
  <c r="Y67" i="39"/>
  <c r="X67" i="39"/>
  <c r="V67" i="39"/>
  <c r="U67" i="39"/>
  <c r="S67" i="39"/>
  <c r="R67" i="39"/>
  <c r="P67" i="39"/>
  <c r="O67" i="39"/>
  <c r="M67" i="39"/>
  <c r="L67" i="39"/>
  <c r="J67" i="39"/>
  <c r="I67" i="39"/>
  <c r="G67" i="39"/>
  <c r="F67" i="39"/>
  <c r="AB66" i="39"/>
  <c r="AA66" i="39"/>
  <c r="Y66" i="39"/>
  <c r="X66" i="39"/>
  <c r="V66" i="39"/>
  <c r="U66" i="39"/>
  <c r="S66" i="39"/>
  <c r="R66" i="39"/>
  <c r="R88" i="39" s="1"/>
  <c r="S88" i="39" s="1"/>
  <c r="P66" i="39"/>
  <c r="O66" i="39"/>
  <c r="O88" i="39" s="1"/>
  <c r="M66" i="39"/>
  <c r="L66" i="39"/>
  <c r="J66" i="39"/>
  <c r="I66" i="39"/>
  <c r="I88" i="39" s="1"/>
  <c r="J88" i="39" s="1"/>
  <c r="G66" i="39"/>
  <c r="F66" i="39"/>
  <c r="AB65" i="39"/>
  <c r="AA65" i="39"/>
  <c r="V65" i="39"/>
  <c r="U65" i="39"/>
  <c r="S65" i="39"/>
  <c r="R65" i="39"/>
  <c r="P65" i="39"/>
  <c r="O65" i="39"/>
  <c r="M65" i="39"/>
  <c r="L65" i="39"/>
  <c r="J65" i="39"/>
  <c r="I65" i="39"/>
  <c r="G65" i="39"/>
  <c r="F65" i="39"/>
  <c r="AB64" i="39"/>
  <c r="AA64" i="39"/>
  <c r="AA87" i="39" s="1"/>
  <c r="AB87" i="39" s="1"/>
  <c r="Y64" i="39"/>
  <c r="X64" i="39"/>
  <c r="V64" i="39"/>
  <c r="U64" i="39"/>
  <c r="S64" i="39"/>
  <c r="R64" i="39"/>
  <c r="P64" i="39"/>
  <c r="O64" i="39"/>
  <c r="M64" i="39"/>
  <c r="L64" i="39"/>
  <c r="J64" i="39"/>
  <c r="I64" i="39"/>
  <c r="G64" i="39"/>
  <c r="F64" i="39"/>
  <c r="AB63" i="39"/>
  <c r="AA63" i="39"/>
  <c r="Y63" i="39"/>
  <c r="X63" i="39"/>
  <c r="V63" i="39"/>
  <c r="U63" i="39"/>
  <c r="S63" i="39"/>
  <c r="R63" i="39"/>
  <c r="P63" i="39"/>
  <c r="O63" i="39"/>
  <c r="M63" i="39"/>
  <c r="L63" i="39"/>
  <c r="J63" i="39"/>
  <c r="I63" i="39"/>
  <c r="G63" i="39"/>
  <c r="F63" i="39"/>
  <c r="AB62" i="39"/>
  <c r="AA62" i="39"/>
  <c r="X62" i="39"/>
  <c r="V62" i="39"/>
  <c r="U62" i="39"/>
  <c r="S62" i="39"/>
  <c r="R62" i="39"/>
  <c r="P62" i="39"/>
  <c r="O62" i="39"/>
  <c r="M62" i="39"/>
  <c r="L62" i="39"/>
  <c r="J62" i="39"/>
  <c r="I62" i="39"/>
  <c r="I87" i="39" s="1"/>
  <c r="J87" i="39" s="1"/>
  <c r="G62" i="39"/>
  <c r="F62" i="39"/>
  <c r="AB61" i="39"/>
  <c r="AA61" i="39"/>
  <c r="X61" i="39"/>
  <c r="Y61" i="39"/>
  <c r="V61" i="39"/>
  <c r="U61" i="39"/>
  <c r="S61" i="39"/>
  <c r="R61" i="39"/>
  <c r="P61" i="39"/>
  <c r="O61" i="39"/>
  <c r="M61" i="39"/>
  <c r="L61" i="39"/>
  <c r="J61" i="39"/>
  <c r="I61" i="39"/>
  <c r="G61" i="39"/>
  <c r="F61" i="39"/>
  <c r="AB60" i="39"/>
  <c r="AA60" i="39"/>
  <c r="X60" i="39"/>
  <c r="Y60" i="39"/>
  <c r="V60" i="39"/>
  <c r="U60" i="39"/>
  <c r="S60" i="39"/>
  <c r="R60" i="39"/>
  <c r="R86" i="39" s="1"/>
  <c r="S86" i="39" s="1"/>
  <c r="P60" i="39"/>
  <c r="O60" i="39"/>
  <c r="O86" i="39" s="1"/>
  <c r="P86" i="39" s="1"/>
  <c r="M60" i="39"/>
  <c r="L60" i="39"/>
  <c r="L86" i="39" s="1"/>
  <c r="M86" i="39" s="1"/>
  <c r="J60" i="39"/>
  <c r="I60" i="39"/>
  <c r="I86" i="39" s="1"/>
  <c r="J86" i="39" s="1"/>
  <c r="G60" i="39"/>
  <c r="F60" i="39"/>
  <c r="AB59" i="39"/>
  <c r="AA59" i="39"/>
  <c r="Y59" i="39"/>
  <c r="X59" i="39"/>
  <c r="V59" i="39"/>
  <c r="U59" i="39"/>
  <c r="S59" i="39"/>
  <c r="R59" i="39"/>
  <c r="P59" i="39"/>
  <c r="O59" i="39"/>
  <c r="M59" i="39"/>
  <c r="L59" i="39"/>
  <c r="J59" i="39"/>
  <c r="I59" i="39"/>
  <c r="G59" i="39"/>
  <c r="F59" i="39"/>
  <c r="AB58" i="39"/>
  <c r="AA58" i="39"/>
  <c r="Y58" i="39"/>
  <c r="V58" i="39"/>
  <c r="U58" i="39"/>
  <c r="S58" i="39"/>
  <c r="R58" i="39"/>
  <c r="P58" i="39"/>
  <c r="O58" i="39"/>
  <c r="M58" i="39"/>
  <c r="L58" i="39"/>
  <c r="J58" i="39"/>
  <c r="I58" i="39"/>
  <c r="F58" i="39"/>
  <c r="AB57" i="39"/>
  <c r="AA57" i="39"/>
  <c r="Y57" i="39"/>
  <c r="X57" i="39"/>
  <c r="V57" i="39"/>
  <c r="U57" i="39"/>
  <c r="S57" i="39"/>
  <c r="R57" i="39"/>
  <c r="P57" i="39"/>
  <c r="O57" i="39"/>
  <c r="M57" i="39"/>
  <c r="L57" i="39"/>
  <c r="J57" i="39"/>
  <c r="I57" i="39"/>
  <c r="G57" i="39"/>
  <c r="F57" i="39"/>
  <c r="AB56" i="39"/>
  <c r="AA56" i="39"/>
  <c r="X56" i="39"/>
  <c r="Y56" i="39"/>
  <c r="V56" i="39"/>
  <c r="U56" i="39"/>
  <c r="S56" i="39"/>
  <c r="R56" i="39"/>
  <c r="P56" i="39"/>
  <c r="O56" i="39"/>
  <c r="M56" i="39"/>
  <c r="L56" i="39"/>
  <c r="J56" i="39"/>
  <c r="I56" i="39"/>
  <c r="G56" i="39"/>
  <c r="F56" i="39"/>
  <c r="AB55" i="39"/>
  <c r="AA55" i="39"/>
  <c r="Y55" i="39"/>
  <c r="V55" i="39"/>
  <c r="U55" i="39"/>
  <c r="S55" i="39"/>
  <c r="R55" i="39"/>
  <c r="P55" i="39"/>
  <c r="O55" i="39"/>
  <c r="M55" i="39"/>
  <c r="L55" i="39"/>
  <c r="J55" i="39"/>
  <c r="I55" i="39"/>
  <c r="G55" i="39"/>
  <c r="F55" i="39"/>
  <c r="AB54" i="39"/>
  <c r="AA54" i="39"/>
  <c r="Y54" i="39"/>
  <c r="X54" i="39"/>
  <c r="V54" i="39"/>
  <c r="U54" i="39"/>
  <c r="S54" i="39"/>
  <c r="R54" i="39"/>
  <c r="P54" i="39"/>
  <c r="O54" i="39"/>
  <c r="M54" i="39"/>
  <c r="L54" i="39"/>
  <c r="J54" i="39"/>
  <c r="I54" i="39"/>
  <c r="G54" i="39"/>
  <c r="F54" i="39"/>
  <c r="AB53" i="39"/>
  <c r="AA53" i="39"/>
  <c r="Y53" i="39"/>
  <c r="V53" i="39"/>
  <c r="U53" i="39"/>
  <c r="S53" i="39"/>
  <c r="R53" i="39"/>
  <c r="P53" i="39"/>
  <c r="O53" i="39"/>
  <c r="M53" i="39"/>
  <c r="L53" i="39"/>
  <c r="L85" i="39" s="1"/>
  <c r="M85" i="39" s="1"/>
  <c r="J53" i="39"/>
  <c r="I53" i="39"/>
  <c r="G53" i="39"/>
  <c r="F53" i="39"/>
  <c r="AB52" i="39"/>
  <c r="AA52" i="39"/>
  <c r="Y52" i="39"/>
  <c r="X52" i="39"/>
  <c r="V52" i="39"/>
  <c r="U52" i="39"/>
  <c r="S52" i="39"/>
  <c r="R52" i="39"/>
  <c r="P52" i="39"/>
  <c r="O52" i="39"/>
  <c r="M52" i="39"/>
  <c r="L52" i="39"/>
  <c r="J52" i="39"/>
  <c r="I52" i="39"/>
  <c r="G52" i="39"/>
  <c r="F52" i="39"/>
  <c r="AB51" i="39"/>
  <c r="AA51" i="39"/>
  <c r="Y51" i="39"/>
  <c r="X51" i="39"/>
  <c r="V51" i="39"/>
  <c r="U51" i="39"/>
  <c r="S51" i="39"/>
  <c r="R51" i="39"/>
  <c r="P51" i="39"/>
  <c r="O51" i="39"/>
  <c r="M51" i="39"/>
  <c r="L51" i="39"/>
  <c r="J51" i="39"/>
  <c r="I51" i="39"/>
  <c r="G51" i="39"/>
  <c r="F51" i="39"/>
  <c r="AB50" i="39"/>
  <c r="AA50" i="39"/>
  <c r="Y50" i="39"/>
  <c r="X50" i="39"/>
  <c r="V50" i="39"/>
  <c r="U50" i="39"/>
  <c r="S50" i="39"/>
  <c r="R50" i="39"/>
  <c r="P50" i="39"/>
  <c r="O50" i="39"/>
  <c r="M50" i="39"/>
  <c r="L50" i="39"/>
  <c r="J50" i="39"/>
  <c r="I50" i="39"/>
  <c r="G50" i="39"/>
  <c r="F50" i="39"/>
  <c r="AB49" i="39"/>
  <c r="AA49" i="39"/>
  <c r="V49" i="39"/>
  <c r="U49" i="39"/>
  <c r="S49" i="39"/>
  <c r="R49" i="39"/>
  <c r="P49" i="39"/>
  <c r="O49" i="39"/>
  <c r="O84" i="39" s="1"/>
  <c r="P84" i="39" s="1"/>
  <c r="M49" i="39"/>
  <c r="L49" i="39"/>
  <c r="J49" i="39"/>
  <c r="I49" i="39"/>
  <c r="G49" i="39"/>
  <c r="F49" i="39"/>
  <c r="AB48" i="39"/>
  <c r="AA48" i="39"/>
  <c r="V48" i="39"/>
  <c r="U48" i="39"/>
  <c r="S48" i="39"/>
  <c r="R48" i="39"/>
  <c r="P48" i="39"/>
  <c r="O48" i="39"/>
  <c r="M48" i="39"/>
  <c r="L48" i="39"/>
  <c r="J48" i="39"/>
  <c r="I48" i="39"/>
  <c r="G48" i="39"/>
  <c r="F48" i="39"/>
  <c r="AB47" i="39"/>
  <c r="AA47" i="39"/>
  <c r="X47" i="39"/>
  <c r="V47" i="39"/>
  <c r="U47" i="39"/>
  <c r="S47" i="39"/>
  <c r="R47" i="39"/>
  <c r="P47" i="39"/>
  <c r="O47" i="39"/>
  <c r="M47" i="39"/>
  <c r="L47" i="39"/>
  <c r="J47" i="39"/>
  <c r="I47" i="39"/>
  <c r="G47" i="39"/>
  <c r="F47" i="39"/>
  <c r="AB46" i="39"/>
  <c r="AA46" i="39"/>
  <c r="Y46" i="39"/>
  <c r="X46" i="39"/>
  <c r="V46" i="39"/>
  <c r="U46" i="39"/>
  <c r="S46" i="39"/>
  <c r="R46" i="39"/>
  <c r="P46" i="39"/>
  <c r="O46" i="39"/>
  <c r="M46" i="39"/>
  <c r="L46" i="39"/>
  <c r="J46" i="39"/>
  <c r="I46" i="39"/>
  <c r="G46" i="39"/>
  <c r="F46" i="39"/>
  <c r="AB45" i="39"/>
  <c r="AA45" i="39"/>
  <c r="Y45" i="39"/>
  <c r="V45" i="39"/>
  <c r="U45" i="39"/>
  <c r="S45" i="39"/>
  <c r="R45" i="39"/>
  <c r="P45" i="39"/>
  <c r="O45" i="39"/>
  <c r="M45" i="39"/>
  <c r="L45" i="39"/>
  <c r="J45" i="39"/>
  <c r="I45" i="39"/>
  <c r="G45" i="39"/>
  <c r="F45" i="39"/>
  <c r="AB44" i="39"/>
  <c r="AA44" i="39"/>
  <c r="X44" i="39"/>
  <c r="Y44" i="39"/>
  <c r="V44" i="39"/>
  <c r="U44" i="39"/>
  <c r="S44" i="39"/>
  <c r="R44" i="39"/>
  <c r="P44" i="39"/>
  <c r="O44" i="39"/>
  <c r="M44" i="39"/>
  <c r="L44" i="39"/>
  <c r="J44" i="39"/>
  <c r="I44" i="39"/>
  <c r="G44" i="39"/>
  <c r="F44" i="39"/>
  <c r="AB43" i="39"/>
  <c r="AA43" i="39"/>
  <c r="V43" i="39"/>
  <c r="U43" i="39"/>
  <c r="S43" i="39"/>
  <c r="R43" i="39"/>
  <c r="P43" i="39"/>
  <c r="O43" i="39"/>
  <c r="M43" i="39"/>
  <c r="L43" i="39"/>
  <c r="J43" i="39"/>
  <c r="I43" i="39"/>
  <c r="G43" i="39"/>
  <c r="F43" i="39"/>
  <c r="F83" i="39" s="1"/>
  <c r="G83" i="39" s="1"/>
  <c r="AB42" i="39"/>
  <c r="AA42" i="39"/>
  <c r="AA82" i="39" s="1"/>
  <c r="AB82" i="39" s="1"/>
  <c r="Y42" i="39"/>
  <c r="X42" i="39"/>
  <c r="X82" i="39" s="1"/>
  <c r="Y82" i="39" s="1"/>
  <c r="W82" i="39"/>
  <c r="V42" i="39"/>
  <c r="U42" i="39"/>
  <c r="U82" i="39" s="1"/>
  <c r="S42" i="39"/>
  <c r="R42" i="39"/>
  <c r="R82" i="39" s="1"/>
  <c r="P42" i="39"/>
  <c r="O42" i="39"/>
  <c r="O82" i="39" s="1"/>
  <c r="P82" i="39" s="1"/>
  <c r="M42" i="39"/>
  <c r="L42" i="39"/>
  <c r="L82" i="39" s="1"/>
  <c r="J42" i="39"/>
  <c r="I42" i="39"/>
  <c r="I82" i="39" s="1"/>
  <c r="J82" i="39" s="1"/>
  <c r="G42" i="39"/>
  <c r="F42" i="39"/>
  <c r="F82" i="39" s="1"/>
  <c r="AB41" i="39"/>
  <c r="AA41" i="39"/>
  <c r="Y41" i="39"/>
  <c r="V41" i="39"/>
  <c r="U41" i="39"/>
  <c r="S41" i="39"/>
  <c r="R41" i="39"/>
  <c r="R76" i="39" s="1"/>
  <c r="P41" i="39"/>
  <c r="O41" i="39"/>
  <c r="M41" i="39"/>
  <c r="L41" i="39"/>
  <c r="J41" i="39"/>
  <c r="I41" i="39"/>
  <c r="G41" i="39"/>
  <c r="F41" i="39"/>
  <c r="AB40" i="39"/>
  <c r="AA40" i="39"/>
  <c r="AA81" i="39" s="1"/>
  <c r="AB81" i="39" s="1"/>
  <c r="Y40" i="39"/>
  <c r="X40" i="39"/>
  <c r="X81" i="39" s="1"/>
  <c r="Y81" i="39" s="1"/>
  <c r="V40" i="39"/>
  <c r="U40" i="39"/>
  <c r="U81" i="39" s="1"/>
  <c r="V81" i="39" s="1"/>
  <c r="S40" i="39"/>
  <c r="R40" i="39"/>
  <c r="R81" i="39" s="1"/>
  <c r="S81" i="39" s="1"/>
  <c r="P40" i="39"/>
  <c r="O40" i="39"/>
  <c r="O81" i="39" s="1"/>
  <c r="P81" i="39" s="1"/>
  <c r="M40" i="39"/>
  <c r="L40" i="39"/>
  <c r="L81" i="39" s="1"/>
  <c r="J40" i="39"/>
  <c r="I40" i="39"/>
  <c r="I81" i="39" s="1"/>
  <c r="J81" i="39" s="1"/>
  <c r="G40" i="39"/>
  <c r="F40" i="39"/>
  <c r="F81" i="39" s="1"/>
  <c r="G81" i="39" s="1"/>
  <c r="AB39" i="39"/>
  <c r="AA39" i="39"/>
  <c r="Y39" i="39"/>
  <c r="X39" i="39"/>
  <c r="V39" i="39"/>
  <c r="U39" i="39"/>
  <c r="S39" i="39"/>
  <c r="R39" i="39"/>
  <c r="P39" i="39"/>
  <c r="O39" i="39"/>
  <c r="M39" i="39"/>
  <c r="L39" i="39"/>
  <c r="J39" i="39"/>
  <c r="I39" i="39"/>
  <c r="G39" i="39"/>
  <c r="F39" i="39"/>
  <c r="AB38" i="39"/>
  <c r="AA38" i="39"/>
  <c r="Y38" i="39"/>
  <c r="V38" i="39"/>
  <c r="U38" i="39"/>
  <c r="S38" i="39"/>
  <c r="R38" i="39"/>
  <c r="P38" i="39"/>
  <c r="O38" i="39"/>
  <c r="M38" i="39"/>
  <c r="L38" i="39"/>
  <c r="J38" i="39"/>
  <c r="I38" i="39"/>
  <c r="G38" i="39"/>
  <c r="F38" i="39"/>
  <c r="AB37" i="39"/>
  <c r="AA37" i="39"/>
  <c r="X37" i="39"/>
  <c r="V37" i="39"/>
  <c r="U37" i="39"/>
  <c r="S37" i="39"/>
  <c r="R37" i="39"/>
  <c r="P37" i="39"/>
  <c r="O37" i="39"/>
  <c r="M37" i="39"/>
  <c r="L37" i="39"/>
  <c r="J37" i="39"/>
  <c r="I37" i="39"/>
  <c r="G37" i="39"/>
  <c r="F37" i="39"/>
  <c r="AB36" i="39"/>
  <c r="AA36" i="39"/>
  <c r="W80" i="39"/>
  <c r="V36" i="39"/>
  <c r="U36" i="39"/>
  <c r="S36" i="39"/>
  <c r="R36" i="39"/>
  <c r="P36" i="39"/>
  <c r="O36" i="39"/>
  <c r="M36" i="39"/>
  <c r="L36" i="39"/>
  <c r="J36" i="39"/>
  <c r="I36" i="39"/>
  <c r="G36" i="39"/>
  <c r="F36" i="39"/>
  <c r="AB35" i="39"/>
  <c r="AA35" i="39"/>
  <c r="V35" i="39"/>
  <c r="U35" i="39"/>
  <c r="S35" i="39"/>
  <c r="R35" i="39"/>
  <c r="P35" i="39"/>
  <c r="O35" i="39"/>
  <c r="M35" i="39"/>
  <c r="L35" i="39"/>
  <c r="J35" i="39"/>
  <c r="I35" i="39"/>
  <c r="G35" i="39"/>
  <c r="F35" i="39"/>
  <c r="K94" i="38"/>
  <c r="L94" i="38" s="1"/>
  <c r="M94" i="38" s="1"/>
  <c r="N94" i="38" s="1"/>
  <c r="O94" i="38" s="1"/>
  <c r="P94" i="38" s="1"/>
  <c r="Q94" i="38" s="1"/>
  <c r="R94" i="38" s="1"/>
  <c r="S94" i="38" s="1"/>
  <c r="T94" i="38" s="1"/>
  <c r="U94" i="38" s="1"/>
  <c r="V94" i="38" s="1"/>
  <c r="W94" i="38" s="1"/>
  <c r="X94" i="38" s="1"/>
  <c r="Y94" i="38" s="1"/>
  <c r="Z94" i="38" s="1"/>
  <c r="AA94" i="38" s="1"/>
  <c r="AB94" i="38" s="1"/>
  <c r="AC94" i="38" s="1"/>
  <c r="AD94" i="38" s="1"/>
  <c r="AE94" i="38" s="1"/>
  <c r="AF94" i="38" s="1"/>
  <c r="AG94" i="38" s="1"/>
  <c r="AH94" i="38" s="1"/>
  <c r="AI94" i="38" s="1"/>
  <c r="AJ94" i="38" s="1"/>
  <c r="AK94" i="38" s="1"/>
  <c r="AL94" i="38" s="1"/>
  <c r="AM94" i="38" s="1"/>
  <c r="AN94" i="38" s="1"/>
  <c r="AO94" i="38" s="1"/>
  <c r="AP94" i="38" s="1"/>
  <c r="AQ94" i="38" s="1"/>
  <c r="AR94" i="38" s="1"/>
  <c r="AS94" i="38" s="1"/>
  <c r="AT94" i="38" s="1"/>
  <c r="AU94" i="38" s="1"/>
  <c r="AV94" i="38" s="1"/>
  <c r="AW94" i="38" s="1"/>
  <c r="AX94" i="38" s="1"/>
  <c r="AY94" i="38" s="1"/>
  <c r="AZ94" i="38" s="1"/>
  <c r="BA94" i="38" s="1"/>
  <c r="BB94" i="38" s="1"/>
  <c r="BC94" i="38" s="1"/>
  <c r="BD94" i="38" s="1"/>
  <c r="BE94" i="38" s="1"/>
  <c r="BF94" i="38" s="1"/>
  <c r="BG94" i="38" s="1"/>
  <c r="BH94" i="38" s="1"/>
  <c r="BI94" i="38" s="1"/>
  <c r="BJ94" i="38" s="1"/>
  <c r="BK94" i="38" s="1"/>
  <c r="BL94" i="38" s="1"/>
  <c r="BM94" i="38" s="1"/>
  <c r="BN94" i="38" s="1"/>
  <c r="BO94" i="38" s="1"/>
  <c r="BP94" i="38" s="1"/>
  <c r="BQ94" i="38" s="1"/>
  <c r="BR94" i="38" s="1"/>
  <c r="D94" i="38"/>
  <c r="E94" i="38" s="1"/>
  <c r="F94" i="38" s="1"/>
  <c r="G94" i="38" s="1"/>
  <c r="H94" i="38" s="1"/>
  <c r="I94" i="38" s="1"/>
  <c r="J94" i="38" s="1"/>
  <c r="C94" i="38"/>
  <c r="BJ87" i="38"/>
  <c r="Z87" i="38"/>
  <c r="K87" i="38"/>
  <c r="C87" i="38"/>
  <c r="BJ86" i="38"/>
  <c r="AP86" i="38"/>
  <c r="Z86" i="38"/>
  <c r="K86" i="38"/>
  <c r="C86" i="38"/>
  <c r="O36" i="36" s="1"/>
  <c r="BJ85" i="38"/>
  <c r="Z85" i="38"/>
  <c r="K85" i="38"/>
  <c r="J85" i="38"/>
  <c r="C85" i="38"/>
  <c r="O35" i="37" s="1"/>
  <c r="BJ84" i="38"/>
  <c r="Z84" i="38"/>
  <c r="U84" i="38"/>
  <c r="V84" i="38" s="1"/>
  <c r="K84" i="38"/>
  <c r="C84" i="38"/>
  <c r="O34" i="37" s="1"/>
  <c r="BJ83" i="38"/>
  <c r="Z83" i="38"/>
  <c r="K83" i="38"/>
  <c r="C83" i="38"/>
  <c r="O33" i="37" s="1"/>
  <c r="BJ82" i="38"/>
  <c r="AY82" i="38"/>
  <c r="Z82" i="38"/>
  <c r="K82" i="38"/>
  <c r="C82" i="38"/>
  <c r="O32" i="37" s="1"/>
  <c r="BJ81" i="38"/>
  <c r="Z81" i="38"/>
  <c r="K81" i="38"/>
  <c r="C81" i="38"/>
  <c r="O31" i="37" s="1"/>
  <c r="BM80" i="38"/>
  <c r="BJ80" i="38"/>
  <c r="AY80" i="38"/>
  <c r="AJ80" i="38"/>
  <c r="AK80" i="38" s="1"/>
  <c r="Z80" i="38"/>
  <c r="R80" i="38"/>
  <c r="K80" i="38"/>
  <c r="C80" i="38"/>
  <c r="O30" i="37" s="1"/>
  <c r="BJ79" i="38"/>
  <c r="AG79" i="38"/>
  <c r="AH79" i="38" s="1"/>
  <c r="AD79" i="38"/>
  <c r="Z79" i="38"/>
  <c r="U79" i="38"/>
  <c r="O79" i="38"/>
  <c r="L79" i="38"/>
  <c r="K79" i="38"/>
  <c r="F79" i="38"/>
  <c r="C79" i="38"/>
  <c r="O29" i="35" s="1"/>
  <c r="BJ78" i="38"/>
  <c r="Z78" i="38"/>
  <c r="K78" i="38"/>
  <c r="C78" i="38"/>
  <c r="O28" i="37" s="1"/>
  <c r="BP73" i="38"/>
  <c r="BJ73" i="38"/>
  <c r="BG73" i="38"/>
  <c r="BD73" i="38"/>
  <c r="AU73" i="38"/>
  <c r="AL73" i="38"/>
  <c r="AI73" i="38"/>
  <c r="AF73" i="38"/>
  <c r="AC73" i="38"/>
  <c r="Z73" i="38"/>
  <c r="W73" i="38"/>
  <c r="T73" i="38"/>
  <c r="Q73" i="38"/>
  <c r="BR72" i="38"/>
  <c r="BQ72" i="38"/>
  <c r="BO72" i="38"/>
  <c r="BL72" i="38"/>
  <c r="BK72" i="38"/>
  <c r="BI72" i="38"/>
  <c r="BH72" i="38"/>
  <c r="BF72" i="38"/>
  <c r="BE72" i="38"/>
  <c r="BC72" i="38"/>
  <c r="BB72" i="38"/>
  <c r="AZ72" i="38"/>
  <c r="AY72" i="38"/>
  <c r="AW72" i="38"/>
  <c r="AV72" i="38"/>
  <c r="AT72" i="38"/>
  <c r="AS72" i="38"/>
  <c r="AQ72" i="38"/>
  <c r="AP72" i="38"/>
  <c r="AN72" i="38"/>
  <c r="AM72" i="38"/>
  <c r="AK72" i="38"/>
  <c r="AJ72" i="38"/>
  <c r="AH72" i="38"/>
  <c r="AG72" i="38"/>
  <c r="AE72" i="38"/>
  <c r="AD72" i="38"/>
  <c r="AB72" i="38"/>
  <c r="AA72" i="38"/>
  <c r="Y72" i="38"/>
  <c r="X72" i="38"/>
  <c r="V72" i="38"/>
  <c r="U72" i="38"/>
  <c r="S72" i="38"/>
  <c r="R72" i="38"/>
  <c r="P72" i="38"/>
  <c r="O72" i="38"/>
  <c r="M72" i="38"/>
  <c r="L72" i="38"/>
  <c r="J72" i="38"/>
  <c r="I72" i="38"/>
  <c r="G72" i="38"/>
  <c r="F72" i="38"/>
  <c r="BR71" i="38"/>
  <c r="BQ71" i="38"/>
  <c r="BN71" i="38"/>
  <c r="BO71" i="38"/>
  <c r="BL71" i="38"/>
  <c r="BK71" i="38"/>
  <c r="BI71" i="38"/>
  <c r="BH71" i="38"/>
  <c r="BF71" i="38"/>
  <c r="BE71" i="38"/>
  <c r="BC71" i="38"/>
  <c r="BB71" i="38"/>
  <c r="AZ71" i="38"/>
  <c r="AY71" i="38"/>
  <c r="AW71" i="38"/>
  <c r="AV71" i="38"/>
  <c r="AT71" i="38"/>
  <c r="AS71" i="38"/>
  <c r="AQ71" i="38"/>
  <c r="AP71" i="38"/>
  <c r="AN71" i="38"/>
  <c r="AM71" i="38"/>
  <c r="AK71" i="38"/>
  <c r="AJ71" i="38"/>
  <c r="AH71" i="38"/>
  <c r="AG71" i="38"/>
  <c r="AE71" i="38"/>
  <c r="AD71" i="38"/>
  <c r="AB71" i="38"/>
  <c r="AA71" i="38"/>
  <c r="Y71" i="38"/>
  <c r="X71" i="38"/>
  <c r="V71" i="38"/>
  <c r="U71" i="38"/>
  <c r="S71" i="38"/>
  <c r="R71" i="38"/>
  <c r="P71" i="38"/>
  <c r="O71" i="38"/>
  <c r="M71" i="38"/>
  <c r="L71" i="38"/>
  <c r="J71" i="38"/>
  <c r="I71" i="38"/>
  <c r="G71" i="38"/>
  <c r="F71" i="38"/>
  <c r="BR70" i="38"/>
  <c r="BQ70" i="38"/>
  <c r="BO70" i="38"/>
  <c r="BL70" i="38"/>
  <c r="BK70" i="38"/>
  <c r="BI70" i="38"/>
  <c r="BH70" i="38"/>
  <c r="BF70" i="38"/>
  <c r="BE70" i="38"/>
  <c r="BC70" i="38"/>
  <c r="BB70" i="38"/>
  <c r="AZ70" i="38"/>
  <c r="AY70" i="38"/>
  <c r="AW70" i="38"/>
  <c r="AV70" i="38"/>
  <c r="AT70" i="38"/>
  <c r="AS70" i="38"/>
  <c r="AQ70" i="38"/>
  <c r="AP70" i="38"/>
  <c r="AN70" i="38"/>
  <c r="AM70" i="38"/>
  <c r="AK70" i="38"/>
  <c r="AJ70" i="38"/>
  <c r="AH70" i="38"/>
  <c r="AG70" i="38"/>
  <c r="AE70" i="38"/>
  <c r="AD70" i="38"/>
  <c r="AB70" i="38"/>
  <c r="AA70" i="38"/>
  <c r="Y70" i="38"/>
  <c r="X70" i="38"/>
  <c r="V70" i="38"/>
  <c r="U70" i="38"/>
  <c r="S70" i="38"/>
  <c r="R70" i="38"/>
  <c r="P70" i="38"/>
  <c r="O70" i="38"/>
  <c r="M70" i="38"/>
  <c r="L70" i="38"/>
  <c r="J70" i="38"/>
  <c r="I70" i="38"/>
  <c r="G70" i="38"/>
  <c r="F70" i="38"/>
  <c r="BR69" i="38"/>
  <c r="BQ69" i="38"/>
  <c r="BO69" i="38"/>
  <c r="BN69" i="38"/>
  <c r="BL69" i="38"/>
  <c r="BK69" i="38"/>
  <c r="BI69" i="38"/>
  <c r="BH69" i="38"/>
  <c r="BF69" i="38"/>
  <c r="BE69" i="38"/>
  <c r="BC69" i="38"/>
  <c r="BB69" i="38"/>
  <c r="AZ69" i="38"/>
  <c r="AY69" i="38"/>
  <c r="AW69" i="38"/>
  <c r="AV69" i="38"/>
  <c r="AT69" i="38"/>
  <c r="AS69" i="38"/>
  <c r="AQ69" i="38"/>
  <c r="AP69" i="38"/>
  <c r="AN69" i="38"/>
  <c r="AM69" i="38"/>
  <c r="AK69" i="38"/>
  <c r="AJ69" i="38"/>
  <c r="AH69" i="38"/>
  <c r="AG69" i="38"/>
  <c r="AE69" i="38"/>
  <c r="AD69" i="38"/>
  <c r="AB69" i="38"/>
  <c r="AA69" i="38"/>
  <c r="Y69" i="38"/>
  <c r="X69" i="38"/>
  <c r="V69" i="38"/>
  <c r="U69" i="38"/>
  <c r="S69" i="38"/>
  <c r="R69" i="38"/>
  <c r="P69" i="38"/>
  <c r="O69" i="38"/>
  <c r="M69" i="38"/>
  <c r="L69" i="38"/>
  <c r="J69" i="38"/>
  <c r="I69" i="38"/>
  <c r="G69" i="38"/>
  <c r="F69" i="38"/>
  <c r="BR68" i="38"/>
  <c r="BQ68" i="38"/>
  <c r="BO68" i="38"/>
  <c r="BL68" i="38"/>
  <c r="BK68" i="38"/>
  <c r="BI68" i="38"/>
  <c r="BH68" i="38"/>
  <c r="BF68" i="38"/>
  <c r="BE68" i="38"/>
  <c r="BC68" i="38"/>
  <c r="BB68" i="38"/>
  <c r="AZ68" i="38"/>
  <c r="AY68" i="38"/>
  <c r="AW68" i="38"/>
  <c r="AV68" i="38"/>
  <c r="AT68" i="38"/>
  <c r="AS68" i="38"/>
  <c r="AQ68" i="38"/>
  <c r="AP68" i="38"/>
  <c r="AN68" i="38"/>
  <c r="AM68" i="38"/>
  <c r="AK68" i="38"/>
  <c r="AJ68" i="38"/>
  <c r="AH68" i="38"/>
  <c r="AG68" i="38"/>
  <c r="AE68" i="38"/>
  <c r="AD68" i="38"/>
  <c r="AB68" i="38"/>
  <c r="AA68" i="38"/>
  <c r="Y68" i="38"/>
  <c r="X68" i="38"/>
  <c r="V68" i="38"/>
  <c r="U68" i="38"/>
  <c r="S68" i="38"/>
  <c r="R68" i="38"/>
  <c r="R87" i="38" s="1"/>
  <c r="S87" i="38" s="1"/>
  <c r="P68" i="38"/>
  <c r="O68" i="38"/>
  <c r="M68" i="38"/>
  <c r="L68" i="38"/>
  <c r="J68" i="38"/>
  <c r="I68" i="38"/>
  <c r="G68" i="38"/>
  <c r="F68" i="38"/>
  <c r="BR67" i="38"/>
  <c r="BQ67" i="38"/>
  <c r="BL67" i="38"/>
  <c r="BK67" i="38"/>
  <c r="BI67" i="38"/>
  <c r="BH67" i="38"/>
  <c r="BF67" i="38"/>
  <c r="BE67" i="38"/>
  <c r="BC67" i="38"/>
  <c r="BB67" i="38"/>
  <c r="AZ67" i="38"/>
  <c r="AY67" i="38"/>
  <c r="AY87" i="38" s="1"/>
  <c r="AZ87" i="38" s="1"/>
  <c r="AW67" i="38"/>
  <c r="AV67" i="38"/>
  <c r="AV87" i="38" s="1"/>
  <c r="AW87" i="38" s="1"/>
  <c r="AT67" i="38"/>
  <c r="AS67" i="38"/>
  <c r="AQ67" i="38"/>
  <c r="AP67" i="38"/>
  <c r="AP87" i="38" s="1"/>
  <c r="AQ87" i="38" s="1"/>
  <c r="AN67" i="38"/>
  <c r="AM67" i="38"/>
  <c r="AK67" i="38"/>
  <c r="AJ67" i="38"/>
  <c r="AH67" i="38"/>
  <c r="AG67" i="38"/>
  <c r="AG87" i="38" s="1"/>
  <c r="AH87" i="38" s="1"/>
  <c r="AE67" i="38"/>
  <c r="AD67" i="38"/>
  <c r="AD87" i="38" s="1"/>
  <c r="AE87" i="38" s="1"/>
  <c r="AB67" i="38"/>
  <c r="AA67" i="38"/>
  <c r="Y67" i="38"/>
  <c r="X67" i="38"/>
  <c r="X87" i="38" s="1"/>
  <c r="Y87" i="38" s="1"/>
  <c r="V67" i="38"/>
  <c r="U67" i="38"/>
  <c r="S67" i="38"/>
  <c r="R67" i="38"/>
  <c r="P67" i="38"/>
  <c r="O67" i="38"/>
  <c r="M67" i="38"/>
  <c r="L67" i="38"/>
  <c r="L87" i="38" s="1"/>
  <c r="M87" i="38" s="1"/>
  <c r="J67" i="38"/>
  <c r="I67" i="38"/>
  <c r="I87" i="38" s="1"/>
  <c r="J87" i="38" s="1"/>
  <c r="G67" i="38"/>
  <c r="F67" i="38"/>
  <c r="F87" i="38" s="1"/>
  <c r="G87" i="38" s="1"/>
  <c r="BR66" i="38"/>
  <c r="BQ66" i="38"/>
  <c r="BO66" i="38"/>
  <c r="BL66" i="38"/>
  <c r="BK66" i="38"/>
  <c r="BI66" i="38"/>
  <c r="BH66" i="38"/>
  <c r="BF66" i="38"/>
  <c r="BE66" i="38"/>
  <c r="BC66" i="38"/>
  <c r="BB66" i="38"/>
  <c r="AZ66" i="38"/>
  <c r="AY66" i="38"/>
  <c r="AW66" i="38"/>
  <c r="AV66" i="38"/>
  <c r="AT66" i="38"/>
  <c r="AS66" i="38"/>
  <c r="AQ66" i="38"/>
  <c r="AP66" i="38"/>
  <c r="AN66" i="38"/>
  <c r="AM66" i="38"/>
  <c r="AK66" i="38"/>
  <c r="AJ66" i="38"/>
  <c r="AH66" i="38"/>
  <c r="AG66" i="38"/>
  <c r="AE66" i="38"/>
  <c r="AD66" i="38"/>
  <c r="AB66" i="38"/>
  <c r="AA66" i="38"/>
  <c r="Y66" i="38"/>
  <c r="X66" i="38"/>
  <c r="V66" i="38"/>
  <c r="U66" i="38"/>
  <c r="S66" i="38"/>
  <c r="R66" i="38"/>
  <c r="P66" i="38"/>
  <c r="O66" i="38"/>
  <c r="M66" i="38"/>
  <c r="L66" i="38"/>
  <c r="J66" i="38"/>
  <c r="I66" i="38"/>
  <c r="G66" i="38"/>
  <c r="F66" i="38"/>
  <c r="BR65" i="38"/>
  <c r="BQ65" i="38"/>
  <c r="BO65" i="38"/>
  <c r="BN65" i="38"/>
  <c r="BL65" i="38"/>
  <c r="BK65" i="38"/>
  <c r="BI65" i="38"/>
  <c r="BH65" i="38"/>
  <c r="BH86" i="38" s="1"/>
  <c r="BF65" i="38"/>
  <c r="BE65" i="38"/>
  <c r="BC65" i="38"/>
  <c r="BB65" i="38"/>
  <c r="AZ65" i="38"/>
  <c r="AY65" i="38"/>
  <c r="AW65" i="38"/>
  <c r="AV65" i="38"/>
  <c r="AT65" i="38"/>
  <c r="AS65" i="38"/>
  <c r="AQ65" i="38"/>
  <c r="AP65" i="38"/>
  <c r="AN65" i="38"/>
  <c r="AM65" i="38"/>
  <c r="AM86" i="38" s="1"/>
  <c r="AK65" i="38"/>
  <c r="AJ65" i="38"/>
  <c r="AH65" i="38"/>
  <c r="AG65" i="38"/>
  <c r="AE65" i="38"/>
  <c r="AD65" i="38"/>
  <c r="AB65" i="38"/>
  <c r="AA65" i="38"/>
  <c r="Y65" i="38"/>
  <c r="X65" i="38"/>
  <c r="V65" i="38"/>
  <c r="U65" i="38"/>
  <c r="S65" i="38"/>
  <c r="R65" i="38"/>
  <c r="P65" i="38"/>
  <c r="O65" i="38"/>
  <c r="M65" i="38"/>
  <c r="L65" i="38"/>
  <c r="J65" i="38"/>
  <c r="I65" i="38"/>
  <c r="G65" i="38"/>
  <c r="F65" i="38"/>
  <c r="BR64" i="38"/>
  <c r="BQ64" i="38"/>
  <c r="BQ86" i="38" s="1"/>
  <c r="BL64" i="38"/>
  <c r="BK64" i="38"/>
  <c r="BK86" i="38" s="1"/>
  <c r="BI64" i="38"/>
  <c r="BH64" i="38"/>
  <c r="BF64" i="38"/>
  <c r="BE64" i="38"/>
  <c r="BC64" i="38"/>
  <c r="BB64" i="38"/>
  <c r="BB86" i="38" s="1"/>
  <c r="BC86" i="38" s="1"/>
  <c r="AZ64" i="38"/>
  <c r="AY64" i="38"/>
  <c r="AW64" i="38"/>
  <c r="AV64" i="38"/>
  <c r="AT64" i="38"/>
  <c r="AS64" i="38"/>
  <c r="AS86" i="38" s="1"/>
  <c r="AQ64" i="38"/>
  <c r="AP64" i="38"/>
  <c r="AN64" i="38"/>
  <c r="AM64" i="38"/>
  <c r="AK64" i="38"/>
  <c r="AJ64" i="38"/>
  <c r="AH64" i="38"/>
  <c r="AG64" i="38"/>
  <c r="AE64" i="38"/>
  <c r="AD64" i="38"/>
  <c r="AB64" i="38"/>
  <c r="AA64" i="38"/>
  <c r="AA86" i="38" s="1"/>
  <c r="Y64" i="38"/>
  <c r="X64" i="38"/>
  <c r="V64" i="38"/>
  <c r="U64" i="38"/>
  <c r="S64" i="38"/>
  <c r="R64" i="38"/>
  <c r="P64" i="38"/>
  <c r="O64" i="38"/>
  <c r="M64" i="38"/>
  <c r="L64" i="38"/>
  <c r="L86" i="38" s="1"/>
  <c r="J64" i="38"/>
  <c r="I64" i="38"/>
  <c r="I86" i="38" s="1"/>
  <c r="J86" i="38" s="1"/>
  <c r="G64" i="38"/>
  <c r="F64" i="38"/>
  <c r="F86" i="38" s="1"/>
  <c r="BR63" i="38"/>
  <c r="BQ63" i="38"/>
  <c r="BO63" i="38"/>
  <c r="BL63" i="38"/>
  <c r="BK63" i="38"/>
  <c r="BI63" i="38"/>
  <c r="BH63" i="38"/>
  <c r="BF63" i="38"/>
  <c r="BE63" i="38"/>
  <c r="BC63" i="38"/>
  <c r="BB63" i="38"/>
  <c r="AZ63" i="38"/>
  <c r="AY63" i="38"/>
  <c r="AW63" i="38"/>
  <c r="AV63" i="38"/>
  <c r="AT63" i="38"/>
  <c r="AS63" i="38"/>
  <c r="AQ63" i="38"/>
  <c r="AP63" i="38"/>
  <c r="AN63" i="38"/>
  <c r="AM63" i="38"/>
  <c r="AK63" i="38"/>
  <c r="AJ63" i="38"/>
  <c r="AH63" i="38"/>
  <c r="AG63" i="38"/>
  <c r="AE63" i="38"/>
  <c r="AD63" i="38"/>
  <c r="AB63" i="38"/>
  <c r="AA63" i="38"/>
  <c r="Y63" i="38"/>
  <c r="X63" i="38"/>
  <c r="X85" i="38" s="1"/>
  <c r="Y85" i="38" s="1"/>
  <c r="V63" i="38"/>
  <c r="U63" i="38"/>
  <c r="S63" i="38"/>
  <c r="R63" i="38"/>
  <c r="P63" i="38"/>
  <c r="O63" i="38"/>
  <c r="M63" i="38"/>
  <c r="L63" i="38"/>
  <c r="J63" i="38"/>
  <c r="I63" i="38"/>
  <c r="G63" i="38"/>
  <c r="F63" i="38"/>
  <c r="BR62" i="38"/>
  <c r="BQ62" i="38"/>
  <c r="BL62" i="38"/>
  <c r="BK62" i="38"/>
  <c r="BI62" i="38"/>
  <c r="BH62" i="38"/>
  <c r="BF62" i="38"/>
  <c r="BE62" i="38"/>
  <c r="BC62" i="38"/>
  <c r="BB62" i="38"/>
  <c r="AZ62" i="38"/>
  <c r="AY62" i="38"/>
  <c r="AW62" i="38"/>
  <c r="AV62" i="38"/>
  <c r="AT62" i="38"/>
  <c r="AS62" i="38"/>
  <c r="AQ62" i="38"/>
  <c r="AP62" i="38"/>
  <c r="AN62" i="38"/>
  <c r="AM62" i="38"/>
  <c r="AK62" i="38"/>
  <c r="AJ62" i="38"/>
  <c r="AH62" i="38"/>
  <c r="AG62" i="38"/>
  <c r="AE62" i="38"/>
  <c r="AD62" i="38"/>
  <c r="AB62" i="38"/>
  <c r="AA62" i="38"/>
  <c r="Y62" i="38"/>
  <c r="X62" i="38"/>
  <c r="V62" i="38"/>
  <c r="U62" i="38"/>
  <c r="S62" i="38"/>
  <c r="R62" i="38"/>
  <c r="P62" i="38"/>
  <c r="O62" i="38"/>
  <c r="M62" i="38"/>
  <c r="L62" i="38"/>
  <c r="L85" i="38" s="1"/>
  <c r="M85" i="38" s="1"/>
  <c r="J62" i="38"/>
  <c r="I62" i="38"/>
  <c r="G62" i="38"/>
  <c r="F62" i="38"/>
  <c r="BR61" i="38"/>
  <c r="BQ61" i="38"/>
  <c r="BO61" i="38"/>
  <c r="BN61" i="38"/>
  <c r="BL61" i="38"/>
  <c r="BK61" i="38"/>
  <c r="BI61" i="38"/>
  <c r="BH61" i="38"/>
  <c r="BF61" i="38"/>
  <c r="BE61" i="38"/>
  <c r="BC61" i="38"/>
  <c r="BB61" i="38"/>
  <c r="AZ61" i="38"/>
  <c r="AY61" i="38"/>
  <c r="AW61" i="38"/>
  <c r="AV61" i="38"/>
  <c r="AT61" i="38"/>
  <c r="AS61" i="38"/>
  <c r="AQ61" i="38"/>
  <c r="AP61" i="38"/>
  <c r="AN61" i="38"/>
  <c r="AM61" i="38"/>
  <c r="AK61" i="38"/>
  <c r="AJ61" i="38"/>
  <c r="AH61" i="38"/>
  <c r="AG61" i="38"/>
  <c r="AE61" i="38"/>
  <c r="AD61" i="38"/>
  <c r="AB61" i="38"/>
  <c r="AA61" i="38"/>
  <c r="Y61" i="38"/>
  <c r="X61" i="38"/>
  <c r="V61" i="38"/>
  <c r="U61" i="38"/>
  <c r="S61" i="38"/>
  <c r="R61" i="38"/>
  <c r="P61" i="38"/>
  <c r="O61" i="38"/>
  <c r="M61" i="38"/>
  <c r="L61" i="38"/>
  <c r="J61" i="38"/>
  <c r="I61" i="38"/>
  <c r="G61" i="38"/>
  <c r="F61" i="38"/>
  <c r="BR60" i="38"/>
  <c r="BQ60" i="38"/>
  <c r="BQ85" i="38" s="1"/>
  <c r="BR85" i="38" s="1"/>
  <c r="BL60" i="38"/>
  <c r="BK60" i="38"/>
  <c r="BK85" i="38" s="1"/>
  <c r="BL85" i="38" s="1"/>
  <c r="BI60" i="38"/>
  <c r="BH60" i="38"/>
  <c r="BF60" i="38"/>
  <c r="BE60" i="38"/>
  <c r="BE85" i="38" s="1"/>
  <c r="BF85" i="38" s="1"/>
  <c r="BC60" i="38"/>
  <c r="BB60" i="38"/>
  <c r="BB85" i="38" s="1"/>
  <c r="BC85" i="38" s="1"/>
  <c r="AZ60" i="38"/>
  <c r="AY60" i="38"/>
  <c r="AW60" i="38"/>
  <c r="AV60" i="38"/>
  <c r="AT60" i="38"/>
  <c r="AS60" i="38"/>
  <c r="AS85" i="38" s="1"/>
  <c r="AT85" i="38" s="1"/>
  <c r="AQ60" i="38"/>
  <c r="AP60" i="38"/>
  <c r="AN60" i="38"/>
  <c r="AM60" i="38"/>
  <c r="AM85" i="38" s="1"/>
  <c r="AN85" i="38" s="1"/>
  <c r="AK60" i="38"/>
  <c r="AJ60" i="38"/>
  <c r="AJ85" i="38" s="1"/>
  <c r="AK85" i="38" s="1"/>
  <c r="AH60" i="38"/>
  <c r="AG60" i="38"/>
  <c r="AE60" i="38"/>
  <c r="AD60" i="38"/>
  <c r="AB60" i="38"/>
  <c r="AA60" i="38"/>
  <c r="AA85" i="38" s="1"/>
  <c r="AB85" i="38" s="1"/>
  <c r="Y60" i="38"/>
  <c r="X60" i="38"/>
  <c r="V60" i="38"/>
  <c r="U60" i="38"/>
  <c r="U85" i="38" s="1"/>
  <c r="V85" i="38" s="1"/>
  <c r="S60" i="38"/>
  <c r="R60" i="38"/>
  <c r="R85" i="38" s="1"/>
  <c r="S85" i="38" s="1"/>
  <c r="P60" i="38"/>
  <c r="O60" i="38"/>
  <c r="M60" i="38"/>
  <c r="L60" i="38"/>
  <c r="J60" i="38"/>
  <c r="I60" i="38"/>
  <c r="I85" i="38" s="1"/>
  <c r="G60" i="38"/>
  <c r="F60" i="38"/>
  <c r="BR59" i="38"/>
  <c r="BQ59" i="38"/>
  <c r="BO59" i="38"/>
  <c r="BL59" i="38"/>
  <c r="BK59" i="38"/>
  <c r="BI59" i="38"/>
  <c r="BH59" i="38"/>
  <c r="BH84" i="38" s="1"/>
  <c r="BI84" i="38" s="1"/>
  <c r="BF59" i="38"/>
  <c r="BE59" i="38"/>
  <c r="BC59" i="38"/>
  <c r="BB59" i="38"/>
  <c r="AZ59" i="38"/>
  <c r="AY59" i="38"/>
  <c r="AW59" i="38"/>
  <c r="AV59" i="38"/>
  <c r="AT59" i="38"/>
  <c r="AS59" i="38"/>
  <c r="AQ59" i="38"/>
  <c r="AP59" i="38"/>
  <c r="AN59" i="38"/>
  <c r="AM59" i="38"/>
  <c r="AK59" i="38"/>
  <c r="AJ59" i="38"/>
  <c r="AH59" i="38"/>
  <c r="AG59" i="38"/>
  <c r="AE59" i="38"/>
  <c r="AD59" i="38"/>
  <c r="AB59" i="38"/>
  <c r="AA59" i="38"/>
  <c r="Y59" i="38"/>
  <c r="X59" i="38"/>
  <c r="V59" i="38"/>
  <c r="U59" i="38"/>
  <c r="S59" i="38"/>
  <c r="R59" i="38"/>
  <c r="P59" i="38"/>
  <c r="O59" i="38"/>
  <c r="M59" i="38"/>
  <c r="L59" i="38"/>
  <c r="J59" i="38"/>
  <c r="I59" i="38"/>
  <c r="G59" i="38"/>
  <c r="F59" i="38"/>
  <c r="F84" i="38" s="1"/>
  <c r="G84" i="38" s="1"/>
  <c r="BR58" i="38"/>
  <c r="BQ58" i="38"/>
  <c r="BL58" i="38"/>
  <c r="BK58" i="38"/>
  <c r="BK84" i="38" s="1"/>
  <c r="BL84" i="38" s="1"/>
  <c r="BI58" i="38"/>
  <c r="BH58" i="38"/>
  <c r="BF58" i="38"/>
  <c r="BE58" i="38"/>
  <c r="BE84" i="38" s="1"/>
  <c r="BF84" i="38" s="1"/>
  <c r="BC58" i="38"/>
  <c r="BB58" i="38"/>
  <c r="BB84" i="38" s="1"/>
  <c r="BC84" i="38" s="1"/>
  <c r="AZ58" i="38"/>
  <c r="AY58" i="38"/>
  <c r="AW58" i="38"/>
  <c r="AV58" i="38"/>
  <c r="AV84" i="38" s="1"/>
  <c r="AW84" i="38" s="1"/>
  <c r="AT58" i="38"/>
  <c r="AS58" i="38"/>
  <c r="AS84" i="38" s="1"/>
  <c r="AT84" i="38" s="1"/>
  <c r="AQ58" i="38"/>
  <c r="AP58" i="38"/>
  <c r="AP84" i="38" s="1"/>
  <c r="AQ84" i="38" s="1"/>
  <c r="AN58" i="38"/>
  <c r="AM58" i="38"/>
  <c r="AM84" i="38" s="1"/>
  <c r="AN84" i="38" s="1"/>
  <c r="AK58" i="38"/>
  <c r="AJ58" i="38"/>
  <c r="AJ84" i="38" s="1"/>
  <c r="AK84" i="38" s="1"/>
  <c r="AH58" i="38"/>
  <c r="AG58" i="38"/>
  <c r="AE58" i="38"/>
  <c r="AD58" i="38"/>
  <c r="AB58" i="38"/>
  <c r="AA58" i="38"/>
  <c r="AA84" i="38" s="1"/>
  <c r="AB84" i="38" s="1"/>
  <c r="Y58" i="38"/>
  <c r="X58" i="38"/>
  <c r="V58" i="38"/>
  <c r="U58" i="38"/>
  <c r="S58" i="38"/>
  <c r="R58" i="38"/>
  <c r="R84" i="38" s="1"/>
  <c r="S84" i="38" s="1"/>
  <c r="P58" i="38"/>
  <c r="O58" i="38"/>
  <c r="O84" i="38" s="1"/>
  <c r="P84" i="38" s="1"/>
  <c r="M58" i="38"/>
  <c r="L58" i="38"/>
  <c r="J58" i="38"/>
  <c r="I58" i="38"/>
  <c r="I84" i="38" s="1"/>
  <c r="J84" i="38" s="1"/>
  <c r="G58" i="38"/>
  <c r="F58" i="38"/>
  <c r="BR57" i="38"/>
  <c r="BQ57" i="38"/>
  <c r="BO57" i="38"/>
  <c r="BN57" i="38"/>
  <c r="BL57" i="38"/>
  <c r="BK57" i="38"/>
  <c r="BI57" i="38"/>
  <c r="BH57" i="38"/>
  <c r="BF57" i="38"/>
  <c r="BE57" i="38"/>
  <c r="BC57" i="38"/>
  <c r="BB57" i="38"/>
  <c r="AZ57" i="38"/>
  <c r="AY57" i="38"/>
  <c r="AW57" i="38"/>
  <c r="AV57" i="38"/>
  <c r="AT57" i="38"/>
  <c r="AS57" i="38"/>
  <c r="AQ57" i="38"/>
  <c r="AP57" i="38"/>
  <c r="AN57" i="38"/>
  <c r="AM57" i="38"/>
  <c r="AK57" i="38"/>
  <c r="AJ57" i="38"/>
  <c r="AH57" i="38"/>
  <c r="AG57" i="38"/>
  <c r="AE57" i="38"/>
  <c r="AD57" i="38"/>
  <c r="AB57" i="38"/>
  <c r="AA57" i="38"/>
  <c r="Y57" i="38"/>
  <c r="X57" i="38"/>
  <c r="V57" i="38"/>
  <c r="U57" i="38"/>
  <c r="S57" i="38"/>
  <c r="R57" i="38"/>
  <c r="P57" i="38"/>
  <c r="O57" i="38"/>
  <c r="M57" i="38"/>
  <c r="L57" i="38"/>
  <c r="J57" i="38"/>
  <c r="I57" i="38"/>
  <c r="G57" i="38"/>
  <c r="F57" i="38"/>
  <c r="BR56" i="38"/>
  <c r="BQ56" i="38"/>
  <c r="BO56" i="38"/>
  <c r="BL56" i="38"/>
  <c r="BK56" i="38"/>
  <c r="BI56" i="38"/>
  <c r="BH56" i="38"/>
  <c r="BF56" i="38"/>
  <c r="BE56" i="38"/>
  <c r="BC56" i="38"/>
  <c r="BB56" i="38"/>
  <c r="AZ56" i="38"/>
  <c r="AY56" i="38"/>
  <c r="AW56" i="38"/>
  <c r="AV56" i="38"/>
  <c r="AT56" i="38"/>
  <c r="AS56" i="38"/>
  <c r="AQ56" i="38"/>
  <c r="AP56" i="38"/>
  <c r="AN56" i="38"/>
  <c r="AM56" i="38"/>
  <c r="AK56" i="38"/>
  <c r="AJ56" i="38"/>
  <c r="AH56" i="38"/>
  <c r="AG56" i="38"/>
  <c r="AE56" i="38"/>
  <c r="AD56" i="38"/>
  <c r="AB56" i="38"/>
  <c r="AA56" i="38"/>
  <c r="Y56" i="38"/>
  <c r="X56" i="38"/>
  <c r="V56" i="38"/>
  <c r="U56" i="38"/>
  <c r="S56" i="38"/>
  <c r="R56" i="38"/>
  <c r="P56" i="38"/>
  <c r="O56" i="38"/>
  <c r="M56" i="38"/>
  <c r="L56" i="38"/>
  <c r="J56" i="38"/>
  <c r="I56" i="38"/>
  <c r="G56" i="38"/>
  <c r="F56" i="38"/>
  <c r="BR55" i="38"/>
  <c r="BQ55" i="38"/>
  <c r="BN55" i="38"/>
  <c r="BO55" i="38"/>
  <c r="BL55" i="38"/>
  <c r="BK55" i="38"/>
  <c r="BI55" i="38"/>
  <c r="BH55" i="38"/>
  <c r="BF55" i="38"/>
  <c r="BE55" i="38"/>
  <c r="BC55" i="38"/>
  <c r="BB55" i="38"/>
  <c r="AZ55" i="38"/>
  <c r="AY55" i="38"/>
  <c r="AW55" i="38"/>
  <c r="AV55" i="38"/>
  <c r="AT55" i="38"/>
  <c r="AS55" i="38"/>
  <c r="AQ55" i="38"/>
  <c r="AP55" i="38"/>
  <c r="AN55" i="38"/>
  <c r="AM55" i="38"/>
  <c r="AK55" i="38"/>
  <c r="AJ55" i="38"/>
  <c r="AH55" i="38"/>
  <c r="AG55" i="38"/>
  <c r="AE55" i="38"/>
  <c r="AD55" i="38"/>
  <c r="AB55" i="38"/>
  <c r="AA55" i="38"/>
  <c r="Y55" i="38"/>
  <c r="X55" i="38"/>
  <c r="X83" i="38" s="1"/>
  <c r="V55" i="38"/>
  <c r="U55" i="38"/>
  <c r="S55" i="38"/>
  <c r="R55" i="38"/>
  <c r="P55" i="38"/>
  <c r="O55" i="38"/>
  <c r="M55" i="38"/>
  <c r="L55" i="38"/>
  <c r="J55" i="38"/>
  <c r="I55" i="38"/>
  <c r="G55" i="38"/>
  <c r="F55" i="38"/>
  <c r="BR54" i="38"/>
  <c r="BQ54" i="38"/>
  <c r="BL54" i="38"/>
  <c r="BK54" i="38"/>
  <c r="BI54" i="38"/>
  <c r="BH54" i="38"/>
  <c r="BF54" i="38"/>
  <c r="BE54" i="38"/>
  <c r="BC54" i="38"/>
  <c r="BB54" i="38"/>
  <c r="AZ54" i="38"/>
  <c r="AY54" i="38"/>
  <c r="AW54" i="38"/>
  <c r="AV54" i="38"/>
  <c r="AT54" i="38"/>
  <c r="AS54" i="38"/>
  <c r="AQ54" i="38"/>
  <c r="AP54" i="38"/>
  <c r="AN54" i="38"/>
  <c r="AM54" i="38"/>
  <c r="AK54" i="38"/>
  <c r="AJ54" i="38"/>
  <c r="AH54" i="38"/>
  <c r="AG54" i="38"/>
  <c r="AE54" i="38"/>
  <c r="AD54" i="38"/>
  <c r="AB54" i="38"/>
  <c r="AA54" i="38"/>
  <c r="Y54" i="38"/>
  <c r="X54" i="38"/>
  <c r="V54" i="38"/>
  <c r="U54" i="38"/>
  <c r="S54" i="38"/>
  <c r="R54" i="38"/>
  <c r="P54" i="38"/>
  <c r="O54" i="38"/>
  <c r="M54" i="38"/>
  <c r="L54" i="38"/>
  <c r="J54" i="38"/>
  <c r="I54" i="38"/>
  <c r="G54" i="38"/>
  <c r="F54" i="38"/>
  <c r="BR53" i="38"/>
  <c r="BQ53" i="38"/>
  <c r="BO53" i="38"/>
  <c r="BN53" i="38"/>
  <c r="BL53" i="38"/>
  <c r="BK53" i="38"/>
  <c r="BI53" i="38"/>
  <c r="BH53" i="38"/>
  <c r="BF53" i="38"/>
  <c r="BE53" i="38"/>
  <c r="BC53" i="38"/>
  <c r="BB53" i="38"/>
  <c r="AZ53" i="38"/>
  <c r="AY53" i="38"/>
  <c r="AY83" i="38" s="1"/>
  <c r="AW53" i="38"/>
  <c r="AV53" i="38"/>
  <c r="AT53" i="38"/>
  <c r="AS53" i="38"/>
  <c r="AQ53" i="38"/>
  <c r="AP53" i="38"/>
  <c r="AN53" i="38"/>
  <c r="AM53" i="38"/>
  <c r="AK53" i="38"/>
  <c r="AJ53" i="38"/>
  <c r="AH53" i="38"/>
  <c r="AG53" i="38"/>
  <c r="AG83" i="38" s="1"/>
  <c r="AE53" i="38"/>
  <c r="AD53" i="38"/>
  <c r="AB53" i="38"/>
  <c r="AA53" i="38"/>
  <c r="Y53" i="38"/>
  <c r="X53" i="38"/>
  <c r="V53" i="38"/>
  <c r="U53" i="38"/>
  <c r="S53" i="38"/>
  <c r="R53" i="38"/>
  <c r="P53" i="38"/>
  <c r="O53" i="38"/>
  <c r="O83" i="38" s="1"/>
  <c r="M53" i="38"/>
  <c r="L53" i="38"/>
  <c r="J53" i="38"/>
  <c r="I53" i="38"/>
  <c r="G53" i="38"/>
  <c r="F53" i="38"/>
  <c r="BR52" i="38"/>
  <c r="BQ52" i="38"/>
  <c r="BO52" i="38"/>
  <c r="BL52" i="38"/>
  <c r="BK52" i="38"/>
  <c r="BK83" i="38" s="1"/>
  <c r="BI52" i="38"/>
  <c r="BH52" i="38"/>
  <c r="BF52" i="38"/>
  <c r="BE52" i="38"/>
  <c r="BE83" i="38" s="1"/>
  <c r="BC52" i="38"/>
  <c r="BB52" i="38"/>
  <c r="AZ52" i="38"/>
  <c r="AY52" i="38"/>
  <c r="AW52" i="38"/>
  <c r="AV52" i="38"/>
  <c r="AV83" i="38" s="1"/>
  <c r="AT52" i="38"/>
  <c r="AS52" i="38"/>
  <c r="AQ52" i="38"/>
  <c r="AP52" i="38"/>
  <c r="AN52" i="38"/>
  <c r="AM52" i="38"/>
  <c r="AM83" i="38" s="1"/>
  <c r="AK52" i="38"/>
  <c r="AJ52" i="38"/>
  <c r="AH52" i="38"/>
  <c r="AG52" i="38"/>
  <c r="AE52" i="38"/>
  <c r="AD52" i="38"/>
  <c r="AD83" i="38" s="1"/>
  <c r="AB52" i="38"/>
  <c r="AA52" i="38"/>
  <c r="Y52" i="38"/>
  <c r="X52" i="38"/>
  <c r="V52" i="38"/>
  <c r="U52" i="38"/>
  <c r="U83" i="38" s="1"/>
  <c r="S52" i="38"/>
  <c r="R52" i="38"/>
  <c r="P52" i="38"/>
  <c r="O52" i="38"/>
  <c r="M52" i="38"/>
  <c r="L52" i="38"/>
  <c r="J52" i="38"/>
  <c r="I52" i="38"/>
  <c r="G52" i="38"/>
  <c r="F52" i="38"/>
  <c r="F83" i="38" s="1"/>
  <c r="BR51" i="38"/>
  <c r="BQ51" i="38"/>
  <c r="BN51" i="38"/>
  <c r="BO51" i="38"/>
  <c r="BL51" i="38"/>
  <c r="BK51" i="38"/>
  <c r="BI51" i="38"/>
  <c r="BH51" i="38"/>
  <c r="BF51" i="38"/>
  <c r="BE51" i="38"/>
  <c r="BC51" i="38"/>
  <c r="BB51" i="38"/>
  <c r="AZ51" i="38"/>
  <c r="AY51" i="38"/>
  <c r="AW51" i="38"/>
  <c r="AV51" i="38"/>
  <c r="AT51" i="38"/>
  <c r="AS51" i="38"/>
  <c r="AQ51" i="38"/>
  <c r="AP51" i="38"/>
  <c r="AN51" i="38"/>
  <c r="AM51" i="38"/>
  <c r="AK51" i="38"/>
  <c r="AJ51" i="38"/>
  <c r="AH51" i="38"/>
  <c r="AG51" i="38"/>
  <c r="AE51" i="38"/>
  <c r="AD51" i="38"/>
  <c r="AB51" i="38"/>
  <c r="AA51" i="38"/>
  <c r="Y51" i="38"/>
  <c r="X51" i="38"/>
  <c r="X82" i="38" s="1"/>
  <c r="Y82" i="38" s="1"/>
  <c r="V51" i="38"/>
  <c r="U51" i="38"/>
  <c r="S51" i="38"/>
  <c r="R51" i="38"/>
  <c r="P51" i="38"/>
  <c r="O51" i="38"/>
  <c r="M51" i="38"/>
  <c r="L51" i="38"/>
  <c r="J51" i="38"/>
  <c r="I51" i="38"/>
  <c r="G51" i="38"/>
  <c r="F51" i="38"/>
  <c r="BR50" i="38"/>
  <c r="BQ50" i="38"/>
  <c r="BL50" i="38"/>
  <c r="BK50" i="38"/>
  <c r="BI50" i="38"/>
  <c r="BH50" i="38"/>
  <c r="BF50" i="38"/>
  <c r="BE50" i="38"/>
  <c r="BC50" i="38"/>
  <c r="BB50" i="38"/>
  <c r="AZ50" i="38"/>
  <c r="AY50" i="38"/>
  <c r="AW50" i="38"/>
  <c r="AV50" i="38"/>
  <c r="AT50" i="38"/>
  <c r="AS50" i="38"/>
  <c r="AQ50" i="38"/>
  <c r="AP50" i="38"/>
  <c r="AN50" i="38"/>
  <c r="AM50" i="38"/>
  <c r="AK50" i="38"/>
  <c r="AJ50" i="38"/>
  <c r="AH50" i="38"/>
  <c r="AG50" i="38"/>
  <c r="AE50" i="38"/>
  <c r="AD50" i="38"/>
  <c r="AB50" i="38"/>
  <c r="AA50" i="38"/>
  <c r="Y50" i="38"/>
  <c r="X50" i="38"/>
  <c r="V50" i="38"/>
  <c r="U50" i="38"/>
  <c r="S50" i="38"/>
  <c r="R50" i="38"/>
  <c r="P50" i="38"/>
  <c r="O50" i="38"/>
  <c r="M50" i="38"/>
  <c r="L50" i="38"/>
  <c r="J50" i="38"/>
  <c r="I50" i="38"/>
  <c r="G50" i="38"/>
  <c r="F50" i="38"/>
  <c r="BR49" i="38"/>
  <c r="BQ49" i="38"/>
  <c r="BO49" i="38"/>
  <c r="BN49" i="38"/>
  <c r="BL49" i="38"/>
  <c r="BK49" i="38"/>
  <c r="BI49" i="38"/>
  <c r="BH49" i="38"/>
  <c r="BF49" i="38"/>
  <c r="BE49" i="38"/>
  <c r="BC49" i="38"/>
  <c r="BB49" i="38"/>
  <c r="AZ49" i="38"/>
  <c r="AY49" i="38"/>
  <c r="AW49" i="38"/>
  <c r="AV49" i="38"/>
  <c r="AT49" i="38"/>
  <c r="AS49" i="38"/>
  <c r="AQ49" i="38"/>
  <c r="AP49" i="38"/>
  <c r="AN49" i="38"/>
  <c r="AM49" i="38"/>
  <c r="AK49" i="38"/>
  <c r="AJ49" i="38"/>
  <c r="AH49" i="38"/>
  <c r="AG49" i="38"/>
  <c r="AG82" i="38" s="1"/>
  <c r="AH82" i="38" s="1"/>
  <c r="AE49" i="38"/>
  <c r="AD49" i="38"/>
  <c r="AB49" i="38"/>
  <c r="AA49" i="38"/>
  <c r="Y49" i="38"/>
  <c r="X49" i="38"/>
  <c r="V49" i="38"/>
  <c r="U49" i="38"/>
  <c r="S49" i="38"/>
  <c r="R49" i="38"/>
  <c r="P49" i="38"/>
  <c r="O49" i="38"/>
  <c r="O82" i="38" s="1"/>
  <c r="P82" i="38" s="1"/>
  <c r="M49" i="38"/>
  <c r="L49" i="38"/>
  <c r="J49" i="38"/>
  <c r="I49" i="38"/>
  <c r="G49" i="38"/>
  <c r="F49" i="38"/>
  <c r="BR48" i="38"/>
  <c r="BQ48" i="38"/>
  <c r="BQ82" i="38" s="1"/>
  <c r="BO48" i="38"/>
  <c r="BL48" i="38"/>
  <c r="BK48" i="38"/>
  <c r="BI48" i="38"/>
  <c r="BH48" i="38"/>
  <c r="BF48" i="38"/>
  <c r="BE48" i="38"/>
  <c r="BC48" i="38"/>
  <c r="BB48" i="38"/>
  <c r="BB82" i="38" s="1"/>
  <c r="BC82" i="38" s="1"/>
  <c r="AZ48" i="38"/>
  <c r="AY48" i="38"/>
  <c r="AW48" i="38"/>
  <c r="AV48" i="38"/>
  <c r="AV82" i="38" s="1"/>
  <c r="AW82" i="38" s="1"/>
  <c r="AT48" i="38"/>
  <c r="AS48" i="38"/>
  <c r="AQ48" i="38"/>
  <c r="AP48" i="38"/>
  <c r="AN48" i="38"/>
  <c r="AM48" i="38"/>
  <c r="AK48" i="38"/>
  <c r="AJ48" i="38"/>
  <c r="AJ82" i="38" s="1"/>
  <c r="AK82" i="38" s="1"/>
  <c r="AH48" i="38"/>
  <c r="AG48" i="38"/>
  <c r="AE48" i="38"/>
  <c r="AD48" i="38"/>
  <c r="AD82" i="38" s="1"/>
  <c r="AE82" i="38" s="1"/>
  <c r="AB48" i="38"/>
  <c r="AA48" i="38"/>
  <c r="Y48" i="38"/>
  <c r="X48" i="38"/>
  <c r="V48" i="38"/>
  <c r="U48" i="38"/>
  <c r="S48" i="38"/>
  <c r="R48" i="38"/>
  <c r="R82" i="38" s="1"/>
  <c r="S82" i="38" s="1"/>
  <c r="P48" i="38"/>
  <c r="O48" i="38"/>
  <c r="M48" i="38"/>
  <c r="L48" i="38"/>
  <c r="J48" i="38"/>
  <c r="I48" i="38"/>
  <c r="G48" i="38"/>
  <c r="F48" i="38"/>
  <c r="BR47" i="38"/>
  <c r="BQ47" i="38"/>
  <c r="BO47" i="38"/>
  <c r="BL47" i="38"/>
  <c r="BK47" i="38"/>
  <c r="BI47" i="38"/>
  <c r="BH47" i="38"/>
  <c r="BH81" i="38" s="1"/>
  <c r="BF47" i="38"/>
  <c r="BE47" i="38"/>
  <c r="BC47" i="38"/>
  <c r="BB47" i="38"/>
  <c r="AZ47" i="38"/>
  <c r="AY47" i="38"/>
  <c r="AW47" i="38"/>
  <c r="AV47" i="38"/>
  <c r="AT47" i="38"/>
  <c r="AS47" i="38"/>
  <c r="AQ47" i="38"/>
  <c r="AP47" i="38"/>
  <c r="AP81" i="38" s="1"/>
  <c r="AN47" i="38"/>
  <c r="AM47" i="38"/>
  <c r="AK47" i="38"/>
  <c r="AJ47" i="38"/>
  <c r="AH47" i="38"/>
  <c r="AG47" i="38"/>
  <c r="AE47" i="38"/>
  <c r="AD47" i="38"/>
  <c r="AB47" i="38"/>
  <c r="AA47" i="38"/>
  <c r="Y47" i="38"/>
  <c r="X47" i="38"/>
  <c r="V47" i="38"/>
  <c r="U47" i="38"/>
  <c r="S47" i="38"/>
  <c r="R47" i="38"/>
  <c r="P47" i="38"/>
  <c r="O47" i="38"/>
  <c r="M47" i="38"/>
  <c r="L47" i="38"/>
  <c r="J47" i="38"/>
  <c r="I47" i="38"/>
  <c r="G47" i="38"/>
  <c r="F47" i="38"/>
  <c r="BR46" i="38"/>
  <c r="BQ46" i="38"/>
  <c r="BL46" i="38"/>
  <c r="BK46" i="38"/>
  <c r="BI46" i="38"/>
  <c r="BH46" i="38"/>
  <c r="BF46" i="38"/>
  <c r="BE46" i="38"/>
  <c r="BC46" i="38"/>
  <c r="BB46" i="38"/>
  <c r="BB81" i="38" s="1"/>
  <c r="AZ46" i="38"/>
  <c r="AY46" i="38"/>
  <c r="AW46" i="38"/>
  <c r="AV46" i="38"/>
  <c r="AT46" i="38"/>
  <c r="AS46" i="38"/>
  <c r="AQ46" i="38"/>
  <c r="AP46" i="38"/>
  <c r="AN46" i="38"/>
  <c r="AM46" i="38"/>
  <c r="AK46" i="38"/>
  <c r="AJ46" i="38"/>
  <c r="AJ81" i="38" s="1"/>
  <c r="AH46" i="38"/>
  <c r="AG46" i="38"/>
  <c r="AE46" i="38"/>
  <c r="AD46" i="38"/>
  <c r="AB46" i="38"/>
  <c r="AA46" i="38"/>
  <c r="Y46" i="38"/>
  <c r="X46" i="38"/>
  <c r="V46" i="38"/>
  <c r="U46" i="38"/>
  <c r="S46" i="38"/>
  <c r="R46" i="38"/>
  <c r="P46" i="38"/>
  <c r="O46" i="38"/>
  <c r="M46" i="38"/>
  <c r="L46" i="38"/>
  <c r="J46" i="38"/>
  <c r="I46" i="38"/>
  <c r="G46" i="38"/>
  <c r="F46" i="38"/>
  <c r="BR45" i="38"/>
  <c r="BQ45" i="38"/>
  <c r="BO45" i="38"/>
  <c r="BN45" i="38"/>
  <c r="BL45" i="38"/>
  <c r="BK45" i="38"/>
  <c r="BI45" i="38"/>
  <c r="BH45" i="38"/>
  <c r="BF45" i="38"/>
  <c r="BE45" i="38"/>
  <c r="BC45" i="38"/>
  <c r="BB45" i="38"/>
  <c r="AZ45" i="38"/>
  <c r="AY45" i="38"/>
  <c r="AW45" i="38"/>
  <c r="AV45" i="38"/>
  <c r="AT45" i="38"/>
  <c r="AS45" i="38"/>
  <c r="AQ45" i="38"/>
  <c r="AP45" i="38"/>
  <c r="AN45" i="38"/>
  <c r="AM45" i="38"/>
  <c r="AK45" i="38"/>
  <c r="AJ45" i="38"/>
  <c r="AH45" i="38"/>
  <c r="AG45" i="38"/>
  <c r="AE45" i="38"/>
  <c r="AD45" i="38"/>
  <c r="AB45" i="38"/>
  <c r="AA45" i="38"/>
  <c r="Y45" i="38"/>
  <c r="X45" i="38"/>
  <c r="V45" i="38"/>
  <c r="U45" i="38"/>
  <c r="S45" i="38"/>
  <c r="R45" i="38"/>
  <c r="P45" i="38"/>
  <c r="O45" i="38"/>
  <c r="M45" i="38"/>
  <c r="L45" i="38"/>
  <c r="J45" i="38"/>
  <c r="I45" i="38"/>
  <c r="G45" i="38"/>
  <c r="F45" i="38"/>
  <c r="BR44" i="38"/>
  <c r="BQ44" i="38"/>
  <c r="BO44" i="38"/>
  <c r="BL44" i="38"/>
  <c r="BK44" i="38"/>
  <c r="BI44" i="38"/>
  <c r="BH44" i="38"/>
  <c r="BF44" i="38"/>
  <c r="BE44" i="38"/>
  <c r="BC44" i="38"/>
  <c r="BB44" i="38"/>
  <c r="AZ44" i="38"/>
  <c r="AY44" i="38"/>
  <c r="AW44" i="38"/>
  <c r="AV44" i="38"/>
  <c r="AT44" i="38"/>
  <c r="AS44" i="38"/>
  <c r="AQ44" i="38"/>
  <c r="AP44" i="38"/>
  <c r="AN44" i="38"/>
  <c r="AM44" i="38"/>
  <c r="AK44" i="38"/>
  <c r="AJ44" i="38"/>
  <c r="AH44" i="38"/>
  <c r="AG44" i="38"/>
  <c r="AE44" i="38"/>
  <c r="AD44" i="38"/>
  <c r="AB44" i="38"/>
  <c r="AA44" i="38"/>
  <c r="Y44" i="38"/>
  <c r="X44" i="38"/>
  <c r="V44" i="38"/>
  <c r="U44" i="38"/>
  <c r="S44" i="38"/>
  <c r="R44" i="38"/>
  <c r="P44" i="38"/>
  <c r="O44" i="38"/>
  <c r="M44" i="38"/>
  <c r="L44" i="38"/>
  <c r="J44" i="38"/>
  <c r="I44" i="38"/>
  <c r="G44" i="38"/>
  <c r="F44" i="38"/>
  <c r="BR43" i="38"/>
  <c r="BQ43" i="38"/>
  <c r="BN43" i="38"/>
  <c r="BO43" i="38"/>
  <c r="BL43" i="38"/>
  <c r="BK43" i="38"/>
  <c r="BI43" i="38"/>
  <c r="BH43" i="38"/>
  <c r="BF43" i="38"/>
  <c r="BE43" i="38"/>
  <c r="BC43" i="38"/>
  <c r="BB43" i="38"/>
  <c r="AZ43" i="38"/>
  <c r="AY43" i="38"/>
  <c r="AW43" i="38"/>
  <c r="AV43" i="38"/>
  <c r="AT43" i="38"/>
  <c r="AS43" i="38"/>
  <c r="AQ43" i="38"/>
  <c r="AP43" i="38"/>
  <c r="AN43" i="38"/>
  <c r="AM43" i="38"/>
  <c r="AK43" i="38"/>
  <c r="AJ43" i="38"/>
  <c r="AH43" i="38"/>
  <c r="AG43" i="38"/>
  <c r="AE43" i="38"/>
  <c r="AD43" i="38"/>
  <c r="AB43" i="38"/>
  <c r="AA43" i="38"/>
  <c r="Y43" i="38"/>
  <c r="X43" i="38"/>
  <c r="V43" i="38"/>
  <c r="U43" i="38"/>
  <c r="S43" i="38"/>
  <c r="R43" i="38"/>
  <c r="P43" i="38"/>
  <c r="O43" i="38"/>
  <c r="M43" i="38"/>
  <c r="L43" i="38"/>
  <c r="J43" i="38"/>
  <c r="I43" i="38"/>
  <c r="G43" i="38"/>
  <c r="F43" i="38"/>
  <c r="BR42" i="38"/>
  <c r="BQ42" i="38"/>
  <c r="BL42" i="38"/>
  <c r="BK42" i="38"/>
  <c r="BK81" i="38" s="1"/>
  <c r="BI42" i="38"/>
  <c r="BH42" i="38"/>
  <c r="BF42" i="38"/>
  <c r="BE42" i="38"/>
  <c r="BC42" i="38"/>
  <c r="BB42" i="38"/>
  <c r="AZ42" i="38"/>
  <c r="AY42" i="38"/>
  <c r="AW42" i="38"/>
  <c r="AV42" i="38"/>
  <c r="AV81" i="38" s="1"/>
  <c r="AT42" i="38"/>
  <c r="AS42" i="38"/>
  <c r="AS81" i="38" s="1"/>
  <c r="AQ42" i="38"/>
  <c r="AP42" i="38"/>
  <c r="AN42" i="38"/>
  <c r="AM42" i="38"/>
  <c r="AK42" i="38"/>
  <c r="AJ42" i="38"/>
  <c r="AH42" i="38"/>
  <c r="AG42" i="38"/>
  <c r="AE42" i="38"/>
  <c r="AD42" i="38"/>
  <c r="AD81" i="38" s="1"/>
  <c r="AB42" i="38"/>
  <c r="AA42" i="38"/>
  <c r="AA81" i="38" s="1"/>
  <c r="Y42" i="38"/>
  <c r="X42" i="38"/>
  <c r="V42" i="38"/>
  <c r="U42" i="38"/>
  <c r="S42" i="38"/>
  <c r="R42" i="38"/>
  <c r="P42" i="38"/>
  <c r="O42" i="38"/>
  <c r="M42" i="38"/>
  <c r="L42" i="38"/>
  <c r="L81" i="38" s="1"/>
  <c r="J42" i="38"/>
  <c r="I42" i="38"/>
  <c r="I81" i="38" s="1"/>
  <c r="G42" i="38"/>
  <c r="F42" i="38"/>
  <c r="BR41" i="38"/>
  <c r="BQ41" i="38"/>
  <c r="BQ80" i="38" s="1"/>
  <c r="BO41" i="38"/>
  <c r="BN41" i="38"/>
  <c r="BN80" i="38" s="1"/>
  <c r="BO80" i="38" s="1"/>
  <c r="BL41" i="38"/>
  <c r="BK41" i="38"/>
  <c r="BK80" i="38" s="1"/>
  <c r="BL80" i="38" s="1"/>
  <c r="BI41" i="38"/>
  <c r="BH41" i="38"/>
  <c r="BH80" i="38" s="1"/>
  <c r="BI80" i="38" s="1"/>
  <c r="BF41" i="38"/>
  <c r="BE41" i="38"/>
  <c r="BE80" i="38" s="1"/>
  <c r="BC41" i="38"/>
  <c r="BB41" i="38"/>
  <c r="BB80" i="38" s="1"/>
  <c r="AZ41" i="38"/>
  <c r="AY41" i="38"/>
  <c r="AW41" i="38"/>
  <c r="AV41" i="38"/>
  <c r="AV80" i="38" s="1"/>
  <c r="AW80" i="38" s="1"/>
  <c r="AT41" i="38"/>
  <c r="AS41" i="38"/>
  <c r="AS80" i="38" s="1"/>
  <c r="AT80" i="38" s="1"/>
  <c r="AQ41" i="38"/>
  <c r="AP41" i="38"/>
  <c r="AP80" i="38" s="1"/>
  <c r="AN41" i="38"/>
  <c r="AM41" i="38"/>
  <c r="AM80" i="38" s="1"/>
  <c r="AK41" i="38"/>
  <c r="AJ41" i="38"/>
  <c r="AH41" i="38"/>
  <c r="AG41" i="38"/>
  <c r="AG80" i="38" s="1"/>
  <c r="AE41" i="38"/>
  <c r="AD41" i="38"/>
  <c r="AD80" i="38" s="1"/>
  <c r="AE80" i="38" s="1"/>
  <c r="AB41" i="38"/>
  <c r="AA41" i="38"/>
  <c r="AA80" i="38" s="1"/>
  <c r="AB80" i="38" s="1"/>
  <c r="Y41" i="38"/>
  <c r="X41" i="38"/>
  <c r="X80" i="38" s="1"/>
  <c r="V41" i="38"/>
  <c r="U41" i="38"/>
  <c r="U80" i="38" s="1"/>
  <c r="S41" i="38"/>
  <c r="R41" i="38"/>
  <c r="P41" i="38"/>
  <c r="O41" i="38"/>
  <c r="O80" i="38" s="1"/>
  <c r="M41" i="38"/>
  <c r="L41" i="38"/>
  <c r="L80" i="38" s="1"/>
  <c r="M80" i="38" s="1"/>
  <c r="J41" i="38"/>
  <c r="I41" i="38"/>
  <c r="I80" i="38" s="1"/>
  <c r="J80" i="38" s="1"/>
  <c r="G41" i="38"/>
  <c r="F41" i="38"/>
  <c r="F80" i="38" s="1"/>
  <c r="BR40" i="38"/>
  <c r="BQ40" i="38"/>
  <c r="BQ79" i="38" s="1"/>
  <c r="BO40" i="38"/>
  <c r="BL40" i="38"/>
  <c r="BK40" i="38"/>
  <c r="BK79" i="38" s="1"/>
  <c r="BI40" i="38"/>
  <c r="BH40" i="38"/>
  <c r="BH79" i="38" s="1"/>
  <c r="BF40" i="38"/>
  <c r="BE40" i="38"/>
  <c r="BE79" i="38" s="1"/>
  <c r="BF79" i="38" s="1"/>
  <c r="BC40" i="38"/>
  <c r="BB40" i="38"/>
  <c r="BB79" i="38" s="1"/>
  <c r="AZ40" i="38"/>
  <c r="AY40" i="38"/>
  <c r="AY79" i="38" s="1"/>
  <c r="AW40" i="38"/>
  <c r="AV40" i="38"/>
  <c r="AV79" i="38" s="1"/>
  <c r="AT40" i="38"/>
  <c r="AS40" i="38"/>
  <c r="AS79" i="38" s="1"/>
  <c r="AQ40" i="38"/>
  <c r="AP40" i="38"/>
  <c r="AP79" i="38" s="1"/>
  <c r="AN40" i="38"/>
  <c r="AM40" i="38"/>
  <c r="AM79" i="38" s="1"/>
  <c r="AN79" i="38" s="1"/>
  <c r="AK40" i="38"/>
  <c r="AJ40" i="38"/>
  <c r="AJ79" i="38" s="1"/>
  <c r="AH40" i="38"/>
  <c r="AG40" i="38"/>
  <c r="AE40" i="38"/>
  <c r="AD40" i="38"/>
  <c r="AB40" i="38"/>
  <c r="AA40" i="38"/>
  <c r="AA79" i="38" s="1"/>
  <c r="Y40" i="38"/>
  <c r="X40" i="38"/>
  <c r="X79" i="38" s="1"/>
  <c r="V40" i="38"/>
  <c r="U40" i="38"/>
  <c r="S40" i="38"/>
  <c r="R40" i="38"/>
  <c r="R79" i="38" s="1"/>
  <c r="P40" i="38"/>
  <c r="O40" i="38"/>
  <c r="M40" i="38"/>
  <c r="L40" i="38"/>
  <c r="J40" i="38"/>
  <c r="I40" i="38"/>
  <c r="I79" i="38" s="1"/>
  <c r="G40" i="38"/>
  <c r="F40" i="38"/>
  <c r="BR39" i="38"/>
  <c r="BQ39" i="38"/>
  <c r="BO39" i="38"/>
  <c r="BL39" i="38"/>
  <c r="BK39" i="38"/>
  <c r="BI39" i="38"/>
  <c r="BH39" i="38"/>
  <c r="BF39" i="38"/>
  <c r="BE39" i="38"/>
  <c r="BC39" i="38"/>
  <c r="BB39" i="38"/>
  <c r="AZ39" i="38"/>
  <c r="AY39" i="38"/>
  <c r="AW39" i="38"/>
  <c r="AV39" i="38"/>
  <c r="AV75" i="38" s="1"/>
  <c r="AT39" i="38"/>
  <c r="AS39" i="38"/>
  <c r="AQ39" i="38"/>
  <c r="AP39" i="38"/>
  <c r="AN39" i="38"/>
  <c r="AM39" i="38"/>
  <c r="AK39" i="38"/>
  <c r="AJ39" i="38"/>
  <c r="AH39" i="38"/>
  <c r="AG39" i="38"/>
  <c r="AE39" i="38"/>
  <c r="AD39" i="38"/>
  <c r="AD78" i="38" s="1"/>
  <c r="AE78" i="38" s="1"/>
  <c r="AB39" i="38"/>
  <c r="AA39" i="38"/>
  <c r="Y39" i="38"/>
  <c r="X39" i="38"/>
  <c r="V39" i="38"/>
  <c r="U39" i="38"/>
  <c r="S39" i="38"/>
  <c r="R39" i="38"/>
  <c r="P39" i="38"/>
  <c r="O39" i="38"/>
  <c r="M39" i="38"/>
  <c r="L39" i="38"/>
  <c r="L74" i="38" s="1"/>
  <c r="J39" i="38"/>
  <c r="I39" i="38"/>
  <c r="G39" i="38"/>
  <c r="F39" i="38"/>
  <c r="BR38" i="38"/>
  <c r="BQ38" i="38"/>
  <c r="BL38" i="38"/>
  <c r="BK38" i="38"/>
  <c r="BI38" i="38"/>
  <c r="BH38" i="38"/>
  <c r="BF38" i="38"/>
  <c r="BE38" i="38"/>
  <c r="BC38" i="38"/>
  <c r="BB38" i="38"/>
  <c r="AZ38" i="38"/>
  <c r="AY38" i="38"/>
  <c r="AW38" i="38"/>
  <c r="AV38" i="38"/>
  <c r="AT38" i="38"/>
  <c r="AS38" i="38"/>
  <c r="AQ38" i="38"/>
  <c r="AP38" i="38"/>
  <c r="AN38" i="38"/>
  <c r="AM38" i="38"/>
  <c r="AK38" i="38"/>
  <c r="AJ38" i="38"/>
  <c r="AH38" i="38"/>
  <c r="AG38" i="38"/>
  <c r="AE38" i="38"/>
  <c r="AD38" i="38"/>
  <c r="AB38" i="38"/>
  <c r="AA38" i="38"/>
  <c r="Y38" i="38"/>
  <c r="X38" i="38"/>
  <c r="V38" i="38"/>
  <c r="U38" i="38"/>
  <c r="S38" i="38"/>
  <c r="R38" i="38"/>
  <c r="P38" i="38"/>
  <c r="O38" i="38"/>
  <c r="M38" i="38"/>
  <c r="L38" i="38"/>
  <c r="J38" i="38"/>
  <c r="I38" i="38"/>
  <c r="G38" i="38"/>
  <c r="F38" i="38"/>
  <c r="BR37" i="38"/>
  <c r="BQ37" i="38"/>
  <c r="BO37" i="38"/>
  <c r="BN37" i="38"/>
  <c r="BL37" i="38"/>
  <c r="BK37" i="38"/>
  <c r="BI37" i="38"/>
  <c r="BH37" i="38"/>
  <c r="BF37" i="38"/>
  <c r="BE37" i="38"/>
  <c r="BC37" i="38"/>
  <c r="BB37" i="38"/>
  <c r="AZ37" i="38"/>
  <c r="AY37" i="38"/>
  <c r="AW37" i="38"/>
  <c r="AV37" i="38"/>
  <c r="AT37" i="38"/>
  <c r="AS37" i="38"/>
  <c r="AQ37" i="38"/>
  <c r="AP37" i="38"/>
  <c r="AN37" i="38"/>
  <c r="AM37" i="38"/>
  <c r="AK37" i="38"/>
  <c r="AJ37" i="38"/>
  <c r="AH37" i="38"/>
  <c r="AG37" i="38"/>
  <c r="AE37" i="38"/>
  <c r="AD37" i="38"/>
  <c r="AB37" i="38"/>
  <c r="AA37" i="38"/>
  <c r="Y37" i="38"/>
  <c r="X37" i="38"/>
  <c r="V37" i="38"/>
  <c r="U37" i="38"/>
  <c r="S37" i="38"/>
  <c r="R37" i="38"/>
  <c r="P37" i="38"/>
  <c r="O37" i="38"/>
  <c r="M37" i="38"/>
  <c r="L37" i="38"/>
  <c r="J37" i="38"/>
  <c r="I37" i="38"/>
  <c r="G37" i="38"/>
  <c r="F37" i="38"/>
  <c r="BR36" i="38"/>
  <c r="BQ36" i="38"/>
  <c r="BO36" i="38"/>
  <c r="BL36" i="38"/>
  <c r="BK36" i="38"/>
  <c r="BI36" i="38"/>
  <c r="BH36" i="38"/>
  <c r="BF36" i="38"/>
  <c r="BE36" i="38"/>
  <c r="BC36" i="38"/>
  <c r="BB36" i="38"/>
  <c r="BB76" i="38" s="1"/>
  <c r="AZ36" i="38"/>
  <c r="AY36" i="38"/>
  <c r="AW36" i="38"/>
  <c r="AV36" i="38"/>
  <c r="AT36" i="38"/>
  <c r="AS36" i="38"/>
  <c r="AQ36" i="38"/>
  <c r="AP36" i="38"/>
  <c r="AN36" i="38"/>
  <c r="AM36" i="38"/>
  <c r="AK36" i="38"/>
  <c r="AJ36" i="38"/>
  <c r="AJ78" i="38" s="1"/>
  <c r="AK78" i="38" s="1"/>
  <c r="AH36" i="38"/>
  <c r="AG36" i="38"/>
  <c r="AE36" i="38"/>
  <c r="AD36" i="38"/>
  <c r="AB36" i="38"/>
  <c r="AA36" i="38"/>
  <c r="AA75" i="38" s="1"/>
  <c r="Y36" i="38"/>
  <c r="X36" i="38"/>
  <c r="V36" i="38"/>
  <c r="U36" i="38"/>
  <c r="S36" i="38"/>
  <c r="R36" i="38"/>
  <c r="R76" i="38" s="1"/>
  <c r="P36" i="38"/>
  <c r="O36" i="38"/>
  <c r="M36" i="38"/>
  <c r="L36" i="38"/>
  <c r="J36" i="38"/>
  <c r="I36" i="38"/>
  <c r="G36" i="38"/>
  <c r="F36" i="38"/>
  <c r="BR35" i="38"/>
  <c r="BQ35" i="38"/>
  <c r="BQ76" i="38" s="1"/>
  <c r="BO35" i="38"/>
  <c r="BN35" i="38"/>
  <c r="BL35" i="38"/>
  <c r="BK35" i="38"/>
  <c r="BI35" i="38"/>
  <c r="BH35" i="38"/>
  <c r="BF35" i="38"/>
  <c r="BE35" i="38"/>
  <c r="BC35" i="38"/>
  <c r="BB35" i="38"/>
  <c r="AZ35" i="38"/>
  <c r="AY35" i="38"/>
  <c r="AY74" i="38" s="1"/>
  <c r="AW35" i="38"/>
  <c r="AV35" i="38"/>
  <c r="AV78" i="38" s="1"/>
  <c r="AW78" i="38" s="1"/>
  <c r="AT35" i="38"/>
  <c r="AS35" i="38"/>
  <c r="AQ35" i="38"/>
  <c r="AP35" i="38"/>
  <c r="AN35" i="38"/>
  <c r="AM35" i="38"/>
  <c r="AK35" i="38"/>
  <c r="AJ35" i="38"/>
  <c r="AH35" i="38"/>
  <c r="AG35" i="38"/>
  <c r="AG76" i="38" s="1"/>
  <c r="AE35" i="38"/>
  <c r="AD35" i="38"/>
  <c r="AB35" i="38"/>
  <c r="AA35" i="38"/>
  <c r="Y35" i="38"/>
  <c r="X35" i="38"/>
  <c r="X75" i="38" s="1"/>
  <c r="V35" i="38"/>
  <c r="U35" i="38"/>
  <c r="S35" i="38"/>
  <c r="R35" i="38"/>
  <c r="P35" i="38"/>
  <c r="O35" i="38"/>
  <c r="O76" i="38" s="1"/>
  <c r="M35" i="38"/>
  <c r="L35" i="38"/>
  <c r="J35" i="38"/>
  <c r="I35" i="38"/>
  <c r="G35" i="38"/>
  <c r="F35" i="38"/>
  <c r="D128" i="37"/>
  <c r="D80" i="37"/>
  <c r="D74" i="37"/>
  <c r="D68" i="37"/>
  <c r="D64" i="37"/>
  <c r="D61" i="37"/>
  <c r="D54" i="37"/>
  <c r="D43" i="37"/>
  <c r="F30" i="37"/>
  <c r="D128" i="36"/>
  <c r="D80" i="36"/>
  <c r="D79" i="36"/>
  <c r="D74" i="36"/>
  <c r="D68" i="36"/>
  <c r="D67" i="36"/>
  <c r="D61" i="36"/>
  <c r="D54" i="36"/>
  <c r="D49" i="36"/>
  <c r="D43" i="36"/>
  <c r="D42" i="36"/>
  <c r="D128" i="35"/>
  <c r="D80" i="35"/>
  <c r="D79" i="35"/>
  <c r="D74" i="35"/>
  <c r="D73" i="35"/>
  <c r="D64" i="35"/>
  <c r="D61" i="35"/>
  <c r="D60" i="35"/>
  <c r="D54" i="35"/>
  <c r="D48" i="35"/>
  <c r="D43" i="35"/>
  <c r="D42" i="35"/>
  <c r="F35" i="35"/>
  <c r="D128" i="34"/>
  <c r="D77" i="34"/>
  <c r="D70" i="34"/>
  <c r="D66" i="34"/>
  <c r="D65" i="34"/>
  <c r="D64" i="34"/>
  <c r="D128" i="33"/>
  <c r="S112" i="33"/>
  <c r="R95" i="33"/>
  <c r="S90" i="33"/>
  <c r="R89" i="33"/>
  <c r="V80" i="33"/>
  <c r="W80" i="33" s="1"/>
  <c r="T80" i="33"/>
  <c r="U80" i="33" s="1"/>
  <c r="D77" i="33"/>
  <c r="C40" i="32" s="1"/>
  <c r="X76" i="33"/>
  <c r="Y76" i="33" s="1"/>
  <c r="S122" i="33"/>
  <c r="R122" i="33"/>
  <c r="D76" i="33"/>
  <c r="C39" i="32" s="1"/>
  <c r="T75" i="33"/>
  <c r="U75" i="33" s="1"/>
  <c r="F75" i="33"/>
  <c r="R119" i="33"/>
  <c r="F72" i="33"/>
  <c r="F106" i="33" s="1"/>
  <c r="S115" i="33"/>
  <c r="F69" i="33"/>
  <c r="F103" i="33" s="1"/>
  <c r="D68" i="33"/>
  <c r="C31" i="32" s="1"/>
  <c r="D67" i="33"/>
  <c r="C30" i="32" s="1"/>
  <c r="F66" i="33"/>
  <c r="D65" i="33"/>
  <c r="C28" i="32" s="1"/>
  <c r="D64" i="33"/>
  <c r="C27" i="32" s="1"/>
  <c r="T58" i="33"/>
  <c r="U58" i="33" s="1"/>
  <c r="T56" i="33"/>
  <c r="U56" i="33" s="1"/>
  <c r="D54" i="33"/>
  <c r="C17" i="32" s="1"/>
  <c r="R98" i="33"/>
  <c r="T52" i="33"/>
  <c r="U52" i="33" s="1"/>
  <c r="X52" i="33"/>
  <c r="Y52" i="33" s="1"/>
  <c r="V52" i="33"/>
  <c r="W52" i="33" s="1"/>
  <c r="F46" i="33"/>
  <c r="D9" i="32" s="1"/>
  <c r="D46" i="33"/>
  <c r="C9" i="32" s="1"/>
  <c r="X45" i="33"/>
  <c r="Y45" i="33" s="1"/>
  <c r="T42" i="33"/>
  <c r="U42" i="33" s="1"/>
  <c r="AJ43" i="32"/>
  <c r="AJ42" i="32"/>
  <c r="AJ41" i="32"/>
  <c r="AJ40" i="32"/>
  <c r="AJ39" i="32"/>
  <c r="AJ38" i="32"/>
  <c r="AJ37" i="32"/>
  <c r="AJ36" i="32"/>
  <c r="AJ35" i="32"/>
  <c r="AJ34" i="32"/>
  <c r="AJ33" i="32"/>
  <c r="AJ32" i="32"/>
  <c r="D32" i="32"/>
  <c r="AJ31" i="32"/>
  <c r="AJ30" i="32"/>
  <c r="AJ29" i="32"/>
  <c r="AJ28" i="32"/>
  <c r="AJ27" i="32"/>
  <c r="AJ26" i="32"/>
  <c r="AJ25" i="32"/>
  <c r="AJ24" i="32"/>
  <c r="AJ23" i="32"/>
  <c r="AJ22" i="32"/>
  <c r="AJ21" i="32"/>
  <c r="AJ20" i="32"/>
  <c r="AJ19" i="32"/>
  <c r="AJ18" i="32"/>
  <c r="AJ17" i="32"/>
  <c r="AJ16" i="32"/>
  <c r="AJ15" i="32"/>
  <c r="AJ14" i="32"/>
  <c r="AJ13" i="32"/>
  <c r="AJ12" i="32"/>
  <c r="AJ11" i="32"/>
  <c r="AJ10" i="32"/>
  <c r="AJ9" i="32"/>
  <c r="AJ8" i="32"/>
  <c r="AJ7" i="32"/>
  <c r="AJ6" i="32"/>
  <c r="AJ5" i="32"/>
  <c r="O38" i="37" l="1"/>
  <c r="O33" i="36"/>
  <c r="D72" i="34"/>
  <c r="Y83" i="38"/>
  <c r="D35" i="37"/>
  <c r="D33" i="37"/>
  <c r="BI79" i="38"/>
  <c r="BF83" i="38"/>
  <c r="G79" i="38"/>
  <c r="X53" i="33"/>
  <c r="Y53" i="33" s="1"/>
  <c r="O33" i="34"/>
  <c r="O38" i="34" s="1"/>
  <c r="S120" i="33"/>
  <c r="BR80" i="38"/>
  <c r="O30" i="36"/>
  <c r="S123" i="33"/>
  <c r="J79" i="38"/>
  <c r="AT79" i="38"/>
  <c r="BL79" i="38"/>
  <c r="AQ81" i="38"/>
  <c r="BI81" i="38"/>
  <c r="BR82" i="38"/>
  <c r="G83" i="38"/>
  <c r="G86" i="38"/>
  <c r="O31" i="35"/>
  <c r="O34" i="36"/>
  <c r="D78" i="37"/>
  <c r="BC80" i="38"/>
  <c r="P83" i="38"/>
  <c r="AH83" i="38"/>
  <c r="AZ83" i="38"/>
  <c r="M79" i="38"/>
  <c r="S80" i="38"/>
  <c r="D34" i="37"/>
  <c r="O34" i="33"/>
  <c r="D34" i="33" s="1"/>
  <c r="Y79" i="38"/>
  <c r="U78" i="38"/>
  <c r="V78" i="38" s="1"/>
  <c r="AW79" i="38"/>
  <c r="AK81" i="38"/>
  <c r="BC81" i="38"/>
  <c r="BL83" i="38"/>
  <c r="AB86" i="38"/>
  <c r="AT86" i="38"/>
  <c r="BL86" i="38"/>
  <c r="P79" i="38"/>
  <c r="X42" i="33"/>
  <c r="Y42" i="33" s="1"/>
  <c r="F73" i="33"/>
  <c r="D36" i="32" s="1"/>
  <c r="E36" i="32" s="1"/>
  <c r="F36" i="32" s="1"/>
  <c r="O28" i="35"/>
  <c r="O35" i="35"/>
  <c r="O31" i="36"/>
  <c r="D31" i="36" s="1"/>
  <c r="BR79" i="38"/>
  <c r="V80" i="38"/>
  <c r="AN80" i="38"/>
  <c r="BF80" i="38"/>
  <c r="J81" i="38"/>
  <c r="AB81" i="38"/>
  <c r="AT81" i="38"/>
  <c r="BL81" i="38"/>
  <c r="V79" i="38"/>
  <c r="AQ86" i="38"/>
  <c r="O32" i="35"/>
  <c r="O35" i="36"/>
  <c r="AN83" i="38"/>
  <c r="AM74" i="38"/>
  <c r="AZ79" i="38"/>
  <c r="AE83" i="38"/>
  <c r="AW83" i="38"/>
  <c r="M86" i="38"/>
  <c r="BR86" i="38"/>
  <c r="AN86" i="38"/>
  <c r="D37" i="37"/>
  <c r="P80" i="38"/>
  <c r="Y80" i="38"/>
  <c r="M81" i="38"/>
  <c r="AW81" i="38"/>
  <c r="AB79" i="38"/>
  <c r="AZ80" i="38"/>
  <c r="D33" i="36"/>
  <c r="X80" i="33"/>
  <c r="Y80" i="33" s="1"/>
  <c r="O28" i="36"/>
  <c r="O32" i="36"/>
  <c r="O37" i="33"/>
  <c r="D37" i="33" s="1"/>
  <c r="G37" i="33" s="1"/>
  <c r="H37" i="33" s="1"/>
  <c r="O38" i="36"/>
  <c r="AQ79" i="38"/>
  <c r="V83" i="38"/>
  <c r="D71" i="36"/>
  <c r="BE78" i="38"/>
  <c r="BF78" i="38" s="1"/>
  <c r="AH80" i="38"/>
  <c r="D42" i="33"/>
  <c r="C5" i="32" s="1"/>
  <c r="G80" i="38"/>
  <c r="AQ80" i="38"/>
  <c r="AE81" i="38"/>
  <c r="S79" i="38"/>
  <c r="AK79" i="38"/>
  <c r="BC79" i="38"/>
  <c r="BI86" i="38"/>
  <c r="AE79" i="38"/>
  <c r="AZ82" i="38"/>
  <c r="D33" i="35"/>
  <c r="O36" i="35"/>
  <c r="S28" i="33"/>
  <c r="F51" i="33"/>
  <c r="F126" i="33" s="1"/>
  <c r="AA86" i="39"/>
  <c r="AB86" i="39" s="1"/>
  <c r="U87" i="39"/>
  <c r="V87" i="39" s="1"/>
  <c r="AA89" i="39"/>
  <c r="AB89" i="39" s="1"/>
  <c r="AB88" i="39"/>
  <c r="R29" i="36"/>
  <c r="N32" i="36"/>
  <c r="R35" i="37"/>
  <c r="S82" i="39"/>
  <c r="F85" i="39"/>
  <c r="G85" i="39" s="1"/>
  <c r="O89" i="39"/>
  <c r="P89" i="39" s="1"/>
  <c r="F31" i="33"/>
  <c r="R28" i="35"/>
  <c r="F28" i="35" s="1"/>
  <c r="N31" i="35"/>
  <c r="D31" i="35" s="1"/>
  <c r="R34" i="36"/>
  <c r="F34" i="36" s="1"/>
  <c r="N37" i="36"/>
  <c r="D37" i="36" s="1"/>
  <c r="R28" i="37"/>
  <c r="F28" i="37" s="1"/>
  <c r="N31" i="37"/>
  <c r="D31" i="37" s="1"/>
  <c r="U84" i="39"/>
  <c r="V84" i="39" s="1"/>
  <c r="L84" i="39"/>
  <c r="M84" i="39" s="1"/>
  <c r="D59" i="33"/>
  <c r="C22" i="32" s="1"/>
  <c r="D35" i="34"/>
  <c r="R33" i="35"/>
  <c r="F33" i="35" s="1"/>
  <c r="N36" i="35"/>
  <c r="N30" i="36"/>
  <c r="D30" i="36" s="1"/>
  <c r="R33" i="37"/>
  <c r="N36" i="37"/>
  <c r="D36" i="37" s="1"/>
  <c r="R35" i="33"/>
  <c r="R80" i="39"/>
  <c r="S80" i="39" s="1"/>
  <c r="V82" i="39"/>
  <c r="F88" i="39"/>
  <c r="G88" i="39" s="1"/>
  <c r="D45" i="34"/>
  <c r="D57" i="34"/>
  <c r="F35" i="33"/>
  <c r="N29" i="35"/>
  <c r="D29" i="35" s="1"/>
  <c r="R32" i="36"/>
  <c r="F32" i="36" s="1"/>
  <c r="N35" i="36"/>
  <c r="D35" i="36" s="1"/>
  <c r="N29" i="37"/>
  <c r="S100" i="33"/>
  <c r="U85" i="39"/>
  <c r="V85" i="39" s="1"/>
  <c r="U86" i="39"/>
  <c r="V86" i="39" s="1"/>
  <c r="R31" i="35"/>
  <c r="F31" i="35" s="1"/>
  <c r="F36" i="35"/>
  <c r="R31" i="37"/>
  <c r="F36" i="37"/>
  <c r="G36" i="37" s="1"/>
  <c r="H36" i="37" s="1"/>
  <c r="R33" i="33"/>
  <c r="F33" i="33" s="1"/>
  <c r="F45" i="33"/>
  <c r="S97" i="33"/>
  <c r="F60" i="33"/>
  <c r="D23" i="32" s="1"/>
  <c r="D28" i="35"/>
  <c r="F29" i="36"/>
  <c r="R36" i="36"/>
  <c r="O83" i="39"/>
  <c r="P83" i="39" s="1"/>
  <c r="F84" i="39"/>
  <c r="G84" i="39" s="1"/>
  <c r="AA84" i="39"/>
  <c r="AB84" i="39" s="1"/>
  <c r="R85" i="39"/>
  <c r="S85" i="39" s="1"/>
  <c r="T32" i="32"/>
  <c r="G82" i="39"/>
  <c r="D29" i="34"/>
  <c r="F29" i="33"/>
  <c r="R36" i="35"/>
  <c r="F35" i="36"/>
  <c r="O76" i="39"/>
  <c r="R83" i="39"/>
  <c r="S83" i="39" s="1"/>
  <c r="I83" i="39"/>
  <c r="J83" i="39" s="1"/>
  <c r="R84" i="39"/>
  <c r="S84" i="39" s="1"/>
  <c r="F86" i="39"/>
  <c r="G86" i="39" s="1"/>
  <c r="D30" i="34"/>
  <c r="D36" i="34"/>
  <c r="R29" i="35"/>
  <c r="F29" i="35" s="1"/>
  <c r="G29" i="35" s="1"/>
  <c r="H29" i="35" s="1"/>
  <c r="N32" i="35"/>
  <c r="D32" i="35" s="1"/>
  <c r="N83" i="35"/>
  <c r="F28" i="36"/>
  <c r="F34" i="37"/>
  <c r="G34" i="37" s="1"/>
  <c r="H34" i="37" s="1"/>
  <c r="R31" i="33"/>
  <c r="F78" i="39"/>
  <c r="X86" i="39"/>
  <c r="Y86" i="39" s="1"/>
  <c r="L89" i="39"/>
  <c r="M89" i="39" s="1"/>
  <c r="S93" i="33"/>
  <c r="S96" i="33"/>
  <c r="S102" i="33"/>
  <c r="S105" i="33"/>
  <c r="R115" i="33"/>
  <c r="R34" i="35"/>
  <c r="F34" i="35" s="1"/>
  <c r="G34" i="35" s="1"/>
  <c r="H34" i="35" s="1"/>
  <c r="N37" i="35"/>
  <c r="D37" i="35" s="1"/>
  <c r="U83" i="39"/>
  <c r="V83" i="39" s="1"/>
  <c r="D32" i="36"/>
  <c r="G32" i="36" s="1"/>
  <c r="H32" i="36" s="1"/>
  <c r="D47" i="37"/>
  <c r="D59" i="37"/>
  <c r="N30" i="35"/>
  <c r="D30" i="35" s="1"/>
  <c r="R32" i="33"/>
  <c r="F32" i="33" s="1"/>
  <c r="N28" i="34"/>
  <c r="I80" i="39"/>
  <c r="J80" i="39" s="1"/>
  <c r="F75" i="39"/>
  <c r="M82" i="39"/>
  <c r="P88" i="39"/>
  <c r="I78" i="39"/>
  <c r="D32" i="37"/>
  <c r="G32" i="37" s="1"/>
  <c r="H32" i="37" s="1"/>
  <c r="D72" i="37"/>
  <c r="N83" i="33"/>
  <c r="F30" i="33"/>
  <c r="R32" i="35"/>
  <c r="F32" i="35" s="1"/>
  <c r="N35" i="35"/>
  <c r="D35" i="35" s="1"/>
  <c r="G35" i="35" s="1"/>
  <c r="H35" i="35" s="1"/>
  <c r="D30" i="33"/>
  <c r="F37" i="33"/>
  <c r="D43" i="34"/>
  <c r="D55" i="34"/>
  <c r="D61" i="34"/>
  <c r="D74" i="34"/>
  <c r="D55" i="36"/>
  <c r="D65" i="37"/>
  <c r="D77" i="37"/>
  <c r="L46" i="40"/>
  <c r="L71" i="40"/>
  <c r="D52" i="35"/>
  <c r="L55" i="40"/>
  <c r="T79" i="33"/>
  <c r="U79" i="33" s="1"/>
  <c r="D44" i="36"/>
  <c r="D62" i="36"/>
  <c r="D75" i="36"/>
  <c r="D49" i="33"/>
  <c r="C12" i="32" s="1"/>
  <c r="R113" i="33"/>
  <c r="R125" i="33"/>
  <c r="D44" i="34"/>
  <c r="D50" i="34"/>
  <c r="D56" i="34"/>
  <c r="D53" i="37"/>
  <c r="K86" i="40"/>
  <c r="D51" i="34"/>
  <c r="M33" i="33"/>
  <c r="D33" i="33" s="1"/>
  <c r="D67" i="37"/>
  <c r="D32" i="33"/>
  <c r="M81" i="35"/>
  <c r="M84" i="35" s="1"/>
  <c r="D52" i="34"/>
  <c r="D58" i="34"/>
  <c r="D71" i="34"/>
  <c r="L39" i="40"/>
  <c r="M83" i="35"/>
  <c r="D44" i="35"/>
  <c r="D56" i="35"/>
  <c r="D44" i="37"/>
  <c r="D50" i="37"/>
  <c r="D62" i="37"/>
  <c r="L47" i="40"/>
  <c r="L72" i="40"/>
  <c r="D44" i="33"/>
  <c r="C7" i="32" s="1"/>
  <c r="T78" i="33"/>
  <c r="U78" i="33" s="1"/>
  <c r="D60" i="34"/>
  <c r="D76" i="35"/>
  <c r="D73" i="36"/>
  <c r="D70" i="37"/>
  <c r="D76" i="37"/>
  <c r="K87" i="40"/>
  <c r="D28" i="34"/>
  <c r="D32" i="34"/>
  <c r="D34" i="34"/>
  <c r="N38" i="33"/>
  <c r="D79" i="37"/>
  <c r="D42" i="37"/>
  <c r="D57" i="37"/>
  <c r="D69" i="37"/>
  <c r="D30" i="37"/>
  <c r="G30" i="37" s="1"/>
  <c r="H30" i="37" s="1"/>
  <c r="D46" i="37"/>
  <c r="D58" i="37"/>
  <c r="G37" i="36"/>
  <c r="H37" i="36" s="1"/>
  <c r="D56" i="36"/>
  <c r="D29" i="36"/>
  <c r="D62" i="35"/>
  <c r="D77" i="35"/>
  <c r="D69" i="35"/>
  <c r="D58" i="35"/>
  <c r="D70" i="35"/>
  <c r="D59" i="35"/>
  <c r="D75" i="34"/>
  <c r="T7" i="32"/>
  <c r="D7" i="32"/>
  <c r="D22" i="32"/>
  <c r="T22" i="32"/>
  <c r="F105" i="33"/>
  <c r="T8" i="32"/>
  <c r="F122" i="33"/>
  <c r="T23" i="32"/>
  <c r="T27" i="32"/>
  <c r="D27" i="32"/>
  <c r="F101" i="33"/>
  <c r="D12" i="32"/>
  <c r="T15" i="32"/>
  <c r="D15" i="32"/>
  <c r="D14" i="32"/>
  <c r="V79" i="33"/>
  <c r="W79" i="33" s="1"/>
  <c r="S91" i="33"/>
  <c r="S98" i="33"/>
  <c r="R105" i="33"/>
  <c r="T37" i="32"/>
  <c r="U37" i="32" s="1"/>
  <c r="V37" i="32" s="1"/>
  <c r="T14" i="32"/>
  <c r="S99" i="33"/>
  <c r="D17" i="32"/>
  <c r="U17" i="32" s="1"/>
  <c r="V17" i="32" s="1"/>
  <c r="F56" i="33"/>
  <c r="F97" i="33" s="1"/>
  <c r="D75" i="33"/>
  <c r="C38" i="32" s="1"/>
  <c r="D58" i="33"/>
  <c r="C21" i="32" s="1"/>
  <c r="D53" i="33"/>
  <c r="C16" i="32" s="1"/>
  <c r="D66" i="33"/>
  <c r="C29" i="32" s="1"/>
  <c r="D78" i="33"/>
  <c r="C41" i="32" s="1"/>
  <c r="D35" i="32"/>
  <c r="D72" i="33"/>
  <c r="C35" i="32" s="1"/>
  <c r="D43" i="33"/>
  <c r="C6" i="32" s="1"/>
  <c r="V56" i="33"/>
  <c r="W56" i="33" s="1"/>
  <c r="D74" i="33"/>
  <c r="C37" i="32" s="1"/>
  <c r="V45" i="33"/>
  <c r="W45" i="33" s="1"/>
  <c r="D56" i="33"/>
  <c r="C19" i="32" s="1"/>
  <c r="D55" i="33"/>
  <c r="C18" i="32" s="1"/>
  <c r="D28" i="33"/>
  <c r="D45" i="33"/>
  <c r="C8" i="32" s="1"/>
  <c r="D70" i="33"/>
  <c r="C33" i="32" s="1"/>
  <c r="D48" i="33"/>
  <c r="C11" i="32" s="1"/>
  <c r="D29" i="37"/>
  <c r="D52" i="36"/>
  <c r="G35" i="36"/>
  <c r="H35" i="36" s="1"/>
  <c r="D57" i="36"/>
  <c r="G32" i="35"/>
  <c r="H32" i="35" s="1"/>
  <c r="D57" i="35"/>
  <c r="D45" i="35"/>
  <c r="D47" i="35"/>
  <c r="D69" i="34"/>
  <c r="G59" i="33"/>
  <c r="H59" i="33" s="1"/>
  <c r="G121" i="33" s="1"/>
  <c r="I121" i="33" s="1"/>
  <c r="T46" i="33"/>
  <c r="U46" i="33" s="1"/>
  <c r="D61" i="33"/>
  <c r="C24" i="32" s="1"/>
  <c r="E9" i="32"/>
  <c r="F9" i="32" s="1"/>
  <c r="U7" i="32"/>
  <c r="V7" i="32" s="1"/>
  <c r="D36" i="33"/>
  <c r="I82" i="38"/>
  <c r="J82" i="38" s="1"/>
  <c r="AA82" i="38"/>
  <c r="AB82" i="38" s="1"/>
  <c r="AS82" i="38"/>
  <c r="AT82" i="38" s="1"/>
  <c r="BK82" i="38"/>
  <c r="BL82" i="38" s="1"/>
  <c r="BE86" i="38"/>
  <c r="BF86" i="38" s="1"/>
  <c r="R73" i="38"/>
  <c r="U77" i="39"/>
  <c r="U75" i="39"/>
  <c r="U78" i="39"/>
  <c r="U80" i="39"/>
  <c r="V80" i="39" s="1"/>
  <c r="U76" i="39"/>
  <c r="F77" i="40"/>
  <c r="F80" i="40"/>
  <c r="G80" i="40" s="1"/>
  <c r="F76" i="40"/>
  <c r="F75" i="40"/>
  <c r="L54" i="40"/>
  <c r="M54" i="40"/>
  <c r="U73" i="38"/>
  <c r="AM73" i="38"/>
  <c r="BE75" i="38"/>
  <c r="O81" i="38"/>
  <c r="P81" i="38" s="1"/>
  <c r="BQ81" i="38"/>
  <c r="BR81" i="38" s="1"/>
  <c r="R83" i="38"/>
  <c r="S83" i="38" s="1"/>
  <c r="AJ83" i="38"/>
  <c r="AK83" i="38" s="1"/>
  <c r="BB83" i="38"/>
  <c r="BC83" i="38" s="1"/>
  <c r="L83" i="38"/>
  <c r="M83" i="38" s="1"/>
  <c r="BO54" i="38"/>
  <c r="BN54" i="38"/>
  <c r="BM83" i="38"/>
  <c r="BH87" i="38"/>
  <c r="BI87" i="38" s="1"/>
  <c r="K88" i="40"/>
  <c r="M66" i="40"/>
  <c r="L66" i="40"/>
  <c r="L88" i="40" s="1"/>
  <c r="M88" i="40" s="1"/>
  <c r="I76" i="38"/>
  <c r="I78" i="38"/>
  <c r="J78" i="38" s="1"/>
  <c r="I73" i="38"/>
  <c r="AA78" i="38"/>
  <c r="AB78" i="38" s="1"/>
  <c r="AA74" i="38"/>
  <c r="AS78" i="38"/>
  <c r="AT78" i="38" s="1"/>
  <c r="AS76" i="38"/>
  <c r="BK73" i="38"/>
  <c r="BK78" i="38"/>
  <c r="BL78" i="38" s="1"/>
  <c r="BK74" i="38"/>
  <c r="AS75" i="38"/>
  <c r="L86" i="40"/>
  <c r="M86" i="40" s="1"/>
  <c r="F74" i="38"/>
  <c r="F76" i="38"/>
  <c r="F78" i="38"/>
  <c r="G78" i="38" s="1"/>
  <c r="F73" i="38"/>
  <c r="X73" i="38"/>
  <c r="X76" i="38"/>
  <c r="X78" i="38"/>
  <c r="Y78" i="38" s="1"/>
  <c r="X74" i="38"/>
  <c r="AP73" i="38"/>
  <c r="AP74" i="38"/>
  <c r="AP75" i="38"/>
  <c r="AP78" i="38"/>
  <c r="AQ78" i="38" s="1"/>
  <c r="AP76" i="38"/>
  <c r="BH78" i="38"/>
  <c r="BI78" i="38" s="1"/>
  <c r="BH76" i="38"/>
  <c r="BH73" i="38"/>
  <c r="BH74" i="38"/>
  <c r="BO62" i="38"/>
  <c r="BN62" i="38"/>
  <c r="L78" i="38"/>
  <c r="M78" i="38" s="1"/>
  <c r="I85" i="40"/>
  <c r="J85" i="40" s="1"/>
  <c r="BN39" i="38"/>
  <c r="BO42" i="38"/>
  <c r="BN42" i="38"/>
  <c r="BN59" i="38"/>
  <c r="AA73" i="38"/>
  <c r="BH75" i="38"/>
  <c r="I74" i="38"/>
  <c r="AA76" i="38"/>
  <c r="BK76" i="38"/>
  <c r="BM87" i="38"/>
  <c r="BO67" i="38"/>
  <c r="O74" i="38"/>
  <c r="BK75" i="38"/>
  <c r="Y36" i="39"/>
  <c r="X36" i="39"/>
  <c r="O75" i="39"/>
  <c r="X49" i="39"/>
  <c r="X84" i="39" s="1"/>
  <c r="Y84" i="39" s="1"/>
  <c r="W84" i="39"/>
  <c r="Y49" i="39"/>
  <c r="O77" i="40"/>
  <c r="O76" i="40"/>
  <c r="O80" i="40"/>
  <c r="P80" i="40" s="1"/>
  <c r="O75" i="40"/>
  <c r="O78" i="40"/>
  <c r="M38" i="40"/>
  <c r="L38" i="40"/>
  <c r="M53" i="40"/>
  <c r="L53" i="40"/>
  <c r="K85" i="40"/>
  <c r="AG81" i="38"/>
  <c r="AH81" i="38" s="1"/>
  <c r="BO50" i="38"/>
  <c r="BN50" i="38"/>
  <c r="BN67" i="38"/>
  <c r="AJ74" i="38"/>
  <c r="L75" i="39"/>
  <c r="L80" i="39"/>
  <c r="M80" i="39" s="1"/>
  <c r="J86" i="40"/>
  <c r="AY81" i="38"/>
  <c r="AZ81" i="38" s="1"/>
  <c r="L75" i="38"/>
  <c r="L76" i="38"/>
  <c r="L73" i="38"/>
  <c r="AD76" i="38"/>
  <c r="AD74" i="38"/>
  <c r="AD73" i="38"/>
  <c r="AD75" i="38"/>
  <c r="AV74" i="38"/>
  <c r="AV76" i="38"/>
  <c r="BM78" i="38"/>
  <c r="BN47" i="38"/>
  <c r="I83" i="38"/>
  <c r="J83" i="38" s="1"/>
  <c r="AA83" i="38"/>
  <c r="AB83" i="38" s="1"/>
  <c r="AS83" i="38"/>
  <c r="AT83" i="38" s="1"/>
  <c r="BM81" i="38"/>
  <c r="Y73" i="39"/>
  <c r="X73" i="39"/>
  <c r="I84" i="40"/>
  <c r="J84" i="40" s="1"/>
  <c r="R74" i="38"/>
  <c r="BO38" i="38"/>
  <c r="BN38" i="38"/>
  <c r="BN75" i="38" s="1"/>
  <c r="R81" i="38"/>
  <c r="S81" i="38" s="1"/>
  <c r="U82" i="38"/>
  <c r="V82" i="38" s="1"/>
  <c r="AM82" i="38"/>
  <c r="AN82" i="38" s="1"/>
  <c r="BE82" i="38"/>
  <c r="BF82" i="38" s="1"/>
  <c r="L84" i="38"/>
  <c r="M84" i="38" s="1"/>
  <c r="AD84" i="38"/>
  <c r="AE84" i="38" s="1"/>
  <c r="BM84" i="38"/>
  <c r="BO58" i="38"/>
  <c r="BN58" i="38"/>
  <c r="AJ73" i="38"/>
  <c r="BM82" i="38"/>
  <c r="O78" i="39"/>
  <c r="O77" i="39"/>
  <c r="W83" i="39"/>
  <c r="Y43" i="39"/>
  <c r="X43" i="39"/>
  <c r="M43" i="40"/>
  <c r="P86" i="40"/>
  <c r="AS73" i="38"/>
  <c r="O75" i="38"/>
  <c r="O78" i="38"/>
  <c r="P78" i="38" s="1"/>
  <c r="O73" i="38"/>
  <c r="BB74" i="38"/>
  <c r="AJ76" i="38"/>
  <c r="G86" i="40"/>
  <c r="BH82" i="38"/>
  <c r="BI82" i="38" s="1"/>
  <c r="R86" i="38"/>
  <c r="S86" i="38" s="1"/>
  <c r="AJ86" i="38"/>
  <c r="AK86" i="38" s="1"/>
  <c r="F75" i="38"/>
  <c r="R78" i="39"/>
  <c r="L87" i="39"/>
  <c r="M87" i="39" s="1"/>
  <c r="AG78" i="38"/>
  <c r="AH78" i="38" s="1"/>
  <c r="AG74" i="38"/>
  <c r="AG73" i="38"/>
  <c r="AG75" i="38"/>
  <c r="AY78" i="38"/>
  <c r="AZ78" i="38" s="1"/>
  <c r="AY75" i="38"/>
  <c r="AY76" i="38"/>
  <c r="BQ78" i="38"/>
  <c r="BR78" i="38" s="1"/>
  <c r="BQ73" i="38"/>
  <c r="BQ74" i="38"/>
  <c r="BQ75" i="38"/>
  <c r="AM78" i="38"/>
  <c r="AN78" i="38" s="1"/>
  <c r="AM76" i="38"/>
  <c r="BE74" i="38"/>
  <c r="BE73" i="38"/>
  <c r="AP82" i="38"/>
  <c r="AQ82" i="38" s="1"/>
  <c r="BQ83" i="38"/>
  <c r="BR83" i="38" s="1"/>
  <c r="R78" i="38"/>
  <c r="S78" i="38" s="1"/>
  <c r="AJ75" i="38"/>
  <c r="BB78" i="38"/>
  <c r="BC78" i="38" s="1"/>
  <c r="BO46" i="38"/>
  <c r="BN46" i="38"/>
  <c r="AD85" i="38"/>
  <c r="AE85" i="38" s="1"/>
  <c r="AV85" i="38"/>
  <c r="AW85" i="38" s="1"/>
  <c r="BN63" i="38"/>
  <c r="U87" i="38"/>
  <c r="V87" i="38" s="1"/>
  <c r="AA87" i="38"/>
  <c r="AB87" i="38" s="1"/>
  <c r="AS87" i="38"/>
  <c r="AT87" i="38" s="1"/>
  <c r="I75" i="38"/>
  <c r="BE76" i="38"/>
  <c r="Y47" i="39"/>
  <c r="F83" i="40"/>
  <c r="G83" i="40" s="1"/>
  <c r="O87" i="38"/>
  <c r="P87" i="38" s="1"/>
  <c r="F87" i="39"/>
  <c r="G87" i="39" s="1"/>
  <c r="W87" i="39"/>
  <c r="I78" i="40"/>
  <c r="I75" i="40"/>
  <c r="M49" i="40"/>
  <c r="L49" i="40"/>
  <c r="I89" i="40"/>
  <c r="J89" i="40" s="1"/>
  <c r="M73" i="40"/>
  <c r="L73" i="40"/>
  <c r="U86" i="38"/>
  <c r="V86" i="38" s="1"/>
  <c r="BQ87" i="38"/>
  <c r="BR87" i="38" s="1"/>
  <c r="O80" i="39"/>
  <c r="P80" i="39" s="1"/>
  <c r="AA85" i="39"/>
  <c r="AB85" i="39" s="1"/>
  <c r="Y65" i="39"/>
  <c r="X65" i="39"/>
  <c r="X87" i="39" s="1"/>
  <c r="Y87" i="39" s="1"/>
  <c r="O84" i="40"/>
  <c r="P84" i="40" s="1"/>
  <c r="BN66" i="38"/>
  <c r="AJ87" i="38"/>
  <c r="AK87" i="38" s="1"/>
  <c r="BB87" i="38"/>
  <c r="BC87" i="38" s="1"/>
  <c r="BN70" i="38"/>
  <c r="X45" i="39"/>
  <c r="Y48" i="39"/>
  <c r="X48" i="39"/>
  <c r="I85" i="39"/>
  <c r="J85" i="39" s="1"/>
  <c r="Y62" i="39"/>
  <c r="R89" i="39"/>
  <c r="S89" i="39" s="1"/>
  <c r="R77" i="39"/>
  <c r="K80" i="40"/>
  <c r="L42" i="40"/>
  <c r="L82" i="40" s="1"/>
  <c r="M82" i="40" s="1"/>
  <c r="M45" i="40"/>
  <c r="L45" i="40"/>
  <c r="L83" i="40" s="1"/>
  <c r="M83" i="40" s="1"/>
  <c r="L62" i="40"/>
  <c r="L87" i="40" s="1"/>
  <c r="M87" i="40" s="1"/>
  <c r="O88" i="40"/>
  <c r="P88" i="40" s="1"/>
  <c r="K89" i="40"/>
  <c r="M69" i="40"/>
  <c r="L69" i="40"/>
  <c r="L89" i="40" s="1"/>
  <c r="M89" i="40" s="1"/>
  <c r="F82" i="38"/>
  <c r="G82" i="38" s="1"/>
  <c r="AP83" i="38"/>
  <c r="AQ83" i="38" s="1"/>
  <c r="BH83" i="38"/>
  <c r="BI83" i="38" s="1"/>
  <c r="AG84" i="38"/>
  <c r="AH84" i="38" s="1"/>
  <c r="AY84" i="38"/>
  <c r="AZ84" i="38" s="1"/>
  <c r="F85" i="38"/>
  <c r="G85" i="38" s="1"/>
  <c r="AP85" i="38"/>
  <c r="AQ85" i="38" s="1"/>
  <c r="BH85" i="38"/>
  <c r="BI85" i="38" s="1"/>
  <c r="X86" i="38"/>
  <c r="Y86" i="38" s="1"/>
  <c r="AM75" i="38"/>
  <c r="Y37" i="39"/>
  <c r="W85" i="39"/>
  <c r="L35" i="40"/>
  <c r="M42" i="40"/>
  <c r="M62" i="40"/>
  <c r="BQ84" i="38"/>
  <c r="BR84" i="38" s="1"/>
  <c r="AM87" i="38"/>
  <c r="AN87" i="38" s="1"/>
  <c r="BE87" i="38"/>
  <c r="BF87" i="38" s="1"/>
  <c r="BM79" i="38"/>
  <c r="X88" i="39"/>
  <c r="Y88" i="39" s="1"/>
  <c r="U89" i="39"/>
  <c r="V89" i="39" s="1"/>
  <c r="R75" i="39"/>
  <c r="M35" i="40"/>
  <c r="M65" i="40"/>
  <c r="L65" i="40"/>
  <c r="K75" i="40"/>
  <c r="AM81" i="38"/>
  <c r="AN81" i="38" s="1"/>
  <c r="BE81" i="38"/>
  <c r="BF81" i="38" s="1"/>
  <c r="L82" i="38"/>
  <c r="M82" i="38" s="1"/>
  <c r="BM85" i="38"/>
  <c r="AD86" i="38"/>
  <c r="AE86" i="38" s="1"/>
  <c r="AV86" i="38"/>
  <c r="AW86" i="38" s="1"/>
  <c r="BM86" i="38"/>
  <c r="F80" i="39"/>
  <c r="G80" i="39" s="1"/>
  <c r="F77" i="39"/>
  <c r="X35" i="39"/>
  <c r="W75" i="39"/>
  <c r="X38" i="39"/>
  <c r="AA83" i="39"/>
  <c r="AB83" i="39" s="1"/>
  <c r="I84" i="39"/>
  <c r="J84" i="39" s="1"/>
  <c r="O85" i="39"/>
  <c r="P85" i="39" s="1"/>
  <c r="F89" i="39"/>
  <c r="G89" i="39" s="1"/>
  <c r="F85" i="40"/>
  <c r="G85" i="40" s="1"/>
  <c r="BN36" i="38"/>
  <c r="BN40" i="38"/>
  <c r="BN79" i="38" s="1"/>
  <c r="BO79" i="38" s="1"/>
  <c r="BN44" i="38"/>
  <c r="BN48" i="38"/>
  <c r="BN82" i="38" s="1"/>
  <c r="BO82" i="38" s="1"/>
  <c r="BN52" i="38"/>
  <c r="BN56" i="38"/>
  <c r="BN60" i="38"/>
  <c r="BN64" i="38"/>
  <c r="BK87" i="38"/>
  <c r="BL87" i="38" s="1"/>
  <c r="BN68" i="38"/>
  <c r="BN72" i="38"/>
  <c r="AS74" i="38"/>
  <c r="BB75" i="38"/>
  <c r="Y35" i="39"/>
  <c r="M81" i="39"/>
  <c r="R87" i="39"/>
  <c r="S87" i="39" s="1"/>
  <c r="L88" i="39"/>
  <c r="M88" i="39" s="1"/>
  <c r="I89" i="39"/>
  <c r="J89" i="39" s="1"/>
  <c r="X72" i="39"/>
  <c r="F76" i="39"/>
  <c r="W88" i="39"/>
  <c r="L50" i="40"/>
  <c r="M57" i="40"/>
  <c r="L57" i="40"/>
  <c r="L74" i="40"/>
  <c r="I76" i="40"/>
  <c r="K84" i="40"/>
  <c r="W89" i="39"/>
  <c r="M61" i="40"/>
  <c r="L61" i="40"/>
  <c r="U81" i="38"/>
  <c r="V81" i="38" s="1"/>
  <c r="F81" i="38"/>
  <c r="G81" i="38" s="1"/>
  <c r="X81" i="38"/>
  <c r="Y81" i="38" s="1"/>
  <c r="X84" i="38"/>
  <c r="Y84" i="38" s="1"/>
  <c r="O85" i="38"/>
  <c r="P85" i="38" s="1"/>
  <c r="AG85" i="38"/>
  <c r="AH85" i="38" s="1"/>
  <c r="AY85" i="38"/>
  <c r="AZ85" i="38" s="1"/>
  <c r="BO60" i="38"/>
  <c r="O86" i="38"/>
  <c r="P86" i="38" s="1"/>
  <c r="AG86" i="38"/>
  <c r="AH86" i="38" s="1"/>
  <c r="AY86" i="38"/>
  <c r="AZ86" i="38" s="1"/>
  <c r="BO64" i="38"/>
  <c r="R75" i="38"/>
  <c r="I76" i="39"/>
  <c r="I75" i="39"/>
  <c r="I77" i="39"/>
  <c r="AA77" i="39"/>
  <c r="AA75" i="39"/>
  <c r="AA80" i="39"/>
  <c r="AB80" i="39" s="1"/>
  <c r="AA78" i="39"/>
  <c r="AA76" i="39"/>
  <c r="L83" i="39"/>
  <c r="M83" i="39" s="1"/>
  <c r="X55" i="39"/>
  <c r="W86" i="39"/>
  <c r="F87" i="40"/>
  <c r="G87" i="40" s="1"/>
  <c r="I77" i="40"/>
  <c r="X41" i="39"/>
  <c r="X53" i="39"/>
  <c r="X58" i="39"/>
  <c r="X70" i="39"/>
  <c r="D80" i="34"/>
  <c r="D57" i="32"/>
  <c r="V42" i="33"/>
  <c r="W42" i="33" s="1"/>
  <c r="R88" i="33"/>
  <c r="R81" i="33"/>
  <c r="D18" i="32"/>
  <c r="V53" i="33"/>
  <c r="W53" i="33" s="1"/>
  <c r="F53" i="33"/>
  <c r="R99" i="33"/>
  <c r="F108" i="33"/>
  <c r="F112" i="33"/>
  <c r="T29" i="32"/>
  <c r="G66" i="33"/>
  <c r="H66" i="33" s="1"/>
  <c r="G112" i="33" s="1"/>
  <c r="I112" i="33" s="1"/>
  <c r="F93" i="33"/>
  <c r="D29" i="32"/>
  <c r="C55" i="32"/>
  <c r="D8" i="32"/>
  <c r="F28" i="33"/>
  <c r="Q38" i="33"/>
  <c r="S107" i="33"/>
  <c r="R83" i="33"/>
  <c r="R107" i="33"/>
  <c r="F61" i="33"/>
  <c r="Z66" i="33"/>
  <c r="AA66" i="33" s="1"/>
  <c r="S119" i="33"/>
  <c r="G30" i="33"/>
  <c r="H30" i="33" s="1"/>
  <c r="G45" i="33"/>
  <c r="H45" i="33" s="1"/>
  <c r="G105" i="33" s="1"/>
  <c r="I105" i="33" s="1"/>
  <c r="G46" i="33"/>
  <c r="H46" i="33" s="1"/>
  <c r="G95" i="33" s="1"/>
  <c r="I95" i="33" s="1"/>
  <c r="F95" i="33"/>
  <c r="T9" i="32"/>
  <c r="U9" i="32" s="1"/>
  <c r="V9" i="32" s="1"/>
  <c r="G60" i="33"/>
  <c r="H60" i="33" s="1"/>
  <c r="G122" i="33" s="1"/>
  <c r="I122" i="33" s="1"/>
  <c r="C23" i="32"/>
  <c r="F65" i="33"/>
  <c r="R111" i="33"/>
  <c r="T13" i="32"/>
  <c r="U13" i="32" s="1"/>
  <c r="V13" i="32" s="1"/>
  <c r="T36" i="32"/>
  <c r="U36" i="32" s="1"/>
  <c r="V36" i="32" s="1"/>
  <c r="F43" i="33"/>
  <c r="S89" i="33"/>
  <c r="S81" i="33"/>
  <c r="F57" i="33"/>
  <c r="R103" i="33"/>
  <c r="F42" i="33"/>
  <c r="Q81" i="33"/>
  <c r="D52" i="33"/>
  <c r="C15" i="32" s="1"/>
  <c r="O81" i="34"/>
  <c r="F107" i="33"/>
  <c r="M38" i="33"/>
  <c r="O83" i="33"/>
  <c r="R94" i="33"/>
  <c r="S94" i="33"/>
  <c r="T45" i="33"/>
  <c r="U45" i="33" s="1"/>
  <c r="R91" i="33"/>
  <c r="R101" i="33"/>
  <c r="V55" i="33"/>
  <c r="W55" i="33" s="1"/>
  <c r="X79" i="33"/>
  <c r="Y79" i="33" s="1"/>
  <c r="S125" i="33"/>
  <c r="S101" i="33"/>
  <c r="F121" i="33"/>
  <c r="R114" i="33"/>
  <c r="F68" i="33"/>
  <c r="R92" i="33"/>
  <c r="S83" i="33"/>
  <c r="F47" i="33"/>
  <c r="R117" i="33"/>
  <c r="F71" i="33"/>
  <c r="D33" i="34"/>
  <c r="N38" i="34"/>
  <c r="D42" i="34"/>
  <c r="F117" i="33"/>
  <c r="G54" i="33"/>
  <c r="H54" i="33" s="1"/>
  <c r="G117" i="33" s="1"/>
  <c r="I117" i="33" s="1"/>
  <c r="F111" i="33"/>
  <c r="G75" i="33"/>
  <c r="H75" i="33" s="1"/>
  <c r="G111" i="33" s="1"/>
  <c r="I111" i="33" s="1"/>
  <c r="T38" i="32"/>
  <c r="D38" i="32"/>
  <c r="F110" i="33"/>
  <c r="G80" i="33"/>
  <c r="H80" i="33" s="1"/>
  <c r="G110" i="33" s="1"/>
  <c r="I110" i="33" s="1"/>
  <c r="D43" i="32"/>
  <c r="M81" i="33"/>
  <c r="T12" i="32"/>
  <c r="D31" i="33"/>
  <c r="G31" i="33" s="1"/>
  <c r="H31" i="33" s="1"/>
  <c r="R96" i="33"/>
  <c r="V50" i="33"/>
  <c r="W50" i="33" s="1"/>
  <c r="F100" i="33"/>
  <c r="R100" i="33"/>
  <c r="R104" i="33"/>
  <c r="V58" i="33"/>
  <c r="W58" i="33" s="1"/>
  <c r="S104" i="33"/>
  <c r="G64" i="33"/>
  <c r="H64" i="33" s="1"/>
  <c r="F79" i="33"/>
  <c r="U32" i="32"/>
  <c r="V32" i="32" s="1"/>
  <c r="V46" i="33"/>
  <c r="W46" i="33" s="1"/>
  <c r="T76" i="33"/>
  <c r="U76" i="33" s="1"/>
  <c r="F76" i="33"/>
  <c r="S92" i="33"/>
  <c r="O83" i="34"/>
  <c r="S88" i="33"/>
  <c r="D50" i="33"/>
  <c r="C13" i="32" s="1"/>
  <c r="T50" i="33"/>
  <c r="U50" i="33" s="1"/>
  <c r="D51" i="33"/>
  <c r="R108" i="33"/>
  <c r="F62" i="33"/>
  <c r="D71" i="33"/>
  <c r="C34" i="32" s="1"/>
  <c r="F113" i="33"/>
  <c r="G77" i="33"/>
  <c r="H77" i="33" s="1"/>
  <c r="G113" i="33" s="1"/>
  <c r="I113" i="33" s="1"/>
  <c r="T35" i="32"/>
  <c r="S38" i="33"/>
  <c r="R121" i="33"/>
  <c r="V75" i="33"/>
  <c r="W75" i="33" s="1"/>
  <c r="S121" i="33"/>
  <c r="D40" i="32"/>
  <c r="E40" i="32" s="1"/>
  <c r="F40" i="32" s="1"/>
  <c r="F67" i="33"/>
  <c r="F102" i="33"/>
  <c r="G74" i="33"/>
  <c r="H74" i="33" s="1"/>
  <c r="G102" i="33" s="1"/>
  <c r="I102" i="33" s="1"/>
  <c r="D79" i="33"/>
  <c r="C42" i="32" s="1"/>
  <c r="N83" i="34"/>
  <c r="D29" i="33"/>
  <c r="N81" i="33"/>
  <c r="N84" i="33" s="1"/>
  <c r="M83" i="33"/>
  <c r="D47" i="33"/>
  <c r="D62" i="33"/>
  <c r="C25" i="32" s="1"/>
  <c r="F63" i="33"/>
  <c r="R109" i="33"/>
  <c r="S113" i="33"/>
  <c r="D49" i="34"/>
  <c r="F36" i="33"/>
  <c r="O81" i="33"/>
  <c r="F48" i="33"/>
  <c r="S95" i="33"/>
  <c r="R116" i="33"/>
  <c r="F70" i="33"/>
  <c r="S126" i="33"/>
  <c r="R126" i="33"/>
  <c r="D62" i="34"/>
  <c r="D35" i="33"/>
  <c r="G35" i="33" s="1"/>
  <c r="H35" i="33" s="1"/>
  <c r="Q83" i="33"/>
  <c r="R112" i="33"/>
  <c r="AB66" i="33"/>
  <c r="AC66" i="33" s="1"/>
  <c r="S118" i="33"/>
  <c r="R118" i="33"/>
  <c r="D46" i="34"/>
  <c r="D69" i="33"/>
  <c r="C32" i="32" s="1"/>
  <c r="S124" i="33"/>
  <c r="R124" i="33"/>
  <c r="V78" i="33"/>
  <c r="W78" i="33" s="1"/>
  <c r="F78" i="33"/>
  <c r="R93" i="33"/>
  <c r="D37" i="34"/>
  <c r="F34" i="33"/>
  <c r="R90" i="33"/>
  <c r="X50" i="33"/>
  <c r="Y50" i="33" s="1"/>
  <c r="S116" i="33"/>
  <c r="R120" i="33"/>
  <c r="R123" i="33"/>
  <c r="D63" i="34"/>
  <c r="T53" i="33"/>
  <c r="U53" i="33" s="1"/>
  <c r="T55" i="33"/>
  <c r="U55" i="33" s="1"/>
  <c r="D57" i="33"/>
  <c r="C20" i="32" s="1"/>
  <c r="F58" i="33"/>
  <c r="R106" i="33"/>
  <c r="D63" i="33"/>
  <c r="C26" i="32" s="1"/>
  <c r="M38" i="34"/>
  <c r="D31" i="34"/>
  <c r="D53" i="34"/>
  <c r="D79" i="34"/>
  <c r="R38" i="35"/>
  <c r="D68" i="34"/>
  <c r="D76" i="34"/>
  <c r="D67" i="34"/>
  <c r="D73" i="34"/>
  <c r="F30" i="35"/>
  <c r="G37" i="35"/>
  <c r="H37" i="35" s="1"/>
  <c r="D50" i="35"/>
  <c r="M81" i="34"/>
  <c r="S38" i="36"/>
  <c r="N81" i="34"/>
  <c r="N84" i="34" s="1"/>
  <c r="M83" i="34"/>
  <c r="D47" i="34"/>
  <c r="D36" i="35"/>
  <c r="G36" i="35" s="1"/>
  <c r="H36" i="35" s="1"/>
  <c r="D49" i="35"/>
  <c r="D63" i="35"/>
  <c r="G33" i="36"/>
  <c r="H33" i="36" s="1"/>
  <c r="D46" i="35"/>
  <c r="D67" i="35"/>
  <c r="N38" i="35"/>
  <c r="D78" i="35"/>
  <c r="F30" i="36"/>
  <c r="G30" i="36" s="1"/>
  <c r="H30" i="36" s="1"/>
  <c r="N83" i="36"/>
  <c r="O38" i="35"/>
  <c r="M38" i="35"/>
  <c r="D53" i="35"/>
  <c r="D55" i="35"/>
  <c r="N81" i="35"/>
  <c r="N84" i="35" s="1"/>
  <c r="D48" i="36"/>
  <c r="M81" i="36"/>
  <c r="G31" i="35"/>
  <c r="H31" i="35" s="1"/>
  <c r="Q38" i="35"/>
  <c r="D75" i="35"/>
  <c r="S38" i="35"/>
  <c r="D36" i="36"/>
  <c r="D68" i="35"/>
  <c r="G29" i="36"/>
  <c r="H29" i="36" s="1"/>
  <c r="F36" i="36"/>
  <c r="N81" i="36"/>
  <c r="N84" i="36" s="1"/>
  <c r="D51" i="35"/>
  <c r="D59" i="36"/>
  <c r="O81" i="36"/>
  <c r="D28" i="37"/>
  <c r="M38" i="37"/>
  <c r="D76" i="36"/>
  <c r="D69" i="36"/>
  <c r="M38" i="36"/>
  <c r="D28" i="36"/>
  <c r="G28" i="36" s="1"/>
  <c r="H28" i="36" s="1"/>
  <c r="D46" i="36"/>
  <c r="M83" i="36"/>
  <c r="F31" i="36"/>
  <c r="D34" i="36"/>
  <c r="G34" i="36" s="1"/>
  <c r="H34" i="36" s="1"/>
  <c r="O83" i="36"/>
  <c r="D78" i="36"/>
  <c r="Q38" i="36"/>
  <c r="R38" i="36"/>
  <c r="D50" i="36"/>
  <c r="D53" i="36"/>
  <c r="D70" i="36"/>
  <c r="D77" i="36"/>
  <c r="N81" i="37"/>
  <c r="O81" i="37"/>
  <c r="D66" i="37"/>
  <c r="F29" i="37"/>
  <c r="G29" i="37" s="1"/>
  <c r="H29" i="37" s="1"/>
  <c r="F37" i="37"/>
  <c r="G37" i="37" s="1"/>
  <c r="H37" i="37" s="1"/>
  <c r="D49" i="37"/>
  <c r="D56" i="37"/>
  <c r="N83" i="37"/>
  <c r="N38" i="37"/>
  <c r="D55" i="37"/>
  <c r="D48" i="37"/>
  <c r="M81" i="37"/>
  <c r="M83" i="37"/>
  <c r="S38" i="37"/>
  <c r="F31" i="37"/>
  <c r="F35" i="37"/>
  <c r="G35" i="37" s="1"/>
  <c r="H35" i="37" s="1"/>
  <c r="D52" i="37"/>
  <c r="F33" i="37"/>
  <c r="G33" i="37" s="1"/>
  <c r="H33" i="37" s="1"/>
  <c r="D45" i="37"/>
  <c r="O83" i="37"/>
  <c r="D51" i="37"/>
  <c r="D83" i="37" s="1"/>
  <c r="R38" i="37"/>
  <c r="D75" i="37"/>
  <c r="O38" i="33" l="1"/>
  <c r="G31" i="36"/>
  <c r="H31" i="36" s="1"/>
  <c r="F116" i="33"/>
  <c r="G33" i="35"/>
  <c r="H33" i="35" s="1"/>
  <c r="G73" i="33"/>
  <c r="H73" i="33" s="1"/>
  <c r="G116" i="33" s="1"/>
  <c r="I116" i="33" s="1"/>
  <c r="G33" i="33"/>
  <c r="H33" i="33" s="1"/>
  <c r="G31" i="37"/>
  <c r="H31" i="37" s="1"/>
  <c r="U27" i="32"/>
  <c r="V27" i="32" s="1"/>
  <c r="G32" i="33"/>
  <c r="H32" i="33" s="1"/>
  <c r="G44" i="33"/>
  <c r="H44" i="33" s="1"/>
  <c r="G107" i="33" s="1"/>
  <c r="I107" i="33" s="1"/>
  <c r="V83" i="33"/>
  <c r="W83" i="33" s="1"/>
  <c r="X89" i="39"/>
  <c r="Y89" i="39" s="1"/>
  <c r="G28" i="35"/>
  <c r="H28" i="35" s="1"/>
  <c r="N38" i="36"/>
  <c r="R38" i="33"/>
  <c r="E12" i="32"/>
  <c r="F12" i="32" s="1"/>
  <c r="U14" i="32"/>
  <c r="V14" i="32" s="1"/>
  <c r="N84" i="37"/>
  <c r="C49" i="32"/>
  <c r="G49" i="33"/>
  <c r="H49" i="33" s="1"/>
  <c r="G101" i="33" s="1"/>
  <c r="I101" i="33" s="1"/>
  <c r="U15" i="32"/>
  <c r="V15" i="32" s="1"/>
  <c r="E17" i="32"/>
  <c r="F17" i="32" s="1"/>
  <c r="U23" i="32"/>
  <c r="V23" i="32" s="1"/>
  <c r="E37" i="32"/>
  <c r="F37" i="32" s="1"/>
  <c r="G55" i="33"/>
  <c r="H55" i="33" s="1"/>
  <c r="G108" i="33" s="1"/>
  <c r="I108" i="33" s="1"/>
  <c r="G34" i="33"/>
  <c r="H34" i="33" s="1"/>
  <c r="D83" i="36"/>
  <c r="G30" i="35"/>
  <c r="H30" i="35" s="1"/>
  <c r="E35" i="32"/>
  <c r="F35" i="32" s="1"/>
  <c r="C57" i="32"/>
  <c r="E57" i="32" s="1"/>
  <c r="F57" i="32" s="1"/>
  <c r="E22" i="32"/>
  <c r="F22" i="32" s="1"/>
  <c r="G72" i="33"/>
  <c r="H72" i="33" s="1"/>
  <c r="G106" i="33" s="1"/>
  <c r="I106" i="33" s="1"/>
  <c r="E7" i="32"/>
  <c r="F7" i="32" s="1"/>
  <c r="T19" i="32"/>
  <c r="D19" i="32"/>
  <c r="U22" i="32"/>
  <c r="V22" i="32" s="1"/>
  <c r="O84" i="33"/>
  <c r="Q84" i="33"/>
  <c r="C51" i="32"/>
  <c r="G56" i="33"/>
  <c r="H56" i="33" s="1"/>
  <c r="G97" i="33" s="1"/>
  <c r="I97" i="33" s="1"/>
  <c r="M84" i="37"/>
  <c r="D81" i="36"/>
  <c r="D38" i="35"/>
  <c r="D83" i="35"/>
  <c r="D81" i="34"/>
  <c r="D38" i="34"/>
  <c r="C54" i="32"/>
  <c r="C56" i="32"/>
  <c r="E32" i="32"/>
  <c r="F32" i="32" s="1"/>
  <c r="C58" i="32"/>
  <c r="G36" i="33"/>
  <c r="H36" i="33" s="1"/>
  <c r="BN78" i="38"/>
  <c r="BO78" i="38" s="1"/>
  <c r="BN73" i="38"/>
  <c r="L85" i="40"/>
  <c r="M85" i="40" s="1"/>
  <c r="L84" i="40"/>
  <c r="M84" i="40" s="1"/>
  <c r="BN81" i="38"/>
  <c r="BO81" i="38" s="1"/>
  <c r="BN84" i="38"/>
  <c r="BO84" i="38" s="1"/>
  <c r="BN86" i="38"/>
  <c r="BO86" i="38" s="1"/>
  <c r="BN85" i="38"/>
  <c r="BO85" i="38" s="1"/>
  <c r="BN76" i="38"/>
  <c r="L75" i="40"/>
  <c r="L76" i="40"/>
  <c r="L80" i="40"/>
  <c r="M80" i="40" s="1"/>
  <c r="L78" i="40"/>
  <c r="L77" i="40"/>
  <c r="BN83" i="38"/>
  <c r="BO83" i="38" s="1"/>
  <c r="X78" i="39"/>
  <c r="X75" i="39"/>
  <c r="X77" i="39"/>
  <c r="X80" i="39"/>
  <c r="Y80" i="39" s="1"/>
  <c r="X76" i="39"/>
  <c r="BN87" i="38"/>
  <c r="BO87" i="38" s="1"/>
  <c r="X83" i="39"/>
  <c r="Y83" i="39" s="1"/>
  <c r="X85" i="39"/>
  <c r="Y85" i="39" s="1"/>
  <c r="BN74" i="38"/>
  <c r="G67" i="33"/>
  <c r="H67" i="33" s="1"/>
  <c r="G125" i="33" s="1"/>
  <c r="I125" i="33" s="1"/>
  <c r="F125" i="33"/>
  <c r="T30" i="32"/>
  <c r="T55" i="32" s="1"/>
  <c r="D30" i="32"/>
  <c r="F38" i="37"/>
  <c r="F38" i="35"/>
  <c r="G62" i="33"/>
  <c r="H62" i="33" s="1"/>
  <c r="G114" i="33" s="1"/>
  <c r="I114" i="33" s="1"/>
  <c r="F114" i="33"/>
  <c r="T25" i="32"/>
  <c r="D25" i="32"/>
  <c r="M84" i="33"/>
  <c r="D38" i="33"/>
  <c r="G29" i="33"/>
  <c r="H29" i="33" s="1"/>
  <c r="E43" i="32"/>
  <c r="F43" i="32" s="1"/>
  <c r="F104" i="33"/>
  <c r="F81" i="33"/>
  <c r="G42" i="33"/>
  <c r="T5" i="32"/>
  <c r="D5" i="32"/>
  <c r="F94" i="33"/>
  <c r="G43" i="33"/>
  <c r="H43" i="33" s="1"/>
  <c r="G94" i="33" s="1"/>
  <c r="I94" i="33" s="1"/>
  <c r="D6" i="32"/>
  <c r="T6" i="32"/>
  <c r="G50" i="33"/>
  <c r="H50" i="33" s="1"/>
  <c r="G93" i="33" s="1"/>
  <c r="I93" i="33" s="1"/>
  <c r="C53" i="32"/>
  <c r="G51" i="33"/>
  <c r="H51" i="33" s="1"/>
  <c r="G126" i="33" s="1"/>
  <c r="I126" i="33" s="1"/>
  <c r="C14" i="32"/>
  <c r="G52" i="33"/>
  <c r="H52" i="33" s="1"/>
  <c r="G100" i="33" s="1"/>
  <c r="I100" i="33" s="1"/>
  <c r="U40" i="32"/>
  <c r="V40" i="32" s="1"/>
  <c r="E18" i="32"/>
  <c r="F18" i="32" s="1"/>
  <c r="F38" i="36"/>
  <c r="M84" i="34"/>
  <c r="M87" i="34"/>
  <c r="F119" i="33"/>
  <c r="D33" i="32"/>
  <c r="G70" i="33"/>
  <c r="H70" i="33" s="1"/>
  <c r="G119" i="33" s="1"/>
  <c r="I119" i="33" s="1"/>
  <c r="T33" i="32"/>
  <c r="G28" i="33"/>
  <c r="H28" i="33" s="1"/>
  <c r="F38" i="33"/>
  <c r="U29" i="32"/>
  <c r="V29" i="32" s="1"/>
  <c r="E15" i="32"/>
  <c r="F15" i="32" s="1"/>
  <c r="G58" i="33"/>
  <c r="H58" i="33" s="1"/>
  <c r="G91" i="33" s="1"/>
  <c r="I91" i="33" s="1"/>
  <c r="F91" i="33"/>
  <c r="T21" i="32"/>
  <c r="D21" i="32"/>
  <c r="E13" i="32"/>
  <c r="F13" i="32" s="1"/>
  <c r="E38" i="32"/>
  <c r="F38" i="32" s="1"/>
  <c r="R84" i="33"/>
  <c r="V84" i="33" s="1"/>
  <c r="W84" i="33" s="1"/>
  <c r="R127" i="33"/>
  <c r="U38" i="32"/>
  <c r="V38" i="32" s="1"/>
  <c r="F98" i="33"/>
  <c r="G71" i="33"/>
  <c r="H71" i="33" s="1"/>
  <c r="G98" i="33" s="1"/>
  <c r="I98" i="33" s="1"/>
  <c r="T34" i="32"/>
  <c r="D34" i="32"/>
  <c r="D55" i="32"/>
  <c r="E55" i="32" s="1"/>
  <c r="F55" i="32" s="1"/>
  <c r="E29" i="32"/>
  <c r="F29" i="32" s="1"/>
  <c r="D81" i="37"/>
  <c r="D84" i="37" s="1"/>
  <c r="T83" i="33"/>
  <c r="U83" i="33" s="1"/>
  <c r="F109" i="33"/>
  <c r="G48" i="33"/>
  <c r="H48" i="33" s="1"/>
  <c r="G109" i="33" s="1"/>
  <c r="I109" i="33" s="1"/>
  <c r="D11" i="32"/>
  <c r="T11" i="32"/>
  <c r="U18" i="32"/>
  <c r="V18" i="32" s="1"/>
  <c r="D38" i="37"/>
  <c r="G28" i="37"/>
  <c r="H28" i="37" s="1"/>
  <c r="F99" i="33"/>
  <c r="G79" i="33"/>
  <c r="H79" i="33" s="1"/>
  <c r="G99" i="33" s="1"/>
  <c r="I99" i="33" s="1"/>
  <c r="T42" i="32"/>
  <c r="D42" i="32"/>
  <c r="F83" i="33"/>
  <c r="F118" i="33"/>
  <c r="G47" i="33"/>
  <c r="H47" i="33" s="1"/>
  <c r="G118" i="33" s="1"/>
  <c r="I118" i="33" s="1"/>
  <c r="D10" i="32"/>
  <c r="T10" i="32"/>
  <c r="G68" i="33"/>
  <c r="H68" i="33" s="1"/>
  <c r="G120" i="33" s="1"/>
  <c r="I120" i="33" s="1"/>
  <c r="F120" i="33"/>
  <c r="D31" i="32"/>
  <c r="T31" i="32"/>
  <c r="U43" i="32"/>
  <c r="V43" i="32" s="1"/>
  <c r="F90" i="33"/>
  <c r="G53" i="33"/>
  <c r="H53" i="33" s="1"/>
  <c r="G90" i="33" s="1"/>
  <c r="I90" i="33" s="1"/>
  <c r="D16" i="32"/>
  <c r="T16" i="32"/>
  <c r="M84" i="36"/>
  <c r="F127" i="33"/>
  <c r="D26" i="32"/>
  <c r="G63" i="33"/>
  <c r="H63" i="33" s="1"/>
  <c r="G127" i="33" s="1"/>
  <c r="I127" i="33" s="1"/>
  <c r="T26" i="32"/>
  <c r="G69" i="33"/>
  <c r="H69" i="33" s="1"/>
  <c r="G103" i="33" s="1"/>
  <c r="I103" i="33" s="1"/>
  <c r="X83" i="33"/>
  <c r="Y83" i="33" s="1"/>
  <c r="T57" i="32"/>
  <c r="U35" i="32"/>
  <c r="V35" i="32" s="1"/>
  <c r="S84" i="33"/>
  <c r="X84" i="33" s="1"/>
  <c r="Y84" i="33" s="1"/>
  <c r="S127" i="33"/>
  <c r="G78" i="33"/>
  <c r="H78" i="33" s="1"/>
  <c r="G92" i="33" s="1"/>
  <c r="I92" i="33" s="1"/>
  <c r="F92" i="33"/>
  <c r="D41" i="32"/>
  <c r="T41" i="32"/>
  <c r="G36" i="36"/>
  <c r="H36" i="36" s="1"/>
  <c r="O84" i="36"/>
  <c r="F96" i="33"/>
  <c r="G76" i="33"/>
  <c r="H76" i="33" s="1"/>
  <c r="G96" i="33" s="1"/>
  <c r="I96" i="33" s="1"/>
  <c r="D39" i="32"/>
  <c r="E39" i="32" s="1"/>
  <c r="F39" i="32" s="1"/>
  <c r="T39" i="32"/>
  <c r="O84" i="34"/>
  <c r="G65" i="33"/>
  <c r="H65" i="33" s="1"/>
  <c r="G123" i="33" s="1"/>
  <c r="I123" i="33" s="1"/>
  <c r="D28" i="32"/>
  <c r="F123" i="33"/>
  <c r="T28" i="32"/>
  <c r="O84" i="37"/>
  <c r="D38" i="36"/>
  <c r="D83" i="34"/>
  <c r="D81" i="35"/>
  <c r="D84" i="35" s="1"/>
  <c r="D83" i="33"/>
  <c r="C10" i="32"/>
  <c r="U12" i="32"/>
  <c r="V12" i="32" s="1"/>
  <c r="D81" i="33"/>
  <c r="F115" i="33"/>
  <c r="G57" i="33"/>
  <c r="H57" i="33" s="1"/>
  <c r="G115" i="33" s="1"/>
  <c r="I115" i="33" s="1"/>
  <c r="D20" i="32"/>
  <c r="T20" i="32"/>
  <c r="E23" i="32"/>
  <c r="F23" i="32" s="1"/>
  <c r="G61" i="33"/>
  <c r="H61" i="33" s="1"/>
  <c r="G124" i="33" s="1"/>
  <c r="I124" i="33" s="1"/>
  <c r="F124" i="33"/>
  <c r="T24" i="32"/>
  <c r="D24" i="32"/>
  <c r="E8" i="32"/>
  <c r="F8" i="32" s="1"/>
  <c r="U8" i="32"/>
  <c r="V8" i="32" s="1"/>
  <c r="U19" i="32" l="1"/>
  <c r="V19" i="32" s="1"/>
  <c r="U16" i="32"/>
  <c r="V16" i="32" s="1"/>
  <c r="D84" i="36"/>
  <c r="D84" i="34"/>
  <c r="U26" i="32"/>
  <c r="V26" i="32" s="1"/>
  <c r="T84" i="33"/>
  <c r="U84" i="33" s="1"/>
  <c r="T52" i="32"/>
  <c r="V67" i="32" s="1"/>
  <c r="E19" i="32"/>
  <c r="F19" i="32" s="1"/>
  <c r="D84" i="33"/>
  <c r="U25" i="32"/>
  <c r="V25" i="32" s="1"/>
  <c r="G83" i="33"/>
  <c r="H83" i="33" s="1"/>
  <c r="U28" i="32"/>
  <c r="V28" i="32" s="1"/>
  <c r="U41" i="32"/>
  <c r="V41" i="32" s="1"/>
  <c r="U30" i="32"/>
  <c r="V30" i="32" s="1"/>
  <c r="D53" i="32"/>
  <c r="E53" i="32" s="1"/>
  <c r="F53" i="32" s="1"/>
  <c r="T50" i="32"/>
  <c r="U10" i="32"/>
  <c r="V10" i="32" s="1"/>
  <c r="D50" i="32"/>
  <c r="E10" i="32"/>
  <c r="F10" i="32" s="1"/>
  <c r="T51" i="32"/>
  <c r="U11" i="32"/>
  <c r="V11" i="32" s="1"/>
  <c r="D51" i="32"/>
  <c r="E11" i="32"/>
  <c r="F11" i="32" s="1"/>
  <c r="T58" i="32"/>
  <c r="U33" i="32"/>
  <c r="V33" i="32" s="1"/>
  <c r="U6" i="32"/>
  <c r="V6" i="32" s="1"/>
  <c r="V70" i="32"/>
  <c r="U55" i="32"/>
  <c r="V55" i="32" s="1"/>
  <c r="E6" i="32"/>
  <c r="F6" i="32" s="1"/>
  <c r="C50" i="32"/>
  <c r="C44" i="32"/>
  <c r="E33" i="32"/>
  <c r="F33" i="32" s="1"/>
  <c r="U24" i="32"/>
  <c r="V24" i="32" s="1"/>
  <c r="T54" i="32"/>
  <c r="E41" i="32"/>
  <c r="F41" i="32" s="1"/>
  <c r="U42" i="32"/>
  <c r="V42" i="32" s="1"/>
  <c r="E30" i="32"/>
  <c r="F30" i="32" s="1"/>
  <c r="U20" i="32"/>
  <c r="V20" i="32" s="1"/>
  <c r="T53" i="32"/>
  <c r="E14" i="32"/>
  <c r="F14" i="32" s="1"/>
  <c r="C52" i="32"/>
  <c r="D49" i="32"/>
  <c r="E49" i="32" s="1"/>
  <c r="F49" i="32" s="1"/>
  <c r="D44" i="32"/>
  <c r="E5" i="32"/>
  <c r="F5" i="32" s="1"/>
  <c r="E24" i="32"/>
  <c r="F24" i="32" s="1"/>
  <c r="D54" i="32"/>
  <c r="U57" i="32"/>
  <c r="V57" i="32" s="1"/>
  <c r="V72" i="32"/>
  <c r="E42" i="32"/>
  <c r="F42" i="32" s="1"/>
  <c r="E20" i="32"/>
  <c r="F20" i="32" s="1"/>
  <c r="E26" i="32"/>
  <c r="F26" i="32" s="1"/>
  <c r="T56" i="32"/>
  <c r="U31" i="32"/>
  <c r="V31" i="32" s="1"/>
  <c r="E21" i="32"/>
  <c r="F21" i="32" s="1"/>
  <c r="T49" i="32"/>
  <c r="U5" i="32"/>
  <c r="V5" i="32" s="1"/>
  <c r="T44" i="32"/>
  <c r="E28" i="32"/>
  <c r="F28" i="32" s="1"/>
  <c r="E31" i="32"/>
  <c r="F31" i="32" s="1"/>
  <c r="D56" i="32"/>
  <c r="E34" i="32"/>
  <c r="F34" i="32" s="1"/>
  <c r="D58" i="32"/>
  <c r="E58" i="32" s="1"/>
  <c r="F58" i="32" s="1"/>
  <c r="U21" i="32"/>
  <c r="V21" i="32" s="1"/>
  <c r="G81" i="33"/>
  <c r="H42" i="33"/>
  <c r="U39" i="32"/>
  <c r="V39" i="32" s="1"/>
  <c r="E16" i="32"/>
  <c r="F16" i="32" s="1"/>
  <c r="D52" i="32"/>
  <c r="U34" i="32"/>
  <c r="V34" i="32" s="1"/>
  <c r="F84" i="33"/>
  <c r="G84" i="33" s="1"/>
  <c r="H84" i="33" s="1"/>
  <c r="E25" i="32"/>
  <c r="F25" i="32" s="1"/>
  <c r="E52" i="32" l="1"/>
  <c r="F52" i="32" s="1"/>
  <c r="U53" i="32"/>
  <c r="V53" i="32" s="1"/>
  <c r="V68" i="32"/>
  <c r="U58" i="32"/>
  <c r="V58" i="32" s="1"/>
  <c r="V73" i="32"/>
  <c r="E50" i="32"/>
  <c r="F50" i="32" s="1"/>
  <c r="V69" i="32"/>
  <c r="U54" i="32"/>
  <c r="V54" i="32" s="1"/>
  <c r="E54" i="32"/>
  <c r="F54" i="32" s="1"/>
  <c r="V65" i="32"/>
  <c r="U50" i="32"/>
  <c r="V50" i="32" s="1"/>
  <c r="E51" i="32"/>
  <c r="F51" i="32" s="1"/>
  <c r="U52" i="32"/>
  <c r="V52" i="32" s="1"/>
  <c r="U49" i="32"/>
  <c r="V49" i="32" s="1"/>
  <c r="V64" i="32"/>
  <c r="G104" i="33"/>
  <c r="I104" i="33" s="1"/>
  <c r="H81" i="33"/>
  <c r="E56" i="32"/>
  <c r="F56" i="32" s="1"/>
  <c r="U51" i="32"/>
  <c r="V51" i="32" s="1"/>
  <c r="V66" i="32"/>
  <c r="U56" i="32"/>
  <c r="V56" i="32" s="1"/>
  <c r="V71" i="32"/>
  <c r="D37" i="31" l="1"/>
  <c r="C37" i="31"/>
  <c r="C41" i="31" s="1"/>
  <c r="B37" i="31"/>
  <c r="AM46" i="26" s="1"/>
  <c r="E32" i="31"/>
  <c r="AP41" i="26" s="1"/>
  <c r="E30" i="31"/>
  <c r="E15" i="31"/>
  <c r="D8" i="31"/>
  <c r="C8" i="31"/>
  <c r="B8" i="31"/>
  <c r="B32" i="30"/>
  <c r="B30" i="30"/>
  <c r="B15" i="30"/>
  <c r="E41" i="29"/>
  <c r="K40" i="29"/>
  <c r="J40" i="29"/>
  <c r="I40" i="29"/>
  <c r="H40" i="29"/>
  <c r="K39" i="29"/>
  <c r="U48" i="26" s="1"/>
  <c r="J39" i="29"/>
  <c r="I39" i="29"/>
  <c r="H39" i="29"/>
  <c r="K38" i="29"/>
  <c r="J38" i="29"/>
  <c r="T47" i="26" s="1"/>
  <c r="I38" i="29"/>
  <c r="S47" i="26" s="1"/>
  <c r="H38" i="29"/>
  <c r="K37" i="29"/>
  <c r="J37" i="29"/>
  <c r="I37" i="29"/>
  <c r="H37" i="29"/>
  <c r="K36" i="29"/>
  <c r="U45" i="26" s="1"/>
  <c r="J36" i="29"/>
  <c r="I36" i="29"/>
  <c r="H36" i="29"/>
  <c r="K35" i="29"/>
  <c r="U44" i="26" s="1"/>
  <c r="J35" i="29"/>
  <c r="T44" i="26" s="1"/>
  <c r="I35" i="29"/>
  <c r="S44" i="26" s="1"/>
  <c r="H35" i="29"/>
  <c r="K34" i="29"/>
  <c r="J34" i="29"/>
  <c r="T43" i="26" s="1"/>
  <c r="I34" i="29"/>
  <c r="H34" i="29"/>
  <c r="K33" i="29"/>
  <c r="U42" i="26" s="1"/>
  <c r="J33" i="29"/>
  <c r="I33" i="29"/>
  <c r="S42" i="26" s="1"/>
  <c r="H33" i="29"/>
  <c r="K32" i="29"/>
  <c r="U41" i="26" s="1"/>
  <c r="J32" i="29"/>
  <c r="T41" i="26" s="1"/>
  <c r="I32" i="29"/>
  <c r="S41" i="26" s="1"/>
  <c r="H32" i="29"/>
  <c r="K31" i="29"/>
  <c r="J31" i="29"/>
  <c r="T40" i="26" s="1"/>
  <c r="I31" i="29"/>
  <c r="H31" i="29"/>
  <c r="K30" i="29"/>
  <c r="J30" i="29"/>
  <c r="I30" i="29"/>
  <c r="S39" i="26" s="1"/>
  <c r="H30" i="29"/>
  <c r="K29" i="29"/>
  <c r="J29" i="29"/>
  <c r="T38" i="26" s="1"/>
  <c r="I29" i="29"/>
  <c r="H29" i="29"/>
  <c r="K28" i="29"/>
  <c r="J28" i="29"/>
  <c r="I28" i="29"/>
  <c r="H28" i="29"/>
  <c r="I27" i="29"/>
  <c r="H27" i="29"/>
  <c r="E27" i="29"/>
  <c r="D27" i="29"/>
  <c r="K26" i="29"/>
  <c r="J26" i="29"/>
  <c r="I26" i="29"/>
  <c r="H26" i="29"/>
  <c r="E25" i="29"/>
  <c r="D25" i="29"/>
  <c r="C25" i="29"/>
  <c r="B25" i="29"/>
  <c r="K24" i="29"/>
  <c r="J24" i="29"/>
  <c r="C24" i="29"/>
  <c r="B24" i="29"/>
  <c r="K23" i="29"/>
  <c r="J23" i="29"/>
  <c r="T32" i="26" s="1"/>
  <c r="I23" i="29"/>
  <c r="H23" i="29"/>
  <c r="K22" i="29"/>
  <c r="J22" i="29"/>
  <c r="I22" i="29"/>
  <c r="H22" i="29"/>
  <c r="K21" i="29"/>
  <c r="J21" i="29"/>
  <c r="I21" i="29"/>
  <c r="H21" i="29"/>
  <c r="E20" i="29"/>
  <c r="D20" i="29"/>
  <c r="D41" i="29" s="1"/>
  <c r="T50" i="26" s="1"/>
  <c r="C20" i="29"/>
  <c r="C41" i="29" s="1"/>
  <c r="S50" i="26" s="1"/>
  <c r="B20" i="29"/>
  <c r="K19" i="29"/>
  <c r="J19" i="29"/>
  <c r="I19" i="29"/>
  <c r="H19" i="29"/>
  <c r="K18" i="29"/>
  <c r="J18" i="29"/>
  <c r="I18" i="29"/>
  <c r="H18" i="29"/>
  <c r="K17" i="29"/>
  <c r="J17" i="29"/>
  <c r="I17" i="29"/>
  <c r="H17" i="29"/>
  <c r="K16" i="29"/>
  <c r="J16" i="29"/>
  <c r="I16" i="29"/>
  <c r="H16" i="29"/>
  <c r="K15" i="29"/>
  <c r="J15" i="29"/>
  <c r="I15" i="29"/>
  <c r="H15" i="29"/>
  <c r="K14" i="29"/>
  <c r="J14" i="29"/>
  <c r="I14" i="29"/>
  <c r="H14" i="29"/>
  <c r="K13" i="29"/>
  <c r="J13" i="29"/>
  <c r="I13" i="29"/>
  <c r="H13" i="29"/>
  <c r="K12" i="29"/>
  <c r="J12" i="29"/>
  <c r="I12" i="29"/>
  <c r="H12" i="29"/>
  <c r="K11" i="29"/>
  <c r="J11" i="29"/>
  <c r="I11" i="29"/>
  <c r="H11" i="29"/>
  <c r="K10" i="29"/>
  <c r="J10" i="29"/>
  <c r="I10" i="29"/>
  <c r="H10" i="29"/>
  <c r="K9" i="29"/>
  <c r="J9" i="29"/>
  <c r="I9" i="29"/>
  <c r="H9" i="29"/>
  <c r="K8" i="29"/>
  <c r="J8" i="29"/>
  <c r="I8" i="29"/>
  <c r="H8" i="29"/>
  <c r="K7" i="29"/>
  <c r="J7" i="29"/>
  <c r="I7" i="29"/>
  <c r="H7" i="29"/>
  <c r="K6" i="29"/>
  <c r="J6" i="29"/>
  <c r="I6" i="29"/>
  <c r="H6" i="29"/>
  <c r="K5" i="29"/>
  <c r="J5" i="29"/>
  <c r="I5" i="29"/>
  <c r="I41" i="29" s="1"/>
  <c r="H5" i="29"/>
  <c r="K4" i="29"/>
  <c r="J4" i="29"/>
  <c r="I4" i="29"/>
  <c r="H4" i="29"/>
  <c r="K3" i="29"/>
  <c r="K41" i="29" s="1"/>
  <c r="J3" i="29"/>
  <c r="I3" i="29"/>
  <c r="H3" i="29"/>
  <c r="H41" i="29" s="1"/>
  <c r="I41" i="28"/>
  <c r="D41" i="28"/>
  <c r="K40" i="28"/>
  <c r="N49" i="26" s="1"/>
  <c r="J40" i="28"/>
  <c r="I40" i="28"/>
  <c r="L49" i="26" s="1"/>
  <c r="H40" i="28"/>
  <c r="K39" i="28"/>
  <c r="J39" i="28"/>
  <c r="M48" i="26" s="1"/>
  <c r="I39" i="28"/>
  <c r="H39" i="28"/>
  <c r="K38" i="28"/>
  <c r="J38" i="28"/>
  <c r="I38" i="28"/>
  <c r="H38" i="28"/>
  <c r="K37" i="28"/>
  <c r="N46" i="26" s="1"/>
  <c r="J37" i="28"/>
  <c r="I37" i="28"/>
  <c r="L46" i="26" s="1"/>
  <c r="H37" i="28"/>
  <c r="K36" i="28"/>
  <c r="J36" i="28"/>
  <c r="M45" i="26" s="1"/>
  <c r="I36" i="28"/>
  <c r="H36" i="28"/>
  <c r="K35" i="28"/>
  <c r="J35" i="28"/>
  <c r="I35" i="28"/>
  <c r="H35" i="28"/>
  <c r="K34" i="28"/>
  <c r="J34" i="28"/>
  <c r="I34" i="28"/>
  <c r="H34" i="28"/>
  <c r="K33" i="28"/>
  <c r="J33" i="28"/>
  <c r="I33" i="28"/>
  <c r="H33" i="28"/>
  <c r="K32" i="28"/>
  <c r="J32" i="28"/>
  <c r="I32" i="28"/>
  <c r="H32" i="28"/>
  <c r="K31" i="28"/>
  <c r="J31" i="28"/>
  <c r="I31" i="28"/>
  <c r="H31" i="28"/>
  <c r="K30" i="28"/>
  <c r="J30" i="28"/>
  <c r="I30" i="28"/>
  <c r="H30" i="28"/>
  <c r="K29" i="28"/>
  <c r="J29" i="28"/>
  <c r="I29" i="28"/>
  <c r="H29" i="28"/>
  <c r="K28" i="28"/>
  <c r="J28" i="28"/>
  <c r="I28" i="28"/>
  <c r="H28" i="28"/>
  <c r="I27" i="28"/>
  <c r="H27" i="28"/>
  <c r="E27" i="28"/>
  <c r="D27" i="28"/>
  <c r="K26" i="28"/>
  <c r="J26" i="28"/>
  <c r="I26" i="28"/>
  <c r="H26" i="28"/>
  <c r="E25" i="28"/>
  <c r="D25" i="28"/>
  <c r="C25" i="28"/>
  <c r="B25" i="28"/>
  <c r="K24" i="28"/>
  <c r="J24" i="28"/>
  <c r="C24" i="28"/>
  <c r="B24" i="28"/>
  <c r="K23" i="28"/>
  <c r="J23" i="28"/>
  <c r="I23" i="28"/>
  <c r="H23" i="28"/>
  <c r="K22" i="28"/>
  <c r="J22" i="28"/>
  <c r="I22" i="28"/>
  <c r="H22" i="28"/>
  <c r="K21" i="28"/>
  <c r="J21" i="28"/>
  <c r="I21" i="28"/>
  <c r="H21" i="28"/>
  <c r="E20" i="28"/>
  <c r="E41" i="28" s="1"/>
  <c r="D20" i="28"/>
  <c r="C20" i="28"/>
  <c r="B20" i="28"/>
  <c r="B41" i="28" s="1"/>
  <c r="K50" i="26" s="1"/>
  <c r="K19" i="28"/>
  <c r="J19" i="28"/>
  <c r="I19" i="28"/>
  <c r="H19" i="28"/>
  <c r="K18" i="28"/>
  <c r="J18" i="28"/>
  <c r="I18" i="28"/>
  <c r="H18" i="28"/>
  <c r="K17" i="28"/>
  <c r="J17" i="28"/>
  <c r="I17" i="28"/>
  <c r="H17" i="28"/>
  <c r="K16" i="28"/>
  <c r="J16" i="28"/>
  <c r="I16" i="28"/>
  <c r="H16" i="28"/>
  <c r="K15" i="28"/>
  <c r="J15" i="28"/>
  <c r="I15" i="28"/>
  <c r="H15" i="28"/>
  <c r="K14" i="28"/>
  <c r="J14" i="28"/>
  <c r="I14" i="28"/>
  <c r="H14" i="28"/>
  <c r="K13" i="28"/>
  <c r="J13" i="28"/>
  <c r="I13" i="28"/>
  <c r="H13" i="28"/>
  <c r="K12" i="28"/>
  <c r="J12" i="28"/>
  <c r="I12" i="28"/>
  <c r="H12" i="28"/>
  <c r="K11" i="28"/>
  <c r="J11" i="28"/>
  <c r="I11" i="28"/>
  <c r="H11" i="28"/>
  <c r="K10" i="28"/>
  <c r="J10" i="28"/>
  <c r="I10" i="28"/>
  <c r="H10" i="28"/>
  <c r="K9" i="28"/>
  <c r="J9" i="28"/>
  <c r="I9" i="28"/>
  <c r="H9" i="28"/>
  <c r="K8" i="28"/>
  <c r="J8" i="28"/>
  <c r="I8" i="28"/>
  <c r="H8" i="28"/>
  <c r="K7" i="28"/>
  <c r="J7" i="28"/>
  <c r="I7" i="28"/>
  <c r="H7" i="28"/>
  <c r="K6" i="28"/>
  <c r="J6" i="28"/>
  <c r="I6" i="28"/>
  <c r="H6" i="28"/>
  <c r="K5" i="28"/>
  <c r="J5" i="28"/>
  <c r="I5" i="28"/>
  <c r="H5" i="28"/>
  <c r="K4" i="28"/>
  <c r="J4" i="28"/>
  <c r="I4" i="28"/>
  <c r="H4" i="28"/>
  <c r="K3" i="28"/>
  <c r="J3" i="28"/>
  <c r="J41" i="28" s="1"/>
  <c r="I3" i="28"/>
  <c r="H3" i="28"/>
  <c r="E41" i="27"/>
  <c r="N50" i="26" s="1"/>
  <c r="D41" i="27"/>
  <c r="C41" i="27"/>
  <c r="B41" i="27"/>
  <c r="CY50" i="26"/>
  <c r="U50" i="26"/>
  <c r="BN43" i="26" s="1"/>
  <c r="M50" i="26"/>
  <c r="CG49" i="26"/>
  <c r="BH49" i="26"/>
  <c r="CS49" i="26" s="1"/>
  <c r="AP49" i="26"/>
  <c r="AO49" i="26"/>
  <c r="AN49" i="26"/>
  <c r="AM49" i="26"/>
  <c r="AI49" i="26"/>
  <c r="AH49" i="26"/>
  <c r="AG49" i="26"/>
  <c r="AF49" i="26"/>
  <c r="AB49" i="26"/>
  <c r="AA49" i="26"/>
  <c r="Z49" i="26"/>
  <c r="Y49" i="26"/>
  <c r="U49" i="26"/>
  <c r="T49" i="26"/>
  <c r="S49" i="26"/>
  <c r="R49" i="26"/>
  <c r="M49" i="26"/>
  <c r="K49" i="26"/>
  <c r="G49" i="26"/>
  <c r="F49" i="26"/>
  <c r="E49" i="26"/>
  <c r="D49" i="26"/>
  <c r="CS48" i="26"/>
  <c r="CG48" i="26"/>
  <c r="BU48" i="26"/>
  <c r="BH48" i="26"/>
  <c r="AP48" i="26"/>
  <c r="AO48" i="26"/>
  <c r="AN48" i="26"/>
  <c r="AM48" i="26"/>
  <c r="AI48" i="26"/>
  <c r="AH48" i="26"/>
  <c r="AG48" i="26"/>
  <c r="AF48" i="26"/>
  <c r="AB48" i="26"/>
  <c r="AA48" i="26"/>
  <c r="Z48" i="26"/>
  <c r="Y48" i="26"/>
  <c r="T48" i="26"/>
  <c r="S48" i="26"/>
  <c r="R48" i="26"/>
  <c r="N48" i="26"/>
  <c r="L48" i="26"/>
  <c r="K48" i="26"/>
  <c r="G48" i="26"/>
  <c r="F48" i="26"/>
  <c r="E48" i="26"/>
  <c r="D48" i="26"/>
  <c r="BH47" i="26"/>
  <c r="AP47" i="26"/>
  <c r="AO47" i="26"/>
  <c r="AN47" i="26"/>
  <c r="AM47" i="26"/>
  <c r="AI47" i="26"/>
  <c r="AH47" i="26"/>
  <c r="AG47" i="26"/>
  <c r="AF47" i="26"/>
  <c r="AB47" i="26"/>
  <c r="AA47" i="26"/>
  <c r="Z47" i="26"/>
  <c r="Y47" i="26"/>
  <c r="U47" i="26"/>
  <c r="R47" i="26"/>
  <c r="N47" i="26"/>
  <c r="M47" i="26"/>
  <c r="L47" i="26"/>
  <c r="K47" i="26"/>
  <c r="G47" i="26"/>
  <c r="F47" i="26"/>
  <c r="E47" i="26"/>
  <c r="D47" i="26"/>
  <c r="BH46" i="26"/>
  <c r="CS46" i="26" s="1"/>
  <c r="AP46" i="26"/>
  <c r="AO46" i="26"/>
  <c r="AI46" i="26"/>
  <c r="AG46" i="26"/>
  <c r="AF46" i="26"/>
  <c r="AB46" i="26"/>
  <c r="AA46" i="26"/>
  <c r="Y46" i="26"/>
  <c r="U46" i="26"/>
  <c r="T46" i="26"/>
  <c r="S46" i="26"/>
  <c r="R46" i="26"/>
  <c r="M46" i="26"/>
  <c r="K46" i="26"/>
  <c r="G46" i="26"/>
  <c r="F46" i="26"/>
  <c r="E46" i="26"/>
  <c r="D46" i="26"/>
  <c r="BH45" i="26"/>
  <c r="CG45" i="26" s="1"/>
  <c r="AP45" i="26"/>
  <c r="AO45" i="26"/>
  <c r="AN45" i="26"/>
  <c r="AM45" i="26"/>
  <c r="AI45" i="26"/>
  <c r="AH45" i="26"/>
  <c r="AG45" i="26"/>
  <c r="AF45" i="26"/>
  <c r="AB45" i="26"/>
  <c r="AA45" i="26"/>
  <c r="Z45" i="26"/>
  <c r="Y45" i="26"/>
  <c r="T45" i="26"/>
  <c r="S45" i="26"/>
  <c r="R45" i="26"/>
  <c r="N45" i="26"/>
  <c r="L45" i="26"/>
  <c r="K45" i="26"/>
  <c r="G45" i="26"/>
  <c r="F45" i="26"/>
  <c r="E45" i="26"/>
  <c r="D45" i="26"/>
  <c r="CS44" i="26"/>
  <c r="CG44" i="26"/>
  <c r="BN44" i="26"/>
  <c r="BH44" i="26"/>
  <c r="BU44" i="26" s="1"/>
  <c r="AP44" i="26"/>
  <c r="AO44" i="26"/>
  <c r="AN44" i="26"/>
  <c r="AM44" i="26"/>
  <c r="AI44" i="26"/>
  <c r="AH44" i="26"/>
  <c r="AG44" i="26"/>
  <c r="AF44" i="26"/>
  <c r="AB44" i="26"/>
  <c r="AA44" i="26"/>
  <c r="Z44" i="26"/>
  <c r="Y44" i="26"/>
  <c r="R44" i="26"/>
  <c r="N44" i="26"/>
  <c r="M44" i="26"/>
  <c r="L44" i="26"/>
  <c r="K44" i="26"/>
  <c r="G44" i="26"/>
  <c r="F44" i="26"/>
  <c r="E44" i="26"/>
  <c r="D44" i="26"/>
  <c r="BH43" i="26"/>
  <c r="AP43" i="26"/>
  <c r="AO43" i="26"/>
  <c r="AN43" i="26"/>
  <c r="AM43" i="26"/>
  <c r="AI43" i="26"/>
  <c r="AH43" i="26"/>
  <c r="AG43" i="26"/>
  <c r="AF43" i="26"/>
  <c r="AB43" i="26"/>
  <c r="AA43" i="26"/>
  <c r="Z43" i="26"/>
  <c r="Y43" i="26"/>
  <c r="U43" i="26"/>
  <c r="S43" i="26"/>
  <c r="R43" i="26"/>
  <c r="N43" i="26"/>
  <c r="M43" i="26"/>
  <c r="L43" i="26"/>
  <c r="K43" i="26"/>
  <c r="G43" i="26"/>
  <c r="F43" i="26"/>
  <c r="E43" i="26"/>
  <c r="D43" i="26"/>
  <c r="CS42" i="26"/>
  <c r="BU42" i="26"/>
  <c r="BH42" i="26"/>
  <c r="CG42" i="26" s="1"/>
  <c r="AP42" i="26"/>
  <c r="AO42" i="26"/>
  <c r="AN42" i="26"/>
  <c r="AM42" i="26"/>
  <c r="AI42" i="26"/>
  <c r="AH42" i="26"/>
  <c r="AG42" i="26"/>
  <c r="AF42" i="26"/>
  <c r="AB42" i="26"/>
  <c r="AA42" i="26"/>
  <c r="Z42" i="26"/>
  <c r="Y42" i="26"/>
  <c r="T42" i="26"/>
  <c r="R42" i="26"/>
  <c r="N42" i="26"/>
  <c r="M42" i="26"/>
  <c r="L42" i="26"/>
  <c r="K42" i="26"/>
  <c r="G42" i="26"/>
  <c r="F42" i="26"/>
  <c r="E42" i="26"/>
  <c r="D42" i="26"/>
  <c r="AO41" i="26"/>
  <c r="AN41" i="26"/>
  <c r="AM41" i="26"/>
  <c r="AH41" i="26"/>
  <c r="AG41" i="26"/>
  <c r="AF41" i="26"/>
  <c r="AB41" i="26"/>
  <c r="AA41" i="26"/>
  <c r="Z41" i="26"/>
  <c r="Y41" i="26"/>
  <c r="R41" i="26"/>
  <c r="N41" i="26"/>
  <c r="M41" i="26"/>
  <c r="L41" i="26"/>
  <c r="K41" i="26"/>
  <c r="G41" i="26"/>
  <c r="F41" i="26"/>
  <c r="E41" i="26"/>
  <c r="D41" i="26"/>
  <c r="BH40" i="26"/>
  <c r="CS40" i="26" s="1"/>
  <c r="AP40" i="26"/>
  <c r="AO40" i="26"/>
  <c r="AN40" i="26"/>
  <c r="AM40" i="26"/>
  <c r="AI40" i="26"/>
  <c r="AH40" i="26"/>
  <c r="AG40" i="26"/>
  <c r="AF40" i="26"/>
  <c r="AB40" i="26"/>
  <c r="AA40" i="26"/>
  <c r="Z40" i="26"/>
  <c r="Y40" i="26"/>
  <c r="U40" i="26"/>
  <c r="S40" i="26"/>
  <c r="R40" i="26"/>
  <c r="N40" i="26"/>
  <c r="M40" i="26"/>
  <c r="L40" i="26"/>
  <c r="K40" i="26"/>
  <c r="G40" i="26"/>
  <c r="F40" i="26"/>
  <c r="E40" i="26"/>
  <c r="D40" i="26"/>
  <c r="AP39" i="26"/>
  <c r="AO39" i="26"/>
  <c r="AN39" i="26"/>
  <c r="AM39" i="26"/>
  <c r="AH39" i="26"/>
  <c r="AG39" i="26"/>
  <c r="AF39" i="26"/>
  <c r="AA39" i="26"/>
  <c r="Z39" i="26"/>
  <c r="Y39" i="26"/>
  <c r="U39" i="26"/>
  <c r="T39" i="26"/>
  <c r="R39" i="26"/>
  <c r="N39" i="26"/>
  <c r="M39" i="26"/>
  <c r="L39" i="26"/>
  <c r="K39" i="26"/>
  <c r="G39" i="26"/>
  <c r="F39" i="26"/>
  <c r="E39" i="26"/>
  <c r="D39" i="26"/>
  <c r="BH38" i="26"/>
  <c r="AP38" i="26"/>
  <c r="AO38" i="26"/>
  <c r="AN38" i="26"/>
  <c r="AM38" i="26"/>
  <c r="AI38" i="26"/>
  <c r="AH38" i="26"/>
  <c r="AG38" i="26"/>
  <c r="AF38" i="26"/>
  <c r="AB38" i="26"/>
  <c r="AA38" i="26"/>
  <c r="Z38" i="26"/>
  <c r="Y38" i="26"/>
  <c r="U38" i="26"/>
  <c r="BN38" i="26" s="1"/>
  <c r="S38" i="26"/>
  <c r="R38" i="26"/>
  <c r="N38" i="26"/>
  <c r="M38" i="26"/>
  <c r="L38" i="26"/>
  <c r="K38" i="26"/>
  <c r="G38" i="26"/>
  <c r="F38" i="26"/>
  <c r="E38" i="26"/>
  <c r="D38" i="26"/>
  <c r="BN37" i="26"/>
  <c r="BH37" i="26"/>
  <c r="CG37" i="26" s="1"/>
  <c r="AP37" i="26"/>
  <c r="AO37" i="26"/>
  <c r="AN37" i="26"/>
  <c r="AM37" i="26"/>
  <c r="AI37" i="26"/>
  <c r="AH37" i="26"/>
  <c r="AG37" i="26"/>
  <c r="AF37" i="26"/>
  <c r="AB37" i="26"/>
  <c r="AA37" i="26"/>
  <c r="Z37" i="26"/>
  <c r="Y37" i="26"/>
  <c r="U37" i="26"/>
  <c r="T37" i="26"/>
  <c r="S37" i="26"/>
  <c r="R37" i="26"/>
  <c r="N37" i="26"/>
  <c r="M37" i="26"/>
  <c r="L37" i="26"/>
  <c r="K37" i="26"/>
  <c r="G37" i="26"/>
  <c r="F37" i="26"/>
  <c r="E37" i="26"/>
  <c r="D37" i="26"/>
  <c r="CG36" i="26"/>
  <c r="BU36" i="26"/>
  <c r="BH36" i="26"/>
  <c r="CS36" i="26" s="1"/>
  <c r="AP36" i="26"/>
  <c r="AO36" i="26"/>
  <c r="AN36" i="26"/>
  <c r="AM36" i="26"/>
  <c r="AI36" i="26"/>
  <c r="AH36" i="26"/>
  <c r="AG36" i="26"/>
  <c r="AF36" i="26"/>
  <c r="AB36" i="26"/>
  <c r="AA36" i="26"/>
  <c r="Z36" i="26"/>
  <c r="Y36" i="26"/>
  <c r="U36" i="26"/>
  <c r="T36" i="26"/>
  <c r="BN36" i="26" s="1"/>
  <c r="S36" i="26"/>
  <c r="R36" i="26"/>
  <c r="N36" i="26"/>
  <c r="M36" i="26"/>
  <c r="L36" i="26"/>
  <c r="K36" i="26"/>
  <c r="G36" i="26"/>
  <c r="F36" i="26"/>
  <c r="E36" i="26"/>
  <c r="D36" i="26"/>
  <c r="BH35" i="26"/>
  <c r="CS35" i="26" s="1"/>
  <c r="AP35" i="26"/>
  <c r="AO35" i="26"/>
  <c r="AN35" i="26"/>
  <c r="AM35" i="26"/>
  <c r="AI35" i="26"/>
  <c r="AH35" i="26"/>
  <c r="AG35" i="26"/>
  <c r="AF35" i="26"/>
  <c r="AB35" i="26"/>
  <c r="AA35" i="26"/>
  <c r="Z35" i="26"/>
  <c r="Y35" i="26"/>
  <c r="U35" i="26"/>
  <c r="T35" i="26"/>
  <c r="S35" i="26"/>
  <c r="R35" i="26"/>
  <c r="N35" i="26"/>
  <c r="M35" i="26"/>
  <c r="L35" i="26"/>
  <c r="K35" i="26"/>
  <c r="G35" i="26"/>
  <c r="F35" i="26"/>
  <c r="E35" i="26"/>
  <c r="D35" i="26"/>
  <c r="BU34" i="26"/>
  <c r="BH34" i="26"/>
  <c r="CG34" i="26" s="1"/>
  <c r="AP34" i="26"/>
  <c r="AO34" i="26"/>
  <c r="AN34" i="26"/>
  <c r="AM34" i="26"/>
  <c r="AI34" i="26"/>
  <c r="AH34" i="26"/>
  <c r="AG34" i="26"/>
  <c r="AF34" i="26"/>
  <c r="AB34" i="26"/>
  <c r="AA34" i="26"/>
  <c r="Z34" i="26"/>
  <c r="Y34" i="26"/>
  <c r="U34" i="26"/>
  <c r="T34" i="26"/>
  <c r="S34" i="26"/>
  <c r="R34" i="26"/>
  <c r="N34" i="26"/>
  <c r="M34" i="26"/>
  <c r="L34" i="26"/>
  <c r="K34" i="26"/>
  <c r="G34" i="26"/>
  <c r="F34" i="26"/>
  <c r="E34" i="26"/>
  <c r="D34" i="26"/>
  <c r="CG33" i="26"/>
  <c r="BU33" i="26"/>
  <c r="BH33" i="26"/>
  <c r="CS33" i="26" s="1"/>
  <c r="AP33" i="26"/>
  <c r="AO33" i="26"/>
  <c r="AN33" i="26"/>
  <c r="AM33" i="26"/>
  <c r="AI33" i="26"/>
  <c r="AH33" i="26"/>
  <c r="AG33" i="26"/>
  <c r="AF33" i="26"/>
  <c r="AB33" i="26"/>
  <c r="AA33" i="26"/>
  <c r="Z33" i="26"/>
  <c r="Y33" i="26"/>
  <c r="U33" i="26"/>
  <c r="BN33" i="26" s="1"/>
  <c r="T33" i="26"/>
  <c r="S33" i="26"/>
  <c r="R33" i="26"/>
  <c r="N33" i="26"/>
  <c r="M33" i="26"/>
  <c r="L33" i="26"/>
  <c r="K33" i="26"/>
  <c r="G33" i="26"/>
  <c r="F33" i="26"/>
  <c r="E33" i="26"/>
  <c r="D33" i="26"/>
  <c r="CS32" i="26"/>
  <c r="CG32" i="26"/>
  <c r="BH32" i="26"/>
  <c r="BU32" i="26" s="1"/>
  <c r="AP32" i="26"/>
  <c r="AO32" i="26"/>
  <c r="AN32" i="26"/>
  <c r="AM32" i="26"/>
  <c r="AI32" i="26"/>
  <c r="AH32" i="26"/>
  <c r="AG32" i="26"/>
  <c r="AF32" i="26"/>
  <c r="AB32" i="26"/>
  <c r="AA32" i="26"/>
  <c r="Z32" i="26"/>
  <c r="Y32" i="26"/>
  <c r="U32" i="26"/>
  <c r="S32" i="26"/>
  <c r="R32" i="26"/>
  <c r="N32" i="26"/>
  <c r="M32" i="26"/>
  <c r="L32" i="26"/>
  <c r="K32" i="26"/>
  <c r="G32" i="26"/>
  <c r="F32" i="26"/>
  <c r="E32" i="26"/>
  <c r="D32" i="26"/>
  <c r="BH31" i="26"/>
  <c r="CG31" i="26" s="1"/>
  <c r="AP31" i="26"/>
  <c r="AO31" i="26"/>
  <c r="AN31" i="26"/>
  <c r="AM31" i="26"/>
  <c r="AI31" i="26"/>
  <c r="AH31" i="26"/>
  <c r="AG31" i="26"/>
  <c r="AF31" i="26"/>
  <c r="AB31" i="26"/>
  <c r="AA31" i="26"/>
  <c r="Z31" i="26"/>
  <c r="Y31" i="26"/>
  <c r="U31" i="26"/>
  <c r="T31" i="26"/>
  <c r="S31" i="26"/>
  <c r="R31" i="26"/>
  <c r="N31" i="26"/>
  <c r="M31" i="26"/>
  <c r="L31" i="26"/>
  <c r="K31" i="26"/>
  <c r="G31" i="26"/>
  <c r="F31" i="26"/>
  <c r="E31" i="26"/>
  <c r="D31" i="26"/>
  <c r="BN30" i="26"/>
  <c r="BH30" i="26"/>
  <c r="AP30" i="26"/>
  <c r="AO30" i="26"/>
  <c r="AN30" i="26"/>
  <c r="AM30" i="26"/>
  <c r="AI30" i="26"/>
  <c r="AH30" i="26"/>
  <c r="AG30" i="26"/>
  <c r="AF30" i="26"/>
  <c r="AB30" i="26"/>
  <c r="AA30" i="26"/>
  <c r="Z30" i="26"/>
  <c r="Y30" i="26"/>
  <c r="U30" i="26"/>
  <c r="T30" i="26"/>
  <c r="S30" i="26"/>
  <c r="R30" i="26"/>
  <c r="N30" i="26"/>
  <c r="M30" i="26"/>
  <c r="L30" i="26"/>
  <c r="K30" i="26"/>
  <c r="G30" i="26"/>
  <c r="F30" i="26"/>
  <c r="E30" i="26"/>
  <c r="D30" i="26"/>
  <c r="BH29" i="26"/>
  <c r="AP29" i="26"/>
  <c r="AO29" i="26"/>
  <c r="AN29" i="26"/>
  <c r="AM29" i="26"/>
  <c r="AI29" i="26"/>
  <c r="AH29" i="26"/>
  <c r="AG29" i="26"/>
  <c r="AF29" i="26"/>
  <c r="AB29" i="26"/>
  <c r="AA29" i="26"/>
  <c r="Z29" i="26"/>
  <c r="Y29" i="26"/>
  <c r="U29" i="26"/>
  <c r="BN29" i="26" s="1"/>
  <c r="T29" i="26"/>
  <c r="S29" i="26"/>
  <c r="R29" i="26"/>
  <c r="N29" i="26"/>
  <c r="M29" i="26"/>
  <c r="L29" i="26"/>
  <c r="K29" i="26"/>
  <c r="G29" i="26"/>
  <c r="F29" i="26"/>
  <c r="E29" i="26"/>
  <c r="D29" i="26"/>
  <c r="BH28" i="26"/>
  <c r="AP28" i="26"/>
  <c r="AO28" i="26"/>
  <c r="AN28" i="26"/>
  <c r="AM28" i="26"/>
  <c r="AI28" i="26"/>
  <c r="AH28" i="26"/>
  <c r="AG28" i="26"/>
  <c r="AF28" i="26"/>
  <c r="AB28" i="26"/>
  <c r="AA28" i="26"/>
  <c r="Z28" i="26"/>
  <c r="Y28" i="26"/>
  <c r="U28" i="26"/>
  <c r="BN28" i="26" s="1"/>
  <c r="T28" i="26"/>
  <c r="S28" i="26"/>
  <c r="R28" i="26"/>
  <c r="N28" i="26"/>
  <c r="M28" i="26"/>
  <c r="L28" i="26"/>
  <c r="K28" i="26"/>
  <c r="G28" i="26"/>
  <c r="F28" i="26"/>
  <c r="E28" i="26"/>
  <c r="D28" i="26"/>
  <c r="BH27" i="26"/>
  <c r="CS27" i="26" s="1"/>
  <c r="AP27" i="26"/>
  <c r="AO27" i="26"/>
  <c r="AN27" i="26"/>
  <c r="AM27" i="26"/>
  <c r="AI27" i="26"/>
  <c r="AH27" i="26"/>
  <c r="AG27" i="26"/>
  <c r="AF27" i="26"/>
  <c r="AB27" i="26"/>
  <c r="AA27" i="26"/>
  <c r="Z27" i="26"/>
  <c r="Y27" i="26"/>
  <c r="U27" i="26"/>
  <c r="T27" i="26"/>
  <c r="S27" i="26"/>
  <c r="R27" i="26"/>
  <c r="N27" i="26"/>
  <c r="M27" i="26"/>
  <c r="L27" i="26"/>
  <c r="K27" i="26"/>
  <c r="G27" i="26"/>
  <c r="F27" i="26"/>
  <c r="E27" i="26"/>
  <c r="D27" i="26"/>
  <c r="BH26" i="26"/>
  <c r="CS26" i="26" s="1"/>
  <c r="AP26" i="26"/>
  <c r="AO26" i="26"/>
  <c r="AN26" i="26"/>
  <c r="AM26" i="26"/>
  <c r="AI26" i="26"/>
  <c r="AH26" i="26"/>
  <c r="AG26" i="26"/>
  <c r="AF26" i="26"/>
  <c r="AB26" i="26"/>
  <c r="AA26" i="26"/>
  <c r="Z26" i="26"/>
  <c r="Y26" i="26"/>
  <c r="U26" i="26"/>
  <c r="T26" i="26"/>
  <c r="S26" i="26"/>
  <c r="R26" i="26"/>
  <c r="N26" i="26"/>
  <c r="M26" i="26"/>
  <c r="L26" i="26"/>
  <c r="K26" i="26"/>
  <c r="G26" i="26"/>
  <c r="F26" i="26"/>
  <c r="E26" i="26"/>
  <c r="D26" i="26"/>
  <c r="BH25" i="26"/>
  <c r="AP25" i="26"/>
  <c r="AO25" i="26"/>
  <c r="AN25" i="26"/>
  <c r="AM25" i="26"/>
  <c r="AI25" i="26"/>
  <c r="AH25" i="26"/>
  <c r="AG25" i="26"/>
  <c r="AF25" i="26"/>
  <c r="AB25" i="26"/>
  <c r="AA25" i="26"/>
  <c r="Z25" i="26"/>
  <c r="Y25" i="26"/>
  <c r="U25" i="26"/>
  <c r="T25" i="26"/>
  <c r="S25" i="26"/>
  <c r="R25" i="26"/>
  <c r="N25" i="26"/>
  <c r="M25" i="26"/>
  <c r="L25" i="26"/>
  <c r="K25" i="26"/>
  <c r="G25" i="26"/>
  <c r="F25" i="26"/>
  <c r="E25" i="26"/>
  <c r="D25" i="26"/>
  <c r="BH24" i="26"/>
  <c r="CG24" i="26" s="1"/>
  <c r="AP24" i="26"/>
  <c r="AO24" i="26"/>
  <c r="AN24" i="26"/>
  <c r="AM24" i="26"/>
  <c r="AI24" i="26"/>
  <c r="AH24" i="26"/>
  <c r="AG24" i="26"/>
  <c r="AF24" i="26"/>
  <c r="AB24" i="26"/>
  <c r="AA24" i="26"/>
  <c r="Z24" i="26"/>
  <c r="Y24" i="26"/>
  <c r="U24" i="26"/>
  <c r="BN24" i="26" s="1"/>
  <c r="T24" i="26"/>
  <c r="S24" i="26"/>
  <c r="R24" i="26"/>
  <c r="N24" i="26"/>
  <c r="M24" i="26"/>
  <c r="L24" i="26"/>
  <c r="K24" i="26"/>
  <c r="G24" i="26"/>
  <c r="F24" i="26"/>
  <c r="E24" i="26"/>
  <c r="D24" i="26"/>
  <c r="BH23" i="26"/>
  <c r="CG23" i="26" s="1"/>
  <c r="AP23" i="26"/>
  <c r="AO23" i="26"/>
  <c r="AN23" i="26"/>
  <c r="AM23" i="26"/>
  <c r="AI23" i="26"/>
  <c r="AH23" i="26"/>
  <c r="AG23" i="26"/>
  <c r="AF23" i="26"/>
  <c r="AB23" i="26"/>
  <c r="AA23" i="26"/>
  <c r="Z23" i="26"/>
  <c r="Y23" i="26"/>
  <c r="U23" i="26"/>
  <c r="BN23" i="26" s="1"/>
  <c r="T23" i="26"/>
  <c r="S23" i="26"/>
  <c r="R23" i="26"/>
  <c r="N23" i="26"/>
  <c r="M23" i="26"/>
  <c r="L23" i="26"/>
  <c r="K23" i="26"/>
  <c r="G23" i="26"/>
  <c r="F23" i="26"/>
  <c r="E23" i="26"/>
  <c r="D23" i="26"/>
  <c r="CS22" i="26"/>
  <c r="BH22" i="26"/>
  <c r="CG22" i="26" s="1"/>
  <c r="AP22" i="26"/>
  <c r="AO22" i="26"/>
  <c r="AN22" i="26"/>
  <c r="AM22" i="26"/>
  <c r="AI22" i="26"/>
  <c r="AH22" i="26"/>
  <c r="AG22" i="26"/>
  <c r="AF22" i="26"/>
  <c r="AB22" i="26"/>
  <c r="AA22" i="26"/>
  <c r="Z22" i="26"/>
  <c r="Y22" i="26"/>
  <c r="U22" i="26"/>
  <c r="T22" i="26"/>
  <c r="S22" i="26"/>
  <c r="R22" i="26"/>
  <c r="N22" i="26"/>
  <c r="M22" i="26"/>
  <c r="L22" i="26"/>
  <c r="K22" i="26"/>
  <c r="G22" i="26"/>
  <c r="F22" i="26"/>
  <c r="E22" i="26"/>
  <c r="D22" i="26"/>
  <c r="BH21" i="26"/>
  <c r="AP21" i="26"/>
  <c r="AO21" i="26"/>
  <c r="AN21" i="26"/>
  <c r="AM21" i="26"/>
  <c r="AI21" i="26"/>
  <c r="AH21" i="26"/>
  <c r="AG21" i="26"/>
  <c r="AF21" i="26"/>
  <c r="AB21" i="26"/>
  <c r="AA21" i="26"/>
  <c r="Z21" i="26"/>
  <c r="Y21" i="26"/>
  <c r="U21" i="26"/>
  <c r="BN21" i="26" s="1"/>
  <c r="T21" i="26"/>
  <c r="S21" i="26"/>
  <c r="R21" i="26"/>
  <c r="N21" i="26"/>
  <c r="M21" i="26"/>
  <c r="L21" i="26"/>
  <c r="K21" i="26"/>
  <c r="G21" i="26"/>
  <c r="F21" i="26"/>
  <c r="E21" i="26"/>
  <c r="D21" i="26"/>
  <c r="CS20" i="26"/>
  <c r="CG20" i="26"/>
  <c r="BH20" i="26"/>
  <c r="BU20" i="26" s="1"/>
  <c r="AP20" i="26"/>
  <c r="AO20" i="26"/>
  <c r="AN20" i="26"/>
  <c r="AM20" i="26"/>
  <c r="AI20" i="26"/>
  <c r="AH20" i="26"/>
  <c r="AG20" i="26"/>
  <c r="AF20" i="26"/>
  <c r="AB20" i="26"/>
  <c r="AA20" i="26"/>
  <c r="Z20" i="26"/>
  <c r="Y20" i="26"/>
  <c r="U20" i="26"/>
  <c r="T20" i="26"/>
  <c r="S20" i="26"/>
  <c r="R20" i="26"/>
  <c r="N20" i="26"/>
  <c r="M20" i="26"/>
  <c r="L20" i="26"/>
  <c r="K20" i="26"/>
  <c r="G20" i="26"/>
  <c r="F20" i="26"/>
  <c r="E20" i="26"/>
  <c r="D20" i="26"/>
  <c r="BN19" i="26"/>
  <c r="BH19" i="26"/>
  <c r="BU19" i="26" s="1"/>
  <c r="AP19" i="26"/>
  <c r="AO19" i="26"/>
  <c r="AN19" i="26"/>
  <c r="AM19" i="26"/>
  <c r="AI19" i="26"/>
  <c r="AH19" i="26"/>
  <c r="AG19" i="26"/>
  <c r="AF19" i="26"/>
  <c r="AB19" i="26"/>
  <c r="AA19" i="26"/>
  <c r="Z19" i="26"/>
  <c r="Y19" i="26"/>
  <c r="U19" i="26"/>
  <c r="T19" i="26"/>
  <c r="S19" i="26"/>
  <c r="R19" i="26"/>
  <c r="N19" i="26"/>
  <c r="M19" i="26"/>
  <c r="L19" i="26"/>
  <c r="K19" i="26"/>
  <c r="G19" i="26"/>
  <c r="F19" i="26"/>
  <c r="E19" i="26"/>
  <c r="D19" i="26"/>
  <c r="BH18" i="26"/>
  <c r="CS18" i="26" s="1"/>
  <c r="AP18" i="26"/>
  <c r="AO18" i="26"/>
  <c r="AN18" i="26"/>
  <c r="AM18" i="26"/>
  <c r="AI18" i="26"/>
  <c r="AH18" i="26"/>
  <c r="AG18" i="26"/>
  <c r="AF18" i="26"/>
  <c r="AB18" i="26"/>
  <c r="AA18" i="26"/>
  <c r="Z18" i="26"/>
  <c r="Y18" i="26"/>
  <c r="U18" i="26"/>
  <c r="BN18" i="26" s="1"/>
  <c r="T18" i="26"/>
  <c r="S18" i="26"/>
  <c r="R18" i="26"/>
  <c r="N18" i="26"/>
  <c r="M18" i="26"/>
  <c r="L18" i="26"/>
  <c r="K18" i="26"/>
  <c r="G18" i="26"/>
  <c r="F18" i="26"/>
  <c r="E18" i="26"/>
  <c r="D18" i="26"/>
  <c r="BH17" i="26"/>
  <c r="AP17" i="26"/>
  <c r="AO17" i="26"/>
  <c r="AN17" i="26"/>
  <c r="AM17" i="26"/>
  <c r="AI17" i="26"/>
  <c r="AH17" i="26"/>
  <c r="AG17" i="26"/>
  <c r="AF17" i="26"/>
  <c r="AB17" i="26"/>
  <c r="AA17" i="26"/>
  <c r="Z17" i="26"/>
  <c r="Y17" i="26"/>
  <c r="U17" i="26"/>
  <c r="T17" i="26"/>
  <c r="S17" i="26"/>
  <c r="R17" i="26"/>
  <c r="N17" i="26"/>
  <c r="M17" i="26"/>
  <c r="L17" i="26"/>
  <c r="K17" i="26"/>
  <c r="G17" i="26"/>
  <c r="F17" i="26"/>
  <c r="E17" i="26"/>
  <c r="D17" i="26"/>
  <c r="BU16" i="26"/>
  <c r="BN16" i="26"/>
  <c r="BH16" i="26"/>
  <c r="CS16" i="26" s="1"/>
  <c r="AP16" i="26"/>
  <c r="AO16" i="26"/>
  <c r="AN16" i="26"/>
  <c r="AM16" i="26"/>
  <c r="AI16" i="26"/>
  <c r="AH16" i="26"/>
  <c r="AG16" i="26"/>
  <c r="AF16" i="26"/>
  <c r="AB16" i="26"/>
  <c r="AA16" i="26"/>
  <c r="Z16" i="26"/>
  <c r="Y16" i="26"/>
  <c r="U16" i="26"/>
  <c r="T16" i="26"/>
  <c r="S16" i="26"/>
  <c r="R16" i="26"/>
  <c r="N16" i="26"/>
  <c r="M16" i="26"/>
  <c r="L16" i="26"/>
  <c r="K16" i="26"/>
  <c r="G16" i="26"/>
  <c r="F16" i="26"/>
  <c r="E16" i="26"/>
  <c r="D16" i="26"/>
  <c r="BH15" i="26"/>
  <c r="CS15" i="26" s="1"/>
  <c r="AP15" i="26"/>
  <c r="AO15" i="26"/>
  <c r="AN15" i="26"/>
  <c r="AM15" i="26"/>
  <c r="AI15" i="26"/>
  <c r="AH15" i="26"/>
  <c r="AG15" i="26"/>
  <c r="AF15" i="26"/>
  <c r="AB15" i="26"/>
  <c r="AA15" i="26"/>
  <c r="Z15" i="26"/>
  <c r="Y15" i="26"/>
  <c r="U15" i="26"/>
  <c r="BN15" i="26" s="1"/>
  <c r="T15" i="26"/>
  <c r="S15" i="26"/>
  <c r="R15" i="26"/>
  <c r="N15" i="26"/>
  <c r="M15" i="26"/>
  <c r="L15" i="26"/>
  <c r="K15" i="26"/>
  <c r="G15" i="26"/>
  <c r="F15" i="26"/>
  <c r="E15" i="26"/>
  <c r="D15" i="26"/>
  <c r="BN14" i="26"/>
  <c r="BH14" i="26"/>
  <c r="AP14" i="26"/>
  <c r="AO14" i="26"/>
  <c r="AN14" i="26"/>
  <c r="AM14" i="26"/>
  <c r="AI14" i="26"/>
  <c r="AH14" i="26"/>
  <c r="AG14" i="26"/>
  <c r="AF14" i="26"/>
  <c r="AB14" i="26"/>
  <c r="AA14" i="26"/>
  <c r="Z14" i="26"/>
  <c r="Y14" i="26"/>
  <c r="U14" i="26"/>
  <c r="T14" i="26"/>
  <c r="S14" i="26"/>
  <c r="R14" i="26"/>
  <c r="N14" i="26"/>
  <c r="M14" i="26"/>
  <c r="L14" i="26"/>
  <c r="K14" i="26"/>
  <c r="G14" i="26"/>
  <c r="F14" i="26"/>
  <c r="E14" i="26"/>
  <c r="D14" i="26"/>
  <c r="BH13" i="26"/>
  <c r="BU13" i="26" s="1"/>
  <c r="AP13" i="26"/>
  <c r="AO13" i="26"/>
  <c r="AN13" i="26"/>
  <c r="AM13" i="26"/>
  <c r="AI13" i="26"/>
  <c r="AH13" i="26"/>
  <c r="AG13" i="26"/>
  <c r="AF13" i="26"/>
  <c r="AB13" i="26"/>
  <c r="AA13" i="26"/>
  <c r="Z13" i="26"/>
  <c r="Y13" i="26"/>
  <c r="U13" i="26"/>
  <c r="T13" i="26"/>
  <c r="S13" i="26"/>
  <c r="R13" i="26"/>
  <c r="N13" i="26"/>
  <c r="M13" i="26"/>
  <c r="L13" i="26"/>
  <c r="K13" i="26"/>
  <c r="G13" i="26"/>
  <c r="F13" i="26"/>
  <c r="E13" i="26"/>
  <c r="D13" i="26"/>
  <c r="CG12" i="26"/>
  <c r="BH12" i="26"/>
  <c r="AP12" i="26"/>
  <c r="AO12" i="26"/>
  <c r="AN12" i="26"/>
  <c r="AM12" i="26"/>
  <c r="AI12" i="26"/>
  <c r="AH12" i="26"/>
  <c r="AG12" i="26"/>
  <c r="AF12" i="26"/>
  <c r="AB12" i="26"/>
  <c r="AA12" i="26"/>
  <c r="Z12" i="26"/>
  <c r="Y12" i="26"/>
  <c r="U12" i="26"/>
  <c r="BN12" i="26" s="1"/>
  <c r="T12" i="26"/>
  <c r="S12" i="26"/>
  <c r="R12" i="26"/>
  <c r="N12" i="26"/>
  <c r="M12" i="26"/>
  <c r="L12" i="26"/>
  <c r="K12" i="26"/>
  <c r="G12" i="26"/>
  <c r="G50" i="26" s="1"/>
  <c r="F12" i="26"/>
  <c r="E12" i="26"/>
  <c r="E50" i="26" s="1"/>
  <c r="D12" i="26"/>
  <c r="G10" i="26"/>
  <c r="F10" i="26"/>
  <c r="E10" i="26"/>
  <c r="D10" i="26"/>
  <c r="BA8" i="26"/>
  <c r="BA6" i="26"/>
  <c r="CY50" i="25"/>
  <c r="U50" i="25"/>
  <c r="BN44" i="25" s="1"/>
  <c r="T50" i="25"/>
  <c r="S50" i="25"/>
  <c r="N50" i="25"/>
  <c r="BM48" i="25" s="1"/>
  <c r="M50" i="25"/>
  <c r="K50" i="25"/>
  <c r="BH49" i="25"/>
  <c r="CS49" i="25" s="1"/>
  <c r="AP49" i="25"/>
  <c r="AO49" i="25"/>
  <c r="AN49" i="25"/>
  <c r="AM49" i="25"/>
  <c r="AI49" i="25"/>
  <c r="AH49" i="25"/>
  <c r="AG49" i="25"/>
  <c r="AF49" i="25"/>
  <c r="AB49" i="25"/>
  <c r="AA49" i="25"/>
  <c r="Z49" i="25"/>
  <c r="Y49" i="25"/>
  <c r="U49" i="25"/>
  <c r="T49" i="25"/>
  <c r="S49" i="25"/>
  <c r="R49" i="25"/>
  <c r="N49" i="25"/>
  <c r="BM49" i="25" s="1"/>
  <c r="M49" i="25"/>
  <c r="L49" i="25"/>
  <c r="K49" i="25"/>
  <c r="G49" i="25"/>
  <c r="F49" i="25"/>
  <c r="E49" i="25"/>
  <c r="D49" i="25"/>
  <c r="BN48" i="25"/>
  <c r="BH48" i="25"/>
  <c r="CG48" i="25" s="1"/>
  <c r="AP48" i="25"/>
  <c r="AO48" i="25"/>
  <c r="AN48" i="25"/>
  <c r="AM48" i="25"/>
  <c r="AI48" i="25"/>
  <c r="AH48" i="25"/>
  <c r="AG48" i="25"/>
  <c r="AF48" i="25"/>
  <c r="AB48" i="25"/>
  <c r="AA48" i="25"/>
  <c r="Z48" i="25"/>
  <c r="Y48" i="25"/>
  <c r="U48" i="25"/>
  <c r="T48" i="25"/>
  <c r="S48" i="25"/>
  <c r="R48" i="25"/>
  <c r="N48" i="25"/>
  <c r="M48" i="25"/>
  <c r="L48" i="25"/>
  <c r="K48" i="25"/>
  <c r="G48" i="25"/>
  <c r="F48" i="25"/>
  <c r="E48" i="25"/>
  <c r="D48" i="25"/>
  <c r="CS47" i="25"/>
  <c r="BN47" i="25"/>
  <c r="BH47" i="25"/>
  <c r="BU47" i="25" s="1"/>
  <c r="AP47" i="25"/>
  <c r="AO47" i="25"/>
  <c r="AN47" i="25"/>
  <c r="AM47" i="25"/>
  <c r="AI47" i="25"/>
  <c r="AH47" i="25"/>
  <c r="AG47" i="25"/>
  <c r="AF47" i="25"/>
  <c r="AB47" i="25"/>
  <c r="AA47" i="25"/>
  <c r="Z47" i="25"/>
  <c r="Y47" i="25"/>
  <c r="U47" i="25"/>
  <c r="T47" i="25"/>
  <c r="S47" i="25"/>
  <c r="R47" i="25"/>
  <c r="N47" i="25"/>
  <c r="BM47" i="25" s="1"/>
  <c r="M47" i="25"/>
  <c r="L47" i="25"/>
  <c r="K47" i="25"/>
  <c r="G47" i="25"/>
  <c r="F47" i="25"/>
  <c r="E47" i="25"/>
  <c r="D47" i="25"/>
  <c r="BM46" i="25"/>
  <c r="BH46" i="25"/>
  <c r="AP46" i="25"/>
  <c r="AO46" i="25"/>
  <c r="AN46" i="25"/>
  <c r="AM46" i="25"/>
  <c r="AI46" i="25"/>
  <c r="AH46" i="25"/>
  <c r="AG46" i="25"/>
  <c r="AF46" i="25"/>
  <c r="AB46" i="25"/>
  <c r="AA46" i="25"/>
  <c r="Z46" i="25"/>
  <c r="Y46" i="25"/>
  <c r="U46" i="25"/>
  <c r="BN46" i="25" s="1"/>
  <c r="T46" i="25"/>
  <c r="S46" i="25"/>
  <c r="R46" i="25"/>
  <c r="N46" i="25"/>
  <c r="M46" i="25"/>
  <c r="L46" i="25"/>
  <c r="K46" i="25"/>
  <c r="G46" i="25"/>
  <c r="F46" i="25"/>
  <c r="E46" i="25"/>
  <c r="D46" i="25"/>
  <c r="CS45" i="25"/>
  <c r="BU45" i="25"/>
  <c r="BN45" i="25"/>
  <c r="BH45" i="25"/>
  <c r="CG45" i="25" s="1"/>
  <c r="AP45" i="25"/>
  <c r="AO45" i="25"/>
  <c r="AN45" i="25"/>
  <c r="AM45" i="25"/>
  <c r="AI45" i="25"/>
  <c r="AH45" i="25"/>
  <c r="AG45" i="25"/>
  <c r="AF45" i="25"/>
  <c r="AB45" i="25"/>
  <c r="AA45" i="25"/>
  <c r="Z45" i="25"/>
  <c r="Y45" i="25"/>
  <c r="U45" i="25"/>
  <c r="T45" i="25"/>
  <c r="S45" i="25"/>
  <c r="R45" i="25"/>
  <c r="N45" i="25"/>
  <c r="BM45" i="25" s="1"/>
  <c r="M45" i="25"/>
  <c r="L45" i="25"/>
  <c r="K45" i="25"/>
  <c r="G45" i="25"/>
  <c r="F45" i="25"/>
  <c r="E45" i="25"/>
  <c r="D45" i="25"/>
  <c r="BM44" i="25"/>
  <c r="BH44" i="25"/>
  <c r="CS44" i="25" s="1"/>
  <c r="AP44" i="25"/>
  <c r="AO44" i="25"/>
  <c r="AN44" i="25"/>
  <c r="AM44" i="25"/>
  <c r="AI44" i="25"/>
  <c r="AH44" i="25"/>
  <c r="AG44" i="25"/>
  <c r="AF44" i="25"/>
  <c r="AB44" i="25"/>
  <c r="AA44" i="25"/>
  <c r="Z44" i="25"/>
  <c r="Y44" i="25"/>
  <c r="U44" i="25"/>
  <c r="T44" i="25"/>
  <c r="S44" i="25"/>
  <c r="R44" i="25"/>
  <c r="N44" i="25"/>
  <c r="M44" i="25"/>
  <c r="L44" i="25"/>
  <c r="K44" i="25"/>
  <c r="G44" i="25"/>
  <c r="F44" i="25"/>
  <c r="E44" i="25"/>
  <c r="D44" i="25"/>
  <c r="BN43" i="25"/>
  <c r="BH43" i="25"/>
  <c r="AP43" i="25"/>
  <c r="AO43" i="25"/>
  <c r="AN43" i="25"/>
  <c r="AM43" i="25"/>
  <c r="AI43" i="25"/>
  <c r="AH43" i="25"/>
  <c r="AG43" i="25"/>
  <c r="AF43" i="25"/>
  <c r="AB43" i="25"/>
  <c r="AA43" i="25"/>
  <c r="Z43" i="25"/>
  <c r="Y43" i="25"/>
  <c r="U43" i="25"/>
  <c r="T43" i="25"/>
  <c r="S43" i="25"/>
  <c r="R43" i="25"/>
  <c r="N43" i="25"/>
  <c r="BM43" i="25" s="1"/>
  <c r="M43" i="25"/>
  <c r="L43" i="25"/>
  <c r="K43" i="25"/>
  <c r="G43" i="25"/>
  <c r="F43" i="25"/>
  <c r="E43" i="25"/>
  <c r="D43" i="25"/>
  <c r="BM42" i="25"/>
  <c r="BH42" i="25"/>
  <c r="CG42" i="25" s="1"/>
  <c r="AP42" i="25"/>
  <c r="AO42" i="25"/>
  <c r="AN42" i="25"/>
  <c r="AM42" i="25"/>
  <c r="AI42" i="25"/>
  <c r="AH42" i="25"/>
  <c r="AG42" i="25"/>
  <c r="AF42" i="25"/>
  <c r="AB42" i="25"/>
  <c r="AA42" i="25"/>
  <c r="Z42" i="25"/>
  <c r="Y42" i="25"/>
  <c r="U42" i="25"/>
  <c r="BN42" i="25" s="1"/>
  <c r="T42" i="25"/>
  <c r="S42" i="25"/>
  <c r="R42" i="25"/>
  <c r="N42" i="25"/>
  <c r="M42" i="25"/>
  <c r="L42" i="25"/>
  <c r="K42" i="25"/>
  <c r="G42" i="25"/>
  <c r="F42" i="25"/>
  <c r="E42" i="25"/>
  <c r="D42" i="25"/>
  <c r="CS41" i="25"/>
  <c r="CG41" i="25"/>
  <c r="BH41" i="25"/>
  <c r="BU41" i="25" s="1"/>
  <c r="AP41" i="25"/>
  <c r="AO41" i="25"/>
  <c r="AN41" i="25"/>
  <c r="AM41" i="25"/>
  <c r="AI41" i="25"/>
  <c r="AH41" i="25"/>
  <c r="AG41" i="25"/>
  <c r="AF41" i="25"/>
  <c r="AB41" i="25"/>
  <c r="AA41" i="25"/>
  <c r="Z41" i="25"/>
  <c r="Y41" i="25"/>
  <c r="U41" i="25"/>
  <c r="BN41" i="25" s="1"/>
  <c r="T41" i="25"/>
  <c r="S41" i="25"/>
  <c r="R41" i="25"/>
  <c r="N41" i="25"/>
  <c r="BM41" i="25" s="1"/>
  <c r="M41" i="25"/>
  <c r="L41" i="25"/>
  <c r="K41" i="25"/>
  <c r="G41" i="25"/>
  <c r="F41" i="25"/>
  <c r="E41" i="25"/>
  <c r="D41" i="25"/>
  <c r="CS40" i="25"/>
  <c r="BU40" i="25"/>
  <c r="BM40" i="25"/>
  <c r="BH40" i="25"/>
  <c r="CG40" i="25" s="1"/>
  <c r="AP40" i="25"/>
  <c r="AO40" i="25"/>
  <c r="AN40" i="25"/>
  <c r="AM40" i="25"/>
  <c r="AI40" i="25"/>
  <c r="AH40" i="25"/>
  <c r="AG40" i="25"/>
  <c r="AF40" i="25"/>
  <c r="AB40" i="25"/>
  <c r="AA40" i="25"/>
  <c r="Z40" i="25"/>
  <c r="Y40" i="25"/>
  <c r="U40" i="25"/>
  <c r="BN40" i="25" s="1"/>
  <c r="T40" i="25"/>
  <c r="S40" i="25"/>
  <c r="R40" i="25"/>
  <c r="N40" i="25"/>
  <c r="M40" i="25"/>
  <c r="L40" i="25"/>
  <c r="K40" i="25"/>
  <c r="G40" i="25"/>
  <c r="F40" i="25"/>
  <c r="E40" i="25"/>
  <c r="D40" i="25"/>
  <c r="BN39" i="25"/>
  <c r="BM39" i="25"/>
  <c r="BH39" i="25"/>
  <c r="BU39" i="25" s="1"/>
  <c r="AP39" i="25"/>
  <c r="AO39" i="25"/>
  <c r="AN39" i="25"/>
  <c r="AM39" i="25"/>
  <c r="AI39" i="25"/>
  <c r="AH39" i="25"/>
  <c r="AG39" i="25"/>
  <c r="AF39" i="25"/>
  <c r="AB39" i="25"/>
  <c r="AA39" i="25"/>
  <c r="Z39" i="25"/>
  <c r="Y39" i="25"/>
  <c r="U39" i="25"/>
  <c r="T39" i="25"/>
  <c r="S39" i="25"/>
  <c r="R39" i="25"/>
  <c r="N39" i="25"/>
  <c r="M39" i="25"/>
  <c r="L39" i="25"/>
  <c r="K39" i="25"/>
  <c r="G39" i="25"/>
  <c r="F39" i="25"/>
  <c r="E39" i="25"/>
  <c r="D39" i="25"/>
  <c r="BM38" i="25"/>
  <c r="BH38" i="25"/>
  <c r="CS38" i="25" s="1"/>
  <c r="AP38" i="25"/>
  <c r="AO38" i="25"/>
  <c r="AN38" i="25"/>
  <c r="AM38" i="25"/>
  <c r="AI38" i="25"/>
  <c r="AH38" i="25"/>
  <c r="AG38" i="25"/>
  <c r="AF38" i="25"/>
  <c r="AB38" i="25"/>
  <c r="AA38" i="25"/>
  <c r="Z38" i="25"/>
  <c r="Y38" i="25"/>
  <c r="U38" i="25"/>
  <c r="BN38" i="25" s="1"/>
  <c r="T38" i="25"/>
  <c r="S38" i="25"/>
  <c r="R38" i="25"/>
  <c r="N38" i="25"/>
  <c r="M38" i="25"/>
  <c r="L38" i="25"/>
  <c r="K38" i="25"/>
  <c r="G38" i="25"/>
  <c r="F38" i="25"/>
  <c r="E38" i="25"/>
  <c r="D38" i="25"/>
  <c r="BH37" i="25"/>
  <c r="BU37" i="25" s="1"/>
  <c r="AP37" i="25"/>
  <c r="AO37" i="25"/>
  <c r="AN37" i="25"/>
  <c r="AM37" i="25"/>
  <c r="AI37" i="25"/>
  <c r="AH37" i="25"/>
  <c r="AG37" i="25"/>
  <c r="AF37" i="25"/>
  <c r="AB37" i="25"/>
  <c r="AA37" i="25"/>
  <c r="Z37" i="25"/>
  <c r="Y37" i="25"/>
  <c r="U37" i="25"/>
  <c r="BN37" i="25" s="1"/>
  <c r="T37" i="25"/>
  <c r="S37" i="25"/>
  <c r="R37" i="25"/>
  <c r="N37" i="25"/>
  <c r="BM37" i="25" s="1"/>
  <c r="M37" i="25"/>
  <c r="L37" i="25"/>
  <c r="K37" i="25"/>
  <c r="G37" i="25"/>
  <c r="F37" i="25"/>
  <c r="E37" i="25"/>
  <c r="D37" i="25"/>
  <c r="CS36" i="25"/>
  <c r="BU36" i="25"/>
  <c r="BN36" i="25"/>
  <c r="BM36" i="25"/>
  <c r="BH36" i="25"/>
  <c r="CG36" i="25" s="1"/>
  <c r="AP36" i="25"/>
  <c r="AO36" i="25"/>
  <c r="AN36" i="25"/>
  <c r="AM36" i="25"/>
  <c r="AI36" i="25"/>
  <c r="AH36" i="25"/>
  <c r="AG36" i="25"/>
  <c r="AF36" i="25"/>
  <c r="AB36" i="25"/>
  <c r="AA36" i="25"/>
  <c r="Z36" i="25"/>
  <c r="Y36" i="25"/>
  <c r="U36" i="25"/>
  <c r="T36" i="25"/>
  <c r="S36" i="25"/>
  <c r="R36" i="25"/>
  <c r="N36" i="25"/>
  <c r="M36" i="25"/>
  <c r="L36" i="25"/>
  <c r="K36" i="25"/>
  <c r="G36" i="25"/>
  <c r="F36" i="25"/>
  <c r="E36" i="25"/>
  <c r="D36" i="25"/>
  <c r="CG35" i="25"/>
  <c r="BM35" i="25"/>
  <c r="BH35" i="25"/>
  <c r="BU35" i="25" s="1"/>
  <c r="AP35" i="25"/>
  <c r="AO35" i="25"/>
  <c r="AN35" i="25"/>
  <c r="AM35" i="25"/>
  <c r="AI35" i="25"/>
  <c r="AH35" i="25"/>
  <c r="AG35" i="25"/>
  <c r="AF35" i="25"/>
  <c r="AB35" i="25"/>
  <c r="AA35" i="25"/>
  <c r="Z35" i="25"/>
  <c r="Y35" i="25"/>
  <c r="U35" i="25"/>
  <c r="BN35" i="25" s="1"/>
  <c r="T35" i="25"/>
  <c r="S35" i="25"/>
  <c r="R35" i="25"/>
  <c r="N35" i="25"/>
  <c r="M35" i="25"/>
  <c r="L35" i="25"/>
  <c r="K35" i="25"/>
  <c r="G35" i="25"/>
  <c r="F35" i="25"/>
  <c r="E35" i="25"/>
  <c r="D35" i="25"/>
  <c r="CS34" i="25"/>
  <c r="CG34" i="25"/>
  <c r="BH34" i="25"/>
  <c r="BU34" i="25" s="1"/>
  <c r="AP34" i="25"/>
  <c r="AO34" i="25"/>
  <c r="AN34" i="25"/>
  <c r="AM34" i="25"/>
  <c r="AI34" i="25"/>
  <c r="AH34" i="25"/>
  <c r="AG34" i="25"/>
  <c r="AF34" i="25"/>
  <c r="AB34" i="25"/>
  <c r="AA34" i="25"/>
  <c r="Z34" i="25"/>
  <c r="Y34" i="25"/>
  <c r="U34" i="25"/>
  <c r="BN34" i="25" s="1"/>
  <c r="T34" i="25"/>
  <c r="S34" i="25"/>
  <c r="R34" i="25"/>
  <c r="N34" i="25"/>
  <c r="BM34" i="25" s="1"/>
  <c r="M34" i="25"/>
  <c r="L34" i="25"/>
  <c r="K34" i="25"/>
  <c r="G34" i="25"/>
  <c r="F34" i="25"/>
  <c r="E34" i="25"/>
  <c r="D34" i="25"/>
  <c r="CG33" i="25"/>
  <c r="BH33" i="25"/>
  <c r="CS33" i="25" s="1"/>
  <c r="AP33" i="25"/>
  <c r="AO33" i="25"/>
  <c r="AN33" i="25"/>
  <c r="AM33" i="25"/>
  <c r="AI33" i="25"/>
  <c r="AH33" i="25"/>
  <c r="AG33" i="25"/>
  <c r="AF33" i="25"/>
  <c r="AB33" i="25"/>
  <c r="AA33" i="25"/>
  <c r="Z33" i="25"/>
  <c r="Y33" i="25"/>
  <c r="U33" i="25"/>
  <c r="BN33" i="25" s="1"/>
  <c r="T33" i="25"/>
  <c r="S33" i="25"/>
  <c r="R33" i="25"/>
  <c r="N33" i="25"/>
  <c r="BM33" i="25" s="1"/>
  <c r="M33" i="25"/>
  <c r="L33" i="25"/>
  <c r="K33" i="25"/>
  <c r="G33" i="25"/>
  <c r="F33" i="25"/>
  <c r="E33" i="25"/>
  <c r="D33" i="25"/>
  <c r="CS32" i="25"/>
  <c r="BH32" i="25"/>
  <c r="BU32" i="25" s="1"/>
  <c r="AP32" i="25"/>
  <c r="AO32" i="25"/>
  <c r="AN32" i="25"/>
  <c r="AM32" i="25"/>
  <c r="AI32" i="25"/>
  <c r="AH32" i="25"/>
  <c r="AG32" i="25"/>
  <c r="AF32" i="25"/>
  <c r="AB32" i="25"/>
  <c r="AA32" i="25"/>
  <c r="Z32" i="25"/>
  <c r="Y32" i="25"/>
  <c r="U32" i="25"/>
  <c r="BN32" i="25" s="1"/>
  <c r="T32" i="25"/>
  <c r="S32" i="25"/>
  <c r="R32" i="25"/>
  <c r="N32" i="25"/>
  <c r="BM32" i="25" s="1"/>
  <c r="M32" i="25"/>
  <c r="L32" i="25"/>
  <c r="K32" i="25"/>
  <c r="G32" i="25"/>
  <c r="F32" i="25"/>
  <c r="E32" i="25"/>
  <c r="D32" i="25"/>
  <c r="BU31" i="25"/>
  <c r="BH31" i="25"/>
  <c r="CS31" i="25" s="1"/>
  <c r="AP31" i="25"/>
  <c r="AO31" i="25"/>
  <c r="AN31" i="25"/>
  <c r="AM31" i="25"/>
  <c r="AI31" i="25"/>
  <c r="AH31" i="25"/>
  <c r="AG31" i="25"/>
  <c r="AF31" i="25"/>
  <c r="AB31" i="25"/>
  <c r="AA31" i="25"/>
  <c r="Z31" i="25"/>
  <c r="Y31" i="25"/>
  <c r="U31" i="25"/>
  <c r="BN31" i="25" s="1"/>
  <c r="T31" i="25"/>
  <c r="S31" i="25"/>
  <c r="R31" i="25"/>
  <c r="N31" i="25"/>
  <c r="BM31" i="25" s="1"/>
  <c r="M31" i="25"/>
  <c r="L31" i="25"/>
  <c r="K31" i="25"/>
  <c r="G31" i="25"/>
  <c r="F31" i="25"/>
  <c r="E31" i="25"/>
  <c r="D31" i="25"/>
  <c r="CG30" i="25"/>
  <c r="BM30" i="25"/>
  <c r="BH30" i="25"/>
  <c r="BU30" i="25" s="1"/>
  <c r="AP30" i="25"/>
  <c r="AO30" i="25"/>
  <c r="AN30" i="25"/>
  <c r="AM30" i="25"/>
  <c r="AI30" i="25"/>
  <c r="AH30" i="25"/>
  <c r="AG30" i="25"/>
  <c r="AF30" i="25"/>
  <c r="AB30" i="25"/>
  <c r="AA30" i="25"/>
  <c r="Z30" i="25"/>
  <c r="Y30" i="25"/>
  <c r="U30" i="25"/>
  <c r="BN30" i="25" s="1"/>
  <c r="T30" i="25"/>
  <c r="S30" i="25"/>
  <c r="R30" i="25"/>
  <c r="N30" i="25"/>
  <c r="M30" i="25"/>
  <c r="L30" i="25"/>
  <c r="K30" i="25"/>
  <c r="G30" i="25"/>
  <c r="F30" i="25"/>
  <c r="E30" i="25"/>
  <c r="D30" i="25"/>
  <c r="BM29" i="25"/>
  <c r="BH29" i="25"/>
  <c r="CS29" i="25" s="1"/>
  <c r="AP29" i="25"/>
  <c r="AO29" i="25"/>
  <c r="AN29" i="25"/>
  <c r="AM29" i="25"/>
  <c r="AI29" i="25"/>
  <c r="AH29" i="25"/>
  <c r="AG29" i="25"/>
  <c r="AF29" i="25"/>
  <c r="AB29" i="25"/>
  <c r="AA29" i="25"/>
  <c r="Z29" i="25"/>
  <c r="Y29" i="25"/>
  <c r="U29" i="25"/>
  <c r="BN29" i="25" s="1"/>
  <c r="T29" i="25"/>
  <c r="S29" i="25"/>
  <c r="R29" i="25"/>
  <c r="N29" i="25"/>
  <c r="M29" i="25"/>
  <c r="L29" i="25"/>
  <c r="K29" i="25"/>
  <c r="G29" i="25"/>
  <c r="F29" i="25"/>
  <c r="E29" i="25"/>
  <c r="D29" i="25"/>
  <c r="CG28" i="25"/>
  <c r="BM28" i="25"/>
  <c r="BH28" i="25"/>
  <c r="BU28" i="25" s="1"/>
  <c r="AP28" i="25"/>
  <c r="AO28" i="25"/>
  <c r="AN28" i="25"/>
  <c r="AM28" i="25"/>
  <c r="AI28" i="25"/>
  <c r="AH28" i="25"/>
  <c r="AG28" i="25"/>
  <c r="AF28" i="25"/>
  <c r="AB28" i="25"/>
  <c r="AA28" i="25"/>
  <c r="Z28" i="25"/>
  <c r="Y28" i="25"/>
  <c r="U28" i="25"/>
  <c r="BN28" i="25" s="1"/>
  <c r="T28" i="25"/>
  <c r="S28" i="25"/>
  <c r="R28" i="25"/>
  <c r="N28" i="25"/>
  <c r="M28" i="25"/>
  <c r="L28" i="25"/>
  <c r="K28" i="25"/>
  <c r="G28" i="25"/>
  <c r="F28" i="25"/>
  <c r="E28" i="25"/>
  <c r="D28" i="25"/>
  <c r="BU27" i="25"/>
  <c r="BN27" i="25"/>
  <c r="BH27" i="25"/>
  <c r="CG27" i="25" s="1"/>
  <c r="AP27" i="25"/>
  <c r="AO27" i="25"/>
  <c r="AN27" i="25"/>
  <c r="AM27" i="25"/>
  <c r="AI27" i="25"/>
  <c r="AH27" i="25"/>
  <c r="AG27" i="25"/>
  <c r="AF27" i="25"/>
  <c r="AB27" i="25"/>
  <c r="AA27" i="25"/>
  <c r="Z27" i="25"/>
  <c r="Y27" i="25"/>
  <c r="U27" i="25"/>
  <c r="T27" i="25"/>
  <c r="S27" i="25"/>
  <c r="R27" i="25"/>
  <c r="N27" i="25"/>
  <c r="BM27" i="25" s="1"/>
  <c r="M27" i="25"/>
  <c r="L27" i="25"/>
  <c r="K27" i="25"/>
  <c r="G27" i="25"/>
  <c r="F27" i="25"/>
  <c r="E27" i="25"/>
  <c r="D27" i="25"/>
  <c r="BM26" i="25"/>
  <c r="BH26" i="25"/>
  <c r="AP26" i="25"/>
  <c r="AO26" i="25"/>
  <c r="AN26" i="25"/>
  <c r="AM26" i="25"/>
  <c r="AI26" i="25"/>
  <c r="AH26" i="25"/>
  <c r="AG26" i="25"/>
  <c r="AF26" i="25"/>
  <c r="AB26" i="25"/>
  <c r="AA26" i="25"/>
  <c r="Z26" i="25"/>
  <c r="Y26" i="25"/>
  <c r="U26" i="25"/>
  <c r="BN26" i="25" s="1"/>
  <c r="T26" i="25"/>
  <c r="S26" i="25"/>
  <c r="R26" i="25"/>
  <c r="N26" i="25"/>
  <c r="M26" i="25"/>
  <c r="L26" i="25"/>
  <c r="K26" i="25"/>
  <c r="G26" i="25"/>
  <c r="F26" i="25"/>
  <c r="E26" i="25"/>
  <c r="D26" i="25"/>
  <c r="BH25" i="25"/>
  <c r="CG25" i="25" s="1"/>
  <c r="AP25" i="25"/>
  <c r="AO25" i="25"/>
  <c r="AN25" i="25"/>
  <c r="AM25" i="25"/>
  <c r="AI25" i="25"/>
  <c r="AH25" i="25"/>
  <c r="AG25" i="25"/>
  <c r="AF25" i="25"/>
  <c r="AB25" i="25"/>
  <c r="AA25" i="25"/>
  <c r="Z25" i="25"/>
  <c r="Y25" i="25"/>
  <c r="U25" i="25"/>
  <c r="BN25" i="25" s="1"/>
  <c r="T25" i="25"/>
  <c r="S25" i="25"/>
  <c r="R25" i="25"/>
  <c r="N25" i="25"/>
  <c r="BM25" i="25" s="1"/>
  <c r="M25" i="25"/>
  <c r="L25" i="25"/>
  <c r="K25" i="25"/>
  <c r="G25" i="25"/>
  <c r="F25" i="25"/>
  <c r="E25" i="25"/>
  <c r="D25" i="25"/>
  <c r="BU24" i="25"/>
  <c r="BN24" i="25"/>
  <c r="BM24" i="25"/>
  <c r="BH24" i="25"/>
  <c r="CS24" i="25" s="1"/>
  <c r="AP24" i="25"/>
  <c r="AO24" i="25"/>
  <c r="AN24" i="25"/>
  <c r="AM24" i="25"/>
  <c r="AI24" i="25"/>
  <c r="AH24" i="25"/>
  <c r="AG24" i="25"/>
  <c r="AF24" i="25"/>
  <c r="AB24" i="25"/>
  <c r="AA24" i="25"/>
  <c r="Z24" i="25"/>
  <c r="Y24" i="25"/>
  <c r="U24" i="25"/>
  <c r="T24" i="25"/>
  <c r="S24" i="25"/>
  <c r="R24" i="25"/>
  <c r="N24" i="25"/>
  <c r="M24" i="25"/>
  <c r="L24" i="25"/>
  <c r="K24" i="25"/>
  <c r="G24" i="25"/>
  <c r="F24" i="25"/>
  <c r="E24" i="25"/>
  <c r="D24" i="25"/>
  <c r="CG23" i="25"/>
  <c r="BM23" i="25"/>
  <c r="BH23" i="25"/>
  <c r="AP23" i="25"/>
  <c r="AO23" i="25"/>
  <c r="AN23" i="25"/>
  <c r="AM23" i="25"/>
  <c r="AI23" i="25"/>
  <c r="AH23" i="25"/>
  <c r="AG23" i="25"/>
  <c r="AF23" i="25"/>
  <c r="AB23" i="25"/>
  <c r="AA23" i="25"/>
  <c r="Z23" i="25"/>
  <c r="Y23" i="25"/>
  <c r="U23" i="25"/>
  <c r="BN23" i="25" s="1"/>
  <c r="T23" i="25"/>
  <c r="S23" i="25"/>
  <c r="R23" i="25"/>
  <c r="N23" i="25"/>
  <c r="M23" i="25"/>
  <c r="L23" i="25"/>
  <c r="K23" i="25"/>
  <c r="G23" i="25"/>
  <c r="F23" i="25"/>
  <c r="E23" i="25"/>
  <c r="D23" i="25"/>
  <c r="BH22" i="25"/>
  <c r="CG22" i="25" s="1"/>
  <c r="AP22" i="25"/>
  <c r="AO22" i="25"/>
  <c r="AN22" i="25"/>
  <c r="AM22" i="25"/>
  <c r="AI22" i="25"/>
  <c r="AH22" i="25"/>
  <c r="AG22" i="25"/>
  <c r="AF22" i="25"/>
  <c r="AB22" i="25"/>
  <c r="AA22" i="25"/>
  <c r="Z22" i="25"/>
  <c r="Y22" i="25"/>
  <c r="U22" i="25"/>
  <c r="BN22" i="25" s="1"/>
  <c r="T22" i="25"/>
  <c r="S22" i="25"/>
  <c r="R22" i="25"/>
  <c r="N22" i="25"/>
  <c r="BM22" i="25" s="1"/>
  <c r="M22" i="25"/>
  <c r="L22" i="25"/>
  <c r="K22" i="25"/>
  <c r="G22" i="25"/>
  <c r="F22" i="25"/>
  <c r="E22" i="25"/>
  <c r="D22" i="25"/>
  <c r="BN21" i="25"/>
  <c r="BM21" i="25"/>
  <c r="BH21" i="25"/>
  <c r="AP21" i="25"/>
  <c r="AO21" i="25"/>
  <c r="AN21" i="25"/>
  <c r="AM21" i="25"/>
  <c r="AI21" i="25"/>
  <c r="AH21" i="25"/>
  <c r="AG21" i="25"/>
  <c r="AF21" i="25"/>
  <c r="AB21" i="25"/>
  <c r="AA21" i="25"/>
  <c r="Z21" i="25"/>
  <c r="Y21" i="25"/>
  <c r="U21" i="25"/>
  <c r="T21" i="25"/>
  <c r="S21" i="25"/>
  <c r="R21" i="25"/>
  <c r="N21" i="25"/>
  <c r="M21" i="25"/>
  <c r="L21" i="25"/>
  <c r="K21" i="25"/>
  <c r="G21" i="25"/>
  <c r="F21" i="25"/>
  <c r="E21" i="25"/>
  <c r="D21" i="25"/>
  <c r="CS20" i="25"/>
  <c r="BU20" i="25"/>
  <c r="BN20" i="25"/>
  <c r="BH20" i="25"/>
  <c r="CG20" i="25" s="1"/>
  <c r="AP20" i="25"/>
  <c r="AO20" i="25"/>
  <c r="AN20" i="25"/>
  <c r="AM20" i="25"/>
  <c r="AI20" i="25"/>
  <c r="AH20" i="25"/>
  <c r="AG20" i="25"/>
  <c r="AF20" i="25"/>
  <c r="AB20" i="25"/>
  <c r="AA20" i="25"/>
  <c r="Z20" i="25"/>
  <c r="Y20" i="25"/>
  <c r="U20" i="25"/>
  <c r="T20" i="25"/>
  <c r="S20" i="25"/>
  <c r="R20" i="25"/>
  <c r="N20" i="25"/>
  <c r="BM20" i="25" s="1"/>
  <c r="M20" i="25"/>
  <c r="L20" i="25"/>
  <c r="K20" i="25"/>
  <c r="G20" i="25"/>
  <c r="F20" i="25"/>
  <c r="E20" i="25"/>
  <c r="D20" i="25"/>
  <c r="BN19" i="25"/>
  <c r="BH19" i="25"/>
  <c r="BU19" i="25" s="1"/>
  <c r="AP19" i="25"/>
  <c r="AO19" i="25"/>
  <c r="AN19" i="25"/>
  <c r="AM19" i="25"/>
  <c r="AI19" i="25"/>
  <c r="AH19" i="25"/>
  <c r="AG19" i="25"/>
  <c r="AF19" i="25"/>
  <c r="AB19" i="25"/>
  <c r="AA19" i="25"/>
  <c r="Z19" i="25"/>
  <c r="Y19" i="25"/>
  <c r="U19" i="25"/>
  <c r="T19" i="25"/>
  <c r="S19" i="25"/>
  <c r="R19" i="25"/>
  <c r="N19" i="25"/>
  <c r="BM19" i="25" s="1"/>
  <c r="M19" i="25"/>
  <c r="L19" i="25"/>
  <c r="K19" i="25"/>
  <c r="G19" i="25"/>
  <c r="F19" i="25"/>
  <c r="E19" i="25"/>
  <c r="D19" i="25"/>
  <c r="BM18" i="25"/>
  <c r="BH18" i="25"/>
  <c r="AP18" i="25"/>
  <c r="AO18" i="25"/>
  <c r="AN18" i="25"/>
  <c r="AM18" i="25"/>
  <c r="AI18" i="25"/>
  <c r="AH18" i="25"/>
  <c r="AG18" i="25"/>
  <c r="AF18" i="25"/>
  <c r="AB18" i="25"/>
  <c r="AA18" i="25"/>
  <c r="Z18" i="25"/>
  <c r="Y18" i="25"/>
  <c r="U18" i="25"/>
  <c r="BN18" i="25" s="1"/>
  <c r="T18" i="25"/>
  <c r="S18" i="25"/>
  <c r="R18" i="25"/>
  <c r="N18" i="25"/>
  <c r="M18" i="25"/>
  <c r="L18" i="25"/>
  <c r="K18" i="25"/>
  <c r="G18" i="25"/>
  <c r="F18" i="25"/>
  <c r="E18" i="25"/>
  <c r="D18" i="25"/>
  <c r="CG17" i="25"/>
  <c r="BU17" i="25"/>
  <c r="BN17" i="25"/>
  <c r="BM17" i="25"/>
  <c r="BH17" i="25"/>
  <c r="CS17" i="25" s="1"/>
  <c r="AP17" i="25"/>
  <c r="AO17" i="25"/>
  <c r="AN17" i="25"/>
  <c r="AM17" i="25"/>
  <c r="AI17" i="25"/>
  <c r="AH17" i="25"/>
  <c r="AG17" i="25"/>
  <c r="AF17" i="25"/>
  <c r="AB17" i="25"/>
  <c r="AA17" i="25"/>
  <c r="Z17" i="25"/>
  <c r="Y17" i="25"/>
  <c r="U17" i="25"/>
  <c r="T17" i="25"/>
  <c r="S17" i="25"/>
  <c r="R17" i="25"/>
  <c r="N17" i="25"/>
  <c r="M17" i="25"/>
  <c r="L17" i="25"/>
  <c r="K17" i="25"/>
  <c r="G17" i="25"/>
  <c r="F17" i="25"/>
  <c r="E17" i="25"/>
  <c r="D17" i="25"/>
  <c r="BN16" i="25"/>
  <c r="BH16" i="25"/>
  <c r="BU16" i="25" s="1"/>
  <c r="AP16" i="25"/>
  <c r="AO16" i="25"/>
  <c r="AN16" i="25"/>
  <c r="AM16" i="25"/>
  <c r="AI16" i="25"/>
  <c r="AH16" i="25"/>
  <c r="AG16" i="25"/>
  <c r="AF16" i="25"/>
  <c r="AB16" i="25"/>
  <c r="AA16" i="25"/>
  <c r="Z16" i="25"/>
  <c r="Y16" i="25"/>
  <c r="U16" i="25"/>
  <c r="T16" i="25"/>
  <c r="S16" i="25"/>
  <c r="R16" i="25"/>
  <c r="N16" i="25"/>
  <c r="BM16" i="25" s="1"/>
  <c r="M16" i="25"/>
  <c r="L16" i="25"/>
  <c r="K16" i="25"/>
  <c r="G16" i="25"/>
  <c r="F16" i="25"/>
  <c r="E16" i="25"/>
  <c r="D16" i="25"/>
  <c r="CS15" i="25"/>
  <c r="BH15" i="25"/>
  <c r="BU15" i="25" s="1"/>
  <c r="AP15" i="25"/>
  <c r="AO15" i="25"/>
  <c r="AN15" i="25"/>
  <c r="AM15" i="25"/>
  <c r="AI15" i="25"/>
  <c r="AH15" i="25"/>
  <c r="AG15" i="25"/>
  <c r="AF15" i="25"/>
  <c r="AB15" i="25"/>
  <c r="AA15" i="25"/>
  <c r="Z15" i="25"/>
  <c r="Y15" i="25"/>
  <c r="U15" i="25"/>
  <c r="BN15" i="25" s="1"/>
  <c r="T15" i="25"/>
  <c r="S15" i="25"/>
  <c r="R15" i="25"/>
  <c r="N15" i="25"/>
  <c r="BM15" i="25" s="1"/>
  <c r="M15" i="25"/>
  <c r="L15" i="25"/>
  <c r="K15" i="25"/>
  <c r="G15" i="25"/>
  <c r="F15" i="25"/>
  <c r="E15" i="25"/>
  <c r="D15" i="25"/>
  <c r="CS14" i="25"/>
  <c r="BH14" i="25"/>
  <c r="BU14" i="25" s="1"/>
  <c r="AP14" i="25"/>
  <c r="AO14" i="25"/>
  <c r="AN14" i="25"/>
  <c r="AM14" i="25"/>
  <c r="AI14" i="25"/>
  <c r="AH14" i="25"/>
  <c r="AG14" i="25"/>
  <c r="AF14" i="25"/>
  <c r="AB14" i="25"/>
  <c r="AA14" i="25"/>
  <c r="Z14" i="25"/>
  <c r="Y14" i="25"/>
  <c r="U14" i="25"/>
  <c r="BN14" i="25" s="1"/>
  <c r="T14" i="25"/>
  <c r="S14" i="25"/>
  <c r="R14" i="25"/>
  <c r="N14" i="25"/>
  <c r="BM14" i="25" s="1"/>
  <c r="M14" i="25"/>
  <c r="L14" i="25"/>
  <c r="K14" i="25"/>
  <c r="G14" i="25"/>
  <c r="F14" i="25"/>
  <c r="E14" i="25"/>
  <c r="D14" i="25"/>
  <c r="CG13" i="25"/>
  <c r="BH13" i="25"/>
  <c r="CS13" i="25" s="1"/>
  <c r="AP13" i="25"/>
  <c r="AO13" i="25"/>
  <c r="AN13" i="25"/>
  <c r="AM13" i="25"/>
  <c r="AI13" i="25"/>
  <c r="AH13" i="25"/>
  <c r="AG13" i="25"/>
  <c r="AF13" i="25"/>
  <c r="AB13" i="25"/>
  <c r="AA13" i="25"/>
  <c r="Z13" i="25"/>
  <c r="Y13" i="25"/>
  <c r="U13" i="25"/>
  <c r="BN13" i="25" s="1"/>
  <c r="T13" i="25"/>
  <c r="S13" i="25"/>
  <c r="R13" i="25"/>
  <c r="N13" i="25"/>
  <c r="BM13" i="25" s="1"/>
  <c r="M13" i="25"/>
  <c r="L13" i="25"/>
  <c r="K13" i="25"/>
  <c r="G13" i="25"/>
  <c r="F13" i="25"/>
  <c r="E13" i="25"/>
  <c r="D13" i="25"/>
  <c r="CG12" i="25"/>
  <c r="BN12" i="25"/>
  <c r="BH12" i="25"/>
  <c r="BU12" i="25" s="1"/>
  <c r="AP12" i="25"/>
  <c r="AO12" i="25"/>
  <c r="AN12" i="25"/>
  <c r="AM12" i="25"/>
  <c r="AI12" i="25"/>
  <c r="AH12" i="25"/>
  <c r="AG12" i="25"/>
  <c r="AF12" i="25"/>
  <c r="AB12" i="25"/>
  <c r="AA12" i="25"/>
  <c r="Z12" i="25"/>
  <c r="Y12" i="25"/>
  <c r="U12" i="25"/>
  <c r="T12" i="25"/>
  <c r="S12" i="25"/>
  <c r="R12" i="25"/>
  <c r="N12" i="25"/>
  <c r="BM12" i="25" s="1"/>
  <c r="M12" i="25"/>
  <c r="L12" i="25"/>
  <c r="K12" i="25"/>
  <c r="G12" i="25"/>
  <c r="F12" i="25"/>
  <c r="E12" i="25"/>
  <c r="D12" i="25"/>
  <c r="G10" i="25"/>
  <c r="F10" i="25"/>
  <c r="E10" i="25"/>
  <c r="D10" i="25"/>
  <c r="BA8" i="25"/>
  <c r="BA6" i="25"/>
  <c r="AH52" i="24"/>
  <c r="AI52" i="24" s="1"/>
  <c r="AJ52" i="24" s="1"/>
  <c r="AK52" i="24" s="1"/>
  <c r="AL52" i="24" s="1"/>
  <c r="AM52" i="24" s="1"/>
  <c r="AN52" i="24" s="1"/>
  <c r="AO52" i="24" s="1"/>
  <c r="AP52" i="24" s="1"/>
  <c r="AQ52" i="24" s="1"/>
  <c r="AR52" i="24" s="1"/>
  <c r="AS52" i="24" s="1"/>
  <c r="AT52" i="24" s="1"/>
  <c r="AU52" i="24" s="1"/>
  <c r="AV52" i="24" s="1"/>
  <c r="AW52" i="24" s="1"/>
  <c r="AX52" i="24" s="1"/>
  <c r="AY52" i="24" s="1"/>
  <c r="AZ52" i="24" s="1"/>
  <c r="BA52" i="24" s="1"/>
  <c r="BB52" i="24" s="1"/>
  <c r="BC52" i="24" s="1"/>
  <c r="BD52" i="24" s="1"/>
  <c r="BE52" i="24" s="1"/>
  <c r="BF52" i="24" s="1"/>
  <c r="BG52" i="24" s="1"/>
  <c r="BH52" i="24" s="1"/>
  <c r="BI52" i="24" s="1"/>
  <c r="BJ52" i="24" s="1"/>
  <c r="BK52" i="24" s="1"/>
  <c r="BL52" i="24" s="1"/>
  <c r="BM52" i="24" s="1"/>
  <c r="BN52" i="24" s="1"/>
  <c r="BO52" i="24" s="1"/>
  <c r="BP52" i="24" s="1"/>
  <c r="BQ52" i="24" s="1"/>
  <c r="BR52" i="24" s="1"/>
  <c r="BS52" i="24" s="1"/>
  <c r="BT52" i="24" s="1"/>
  <c r="BU52" i="24" s="1"/>
  <c r="BV52" i="24" s="1"/>
  <c r="BW52" i="24" s="1"/>
  <c r="BX52" i="24" s="1"/>
  <c r="BY52" i="24" s="1"/>
  <c r="BZ52" i="24" s="1"/>
  <c r="E52" i="24"/>
  <c r="F52" i="24" s="1"/>
  <c r="G52" i="24" s="1"/>
  <c r="H52" i="24" s="1"/>
  <c r="I52" i="24" s="1"/>
  <c r="J52" i="24" s="1"/>
  <c r="K52" i="24" s="1"/>
  <c r="L52" i="24" s="1"/>
  <c r="M52" i="24" s="1"/>
  <c r="N52" i="24" s="1"/>
  <c r="O52" i="24" s="1"/>
  <c r="P52" i="24" s="1"/>
  <c r="Q52" i="24" s="1"/>
  <c r="R52" i="24" s="1"/>
  <c r="S52" i="24" s="1"/>
  <c r="T52" i="24" s="1"/>
  <c r="U52" i="24" s="1"/>
  <c r="V52" i="24" s="1"/>
  <c r="W52" i="24" s="1"/>
  <c r="X52" i="24" s="1"/>
  <c r="Y52" i="24" s="1"/>
  <c r="Z52" i="24" s="1"/>
  <c r="AA52" i="24" s="1"/>
  <c r="AB52" i="24" s="1"/>
  <c r="AC52" i="24" s="1"/>
  <c r="AD52" i="24" s="1"/>
  <c r="AE52" i="24" s="1"/>
  <c r="AF52" i="24" s="1"/>
  <c r="AG52" i="24" s="1"/>
  <c r="C52" i="24"/>
  <c r="D52" i="24" s="1"/>
  <c r="B52" i="24"/>
  <c r="CY50" i="24"/>
  <c r="U50" i="24"/>
  <c r="T50" i="24"/>
  <c r="S50" i="24"/>
  <c r="N50" i="24"/>
  <c r="M50" i="24"/>
  <c r="K50" i="24"/>
  <c r="CG49" i="24"/>
  <c r="BH49" i="24"/>
  <c r="BU49" i="24" s="1"/>
  <c r="AP49" i="24"/>
  <c r="AO49" i="24"/>
  <c r="AN49" i="24"/>
  <c r="AM49" i="24"/>
  <c r="AI49" i="24"/>
  <c r="AH49" i="24"/>
  <c r="AG49" i="24"/>
  <c r="AF49" i="24"/>
  <c r="AB49" i="24"/>
  <c r="AA49" i="24"/>
  <c r="Z49" i="24"/>
  <c r="Y49" i="24"/>
  <c r="U49" i="24"/>
  <c r="T49" i="24"/>
  <c r="BN49" i="24" s="1"/>
  <c r="S49" i="24"/>
  <c r="R49" i="24"/>
  <c r="N49" i="24"/>
  <c r="M49" i="24"/>
  <c r="L49" i="24"/>
  <c r="K49" i="24"/>
  <c r="G49" i="24"/>
  <c r="F49" i="24"/>
  <c r="E49" i="24"/>
  <c r="D49" i="24"/>
  <c r="BH48" i="24"/>
  <c r="AP48" i="24"/>
  <c r="AO48" i="24"/>
  <c r="AN48" i="24"/>
  <c r="AM48" i="24"/>
  <c r="AI48" i="24"/>
  <c r="AH48" i="24"/>
  <c r="AG48" i="24"/>
  <c r="AF48" i="24"/>
  <c r="AB48" i="24"/>
  <c r="AA48" i="24"/>
  <c r="Z48" i="24"/>
  <c r="Y48" i="24"/>
  <c r="U48" i="24"/>
  <c r="T48" i="24"/>
  <c r="BN48" i="24" s="1"/>
  <c r="S48" i="24"/>
  <c r="R48" i="24"/>
  <c r="N48" i="24"/>
  <c r="M48" i="24"/>
  <c r="L48" i="24"/>
  <c r="K48" i="24"/>
  <c r="G48" i="24"/>
  <c r="F48" i="24"/>
  <c r="E48" i="24"/>
  <c r="D48" i="24"/>
  <c r="CS47" i="24"/>
  <c r="BH47" i="24"/>
  <c r="CG47" i="24" s="1"/>
  <c r="AP47" i="24"/>
  <c r="AO47" i="24"/>
  <c r="AN47" i="24"/>
  <c r="AM47" i="24"/>
  <c r="AI47" i="24"/>
  <c r="AH47" i="24"/>
  <c r="AG47" i="24"/>
  <c r="AF47" i="24"/>
  <c r="AB47" i="24"/>
  <c r="AA47" i="24"/>
  <c r="Z47" i="24"/>
  <c r="Y47" i="24"/>
  <c r="U47" i="24"/>
  <c r="BN47" i="24" s="1"/>
  <c r="T47" i="24"/>
  <c r="S47" i="24"/>
  <c r="R47" i="24"/>
  <c r="N47" i="24"/>
  <c r="M47" i="24"/>
  <c r="L47" i="24"/>
  <c r="K47" i="24"/>
  <c r="G47" i="24"/>
  <c r="F47" i="24"/>
  <c r="E47" i="24"/>
  <c r="D47" i="24"/>
  <c r="CS46" i="24"/>
  <c r="BH46" i="24"/>
  <c r="BU46" i="24" s="1"/>
  <c r="AP46" i="24"/>
  <c r="AO46" i="24"/>
  <c r="AN46" i="24"/>
  <c r="AM46" i="24"/>
  <c r="AI46" i="24"/>
  <c r="AH46" i="24"/>
  <c r="AG46" i="24"/>
  <c r="AF46" i="24"/>
  <c r="AB46" i="24"/>
  <c r="AA46" i="24"/>
  <c r="Z46" i="24"/>
  <c r="Y46" i="24"/>
  <c r="U46" i="24"/>
  <c r="T46" i="24"/>
  <c r="BN46" i="24" s="1"/>
  <c r="S46" i="24"/>
  <c r="R46" i="24"/>
  <c r="N46" i="24"/>
  <c r="M46" i="24"/>
  <c r="L46" i="24"/>
  <c r="K46" i="24"/>
  <c r="G46" i="24"/>
  <c r="F46" i="24"/>
  <c r="E46" i="24"/>
  <c r="D46" i="24"/>
  <c r="CS45" i="24"/>
  <c r="BH45" i="24"/>
  <c r="CG45" i="24" s="1"/>
  <c r="AP45" i="24"/>
  <c r="AO45" i="24"/>
  <c r="AN45" i="24"/>
  <c r="AM45" i="24"/>
  <c r="AI45" i="24"/>
  <c r="AH45" i="24"/>
  <c r="AG45" i="24"/>
  <c r="AF45" i="24"/>
  <c r="AB45" i="24"/>
  <c r="AA45" i="24"/>
  <c r="Z45" i="24"/>
  <c r="Y45" i="24"/>
  <c r="U45" i="24"/>
  <c r="BN45" i="24" s="1"/>
  <c r="T45" i="24"/>
  <c r="S45" i="24"/>
  <c r="R45" i="24"/>
  <c r="N45" i="24"/>
  <c r="M45" i="24"/>
  <c r="L45" i="24"/>
  <c r="K45" i="24"/>
  <c r="G45" i="24"/>
  <c r="F45" i="24"/>
  <c r="E45" i="24"/>
  <c r="D45" i="24"/>
  <c r="CS44" i="24"/>
  <c r="BU44" i="24"/>
  <c r="BH44" i="24"/>
  <c r="CG44" i="24" s="1"/>
  <c r="AP44" i="24"/>
  <c r="AO44" i="24"/>
  <c r="AN44" i="24"/>
  <c r="AM44" i="24"/>
  <c r="AI44" i="24"/>
  <c r="AH44" i="24"/>
  <c r="AG44" i="24"/>
  <c r="AF44" i="24"/>
  <c r="AB44" i="24"/>
  <c r="AA44" i="24"/>
  <c r="Z44" i="24"/>
  <c r="Y44" i="24"/>
  <c r="U44" i="24"/>
  <c r="T44" i="24"/>
  <c r="BN44" i="24" s="1"/>
  <c r="S44" i="24"/>
  <c r="R44" i="24"/>
  <c r="N44" i="24"/>
  <c r="M44" i="24"/>
  <c r="L44" i="24"/>
  <c r="K44" i="24"/>
  <c r="G44" i="24"/>
  <c r="F44" i="24"/>
  <c r="E44" i="24"/>
  <c r="D44" i="24"/>
  <c r="BN43" i="24"/>
  <c r="BH43" i="24"/>
  <c r="AP43" i="24"/>
  <c r="AO43" i="24"/>
  <c r="AN43" i="24"/>
  <c r="AM43" i="24"/>
  <c r="AI43" i="24"/>
  <c r="AH43" i="24"/>
  <c r="AG43" i="24"/>
  <c r="AF43" i="24"/>
  <c r="AB43" i="24"/>
  <c r="AA43" i="24"/>
  <c r="Z43" i="24"/>
  <c r="Y43" i="24"/>
  <c r="U43" i="24"/>
  <c r="T43" i="24"/>
  <c r="S43" i="24"/>
  <c r="R43" i="24"/>
  <c r="N43" i="24"/>
  <c r="M43" i="24"/>
  <c r="L43" i="24"/>
  <c r="K43" i="24"/>
  <c r="G43" i="24"/>
  <c r="F43" i="24"/>
  <c r="E43" i="24"/>
  <c r="D43" i="24"/>
  <c r="CS42" i="24"/>
  <c r="BU42" i="24"/>
  <c r="BH42" i="24"/>
  <c r="CG42" i="24" s="1"/>
  <c r="AP42" i="24"/>
  <c r="AO42" i="24"/>
  <c r="AN42" i="24"/>
  <c r="AM42" i="24"/>
  <c r="AI42" i="24"/>
  <c r="AH42" i="24"/>
  <c r="AG42" i="24"/>
  <c r="AF42" i="24"/>
  <c r="AB42" i="24"/>
  <c r="AA42" i="24"/>
  <c r="Z42" i="24"/>
  <c r="Y42" i="24"/>
  <c r="U42" i="24"/>
  <c r="T42" i="24"/>
  <c r="BN42" i="24" s="1"/>
  <c r="S42" i="24"/>
  <c r="R42" i="24"/>
  <c r="N42" i="24"/>
  <c r="M42" i="24"/>
  <c r="L42" i="24"/>
  <c r="K42" i="24"/>
  <c r="G42" i="24"/>
  <c r="F42" i="24"/>
  <c r="E42" i="24"/>
  <c r="D42" i="24"/>
  <c r="BH41" i="24"/>
  <c r="CS41" i="24" s="1"/>
  <c r="AP41" i="24"/>
  <c r="AO41" i="24"/>
  <c r="AN41" i="24"/>
  <c r="AM41" i="24"/>
  <c r="AI41" i="24"/>
  <c r="AH41" i="24"/>
  <c r="AG41" i="24"/>
  <c r="AF41" i="24"/>
  <c r="AB41" i="24"/>
  <c r="AA41" i="24"/>
  <c r="Z41" i="24"/>
  <c r="Y41" i="24"/>
  <c r="U41" i="24"/>
  <c r="BN41" i="24" s="1"/>
  <c r="T41" i="24"/>
  <c r="S41" i="24"/>
  <c r="R41" i="24"/>
  <c r="N41" i="24"/>
  <c r="M41" i="24"/>
  <c r="L41" i="24"/>
  <c r="K41" i="24"/>
  <c r="G41" i="24"/>
  <c r="F41" i="24"/>
  <c r="E41" i="24"/>
  <c r="D41" i="24"/>
  <c r="BH40" i="24"/>
  <c r="CS40" i="24" s="1"/>
  <c r="AP40" i="24"/>
  <c r="AO40" i="24"/>
  <c r="AN40" i="24"/>
  <c r="AM40" i="24"/>
  <c r="AI40" i="24"/>
  <c r="AH40" i="24"/>
  <c r="AG40" i="24"/>
  <c r="AF40" i="24"/>
  <c r="AB40" i="24"/>
  <c r="AA40" i="24"/>
  <c r="Z40" i="24"/>
  <c r="Y40" i="24"/>
  <c r="U40" i="24"/>
  <c r="BN40" i="24" s="1"/>
  <c r="T40" i="24"/>
  <c r="S40" i="24"/>
  <c r="R40" i="24"/>
  <c r="N40" i="24"/>
  <c r="M40" i="24"/>
  <c r="L40" i="24"/>
  <c r="K40" i="24"/>
  <c r="G40" i="24"/>
  <c r="F40" i="24"/>
  <c r="E40" i="24"/>
  <c r="D40" i="24"/>
  <c r="CG39" i="24"/>
  <c r="BU39" i="24"/>
  <c r="BH39" i="24"/>
  <c r="CS39" i="24" s="1"/>
  <c r="AP39" i="24"/>
  <c r="AO39" i="24"/>
  <c r="AN39" i="24"/>
  <c r="AM39" i="24"/>
  <c r="AI39" i="24"/>
  <c r="AH39" i="24"/>
  <c r="AG39" i="24"/>
  <c r="AF39" i="24"/>
  <c r="AB39" i="24"/>
  <c r="AA39" i="24"/>
  <c r="Z39" i="24"/>
  <c r="Y39" i="24"/>
  <c r="U39" i="24"/>
  <c r="T39" i="24"/>
  <c r="S39" i="24"/>
  <c r="R39" i="24"/>
  <c r="N39" i="24"/>
  <c r="M39" i="24"/>
  <c r="L39" i="24"/>
  <c r="K39" i="24"/>
  <c r="G39" i="24"/>
  <c r="F39" i="24"/>
  <c r="E39" i="24"/>
  <c r="D39" i="24"/>
  <c r="CS38" i="24"/>
  <c r="BN38" i="24"/>
  <c r="BH38" i="24"/>
  <c r="BU38" i="24" s="1"/>
  <c r="AP38" i="24"/>
  <c r="AO38" i="24"/>
  <c r="AN38" i="24"/>
  <c r="AM38" i="24"/>
  <c r="AI38" i="24"/>
  <c r="AH38" i="24"/>
  <c r="AG38" i="24"/>
  <c r="AF38" i="24"/>
  <c r="AB38" i="24"/>
  <c r="AA38" i="24"/>
  <c r="Z38" i="24"/>
  <c r="Y38" i="24"/>
  <c r="U38" i="24"/>
  <c r="T38" i="24"/>
  <c r="S38" i="24"/>
  <c r="R38" i="24"/>
  <c r="N38" i="24"/>
  <c r="M38" i="24"/>
  <c r="L38" i="24"/>
  <c r="K38" i="24"/>
  <c r="G38" i="24"/>
  <c r="F38" i="24"/>
  <c r="E38" i="24"/>
  <c r="D38" i="24"/>
  <c r="BU37" i="24"/>
  <c r="BN37" i="24"/>
  <c r="BH37" i="24"/>
  <c r="CS37" i="24" s="1"/>
  <c r="AP37" i="24"/>
  <c r="AO37" i="24"/>
  <c r="AN37" i="24"/>
  <c r="AM37" i="24"/>
  <c r="AI37" i="24"/>
  <c r="AH37" i="24"/>
  <c r="AG37" i="24"/>
  <c r="AF37" i="24"/>
  <c r="AB37" i="24"/>
  <c r="AA37" i="24"/>
  <c r="Z37" i="24"/>
  <c r="Y37" i="24"/>
  <c r="U37" i="24"/>
  <c r="T37" i="24"/>
  <c r="S37" i="24"/>
  <c r="R37" i="24"/>
  <c r="N37" i="24"/>
  <c r="M37" i="24"/>
  <c r="L37" i="24"/>
  <c r="K37" i="24"/>
  <c r="G37" i="24"/>
  <c r="F37" i="24"/>
  <c r="E37" i="24"/>
  <c r="D37" i="24"/>
  <c r="BN36" i="24"/>
  <c r="BH36" i="24"/>
  <c r="BU36" i="24" s="1"/>
  <c r="AP36" i="24"/>
  <c r="AO36" i="24"/>
  <c r="AN36" i="24"/>
  <c r="AM36" i="24"/>
  <c r="AI36" i="24"/>
  <c r="AH36" i="24"/>
  <c r="AG36" i="24"/>
  <c r="AF36" i="24"/>
  <c r="AB36" i="24"/>
  <c r="AA36" i="24"/>
  <c r="Z36" i="24"/>
  <c r="Y36" i="24"/>
  <c r="U36" i="24"/>
  <c r="T36" i="24"/>
  <c r="S36" i="24"/>
  <c r="R36" i="24"/>
  <c r="N36" i="24"/>
  <c r="M36" i="24"/>
  <c r="L36" i="24"/>
  <c r="K36" i="24"/>
  <c r="G36" i="24"/>
  <c r="F36" i="24"/>
  <c r="E36" i="24"/>
  <c r="D36" i="24"/>
  <c r="BH35" i="24"/>
  <c r="CS35" i="24" s="1"/>
  <c r="AP35" i="24"/>
  <c r="AO35" i="24"/>
  <c r="AN35" i="24"/>
  <c r="AM35" i="24"/>
  <c r="AI35" i="24"/>
  <c r="AH35" i="24"/>
  <c r="AG35" i="24"/>
  <c r="AF35" i="24"/>
  <c r="AB35" i="24"/>
  <c r="AA35" i="24"/>
  <c r="Z35" i="24"/>
  <c r="Y35" i="24"/>
  <c r="U35" i="24"/>
  <c r="BN35" i="24" s="1"/>
  <c r="T35" i="24"/>
  <c r="S35" i="24"/>
  <c r="R35" i="24"/>
  <c r="N35" i="24"/>
  <c r="M35" i="24"/>
  <c r="L35" i="24"/>
  <c r="K35" i="24"/>
  <c r="G35" i="24"/>
  <c r="F35" i="24"/>
  <c r="E35" i="24"/>
  <c r="D35" i="24"/>
  <c r="CS34" i="24"/>
  <c r="CG34" i="24"/>
  <c r="BH34" i="24"/>
  <c r="BU34" i="24" s="1"/>
  <c r="AP34" i="24"/>
  <c r="AO34" i="24"/>
  <c r="AN34" i="24"/>
  <c r="AM34" i="24"/>
  <c r="AI34" i="24"/>
  <c r="AH34" i="24"/>
  <c r="AG34" i="24"/>
  <c r="AF34" i="24"/>
  <c r="AB34" i="24"/>
  <c r="AA34" i="24"/>
  <c r="Z34" i="24"/>
  <c r="Y34" i="24"/>
  <c r="U34" i="24"/>
  <c r="T34" i="24"/>
  <c r="BN34" i="24" s="1"/>
  <c r="S34" i="24"/>
  <c r="R34" i="24"/>
  <c r="N34" i="24"/>
  <c r="M34" i="24"/>
  <c r="L34" i="24"/>
  <c r="K34" i="24"/>
  <c r="G34" i="24"/>
  <c r="F34" i="24"/>
  <c r="E34" i="24"/>
  <c r="D34" i="24"/>
  <c r="CS33" i="24"/>
  <c r="BU33" i="24"/>
  <c r="BN33" i="24"/>
  <c r="BH33" i="24"/>
  <c r="CG33" i="24" s="1"/>
  <c r="AP33" i="24"/>
  <c r="AO33" i="24"/>
  <c r="AN33" i="24"/>
  <c r="AM33" i="24"/>
  <c r="AI33" i="24"/>
  <c r="AH33" i="24"/>
  <c r="AG33" i="24"/>
  <c r="AF33" i="24"/>
  <c r="AB33" i="24"/>
  <c r="AA33" i="24"/>
  <c r="Z33" i="24"/>
  <c r="Y33" i="24"/>
  <c r="U33" i="24"/>
  <c r="T33" i="24"/>
  <c r="S33" i="24"/>
  <c r="R33" i="24"/>
  <c r="N33" i="24"/>
  <c r="M33" i="24"/>
  <c r="L33" i="24"/>
  <c r="K33" i="24"/>
  <c r="G33" i="24"/>
  <c r="F33" i="24"/>
  <c r="E33" i="24"/>
  <c r="D33" i="24"/>
  <c r="BN32" i="24"/>
  <c r="BH32" i="24"/>
  <c r="BU32" i="24" s="1"/>
  <c r="AP32" i="24"/>
  <c r="AO32" i="24"/>
  <c r="AN32" i="24"/>
  <c r="AM32" i="24"/>
  <c r="AI32" i="24"/>
  <c r="AH32" i="24"/>
  <c r="AG32" i="24"/>
  <c r="AF32" i="24"/>
  <c r="AB32" i="24"/>
  <c r="AA32" i="24"/>
  <c r="Z32" i="24"/>
  <c r="Y32" i="24"/>
  <c r="U32" i="24"/>
  <c r="T32" i="24"/>
  <c r="S32" i="24"/>
  <c r="R32" i="24"/>
  <c r="N32" i="24"/>
  <c r="M32" i="24"/>
  <c r="L32" i="24"/>
  <c r="K32" i="24"/>
  <c r="G32" i="24"/>
  <c r="F32" i="24"/>
  <c r="E32" i="24"/>
  <c r="D32" i="24"/>
  <c r="BN31" i="24"/>
  <c r="BH31" i="24"/>
  <c r="CS31" i="24" s="1"/>
  <c r="AP31" i="24"/>
  <c r="AO31" i="24"/>
  <c r="AN31" i="24"/>
  <c r="AM31" i="24"/>
  <c r="AI31" i="24"/>
  <c r="AH31" i="24"/>
  <c r="AG31" i="24"/>
  <c r="AF31" i="24"/>
  <c r="AB31" i="24"/>
  <c r="AA31" i="24"/>
  <c r="Z31" i="24"/>
  <c r="Y31" i="24"/>
  <c r="U31" i="24"/>
  <c r="T31" i="24"/>
  <c r="S31" i="24"/>
  <c r="R31" i="24"/>
  <c r="N31" i="24"/>
  <c r="M31" i="24"/>
  <c r="L31" i="24"/>
  <c r="K31" i="24"/>
  <c r="G31" i="24"/>
  <c r="F31" i="24"/>
  <c r="E31" i="24"/>
  <c r="D31" i="24"/>
  <c r="CS30" i="24"/>
  <c r="CG30" i="24"/>
  <c r="BN30" i="24"/>
  <c r="BH30" i="24"/>
  <c r="BU30" i="24" s="1"/>
  <c r="AP30" i="24"/>
  <c r="AO30" i="24"/>
  <c r="AN30" i="24"/>
  <c r="AM30" i="24"/>
  <c r="AI30" i="24"/>
  <c r="AH30" i="24"/>
  <c r="AG30" i="24"/>
  <c r="AF30" i="24"/>
  <c r="AB30" i="24"/>
  <c r="AA30" i="24"/>
  <c r="Z30" i="24"/>
  <c r="Y30" i="24"/>
  <c r="U30" i="24"/>
  <c r="T30" i="24"/>
  <c r="S30" i="24"/>
  <c r="R30" i="24"/>
  <c r="N30" i="24"/>
  <c r="M30" i="24"/>
  <c r="L30" i="24"/>
  <c r="K30" i="24"/>
  <c r="G30" i="24"/>
  <c r="F30" i="24"/>
  <c r="E30" i="24"/>
  <c r="D30" i="24"/>
  <c r="CS29" i="24"/>
  <c r="CG29" i="24"/>
  <c r="BH29" i="24"/>
  <c r="BU29" i="24" s="1"/>
  <c r="AP29" i="24"/>
  <c r="AO29" i="24"/>
  <c r="AN29" i="24"/>
  <c r="AM29" i="24"/>
  <c r="AI29" i="24"/>
  <c r="AH29" i="24"/>
  <c r="AG29" i="24"/>
  <c r="AF29" i="24"/>
  <c r="AB29" i="24"/>
  <c r="AA29" i="24"/>
  <c r="Z29" i="24"/>
  <c r="Y29" i="24"/>
  <c r="U29" i="24"/>
  <c r="BN29" i="24" s="1"/>
  <c r="T29" i="24"/>
  <c r="S29" i="24"/>
  <c r="R29" i="24"/>
  <c r="N29" i="24"/>
  <c r="M29" i="24"/>
  <c r="L29" i="24"/>
  <c r="K29" i="24"/>
  <c r="G29" i="24"/>
  <c r="F29" i="24"/>
  <c r="E29" i="24"/>
  <c r="D29" i="24"/>
  <c r="CG28" i="24"/>
  <c r="BN28" i="24"/>
  <c r="BH28" i="24"/>
  <c r="BU28" i="24" s="1"/>
  <c r="AP28" i="24"/>
  <c r="AO28" i="24"/>
  <c r="AN28" i="24"/>
  <c r="AM28" i="24"/>
  <c r="AI28" i="24"/>
  <c r="AH28" i="24"/>
  <c r="AG28" i="24"/>
  <c r="AF28" i="24"/>
  <c r="AB28" i="24"/>
  <c r="AA28" i="24"/>
  <c r="Z28" i="24"/>
  <c r="Y28" i="24"/>
  <c r="U28" i="24"/>
  <c r="T28" i="24"/>
  <c r="S28" i="24"/>
  <c r="R28" i="24"/>
  <c r="N28" i="24"/>
  <c r="M28" i="24"/>
  <c r="L28" i="24"/>
  <c r="K28" i="24"/>
  <c r="G28" i="24"/>
  <c r="F28" i="24"/>
  <c r="E28" i="24"/>
  <c r="D28" i="24"/>
  <c r="CG27" i="24"/>
  <c r="BH27" i="24"/>
  <c r="CS27" i="24" s="1"/>
  <c r="AP27" i="24"/>
  <c r="AO27" i="24"/>
  <c r="AN27" i="24"/>
  <c r="AM27" i="24"/>
  <c r="AI27" i="24"/>
  <c r="AH27" i="24"/>
  <c r="AG27" i="24"/>
  <c r="AF27" i="24"/>
  <c r="AB27" i="24"/>
  <c r="AA27" i="24"/>
  <c r="Z27" i="24"/>
  <c r="Y27" i="24"/>
  <c r="U27" i="24"/>
  <c r="T27" i="24"/>
  <c r="S27" i="24"/>
  <c r="R27" i="24"/>
  <c r="N27" i="24"/>
  <c r="M27" i="24"/>
  <c r="L27" i="24"/>
  <c r="K27" i="24"/>
  <c r="G27" i="24"/>
  <c r="F27" i="24"/>
  <c r="E27" i="24"/>
  <c r="D27" i="24"/>
  <c r="BH26" i="24"/>
  <c r="CG26" i="24" s="1"/>
  <c r="AP26" i="24"/>
  <c r="AO26" i="24"/>
  <c r="AN26" i="24"/>
  <c r="AM26" i="24"/>
  <c r="AI26" i="24"/>
  <c r="AH26" i="24"/>
  <c r="AG26" i="24"/>
  <c r="AF26" i="24"/>
  <c r="AB26" i="24"/>
  <c r="AA26" i="24"/>
  <c r="Z26" i="24"/>
  <c r="Y26" i="24"/>
  <c r="U26" i="24"/>
  <c r="BN26" i="24" s="1"/>
  <c r="T26" i="24"/>
  <c r="S26" i="24"/>
  <c r="R26" i="24"/>
  <c r="N26" i="24"/>
  <c r="M26" i="24"/>
  <c r="L26" i="24"/>
  <c r="K26" i="24"/>
  <c r="G26" i="24"/>
  <c r="F26" i="24"/>
  <c r="E26" i="24"/>
  <c r="D26" i="24"/>
  <c r="BH25" i="24"/>
  <c r="CG25" i="24" s="1"/>
  <c r="AP25" i="24"/>
  <c r="AO25" i="24"/>
  <c r="AN25" i="24"/>
  <c r="AM25" i="24"/>
  <c r="AI25" i="24"/>
  <c r="AH25" i="24"/>
  <c r="AG25" i="24"/>
  <c r="AF25" i="24"/>
  <c r="AB25" i="24"/>
  <c r="AA25" i="24"/>
  <c r="Z25" i="24"/>
  <c r="Y25" i="24"/>
  <c r="U25" i="24"/>
  <c r="BN25" i="24" s="1"/>
  <c r="T25" i="24"/>
  <c r="S25" i="24"/>
  <c r="R25" i="24"/>
  <c r="N25" i="24"/>
  <c r="M25" i="24"/>
  <c r="L25" i="24"/>
  <c r="K25" i="24"/>
  <c r="G25" i="24"/>
  <c r="F25" i="24"/>
  <c r="E25" i="24"/>
  <c r="D25" i="24"/>
  <c r="BH24" i="24"/>
  <c r="BU24" i="24" s="1"/>
  <c r="AP24" i="24"/>
  <c r="AO24" i="24"/>
  <c r="AN24" i="24"/>
  <c r="AM24" i="24"/>
  <c r="AI24" i="24"/>
  <c r="AH24" i="24"/>
  <c r="AG24" i="24"/>
  <c r="AF24" i="24"/>
  <c r="AB24" i="24"/>
  <c r="AA24" i="24"/>
  <c r="Z24" i="24"/>
  <c r="Y24" i="24"/>
  <c r="U24" i="24"/>
  <c r="BN24" i="24" s="1"/>
  <c r="T24" i="24"/>
  <c r="S24" i="24"/>
  <c r="R24" i="24"/>
  <c r="N24" i="24"/>
  <c r="M24" i="24"/>
  <c r="L24" i="24"/>
  <c r="K24" i="24"/>
  <c r="G24" i="24"/>
  <c r="F24" i="24"/>
  <c r="E24" i="24"/>
  <c r="D24" i="24"/>
  <c r="BH23" i="24"/>
  <c r="CS23" i="24" s="1"/>
  <c r="AP23" i="24"/>
  <c r="AO23" i="24"/>
  <c r="AN23" i="24"/>
  <c r="AM23" i="24"/>
  <c r="AI23" i="24"/>
  <c r="AH23" i="24"/>
  <c r="AG23" i="24"/>
  <c r="AF23" i="24"/>
  <c r="AB23" i="24"/>
  <c r="AA23" i="24"/>
  <c r="Z23" i="24"/>
  <c r="Y23" i="24"/>
  <c r="U23" i="24"/>
  <c r="T23" i="24"/>
  <c r="BN23" i="24" s="1"/>
  <c r="S23" i="24"/>
  <c r="R23" i="24"/>
  <c r="N23" i="24"/>
  <c r="M23" i="24"/>
  <c r="L23" i="24"/>
  <c r="K23" i="24"/>
  <c r="G23" i="24"/>
  <c r="F23" i="24"/>
  <c r="E23" i="24"/>
  <c r="D23" i="24"/>
  <c r="BH22" i="24"/>
  <c r="AP22" i="24"/>
  <c r="AO22" i="24"/>
  <c r="AN22" i="24"/>
  <c r="AM22" i="24"/>
  <c r="AI22" i="24"/>
  <c r="AH22" i="24"/>
  <c r="AG22" i="24"/>
  <c r="AF22" i="24"/>
  <c r="AB22" i="24"/>
  <c r="AA22" i="24"/>
  <c r="Z22" i="24"/>
  <c r="Y22" i="24"/>
  <c r="U22" i="24"/>
  <c r="T22" i="24"/>
  <c r="S22" i="24"/>
  <c r="BN22" i="24" s="1"/>
  <c r="R22" i="24"/>
  <c r="N22" i="24"/>
  <c r="M22" i="24"/>
  <c r="L22" i="24"/>
  <c r="K22" i="24"/>
  <c r="G22" i="24"/>
  <c r="F22" i="24"/>
  <c r="E22" i="24"/>
  <c r="D22" i="24"/>
  <c r="BH21" i="24"/>
  <c r="BU21" i="24" s="1"/>
  <c r="AP21" i="24"/>
  <c r="AO21" i="24"/>
  <c r="AN21" i="24"/>
  <c r="AM21" i="24"/>
  <c r="AI21" i="24"/>
  <c r="AH21" i="24"/>
  <c r="AG21" i="24"/>
  <c r="AF21" i="24"/>
  <c r="AB21" i="24"/>
  <c r="AA21" i="24"/>
  <c r="Z21" i="24"/>
  <c r="Y21" i="24"/>
  <c r="U21" i="24"/>
  <c r="BN21" i="24" s="1"/>
  <c r="T21" i="24"/>
  <c r="S21" i="24"/>
  <c r="R21" i="24"/>
  <c r="N21" i="24"/>
  <c r="M21" i="24"/>
  <c r="L21" i="24"/>
  <c r="K21" i="24"/>
  <c r="G21" i="24"/>
  <c r="F21" i="24"/>
  <c r="E21" i="24"/>
  <c r="D21" i="24"/>
  <c r="BN20" i="24"/>
  <c r="BH20" i="24"/>
  <c r="BU20" i="24" s="1"/>
  <c r="AP20" i="24"/>
  <c r="AO20" i="24"/>
  <c r="AN20" i="24"/>
  <c r="AM20" i="24"/>
  <c r="AI20" i="24"/>
  <c r="AH20" i="24"/>
  <c r="AG20" i="24"/>
  <c r="AF20" i="24"/>
  <c r="AB20" i="24"/>
  <c r="AA20" i="24"/>
  <c r="Z20" i="24"/>
  <c r="Y20" i="24"/>
  <c r="U20" i="24"/>
  <c r="T20" i="24"/>
  <c r="S20" i="24"/>
  <c r="R20" i="24"/>
  <c r="N20" i="24"/>
  <c r="M20" i="24"/>
  <c r="L20" i="24"/>
  <c r="K20" i="24"/>
  <c r="G20" i="24"/>
  <c r="F20" i="24"/>
  <c r="E20" i="24"/>
  <c r="D20" i="24"/>
  <c r="BH19" i="24"/>
  <c r="CG19" i="24" s="1"/>
  <c r="AP19" i="24"/>
  <c r="AO19" i="24"/>
  <c r="AN19" i="24"/>
  <c r="AM19" i="24"/>
  <c r="AI19" i="24"/>
  <c r="AH19" i="24"/>
  <c r="AG19" i="24"/>
  <c r="AF19" i="24"/>
  <c r="AB19" i="24"/>
  <c r="AA19" i="24"/>
  <c r="Z19" i="24"/>
  <c r="Y19" i="24"/>
  <c r="U19" i="24"/>
  <c r="T19" i="24"/>
  <c r="BN19" i="24" s="1"/>
  <c r="S19" i="24"/>
  <c r="R19" i="24"/>
  <c r="N19" i="24"/>
  <c r="M19" i="24"/>
  <c r="L19" i="24"/>
  <c r="K19" i="24"/>
  <c r="G19" i="24"/>
  <c r="F19" i="24"/>
  <c r="E19" i="24"/>
  <c r="D19" i="24"/>
  <c r="BH18" i="24"/>
  <c r="BU18" i="24" s="1"/>
  <c r="AP18" i="24"/>
  <c r="AO18" i="24"/>
  <c r="AN18" i="24"/>
  <c r="AM18" i="24"/>
  <c r="AI18" i="24"/>
  <c r="AH18" i="24"/>
  <c r="AG18" i="24"/>
  <c r="AF18" i="24"/>
  <c r="AB18" i="24"/>
  <c r="AA18" i="24"/>
  <c r="Z18" i="24"/>
  <c r="Y18" i="24"/>
  <c r="U18" i="24"/>
  <c r="T18" i="24"/>
  <c r="S18" i="24"/>
  <c r="BN18" i="24" s="1"/>
  <c r="R18" i="24"/>
  <c r="N18" i="24"/>
  <c r="M18" i="24"/>
  <c r="L18" i="24"/>
  <c r="K18" i="24"/>
  <c r="G18" i="24"/>
  <c r="F18" i="24"/>
  <c r="E18" i="24"/>
  <c r="D18" i="24"/>
  <c r="CG17" i="24"/>
  <c r="BH17" i="24"/>
  <c r="CS17" i="24" s="1"/>
  <c r="AP17" i="24"/>
  <c r="AO17" i="24"/>
  <c r="AN17" i="24"/>
  <c r="AM17" i="24"/>
  <c r="AI17" i="24"/>
  <c r="AH17" i="24"/>
  <c r="AG17" i="24"/>
  <c r="AF17" i="24"/>
  <c r="AB17" i="24"/>
  <c r="AA17" i="24"/>
  <c r="Z17" i="24"/>
  <c r="Y17" i="24"/>
  <c r="U17" i="24"/>
  <c r="BN17" i="24" s="1"/>
  <c r="T17" i="24"/>
  <c r="S17" i="24"/>
  <c r="R17" i="24"/>
  <c r="N17" i="24"/>
  <c r="M17" i="24"/>
  <c r="L17" i="24"/>
  <c r="K17" i="24"/>
  <c r="G17" i="24"/>
  <c r="F17" i="24"/>
  <c r="E17" i="24"/>
  <c r="D17" i="24"/>
  <c r="CS16" i="24"/>
  <c r="BH16" i="24"/>
  <c r="BU16" i="24" s="1"/>
  <c r="AP16" i="24"/>
  <c r="AO16" i="24"/>
  <c r="AN16" i="24"/>
  <c r="AM16" i="24"/>
  <c r="AI16" i="24"/>
  <c r="AH16" i="24"/>
  <c r="AG16" i="24"/>
  <c r="AF16" i="24"/>
  <c r="AB16" i="24"/>
  <c r="AA16" i="24"/>
  <c r="Z16" i="24"/>
  <c r="Y16" i="24"/>
  <c r="U16" i="24"/>
  <c r="BN16" i="24" s="1"/>
  <c r="T16" i="24"/>
  <c r="S16" i="24"/>
  <c r="R16" i="24"/>
  <c r="N16" i="24"/>
  <c r="M16" i="24"/>
  <c r="L16" i="24"/>
  <c r="K16" i="24"/>
  <c r="G16" i="24"/>
  <c r="F16" i="24"/>
  <c r="E16" i="24"/>
  <c r="D16" i="24"/>
  <c r="BH15" i="24"/>
  <c r="BU15" i="24" s="1"/>
  <c r="AP15" i="24"/>
  <c r="AO15" i="24"/>
  <c r="AN15" i="24"/>
  <c r="AM15" i="24"/>
  <c r="AI15" i="24"/>
  <c r="AH15" i="24"/>
  <c r="AG15" i="24"/>
  <c r="AF15" i="24"/>
  <c r="AB15" i="24"/>
  <c r="AA15" i="24"/>
  <c r="Z15" i="24"/>
  <c r="Y15" i="24"/>
  <c r="U15" i="24"/>
  <c r="T15" i="24"/>
  <c r="S15" i="24"/>
  <c r="R15" i="24"/>
  <c r="N15" i="24"/>
  <c r="M15" i="24"/>
  <c r="L15" i="24"/>
  <c r="K15" i="24"/>
  <c r="G15" i="24"/>
  <c r="F15" i="24"/>
  <c r="E15" i="24"/>
  <c r="D15" i="24"/>
  <c r="BH14" i="24"/>
  <c r="CG14" i="24" s="1"/>
  <c r="AP14" i="24"/>
  <c r="AO14" i="24"/>
  <c r="AN14" i="24"/>
  <c r="AM14" i="24"/>
  <c r="AI14" i="24"/>
  <c r="AH14" i="24"/>
  <c r="AG14" i="24"/>
  <c r="AF14" i="24"/>
  <c r="AB14" i="24"/>
  <c r="AA14" i="24"/>
  <c r="Z14" i="24"/>
  <c r="Y14" i="24"/>
  <c r="U14" i="24"/>
  <c r="BN14" i="24" s="1"/>
  <c r="T14" i="24"/>
  <c r="S14" i="24"/>
  <c r="R14" i="24"/>
  <c r="N14" i="24"/>
  <c r="M14" i="24"/>
  <c r="L14" i="24"/>
  <c r="K14" i="24"/>
  <c r="G14" i="24"/>
  <c r="F14" i="24"/>
  <c r="E14" i="24"/>
  <c r="D14" i="24"/>
  <c r="BH13" i="24"/>
  <c r="AP13" i="24"/>
  <c r="AO13" i="24"/>
  <c r="AN13" i="24"/>
  <c r="AM13" i="24"/>
  <c r="AI13" i="24"/>
  <c r="AH13" i="24"/>
  <c r="AG13" i="24"/>
  <c r="AF13" i="24"/>
  <c r="AB13" i="24"/>
  <c r="AA13" i="24"/>
  <c r="Z13" i="24"/>
  <c r="Y13" i="24"/>
  <c r="U13" i="24"/>
  <c r="T13" i="24"/>
  <c r="BN13" i="24" s="1"/>
  <c r="S13" i="24"/>
  <c r="R13" i="24"/>
  <c r="N13" i="24"/>
  <c r="M13" i="24"/>
  <c r="L13" i="24"/>
  <c r="K13" i="24"/>
  <c r="G13" i="24"/>
  <c r="F13" i="24"/>
  <c r="E13" i="24"/>
  <c r="D13" i="24"/>
  <c r="BN12" i="24"/>
  <c r="BH12" i="24"/>
  <c r="CG12" i="24" s="1"/>
  <c r="AP12" i="24"/>
  <c r="AO12" i="24"/>
  <c r="AN12" i="24"/>
  <c r="AM12" i="24"/>
  <c r="AI12" i="24"/>
  <c r="AH12" i="24"/>
  <c r="AG12" i="24"/>
  <c r="AF12" i="24"/>
  <c r="AB12" i="24"/>
  <c r="AA12" i="24"/>
  <c r="Z12" i="24"/>
  <c r="Y12" i="24"/>
  <c r="U12" i="24"/>
  <c r="T12" i="24"/>
  <c r="S12" i="24"/>
  <c r="R12" i="24"/>
  <c r="N12" i="24"/>
  <c r="M12" i="24"/>
  <c r="L12" i="24"/>
  <c r="K12" i="24"/>
  <c r="G12" i="24"/>
  <c r="F12" i="24"/>
  <c r="E12" i="24"/>
  <c r="D12" i="24"/>
  <c r="D50" i="24" s="1"/>
  <c r="G10" i="24"/>
  <c r="F10" i="24"/>
  <c r="E10" i="24"/>
  <c r="D10" i="24"/>
  <c r="BA8" i="24"/>
  <c r="BA6" i="24"/>
  <c r="CY50" i="23"/>
  <c r="U50" i="23"/>
  <c r="T50" i="23"/>
  <c r="S50" i="23"/>
  <c r="N50" i="23"/>
  <c r="M50" i="23"/>
  <c r="K50" i="23"/>
  <c r="BH49" i="23"/>
  <c r="BU49" i="23" s="1"/>
  <c r="AP49" i="23"/>
  <c r="AO49" i="23"/>
  <c r="AN49" i="23"/>
  <c r="AM49" i="23"/>
  <c r="AI49" i="23"/>
  <c r="AH49" i="23"/>
  <c r="AG49" i="23"/>
  <c r="AF49" i="23"/>
  <c r="AB49" i="23"/>
  <c r="AA49" i="23"/>
  <c r="Z49" i="23"/>
  <c r="Y49" i="23"/>
  <c r="U49" i="23"/>
  <c r="BN49" i="23" s="1"/>
  <c r="T49" i="23"/>
  <c r="S49" i="23"/>
  <c r="R49" i="23"/>
  <c r="N49" i="23"/>
  <c r="M49" i="23"/>
  <c r="L49" i="23"/>
  <c r="K49" i="23"/>
  <c r="G49" i="23"/>
  <c r="F49" i="23"/>
  <c r="E49" i="23"/>
  <c r="D49" i="23"/>
  <c r="BM48" i="23"/>
  <c r="BH48" i="23"/>
  <c r="BU48" i="23" s="1"/>
  <c r="AP48" i="23"/>
  <c r="AO48" i="23"/>
  <c r="AN48" i="23"/>
  <c r="AM48" i="23"/>
  <c r="AI48" i="23"/>
  <c r="AH48" i="23"/>
  <c r="AG48" i="23"/>
  <c r="AF48" i="23"/>
  <c r="AB48" i="23"/>
  <c r="AA48" i="23"/>
  <c r="Z48" i="23"/>
  <c r="Y48" i="23"/>
  <c r="U48" i="23"/>
  <c r="BN48" i="23" s="1"/>
  <c r="T48" i="23"/>
  <c r="S48" i="23"/>
  <c r="R48" i="23"/>
  <c r="N48" i="23"/>
  <c r="M48" i="23"/>
  <c r="L48" i="23"/>
  <c r="K48" i="23"/>
  <c r="G48" i="23"/>
  <c r="F48" i="23"/>
  <c r="E48" i="23"/>
  <c r="D48" i="23"/>
  <c r="CS47" i="23"/>
  <c r="BU47" i="23"/>
  <c r="BH47" i="23"/>
  <c r="CG47" i="23" s="1"/>
  <c r="AP47" i="23"/>
  <c r="AO47" i="23"/>
  <c r="AN47" i="23"/>
  <c r="AM47" i="23"/>
  <c r="AI47" i="23"/>
  <c r="AH47" i="23"/>
  <c r="AG47" i="23"/>
  <c r="AF47" i="23"/>
  <c r="AB47" i="23"/>
  <c r="AA47" i="23"/>
  <c r="Z47" i="23"/>
  <c r="Y47" i="23"/>
  <c r="U47" i="23"/>
  <c r="BN47" i="23" s="1"/>
  <c r="T47" i="23"/>
  <c r="S47" i="23"/>
  <c r="R47" i="23"/>
  <c r="N47" i="23"/>
  <c r="BM47" i="23" s="1"/>
  <c r="M47" i="23"/>
  <c r="L47" i="23"/>
  <c r="K47" i="23"/>
  <c r="G47" i="23"/>
  <c r="F47" i="23"/>
  <c r="E47" i="23"/>
  <c r="D47" i="23"/>
  <c r="BN46" i="23"/>
  <c r="BH46" i="23"/>
  <c r="AP46" i="23"/>
  <c r="AO46" i="23"/>
  <c r="AN46" i="23"/>
  <c r="AM46" i="23"/>
  <c r="AI46" i="23"/>
  <c r="AH46" i="23"/>
  <c r="AG46" i="23"/>
  <c r="AF46" i="23"/>
  <c r="AB46" i="23"/>
  <c r="AA46" i="23"/>
  <c r="Z46" i="23"/>
  <c r="Y46" i="23"/>
  <c r="U46" i="23"/>
  <c r="T46" i="23"/>
  <c r="S46" i="23"/>
  <c r="R46" i="23"/>
  <c r="N46" i="23"/>
  <c r="BM46" i="23" s="1"/>
  <c r="M46" i="23"/>
  <c r="L46" i="23"/>
  <c r="K46" i="23"/>
  <c r="G46" i="23"/>
  <c r="F46" i="23"/>
  <c r="E46" i="23"/>
  <c r="D46" i="23"/>
  <c r="BH45" i="23"/>
  <c r="CS45" i="23" s="1"/>
  <c r="AP45" i="23"/>
  <c r="AO45" i="23"/>
  <c r="AN45" i="23"/>
  <c r="AM45" i="23"/>
  <c r="AI45" i="23"/>
  <c r="AH45" i="23"/>
  <c r="AG45" i="23"/>
  <c r="AF45" i="23"/>
  <c r="AB45" i="23"/>
  <c r="AA45" i="23"/>
  <c r="Z45" i="23"/>
  <c r="Y45" i="23"/>
  <c r="U45" i="23"/>
  <c r="BN45" i="23" s="1"/>
  <c r="T45" i="23"/>
  <c r="S45" i="23"/>
  <c r="R45" i="23"/>
  <c r="N45" i="23"/>
  <c r="M45" i="23"/>
  <c r="L45" i="23"/>
  <c r="K45" i="23"/>
  <c r="G45" i="23"/>
  <c r="F45" i="23"/>
  <c r="E45" i="23"/>
  <c r="D45" i="23"/>
  <c r="BH44" i="23"/>
  <c r="BU44" i="23" s="1"/>
  <c r="AP44" i="23"/>
  <c r="AO44" i="23"/>
  <c r="AN44" i="23"/>
  <c r="AM44" i="23"/>
  <c r="AI44" i="23"/>
  <c r="AH44" i="23"/>
  <c r="AG44" i="23"/>
  <c r="AF44" i="23"/>
  <c r="AB44" i="23"/>
  <c r="AA44" i="23"/>
  <c r="Z44" i="23"/>
  <c r="Y44" i="23"/>
  <c r="U44" i="23"/>
  <c r="BN44" i="23" s="1"/>
  <c r="T44" i="23"/>
  <c r="S44" i="23"/>
  <c r="R44" i="23"/>
  <c r="N44" i="23"/>
  <c r="BM44" i="23" s="1"/>
  <c r="M44" i="23"/>
  <c r="L44" i="23"/>
  <c r="K44" i="23"/>
  <c r="G44" i="23"/>
  <c r="F44" i="23"/>
  <c r="E44" i="23"/>
  <c r="D44" i="23"/>
  <c r="BH43" i="23"/>
  <c r="AP43" i="23"/>
  <c r="AO43" i="23"/>
  <c r="AN43" i="23"/>
  <c r="AM43" i="23"/>
  <c r="AI43" i="23"/>
  <c r="AH43" i="23"/>
  <c r="AG43" i="23"/>
  <c r="AF43" i="23"/>
  <c r="AB43" i="23"/>
  <c r="AA43" i="23"/>
  <c r="Z43" i="23"/>
  <c r="Y43" i="23"/>
  <c r="U43" i="23"/>
  <c r="BN43" i="23" s="1"/>
  <c r="T43" i="23"/>
  <c r="S43" i="23"/>
  <c r="R43" i="23"/>
  <c r="N43" i="23"/>
  <c r="BM43" i="23" s="1"/>
  <c r="M43" i="23"/>
  <c r="L43" i="23"/>
  <c r="K43" i="23"/>
  <c r="G43" i="23"/>
  <c r="F43" i="23"/>
  <c r="E43" i="23"/>
  <c r="D43" i="23"/>
  <c r="CS42" i="23"/>
  <c r="CG42" i="23"/>
  <c r="BM42" i="23"/>
  <c r="BH42" i="23"/>
  <c r="BU42" i="23" s="1"/>
  <c r="AP42" i="23"/>
  <c r="AO42" i="23"/>
  <c r="AN42" i="23"/>
  <c r="AM42" i="23"/>
  <c r="AI42" i="23"/>
  <c r="AH42" i="23"/>
  <c r="AG42" i="23"/>
  <c r="AF42" i="23"/>
  <c r="AB42" i="23"/>
  <c r="AA42" i="23"/>
  <c r="Z42" i="23"/>
  <c r="Y42" i="23"/>
  <c r="U42" i="23"/>
  <c r="BN42" i="23" s="1"/>
  <c r="T42" i="23"/>
  <c r="S42" i="23"/>
  <c r="R42" i="23"/>
  <c r="N42" i="23"/>
  <c r="M42" i="23"/>
  <c r="L42" i="23"/>
  <c r="K42" i="23"/>
  <c r="G42" i="23"/>
  <c r="F42" i="23"/>
  <c r="E42" i="23"/>
  <c r="D42" i="23"/>
  <c r="CS41" i="23"/>
  <c r="BH41" i="23"/>
  <c r="BU41" i="23" s="1"/>
  <c r="AP41" i="23"/>
  <c r="AO41" i="23"/>
  <c r="AN41" i="23"/>
  <c r="AM41" i="23"/>
  <c r="AI41" i="23"/>
  <c r="AH41" i="23"/>
  <c r="AG41" i="23"/>
  <c r="AF41" i="23"/>
  <c r="AB41" i="23"/>
  <c r="AA41" i="23"/>
  <c r="Z41" i="23"/>
  <c r="Y41" i="23"/>
  <c r="U41" i="23"/>
  <c r="BN41" i="23" s="1"/>
  <c r="T41" i="23"/>
  <c r="S41" i="23"/>
  <c r="R41" i="23"/>
  <c r="N41" i="23"/>
  <c r="BM41" i="23" s="1"/>
  <c r="M41" i="23"/>
  <c r="L41" i="23"/>
  <c r="K41" i="23"/>
  <c r="G41" i="23"/>
  <c r="F41" i="23"/>
  <c r="E41" i="23"/>
  <c r="D41" i="23"/>
  <c r="BU40" i="23"/>
  <c r="BH40" i="23"/>
  <c r="AP40" i="23"/>
  <c r="AO40" i="23"/>
  <c r="AN40" i="23"/>
  <c r="AM40" i="23"/>
  <c r="AI40" i="23"/>
  <c r="AH40" i="23"/>
  <c r="AG40" i="23"/>
  <c r="AF40" i="23"/>
  <c r="AB40" i="23"/>
  <c r="AA40" i="23"/>
  <c r="Z40" i="23"/>
  <c r="Y40" i="23"/>
  <c r="U40" i="23"/>
  <c r="BN40" i="23" s="1"/>
  <c r="T40" i="23"/>
  <c r="S40" i="23"/>
  <c r="R40" i="23"/>
  <c r="N40" i="23"/>
  <c r="BM40" i="23" s="1"/>
  <c r="M40" i="23"/>
  <c r="L40" i="23"/>
  <c r="K40" i="23"/>
  <c r="G40" i="23"/>
  <c r="F40" i="23"/>
  <c r="E40" i="23"/>
  <c r="D40" i="23"/>
  <c r="BN39" i="23"/>
  <c r="BM39" i="23"/>
  <c r="BH39" i="23"/>
  <c r="BU39" i="23" s="1"/>
  <c r="AP39" i="23"/>
  <c r="AO39" i="23"/>
  <c r="AN39" i="23"/>
  <c r="AM39" i="23"/>
  <c r="AI39" i="23"/>
  <c r="AH39" i="23"/>
  <c r="AG39" i="23"/>
  <c r="AF39" i="23"/>
  <c r="AB39" i="23"/>
  <c r="AA39" i="23"/>
  <c r="Z39" i="23"/>
  <c r="Y39" i="23"/>
  <c r="U39" i="23"/>
  <c r="T39" i="23"/>
  <c r="S39" i="23"/>
  <c r="R39" i="23"/>
  <c r="N39" i="23"/>
  <c r="M39" i="23"/>
  <c r="L39" i="23"/>
  <c r="K39" i="23"/>
  <c r="G39" i="23"/>
  <c r="F39" i="23"/>
  <c r="E39" i="23"/>
  <c r="D39" i="23"/>
  <c r="CS38" i="23"/>
  <c r="CG38" i="23"/>
  <c r="BH38" i="23"/>
  <c r="BU38" i="23" s="1"/>
  <c r="AP38" i="23"/>
  <c r="AO38" i="23"/>
  <c r="AN38" i="23"/>
  <c r="AM38" i="23"/>
  <c r="AI38" i="23"/>
  <c r="AH38" i="23"/>
  <c r="AG38" i="23"/>
  <c r="AF38" i="23"/>
  <c r="AB38" i="23"/>
  <c r="AA38" i="23"/>
  <c r="Z38" i="23"/>
  <c r="Y38" i="23"/>
  <c r="U38" i="23"/>
  <c r="BN38" i="23" s="1"/>
  <c r="T38" i="23"/>
  <c r="S38" i="23"/>
  <c r="R38" i="23"/>
  <c r="N38" i="23"/>
  <c r="BM38" i="23" s="1"/>
  <c r="M38" i="23"/>
  <c r="L38" i="23"/>
  <c r="K38" i="23"/>
  <c r="G38" i="23"/>
  <c r="F38" i="23"/>
  <c r="E38" i="23"/>
  <c r="D38" i="23"/>
  <c r="CS37" i="23"/>
  <c r="BN37" i="23"/>
  <c r="BH37" i="23"/>
  <c r="CG37" i="23" s="1"/>
  <c r="AP37" i="23"/>
  <c r="AO37" i="23"/>
  <c r="AN37" i="23"/>
  <c r="AM37" i="23"/>
  <c r="AI37" i="23"/>
  <c r="AH37" i="23"/>
  <c r="AG37" i="23"/>
  <c r="AF37" i="23"/>
  <c r="AB37" i="23"/>
  <c r="AA37" i="23"/>
  <c r="Z37" i="23"/>
  <c r="Y37" i="23"/>
  <c r="U37" i="23"/>
  <c r="T37" i="23"/>
  <c r="S37" i="23"/>
  <c r="R37" i="23"/>
  <c r="N37" i="23"/>
  <c r="BM37" i="23" s="1"/>
  <c r="M37" i="23"/>
  <c r="L37" i="23"/>
  <c r="K37" i="23"/>
  <c r="G37" i="23"/>
  <c r="F37" i="23"/>
  <c r="E37" i="23"/>
  <c r="D37" i="23"/>
  <c r="BN36" i="23"/>
  <c r="BM36" i="23"/>
  <c r="BH36" i="23"/>
  <c r="AP36" i="23"/>
  <c r="AO36" i="23"/>
  <c r="AN36" i="23"/>
  <c r="AM36" i="23"/>
  <c r="AI36" i="23"/>
  <c r="AH36" i="23"/>
  <c r="AG36" i="23"/>
  <c r="AF36" i="23"/>
  <c r="AB36" i="23"/>
  <c r="AA36" i="23"/>
  <c r="Z36" i="23"/>
  <c r="Y36" i="23"/>
  <c r="U36" i="23"/>
  <c r="T36" i="23"/>
  <c r="S36" i="23"/>
  <c r="R36" i="23"/>
  <c r="N36" i="23"/>
  <c r="M36" i="23"/>
  <c r="L36" i="23"/>
  <c r="K36" i="23"/>
  <c r="G36" i="23"/>
  <c r="F36" i="23"/>
  <c r="E36" i="23"/>
  <c r="D36" i="23"/>
  <c r="CS35" i="23"/>
  <c r="BM35" i="23"/>
  <c r="BH35" i="23"/>
  <c r="CG35" i="23" s="1"/>
  <c r="AP35" i="23"/>
  <c r="AO35" i="23"/>
  <c r="AN35" i="23"/>
  <c r="AM35" i="23"/>
  <c r="AI35" i="23"/>
  <c r="AH35" i="23"/>
  <c r="AG35" i="23"/>
  <c r="AF35" i="23"/>
  <c r="AB35" i="23"/>
  <c r="AA35" i="23"/>
  <c r="Z35" i="23"/>
  <c r="Y35" i="23"/>
  <c r="U35" i="23"/>
  <c r="BN35" i="23" s="1"/>
  <c r="T35" i="23"/>
  <c r="S35" i="23"/>
  <c r="R35" i="23"/>
  <c r="N35" i="23"/>
  <c r="M35" i="23"/>
  <c r="L35" i="23"/>
  <c r="K35" i="23"/>
  <c r="G35" i="23"/>
  <c r="F35" i="23"/>
  <c r="E35" i="23"/>
  <c r="D35" i="23"/>
  <c r="BN34" i="23"/>
  <c r="BM34" i="23"/>
  <c r="BH34" i="23"/>
  <c r="AP34" i="23"/>
  <c r="AO34" i="23"/>
  <c r="AN34" i="23"/>
  <c r="AM34" i="23"/>
  <c r="AI34" i="23"/>
  <c r="AH34" i="23"/>
  <c r="AG34" i="23"/>
  <c r="AF34" i="23"/>
  <c r="AB34" i="23"/>
  <c r="AA34" i="23"/>
  <c r="Z34" i="23"/>
  <c r="Y34" i="23"/>
  <c r="U34" i="23"/>
  <c r="T34" i="23"/>
  <c r="S34" i="23"/>
  <c r="R34" i="23"/>
  <c r="N34" i="23"/>
  <c r="M34" i="23"/>
  <c r="L34" i="23"/>
  <c r="K34" i="23"/>
  <c r="G34" i="23"/>
  <c r="F34" i="23"/>
  <c r="E34" i="23"/>
  <c r="D34" i="23"/>
  <c r="BN33" i="23"/>
  <c r="BM33" i="23"/>
  <c r="BH33" i="23"/>
  <c r="CS33" i="23" s="1"/>
  <c r="AP33" i="23"/>
  <c r="AO33" i="23"/>
  <c r="AN33" i="23"/>
  <c r="AM33" i="23"/>
  <c r="AI33" i="23"/>
  <c r="AH33" i="23"/>
  <c r="AG33" i="23"/>
  <c r="AF33" i="23"/>
  <c r="AB33" i="23"/>
  <c r="AA33" i="23"/>
  <c r="Z33" i="23"/>
  <c r="Y33" i="23"/>
  <c r="U33" i="23"/>
  <c r="T33" i="23"/>
  <c r="S33" i="23"/>
  <c r="R33" i="23"/>
  <c r="N33" i="23"/>
  <c r="M33" i="23"/>
  <c r="L33" i="23"/>
  <c r="K33" i="23"/>
  <c r="G33" i="23"/>
  <c r="F33" i="23"/>
  <c r="E33" i="23"/>
  <c r="D33" i="23"/>
  <c r="CS32" i="23"/>
  <c r="BU32" i="23"/>
  <c r="BN32" i="23"/>
  <c r="BH32" i="23"/>
  <c r="CG32" i="23" s="1"/>
  <c r="AP32" i="23"/>
  <c r="AO32" i="23"/>
  <c r="AN32" i="23"/>
  <c r="AM32" i="23"/>
  <c r="AI32" i="23"/>
  <c r="AH32" i="23"/>
  <c r="AG32" i="23"/>
  <c r="AF32" i="23"/>
  <c r="AB32" i="23"/>
  <c r="AA32" i="23"/>
  <c r="Z32" i="23"/>
  <c r="Y32" i="23"/>
  <c r="U32" i="23"/>
  <c r="T32" i="23"/>
  <c r="S32" i="23"/>
  <c r="R32" i="23"/>
  <c r="N32" i="23"/>
  <c r="BM32" i="23" s="1"/>
  <c r="M32" i="23"/>
  <c r="L32" i="23"/>
  <c r="K32" i="23"/>
  <c r="G32" i="23"/>
  <c r="F32" i="23"/>
  <c r="E32" i="23"/>
  <c r="D32" i="23"/>
  <c r="CG31" i="23"/>
  <c r="BN31" i="23"/>
  <c r="BM31" i="23"/>
  <c r="BH31" i="23"/>
  <c r="CS31" i="23" s="1"/>
  <c r="AP31" i="23"/>
  <c r="AO31" i="23"/>
  <c r="AN31" i="23"/>
  <c r="AM31" i="23"/>
  <c r="AI31" i="23"/>
  <c r="AH31" i="23"/>
  <c r="AG31" i="23"/>
  <c r="AF31" i="23"/>
  <c r="AB31" i="23"/>
  <c r="AA31" i="23"/>
  <c r="Z31" i="23"/>
  <c r="Y31" i="23"/>
  <c r="U31" i="23"/>
  <c r="T31" i="23"/>
  <c r="S31" i="23"/>
  <c r="R31" i="23"/>
  <c r="N31" i="23"/>
  <c r="M31" i="23"/>
  <c r="L31" i="23"/>
  <c r="K31" i="23"/>
  <c r="G31" i="23"/>
  <c r="F31" i="23"/>
  <c r="E31" i="23"/>
  <c r="D31" i="23"/>
  <c r="BH30" i="23"/>
  <c r="CG30" i="23" s="1"/>
  <c r="AP30" i="23"/>
  <c r="AO30" i="23"/>
  <c r="AN30" i="23"/>
  <c r="AM30" i="23"/>
  <c r="AI30" i="23"/>
  <c r="AH30" i="23"/>
  <c r="AG30" i="23"/>
  <c r="AF30" i="23"/>
  <c r="AB30" i="23"/>
  <c r="AA30" i="23"/>
  <c r="Z30" i="23"/>
  <c r="Y30" i="23"/>
  <c r="U30" i="23"/>
  <c r="BN30" i="23" s="1"/>
  <c r="T30" i="23"/>
  <c r="S30" i="23"/>
  <c r="R30" i="23"/>
  <c r="N30" i="23"/>
  <c r="BM30" i="23" s="1"/>
  <c r="M30" i="23"/>
  <c r="L30" i="23"/>
  <c r="K30" i="23"/>
  <c r="G30" i="23"/>
  <c r="F30" i="23"/>
  <c r="E30" i="23"/>
  <c r="D30" i="23"/>
  <c r="CG29" i="23"/>
  <c r="BH29" i="23"/>
  <c r="CS29" i="23" s="1"/>
  <c r="AP29" i="23"/>
  <c r="AO29" i="23"/>
  <c r="AN29" i="23"/>
  <c r="AM29" i="23"/>
  <c r="AI29" i="23"/>
  <c r="AH29" i="23"/>
  <c r="AG29" i="23"/>
  <c r="AF29" i="23"/>
  <c r="AB29" i="23"/>
  <c r="AA29" i="23"/>
  <c r="Z29" i="23"/>
  <c r="Y29" i="23"/>
  <c r="U29" i="23"/>
  <c r="BN29" i="23" s="1"/>
  <c r="T29" i="23"/>
  <c r="S29" i="23"/>
  <c r="R29" i="23"/>
  <c r="N29" i="23"/>
  <c r="BM29" i="23" s="1"/>
  <c r="M29" i="23"/>
  <c r="L29" i="23"/>
  <c r="K29" i="23"/>
  <c r="G29" i="23"/>
  <c r="F29" i="23"/>
  <c r="E29" i="23"/>
  <c r="D29" i="23"/>
  <c r="BH28" i="23"/>
  <c r="CG28" i="23" s="1"/>
  <c r="AP28" i="23"/>
  <c r="AO28" i="23"/>
  <c r="AN28" i="23"/>
  <c r="AM28" i="23"/>
  <c r="AI28" i="23"/>
  <c r="AH28" i="23"/>
  <c r="AG28" i="23"/>
  <c r="AF28" i="23"/>
  <c r="AB28" i="23"/>
  <c r="AA28" i="23"/>
  <c r="Z28" i="23"/>
  <c r="Y28" i="23"/>
  <c r="U28" i="23"/>
  <c r="BN28" i="23" s="1"/>
  <c r="T28" i="23"/>
  <c r="S28" i="23"/>
  <c r="R28" i="23"/>
  <c r="N28" i="23"/>
  <c r="BM28" i="23" s="1"/>
  <c r="M28" i="23"/>
  <c r="L28" i="23"/>
  <c r="K28" i="23"/>
  <c r="G28" i="23"/>
  <c r="F28" i="23"/>
  <c r="E28" i="23"/>
  <c r="D28" i="23"/>
  <c r="CS27" i="23"/>
  <c r="CG27" i="23"/>
  <c r="BU27" i="23"/>
  <c r="BM27" i="23"/>
  <c r="BH27" i="23"/>
  <c r="AP27" i="23"/>
  <c r="AO27" i="23"/>
  <c r="AN27" i="23"/>
  <c r="AM27" i="23"/>
  <c r="AI27" i="23"/>
  <c r="AH27" i="23"/>
  <c r="AG27" i="23"/>
  <c r="AF27" i="23"/>
  <c r="AB27" i="23"/>
  <c r="AA27" i="23"/>
  <c r="Z27" i="23"/>
  <c r="Y27" i="23"/>
  <c r="U27" i="23"/>
  <c r="BN27" i="23" s="1"/>
  <c r="T27" i="23"/>
  <c r="S27" i="23"/>
  <c r="R27" i="23"/>
  <c r="N27" i="23"/>
  <c r="M27" i="23"/>
  <c r="L27" i="23"/>
  <c r="K27" i="23"/>
  <c r="G27" i="23"/>
  <c r="F27" i="23"/>
  <c r="E27" i="23"/>
  <c r="D27" i="23"/>
  <c r="BU26" i="23"/>
  <c r="BN26" i="23"/>
  <c r="BH26" i="23"/>
  <c r="CG26" i="23" s="1"/>
  <c r="AP26" i="23"/>
  <c r="AO26" i="23"/>
  <c r="AN26" i="23"/>
  <c r="AM26" i="23"/>
  <c r="AI26" i="23"/>
  <c r="AH26" i="23"/>
  <c r="AG26" i="23"/>
  <c r="AF26" i="23"/>
  <c r="AB26" i="23"/>
  <c r="AA26" i="23"/>
  <c r="Z26" i="23"/>
  <c r="Y26" i="23"/>
  <c r="U26" i="23"/>
  <c r="T26" i="23"/>
  <c r="S26" i="23"/>
  <c r="R26" i="23"/>
  <c r="N26" i="23"/>
  <c r="BM26" i="23" s="1"/>
  <c r="M26" i="23"/>
  <c r="L26" i="23"/>
  <c r="K26" i="23"/>
  <c r="G26" i="23"/>
  <c r="F26" i="23"/>
  <c r="E26" i="23"/>
  <c r="D26" i="23"/>
  <c r="BN25" i="23"/>
  <c r="BM25" i="23"/>
  <c r="BH25" i="23"/>
  <c r="BU25" i="23" s="1"/>
  <c r="AP25" i="23"/>
  <c r="AO25" i="23"/>
  <c r="AN25" i="23"/>
  <c r="AM25" i="23"/>
  <c r="AI25" i="23"/>
  <c r="AH25" i="23"/>
  <c r="AG25" i="23"/>
  <c r="AF25" i="23"/>
  <c r="AB25" i="23"/>
  <c r="AA25" i="23"/>
  <c r="Z25" i="23"/>
  <c r="Y25" i="23"/>
  <c r="U25" i="23"/>
  <c r="T25" i="23"/>
  <c r="S25" i="23"/>
  <c r="R25" i="23"/>
  <c r="N25" i="23"/>
  <c r="M25" i="23"/>
  <c r="L25" i="23"/>
  <c r="K25" i="23"/>
  <c r="G25" i="23"/>
  <c r="F25" i="23"/>
  <c r="E25" i="23"/>
  <c r="D25" i="23"/>
  <c r="BM24" i="23"/>
  <c r="BH24" i="23"/>
  <c r="AP24" i="23"/>
  <c r="AO24" i="23"/>
  <c r="AN24" i="23"/>
  <c r="AM24" i="23"/>
  <c r="AI24" i="23"/>
  <c r="AH24" i="23"/>
  <c r="AG24" i="23"/>
  <c r="AF24" i="23"/>
  <c r="AB24" i="23"/>
  <c r="AA24" i="23"/>
  <c r="Z24" i="23"/>
  <c r="Y24" i="23"/>
  <c r="U24" i="23"/>
  <c r="BN24" i="23" s="1"/>
  <c r="T24" i="23"/>
  <c r="S24" i="23"/>
  <c r="R24" i="23"/>
  <c r="N24" i="23"/>
  <c r="M24" i="23"/>
  <c r="L24" i="23"/>
  <c r="K24" i="23"/>
  <c r="G24" i="23"/>
  <c r="F24" i="23"/>
  <c r="E24" i="23"/>
  <c r="D24" i="23"/>
  <c r="CS23" i="23"/>
  <c r="BU23" i="23"/>
  <c r="BM23" i="23"/>
  <c r="BH23" i="23"/>
  <c r="CG23" i="23" s="1"/>
  <c r="AP23" i="23"/>
  <c r="AO23" i="23"/>
  <c r="AN23" i="23"/>
  <c r="AM23" i="23"/>
  <c r="AI23" i="23"/>
  <c r="AH23" i="23"/>
  <c r="AG23" i="23"/>
  <c r="AF23" i="23"/>
  <c r="AB23" i="23"/>
  <c r="AA23" i="23"/>
  <c r="Z23" i="23"/>
  <c r="Y23" i="23"/>
  <c r="U23" i="23"/>
  <c r="BN23" i="23" s="1"/>
  <c r="T23" i="23"/>
  <c r="S23" i="23"/>
  <c r="R23" i="23"/>
  <c r="N23" i="23"/>
  <c r="M23" i="23"/>
  <c r="L23" i="23"/>
  <c r="K23" i="23"/>
  <c r="G23" i="23"/>
  <c r="F23" i="23"/>
  <c r="E23" i="23"/>
  <c r="D23" i="23"/>
  <c r="BN22" i="23"/>
  <c r="BM22" i="23"/>
  <c r="BH22" i="23"/>
  <c r="BU22" i="23" s="1"/>
  <c r="AP22" i="23"/>
  <c r="AO22" i="23"/>
  <c r="AN22" i="23"/>
  <c r="AM22" i="23"/>
  <c r="AI22" i="23"/>
  <c r="AH22" i="23"/>
  <c r="AG22" i="23"/>
  <c r="AF22" i="23"/>
  <c r="AB22" i="23"/>
  <c r="AA22" i="23"/>
  <c r="Z22" i="23"/>
  <c r="Y22" i="23"/>
  <c r="U22" i="23"/>
  <c r="T22" i="23"/>
  <c r="S22" i="23"/>
  <c r="R22" i="23"/>
  <c r="N22" i="23"/>
  <c r="M22" i="23"/>
  <c r="L22" i="23"/>
  <c r="K22" i="23"/>
  <c r="G22" i="23"/>
  <c r="F22" i="23"/>
  <c r="E22" i="23"/>
  <c r="D22" i="23"/>
  <c r="BH21" i="23"/>
  <c r="BU21" i="23" s="1"/>
  <c r="AP21" i="23"/>
  <c r="AO21" i="23"/>
  <c r="AN21" i="23"/>
  <c r="AM21" i="23"/>
  <c r="AI21" i="23"/>
  <c r="AH21" i="23"/>
  <c r="AG21" i="23"/>
  <c r="AF21" i="23"/>
  <c r="AB21" i="23"/>
  <c r="AA21" i="23"/>
  <c r="Z21" i="23"/>
  <c r="Y21" i="23"/>
  <c r="U21" i="23"/>
  <c r="BN21" i="23" s="1"/>
  <c r="T21" i="23"/>
  <c r="S21" i="23"/>
  <c r="R21" i="23"/>
  <c r="N21" i="23"/>
  <c r="BM21" i="23" s="1"/>
  <c r="M21" i="23"/>
  <c r="L21" i="23"/>
  <c r="K21" i="23"/>
  <c r="G21" i="23"/>
  <c r="F21" i="23"/>
  <c r="E21" i="23"/>
  <c r="D21" i="23"/>
  <c r="CS20" i="23"/>
  <c r="BU20" i="23"/>
  <c r="BN20" i="23"/>
  <c r="BH20" i="23"/>
  <c r="CG20" i="23" s="1"/>
  <c r="AP20" i="23"/>
  <c r="AO20" i="23"/>
  <c r="AN20" i="23"/>
  <c r="AM20" i="23"/>
  <c r="AI20" i="23"/>
  <c r="AH20" i="23"/>
  <c r="AG20" i="23"/>
  <c r="AF20" i="23"/>
  <c r="AB20" i="23"/>
  <c r="AA20" i="23"/>
  <c r="Z20" i="23"/>
  <c r="Y20" i="23"/>
  <c r="U20" i="23"/>
  <c r="T20" i="23"/>
  <c r="S20" i="23"/>
  <c r="R20" i="23"/>
  <c r="N20" i="23"/>
  <c r="BM20" i="23" s="1"/>
  <c r="M20" i="23"/>
  <c r="L20" i="23"/>
  <c r="K20" i="23"/>
  <c r="G20" i="23"/>
  <c r="F20" i="23"/>
  <c r="E20" i="23"/>
  <c r="D20" i="23"/>
  <c r="BN19" i="23"/>
  <c r="BM19" i="23"/>
  <c r="BH19" i="23"/>
  <c r="BU19" i="23" s="1"/>
  <c r="AP19" i="23"/>
  <c r="AO19" i="23"/>
  <c r="AN19" i="23"/>
  <c r="AM19" i="23"/>
  <c r="AI19" i="23"/>
  <c r="AH19" i="23"/>
  <c r="AG19" i="23"/>
  <c r="AF19" i="23"/>
  <c r="AB19" i="23"/>
  <c r="AA19" i="23"/>
  <c r="Z19" i="23"/>
  <c r="Y19" i="23"/>
  <c r="U19" i="23"/>
  <c r="T19" i="23"/>
  <c r="S19" i="23"/>
  <c r="R19" i="23"/>
  <c r="N19" i="23"/>
  <c r="M19" i="23"/>
  <c r="L19" i="23"/>
  <c r="K19" i="23"/>
  <c r="G19" i="23"/>
  <c r="F19" i="23"/>
  <c r="E19" i="23"/>
  <c r="D19" i="23"/>
  <c r="BM18" i="23"/>
  <c r="BH18" i="23"/>
  <c r="BU18" i="23" s="1"/>
  <c r="AP18" i="23"/>
  <c r="AO18" i="23"/>
  <c r="AN18" i="23"/>
  <c r="AM18" i="23"/>
  <c r="AI18" i="23"/>
  <c r="AH18" i="23"/>
  <c r="AG18" i="23"/>
  <c r="AF18" i="23"/>
  <c r="AB18" i="23"/>
  <c r="AA18" i="23"/>
  <c r="Z18" i="23"/>
  <c r="Y18" i="23"/>
  <c r="U18" i="23"/>
  <c r="BN18" i="23" s="1"/>
  <c r="T18" i="23"/>
  <c r="S18" i="23"/>
  <c r="R18" i="23"/>
  <c r="N18" i="23"/>
  <c r="M18" i="23"/>
  <c r="L18" i="23"/>
  <c r="K18" i="23"/>
  <c r="G18" i="23"/>
  <c r="F18" i="23"/>
  <c r="E18" i="23"/>
  <c r="D18" i="23"/>
  <c r="CG17" i="23"/>
  <c r="BN17" i="23"/>
  <c r="BH17" i="23"/>
  <c r="CS17" i="23" s="1"/>
  <c r="AP17" i="23"/>
  <c r="AO17" i="23"/>
  <c r="AN17" i="23"/>
  <c r="AM17" i="23"/>
  <c r="AI17" i="23"/>
  <c r="AH17" i="23"/>
  <c r="AG17" i="23"/>
  <c r="AF17" i="23"/>
  <c r="AB17" i="23"/>
  <c r="AA17" i="23"/>
  <c r="Z17" i="23"/>
  <c r="Y17" i="23"/>
  <c r="U17" i="23"/>
  <c r="T17" i="23"/>
  <c r="S17" i="23"/>
  <c r="R17" i="23"/>
  <c r="N17" i="23"/>
  <c r="BM17" i="23" s="1"/>
  <c r="M17" i="23"/>
  <c r="L17" i="23"/>
  <c r="K17" i="23"/>
  <c r="G17" i="23"/>
  <c r="F17" i="23"/>
  <c r="E17" i="23"/>
  <c r="D17" i="23"/>
  <c r="BU16" i="23"/>
  <c r="BM16" i="23"/>
  <c r="BH16" i="23"/>
  <c r="AP16" i="23"/>
  <c r="AO16" i="23"/>
  <c r="AN16" i="23"/>
  <c r="AM16" i="23"/>
  <c r="AI16" i="23"/>
  <c r="AH16" i="23"/>
  <c r="AG16" i="23"/>
  <c r="AF16" i="23"/>
  <c r="AB16" i="23"/>
  <c r="AA16" i="23"/>
  <c r="Z16" i="23"/>
  <c r="Y16" i="23"/>
  <c r="U16" i="23"/>
  <c r="BN16" i="23" s="1"/>
  <c r="T16" i="23"/>
  <c r="S16" i="23"/>
  <c r="R16" i="23"/>
  <c r="N16" i="23"/>
  <c r="M16" i="23"/>
  <c r="L16" i="23"/>
  <c r="K16" i="23"/>
  <c r="G16" i="23"/>
  <c r="F16" i="23"/>
  <c r="E16" i="23"/>
  <c r="D16" i="23"/>
  <c r="BN15" i="23"/>
  <c r="BM15" i="23"/>
  <c r="BH15" i="23"/>
  <c r="BU15" i="23" s="1"/>
  <c r="AP15" i="23"/>
  <c r="AO15" i="23"/>
  <c r="AN15" i="23"/>
  <c r="AM15" i="23"/>
  <c r="AI15" i="23"/>
  <c r="AH15" i="23"/>
  <c r="AG15" i="23"/>
  <c r="AF15" i="23"/>
  <c r="AB15" i="23"/>
  <c r="AA15" i="23"/>
  <c r="Z15" i="23"/>
  <c r="Y15" i="23"/>
  <c r="U15" i="23"/>
  <c r="T15" i="23"/>
  <c r="S15" i="23"/>
  <c r="R15" i="23"/>
  <c r="N15" i="23"/>
  <c r="M15" i="23"/>
  <c r="L15" i="23"/>
  <c r="K15" i="23"/>
  <c r="G15" i="23"/>
  <c r="F15" i="23"/>
  <c r="E15" i="23"/>
  <c r="D15" i="23"/>
  <c r="BM14" i="23"/>
  <c r="BH14" i="23"/>
  <c r="CG14" i="23" s="1"/>
  <c r="AP14" i="23"/>
  <c r="AO14" i="23"/>
  <c r="AN14" i="23"/>
  <c r="AM14" i="23"/>
  <c r="AI14" i="23"/>
  <c r="AH14" i="23"/>
  <c r="AG14" i="23"/>
  <c r="AF14" i="23"/>
  <c r="AB14" i="23"/>
  <c r="AA14" i="23"/>
  <c r="Z14" i="23"/>
  <c r="Y14" i="23"/>
  <c r="U14" i="23"/>
  <c r="BN14" i="23" s="1"/>
  <c r="T14" i="23"/>
  <c r="S14" i="23"/>
  <c r="R14" i="23"/>
  <c r="N14" i="23"/>
  <c r="M14" i="23"/>
  <c r="L14" i="23"/>
  <c r="K14" i="23"/>
  <c r="G14" i="23"/>
  <c r="F14" i="23"/>
  <c r="E14" i="23"/>
  <c r="D14" i="23"/>
  <c r="CG13" i="23"/>
  <c r="BH13" i="23"/>
  <c r="BU13" i="23" s="1"/>
  <c r="AP13" i="23"/>
  <c r="AO13" i="23"/>
  <c r="AN13" i="23"/>
  <c r="AM13" i="23"/>
  <c r="AI13" i="23"/>
  <c r="AH13" i="23"/>
  <c r="AG13" i="23"/>
  <c r="AF13" i="23"/>
  <c r="AB13" i="23"/>
  <c r="AA13" i="23"/>
  <c r="Z13" i="23"/>
  <c r="Y13" i="23"/>
  <c r="U13" i="23"/>
  <c r="BN13" i="23" s="1"/>
  <c r="T13" i="23"/>
  <c r="S13" i="23"/>
  <c r="R13" i="23"/>
  <c r="N13" i="23"/>
  <c r="BM13" i="23" s="1"/>
  <c r="M13" i="23"/>
  <c r="L13" i="23"/>
  <c r="K13" i="23"/>
  <c r="G13" i="23"/>
  <c r="F13" i="23"/>
  <c r="E13" i="23"/>
  <c r="D13" i="23"/>
  <c r="CS12" i="23"/>
  <c r="CG12" i="23"/>
  <c r="BN12" i="23"/>
  <c r="BH12" i="23"/>
  <c r="BU12" i="23" s="1"/>
  <c r="AP12" i="23"/>
  <c r="AO12" i="23"/>
  <c r="AN12" i="23"/>
  <c r="AM12" i="23"/>
  <c r="AI12" i="23"/>
  <c r="AH12" i="23"/>
  <c r="AG12" i="23"/>
  <c r="AF12" i="23"/>
  <c r="AB12" i="23"/>
  <c r="AA12" i="23"/>
  <c r="Z12" i="23"/>
  <c r="Y12" i="23"/>
  <c r="U12" i="23"/>
  <c r="T12" i="23"/>
  <c r="S12" i="23"/>
  <c r="R12" i="23"/>
  <c r="N12" i="23"/>
  <c r="BM12" i="23" s="1"/>
  <c r="M12" i="23"/>
  <c r="L12" i="23"/>
  <c r="K12" i="23"/>
  <c r="G12" i="23"/>
  <c r="F12" i="23"/>
  <c r="E12" i="23"/>
  <c r="D12" i="23"/>
  <c r="G10" i="23"/>
  <c r="F10" i="23"/>
  <c r="E10" i="23"/>
  <c r="D10" i="23"/>
  <c r="BA8" i="23"/>
  <c r="BA6" i="23"/>
  <c r="CY50" i="22"/>
  <c r="U50" i="22"/>
  <c r="T50" i="22"/>
  <c r="S50" i="22"/>
  <c r="N50" i="22"/>
  <c r="M50" i="22"/>
  <c r="K50" i="22"/>
  <c r="BH49" i="22"/>
  <c r="BU49" i="22" s="1"/>
  <c r="AP49" i="22"/>
  <c r="AO49" i="22"/>
  <c r="AN49" i="22"/>
  <c r="AM49" i="22"/>
  <c r="AI49" i="22"/>
  <c r="AH49" i="22"/>
  <c r="AG49" i="22"/>
  <c r="AF49" i="22"/>
  <c r="AB49" i="22"/>
  <c r="AA49" i="22"/>
  <c r="Z49" i="22"/>
  <c r="Y49" i="22"/>
  <c r="U49" i="22"/>
  <c r="BN49" i="22" s="1"/>
  <c r="T49" i="22"/>
  <c r="S49" i="22"/>
  <c r="R49" i="22"/>
  <c r="N49" i="22"/>
  <c r="BM49" i="22" s="1"/>
  <c r="M49" i="22"/>
  <c r="L49" i="22"/>
  <c r="K49" i="22"/>
  <c r="G49" i="22"/>
  <c r="F49" i="22"/>
  <c r="E49" i="22"/>
  <c r="D49" i="22"/>
  <c r="BM48" i="22"/>
  <c r="BH48" i="22"/>
  <c r="BU48" i="22" s="1"/>
  <c r="AP48" i="22"/>
  <c r="AO48" i="22"/>
  <c r="AN48" i="22"/>
  <c r="AM48" i="22"/>
  <c r="AI48" i="22"/>
  <c r="AH48" i="22"/>
  <c r="AG48" i="22"/>
  <c r="AF48" i="22"/>
  <c r="AB48" i="22"/>
  <c r="AA48" i="22"/>
  <c r="Z48" i="22"/>
  <c r="Y48" i="22"/>
  <c r="U48" i="22"/>
  <c r="BN48" i="22" s="1"/>
  <c r="T48" i="22"/>
  <c r="S48" i="22"/>
  <c r="R48" i="22"/>
  <c r="N48" i="22"/>
  <c r="M48" i="22"/>
  <c r="L48" i="22"/>
  <c r="K48" i="22"/>
  <c r="G48" i="22"/>
  <c r="F48" i="22"/>
  <c r="E48" i="22"/>
  <c r="D48" i="22"/>
  <c r="BM47" i="22"/>
  <c r="BH47" i="22"/>
  <c r="CG47" i="22" s="1"/>
  <c r="AP47" i="22"/>
  <c r="AO47" i="22"/>
  <c r="AN47" i="22"/>
  <c r="AM47" i="22"/>
  <c r="AI47" i="22"/>
  <c r="AH47" i="22"/>
  <c r="AG47" i="22"/>
  <c r="AF47" i="22"/>
  <c r="AB47" i="22"/>
  <c r="AA47" i="22"/>
  <c r="Z47" i="22"/>
  <c r="Y47" i="22"/>
  <c r="U47" i="22"/>
  <c r="BN47" i="22" s="1"/>
  <c r="T47" i="22"/>
  <c r="S47" i="22"/>
  <c r="R47" i="22"/>
  <c r="N47" i="22"/>
  <c r="M47" i="22"/>
  <c r="L47" i="22"/>
  <c r="K47" i="22"/>
  <c r="G47" i="22"/>
  <c r="F47" i="22"/>
  <c r="E47" i="22"/>
  <c r="D47" i="22"/>
  <c r="BN46" i="22"/>
  <c r="BH46" i="22"/>
  <c r="BU46" i="22" s="1"/>
  <c r="AP46" i="22"/>
  <c r="AO46" i="22"/>
  <c r="AN46" i="22"/>
  <c r="AM46" i="22"/>
  <c r="AI46" i="22"/>
  <c r="AH46" i="22"/>
  <c r="AG46" i="22"/>
  <c r="AF46" i="22"/>
  <c r="AB46" i="22"/>
  <c r="AA46" i="22"/>
  <c r="Z46" i="22"/>
  <c r="Y46" i="22"/>
  <c r="U46" i="22"/>
  <c r="T46" i="22"/>
  <c r="S46" i="22"/>
  <c r="R46" i="22"/>
  <c r="N46" i="22"/>
  <c r="BM46" i="22" s="1"/>
  <c r="M46" i="22"/>
  <c r="L46" i="22"/>
  <c r="K46" i="22"/>
  <c r="G46" i="22"/>
  <c r="F46" i="22"/>
  <c r="E46" i="22"/>
  <c r="D46" i="22"/>
  <c r="CS45" i="22"/>
  <c r="BU45" i="22"/>
  <c r="BN45" i="22"/>
  <c r="BM45" i="22"/>
  <c r="BH45" i="22"/>
  <c r="CG45" i="22" s="1"/>
  <c r="AP45" i="22"/>
  <c r="AO45" i="22"/>
  <c r="AN45" i="22"/>
  <c r="AM45" i="22"/>
  <c r="AI45" i="22"/>
  <c r="AH45" i="22"/>
  <c r="AG45" i="22"/>
  <c r="AF45" i="22"/>
  <c r="AB45" i="22"/>
  <c r="AA45" i="22"/>
  <c r="Z45" i="22"/>
  <c r="Y45" i="22"/>
  <c r="U45" i="22"/>
  <c r="T45" i="22"/>
  <c r="S45" i="22"/>
  <c r="R45" i="22"/>
  <c r="N45" i="22"/>
  <c r="M45" i="22"/>
  <c r="L45" i="22"/>
  <c r="K45" i="22"/>
  <c r="G45" i="22"/>
  <c r="F45" i="22"/>
  <c r="E45" i="22"/>
  <c r="D45" i="22"/>
  <c r="BN44" i="22"/>
  <c r="BH44" i="22"/>
  <c r="AP44" i="22"/>
  <c r="AO44" i="22"/>
  <c r="AN44" i="22"/>
  <c r="AM44" i="22"/>
  <c r="AI44" i="22"/>
  <c r="AH44" i="22"/>
  <c r="AG44" i="22"/>
  <c r="AF44" i="22"/>
  <c r="AB44" i="22"/>
  <c r="AA44" i="22"/>
  <c r="Z44" i="22"/>
  <c r="Y44" i="22"/>
  <c r="U44" i="22"/>
  <c r="T44" i="22"/>
  <c r="S44" i="22"/>
  <c r="R44" i="22"/>
  <c r="N44" i="22"/>
  <c r="BM44" i="22" s="1"/>
  <c r="M44" i="22"/>
  <c r="L44" i="22"/>
  <c r="K44" i="22"/>
  <c r="G44" i="22"/>
  <c r="F44" i="22"/>
  <c r="E44" i="22"/>
  <c r="D44" i="22"/>
  <c r="BH43" i="22"/>
  <c r="CS43" i="22" s="1"/>
  <c r="AP43" i="22"/>
  <c r="AO43" i="22"/>
  <c r="AN43" i="22"/>
  <c r="AM43" i="22"/>
  <c r="AI43" i="22"/>
  <c r="AH43" i="22"/>
  <c r="AG43" i="22"/>
  <c r="AF43" i="22"/>
  <c r="AB43" i="22"/>
  <c r="AA43" i="22"/>
  <c r="Z43" i="22"/>
  <c r="Y43" i="22"/>
  <c r="U43" i="22"/>
  <c r="BN43" i="22" s="1"/>
  <c r="T43" i="22"/>
  <c r="S43" i="22"/>
  <c r="R43" i="22"/>
  <c r="N43" i="22"/>
  <c r="BM43" i="22" s="1"/>
  <c r="M43" i="22"/>
  <c r="L43" i="22"/>
  <c r="K43" i="22"/>
  <c r="G43" i="22"/>
  <c r="F43" i="22"/>
  <c r="E43" i="22"/>
  <c r="D43" i="22"/>
  <c r="CS42" i="22"/>
  <c r="BN42" i="22"/>
  <c r="BH42" i="22"/>
  <c r="BU42" i="22" s="1"/>
  <c r="AP42" i="22"/>
  <c r="AO42" i="22"/>
  <c r="AN42" i="22"/>
  <c r="AM42" i="22"/>
  <c r="AI42" i="22"/>
  <c r="AH42" i="22"/>
  <c r="AG42" i="22"/>
  <c r="AF42" i="22"/>
  <c r="AB42" i="22"/>
  <c r="AA42" i="22"/>
  <c r="Z42" i="22"/>
  <c r="Y42" i="22"/>
  <c r="U42" i="22"/>
  <c r="T42" i="22"/>
  <c r="S42" i="22"/>
  <c r="R42" i="22"/>
  <c r="N42" i="22"/>
  <c r="BM42" i="22" s="1"/>
  <c r="M42" i="22"/>
  <c r="L42" i="22"/>
  <c r="K42" i="22"/>
  <c r="G42" i="22"/>
  <c r="F42" i="22"/>
  <c r="E42" i="22"/>
  <c r="D42" i="22"/>
  <c r="CS41" i="22"/>
  <c r="BU41" i="22"/>
  <c r="BH41" i="22"/>
  <c r="CG41" i="22" s="1"/>
  <c r="AP41" i="22"/>
  <c r="AO41" i="22"/>
  <c r="AN41" i="22"/>
  <c r="AM41" i="22"/>
  <c r="AI41" i="22"/>
  <c r="AH41" i="22"/>
  <c r="AG41" i="22"/>
  <c r="AF41" i="22"/>
  <c r="AB41" i="22"/>
  <c r="AA41" i="22"/>
  <c r="Z41" i="22"/>
  <c r="Y41" i="22"/>
  <c r="U41" i="22"/>
  <c r="BN41" i="22" s="1"/>
  <c r="T41" i="22"/>
  <c r="S41" i="22"/>
  <c r="R41" i="22"/>
  <c r="N41" i="22"/>
  <c r="BM41" i="22" s="1"/>
  <c r="M41" i="22"/>
  <c r="L41" i="22"/>
  <c r="K41" i="22"/>
  <c r="G41" i="22"/>
  <c r="F41" i="22"/>
  <c r="E41" i="22"/>
  <c r="D41" i="22"/>
  <c r="BN40" i="22"/>
  <c r="BH40" i="22"/>
  <c r="CS40" i="22" s="1"/>
  <c r="AP40" i="22"/>
  <c r="AO40" i="22"/>
  <c r="AN40" i="22"/>
  <c r="AM40" i="22"/>
  <c r="AI40" i="22"/>
  <c r="AH40" i="22"/>
  <c r="AG40" i="22"/>
  <c r="AF40" i="22"/>
  <c r="AB40" i="22"/>
  <c r="AA40" i="22"/>
  <c r="Z40" i="22"/>
  <c r="Y40" i="22"/>
  <c r="U40" i="22"/>
  <c r="T40" i="22"/>
  <c r="S40" i="22"/>
  <c r="R40" i="22"/>
  <c r="N40" i="22"/>
  <c r="BM40" i="22" s="1"/>
  <c r="M40" i="22"/>
  <c r="L40" i="22"/>
  <c r="K40" i="22"/>
  <c r="G40" i="22"/>
  <c r="F40" i="22"/>
  <c r="E40" i="22"/>
  <c r="D40" i="22"/>
  <c r="BM39" i="22"/>
  <c r="BH39" i="22"/>
  <c r="CS39" i="22" s="1"/>
  <c r="AP39" i="22"/>
  <c r="AO39" i="22"/>
  <c r="AN39" i="22"/>
  <c r="AM39" i="22"/>
  <c r="AI39" i="22"/>
  <c r="AH39" i="22"/>
  <c r="AG39" i="22"/>
  <c r="AF39" i="22"/>
  <c r="AB39" i="22"/>
  <c r="AA39" i="22"/>
  <c r="Z39" i="22"/>
  <c r="Y39" i="22"/>
  <c r="U39" i="22"/>
  <c r="BN39" i="22" s="1"/>
  <c r="T39" i="22"/>
  <c r="S39" i="22"/>
  <c r="R39" i="22"/>
  <c r="N39" i="22"/>
  <c r="M39" i="22"/>
  <c r="L39" i="22"/>
  <c r="K39" i="22"/>
  <c r="G39" i="22"/>
  <c r="F39" i="22"/>
  <c r="E39" i="22"/>
  <c r="D39" i="22"/>
  <c r="CS38" i="22"/>
  <c r="BH38" i="22"/>
  <c r="CG38" i="22" s="1"/>
  <c r="AP38" i="22"/>
  <c r="AO38" i="22"/>
  <c r="AN38" i="22"/>
  <c r="AM38" i="22"/>
  <c r="AI38" i="22"/>
  <c r="AH38" i="22"/>
  <c r="AG38" i="22"/>
  <c r="AF38" i="22"/>
  <c r="AB38" i="22"/>
  <c r="AA38" i="22"/>
  <c r="Z38" i="22"/>
  <c r="Y38" i="22"/>
  <c r="U38" i="22"/>
  <c r="BN38" i="22" s="1"/>
  <c r="T38" i="22"/>
  <c r="S38" i="22"/>
  <c r="R38" i="22"/>
  <c r="N38" i="22"/>
  <c r="BM38" i="22" s="1"/>
  <c r="M38" i="22"/>
  <c r="L38" i="22"/>
  <c r="K38" i="22"/>
  <c r="G38" i="22"/>
  <c r="F38" i="22"/>
  <c r="E38" i="22"/>
  <c r="D38" i="22"/>
  <c r="CS37" i="22"/>
  <c r="CG37" i="22"/>
  <c r="BU37" i="22"/>
  <c r="BM37" i="22"/>
  <c r="BH37" i="22"/>
  <c r="AP37" i="22"/>
  <c r="AO37" i="22"/>
  <c r="AN37" i="22"/>
  <c r="AM37" i="22"/>
  <c r="AI37" i="22"/>
  <c r="AH37" i="22"/>
  <c r="AG37" i="22"/>
  <c r="AF37" i="22"/>
  <c r="AB37" i="22"/>
  <c r="AA37" i="22"/>
  <c r="Z37" i="22"/>
  <c r="Y37" i="22"/>
  <c r="U37" i="22"/>
  <c r="BN37" i="22" s="1"/>
  <c r="T37" i="22"/>
  <c r="S37" i="22"/>
  <c r="R37" i="22"/>
  <c r="N37" i="22"/>
  <c r="M37" i="22"/>
  <c r="L37" i="22"/>
  <c r="K37" i="22"/>
  <c r="G37" i="22"/>
  <c r="F37" i="22"/>
  <c r="E37" i="22"/>
  <c r="D37" i="22"/>
  <c r="BH36" i="22"/>
  <c r="CS36" i="22" s="1"/>
  <c r="AP36" i="22"/>
  <c r="AO36" i="22"/>
  <c r="AN36" i="22"/>
  <c r="AM36" i="22"/>
  <c r="AI36" i="22"/>
  <c r="AH36" i="22"/>
  <c r="AG36" i="22"/>
  <c r="AF36" i="22"/>
  <c r="AB36" i="22"/>
  <c r="AA36" i="22"/>
  <c r="Z36" i="22"/>
  <c r="Y36" i="22"/>
  <c r="U36" i="22"/>
  <c r="BN36" i="22" s="1"/>
  <c r="T36" i="22"/>
  <c r="S36" i="22"/>
  <c r="R36" i="22"/>
  <c r="N36" i="22"/>
  <c r="BM36" i="22" s="1"/>
  <c r="M36" i="22"/>
  <c r="L36" i="22"/>
  <c r="K36" i="22"/>
  <c r="G36" i="22"/>
  <c r="F36" i="22"/>
  <c r="E36" i="22"/>
  <c r="D36" i="22"/>
  <c r="BM35" i="22"/>
  <c r="BH35" i="22"/>
  <c r="BU35" i="22" s="1"/>
  <c r="AP35" i="22"/>
  <c r="AO35" i="22"/>
  <c r="AN35" i="22"/>
  <c r="AM35" i="22"/>
  <c r="AI35" i="22"/>
  <c r="AH35" i="22"/>
  <c r="AG35" i="22"/>
  <c r="AF35" i="22"/>
  <c r="AB35" i="22"/>
  <c r="AA35" i="22"/>
  <c r="Z35" i="22"/>
  <c r="Y35" i="22"/>
  <c r="U35" i="22"/>
  <c r="BN35" i="22" s="1"/>
  <c r="T35" i="22"/>
  <c r="S35" i="22"/>
  <c r="R35" i="22"/>
  <c r="N35" i="22"/>
  <c r="M35" i="22"/>
  <c r="L35" i="22"/>
  <c r="K35" i="22"/>
  <c r="G35" i="22"/>
  <c r="F35" i="22"/>
  <c r="E35" i="22"/>
  <c r="D35" i="22"/>
  <c r="BH34" i="22"/>
  <c r="AP34" i="22"/>
  <c r="AO34" i="22"/>
  <c r="AN34" i="22"/>
  <c r="AM34" i="22"/>
  <c r="AI34" i="22"/>
  <c r="AH34" i="22"/>
  <c r="AG34" i="22"/>
  <c r="AF34" i="22"/>
  <c r="AB34" i="22"/>
  <c r="AA34" i="22"/>
  <c r="Z34" i="22"/>
  <c r="Y34" i="22"/>
  <c r="U34" i="22"/>
  <c r="BN34" i="22" s="1"/>
  <c r="T34" i="22"/>
  <c r="S34" i="22"/>
  <c r="R34" i="22"/>
  <c r="N34" i="22"/>
  <c r="BM34" i="22" s="1"/>
  <c r="M34" i="22"/>
  <c r="L34" i="22"/>
  <c r="K34" i="22"/>
  <c r="G34" i="22"/>
  <c r="F34" i="22"/>
  <c r="E34" i="22"/>
  <c r="D34" i="22"/>
  <c r="CS33" i="22"/>
  <c r="BN33" i="22"/>
  <c r="BH33" i="22"/>
  <c r="BU33" i="22" s="1"/>
  <c r="AP33" i="22"/>
  <c r="AO33" i="22"/>
  <c r="AN33" i="22"/>
  <c r="AM33" i="22"/>
  <c r="AI33" i="22"/>
  <c r="AH33" i="22"/>
  <c r="AG33" i="22"/>
  <c r="AF33" i="22"/>
  <c r="AB33" i="22"/>
  <c r="AA33" i="22"/>
  <c r="Z33" i="22"/>
  <c r="Y33" i="22"/>
  <c r="U33" i="22"/>
  <c r="T33" i="22"/>
  <c r="S33" i="22"/>
  <c r="R33" i="22"/>
  <c r="N33" i="22"/>
  <c r="BM33" i="22" s="1"/>
  <c r="M33" i="22"/>
  <c r="L33" i="22"/>
  <c r="K33" i="22"/>
  <c r="G33" i="22"/>
  <c r="F33" i="22"/>
  <c r="E33" i="22"/>
  <c r="D33" i="22"/>
  <c r="CS32" i="22"/>
  <c r="BN32" i="22"/>
  <c r="BH32" i="22"/>
  <c r="BU32" i="22" s="1"/>
  <c r="AP32" i="22"/>
  <c r="AO32" i="22"/>
  <c r="AN32" i="22"/>
  <c r="AM32" i="22"/>
  <c r="AI32" i="22"/>
  <c r="AH32" i="22"/>
  <c r="AG32" i="22"/>
  <c r="AF32" i="22"/>
  <c r="AB32" i="22"/>
  <c r="AA32" i="22"/>
  <c r="Z32" i="22"/>
  <c r="Y32" i="22"/>
  <c r="U32" i="22"/>
  <c r="T32" i="22"/>
  <c r="S32" i="22"/>
  <c r="R32" i="22"/>
  <c r="N32" i="22"/>
  <c r="BM32" i="22" s="1"/>
  <c r="M32" i="22"/>
  <c r="L32" i="22"/>
  <c r="K32" i="22"/>
  <c r="G32" i="22"/>
  <c r="F32" i="22"/>
  <c r="E32" i="22"/>
  <c r="D32" i="22"/>
  <c r="BU31" i="22"/>
  <c r="BM31" i="22"/>
  <c r="BH31" i="22"/>
  <c r="CG31" i="22" s="1"/>
  <c r="AP31" i="22"/>
  <c r="AO31" i="22"/>
  <c r="AN31" i="22"/>
  <c r="AM31" i="22"/>
  <c r="AI31" i="22"/>
  <c r="AH31" i="22"/>
  <c r="AG31" i="22"/>
  <c r="AF31" i="22"/>
  <c r="AB31" i="22"/>
  <c r="AA31" i="22"/>
  <c r="Z31" i="22"/>
  <c r="Y31" i="22"/>
  <c r="U31" i="22"/>
  <c r="BN31" i="22" s="1"/>
  <c r="T31" i="22"/>
  <c r="S31" i="22"/>
  <c r="R31" i="22"/>
  <c r="N31" i="22"/>
  <c r="M31" i="22"/>
  <c r="L31" i="22"/>
  <c r="K31" i="22"/>
  <c r="G31" i="22"/>
  <c r="F31" i="22"/>
  <c r="E31" i="22"/>
  <c r="D31" i="22"/>
  <c r="BN30" i="22"/>
  <c r="BM30" i="22"/>
  <c r="BH30" i="22"/>
  <c r="BU30" i="22" s="1"/>
  <c r="AP30" i="22"/>
  <c r="AO30" i="22"/>
  <c r="AN30" i="22"/>
  <c r="AM30" i="22"/>
  <c r="AI30" i="22"/>
  <c r="AH30" i="22"/>
  <c r="AG30" i="22"/>
  <c r="AF30" i="22"/>
  <c r="AB30" i="22"/>
  <c r="AA30" i="22"/>
  <c r="Z30" i="22"/>
  <c r="Y30" i="22"/>
  <c r="U30" i="22"/>
  <c r="T30" i="22"/>
  <c r="S30" i="22"/>
  <c r="R30" i="22"/>
  <c r="N30" i="22"/>
  <c r="M30" i="22"/>
  <c r="L30" i="22"/>
  <c r="K30" i="22"/>
  <c r="G30" i="22"/>
  <c r="F30" i="22"/>
  <c r="E30" i="22"/>
  <c r="D30" i="22"/>
  <c r="BM29" i="22"/>
  <c r="BH29" i="22"/>
  <c r="CS29" i="22" s="1"/>
  <c r="AP29" i="22"/>
  <c r="AO29" i="22"/>
  <c r="AN29" i="22"/>
  <c r="AM29" i="22"/>
  <c r="AI29" i="22"/>
  <c r="AH29" i="22"/>
  <c r="AG29" i="22"/>
  <c r="AF29" i="22"/>
  <c r="AB29" i="22"/>
  <c r="AA29" i="22"/>
  <c r="Z29" i="22"/>
  <c r="Y29" i="22"/>
  <c r="U29" i="22"/>
  <c r="BN29" i="22" s="1"/>
  <c r="T29" i="22"/>
  <c r="S29" i="22"/>
  <c r="R29" i="22"/>
  <c r="N29" i="22"/>
  <c r="M29" i="22"/>
  <c r="L29" i="22"/>
  <c r="K29" i="22"/>
  <c r="G29" i="22"/>
  <c r="F29" i="22"/>
  <c r="E29" i="22"/>
  <c r="D29" i="22"/>
  <c r="CG28" i="22"/>
  <c r="BM28" i="22"/>
  <c r="BH28" i="22"/>
  <c r="BU28" i="22" s="1"/>
  <c r="AP28" i="22"/>
  <c r="AO28" i="22"/>
  <c r="AN28" i="22"/>
  <c r="AM28" i="22"/>
  <c r="AI28" i="22"/>
  <c r="AH28" i="22"/>
  <c r="AG28" i="22"/>
  <c r="AF28" i="22"/>
  <c r="AB28" i="22"/>
  <c r="AA28" i="22"/>
  <c r="Z28" i="22"/>
  <c r="Y28" i="22"/>
  <c r="U28" i="22"/>
  <c r="BN28" i="22" s="1"/>
  <c r="T28" i="22"/>
  <c r="S28" i="22"/>
  <c r="R28" i="22"/>
  <c r="N28" i="22"/>
  <c r="M28" i="22"/>
  <c r="L28" i="22"/>
  <c r="K28" i="22"/>
  <c r="G28" i="22"/>
  <c r="F28" i="22"/>
  <c r="E28" i="22"/>
  <c r="D28" i="22"/>
  <c r="BN27" i="22"/>
  <c r="BH27" i="22"/>
  <c r="BU27" i="22" s="1"/>
  <c r="AP27" i="22"/>
  <c r="AO27" i="22"/>
  <c r="AN27" i="22"/>
  <c r="AM27" i="22"/>
  <c r="AI27" i="22"/>
  <c r="AH27" i="22"/>
  <c r="AG27" i="22"/>
  <c r="AF27" i="22"/>
  <c r="AB27" i="22"/>
  <c r="AA27" i="22"/>
  <c r="Z27" i="22"/>
  <c r="Y27" i="22"/>
  <c r="U27" i="22"/>
  <c r="T27" i="22"/>
  <c r="S27" i="22"/>
  <c r="R27" i="22"/>
  <c r="N27" i="22"/>
  <c r="BM27" i="22" s="1"/>
  <c r="M27" i="22"/>
  <c r="L27" i="22"/>
  <c r="K27" i="22"/>
  <c r="G27" i="22"/>
  <c r="F27" i="22"/>
  <c r="E27" i="22"/>
  <c r="D27" i="22"/>
  <c r="CG26" i="22"/>
  <c r="BN26" i="22"/>
  <c r="BH26" i="22"/>
  <c r="CS26" i="22" s="1"/>
  <c r="AP26" i="22"/>
  <c r="AO26" i="22"/>
  <c r="AN26" i="22"/>
  <c r="AM26" i="22"/>
  <c r="AI26" i="22"/>
  <c r="AH26" i="22"/>
  <c r="AG26" i="22"/>
  <c r="AF26" i="22"/>
  <c r="AB26" i="22"/>
  <c r="AA26" i="22"/>
  <c r="Z26" i="22"/>
  <c r="Y26" i="22"/>
  <c r="U26" i="22"/>
  <c r="T26" i="22"/>
  <c r="S26" i="22"/>
  <c r="R26" i="22"/>
  <c r="N26" i="22"/>
  <c r="BM26" i="22" s="1"/>
  <c r="M26" i="22"/>
  <c r="L26" i="22"/>
  <c r="K26" i="22"/>
  <c r="G26" i="22"/>
  <c r="F26" i="22"/>
  <c r="E26" i="22"/>
  <c r="D26" i="22"/>
  <c r="BH25" i="22"/>
  <c r="BU25" i="22" s="1"/>
  <c r="AP25" i="22"/>
  <c r="AO25" i="22"/>
  <c r="AN25" i="22"/>
  <c r="AM25" i="22"/>
  <c r="AI25" i="22"/>
  <c r="AH25" i="22"/>
  <c r="AG25" i="22"/>
  <c r="AF25" i="22"/>
  <c r="AB25" i="22"/>
  <c r="AA25" i="22"/>
  <c r="Z25" i="22"/>
  <c r="Y25" i="22"/>
  <c r="U25" i="22"/>
  <c r="BN25" i="22" s="1"/>
  <c r="T25" i="22"/>
  <c r="S25" i="22"/>
  <c r="R25" i="22"/>
  <c r="N25" i="22"/>
  <c r="BM25" i="22" s="1"/>
  <c r="M25" i="22"/>
  <c r="L25" i="22"/>
  <c r="K25" i="22"/>
  <c r="G25" i="22"/>
  <c r="F25" i="22"/>
  <c r="E25" i="22"/>
  <c r="D25" i="22"/>
  <c r="BH24" i="22"/>
  <c r="BU24" i="22" s="1"/>
  <c r="AP24" i="22"/>
  <c r="AO24" i="22"/>
  <c r="AN24" i="22"/>
  <c r="AM24" i="22"/>
  <c r="AI24" i="22"/>
  <c r="AH24" i="22"/>
  <c r="AG24" i="22"/>
  <c r="AF24" i="22"/>
  <c r="AB24" i="22"/>
  <c r="AA24" i="22"/>
  <c r="Z24" i="22"/>
  <c r="Y24" i="22"/>
  <c r="U24" i="22"/>
  <c r="BN24" i="22" s="1"/>
  <c r="T24" i="22"/>
  <c r="S24" i="22"/>
  <c r="R24" i="22"/>
  <c r="N24" i="22"/>
  <c r="BM24" i="22" s="1"/>
  <c r="M24" i="22"/>
  <c r="L24" i="22"/>
  <c r="K24" i="22"/>
  <c r="G24" i="22"/>
  <c r="F24" i="22"/>
  <c r="E24" i="22"/>
  <c r="D24" i="22"/>
  <c r="CG23" i="22"/>
  <c r="BM23" i="22"/>
  <c r="BH23" i="22"/>
  <c r="BU23" i="22" s="1"/>
  <c r="AP23" i="22"/>
  <c r="AO23" i="22"/>
  <c r="AN23" i="22"/>
  <c r="AM23" i="22"/>
  <c r="AI23" i="22"/>
  <c r="AH23" i="22"/>
  <c r="AG23" i="22"/>
  <c r="AF23" i="22"/>
  <c r="AB23" i="22"/>
  <c r="AA23" i="22"/>
  <c r="Z23" i="22"/>
  <c r="Y23" i="22"/>
  <c r="U23" i="22"/>
  <c r="BN23" i="22" s="1"/>
  <c r="T23" i="22"/>
  <c r="S23" i="22"/>
  <c r="R23" i="22"/>
  <c r="N23" i="22"/>
  <c r="M23" i="22"/>
  <c r="L23" i="22"/>
  <c r="K23" i="22"/>
  <c r="G23" i="22"/>
  <c r="F23" i="22"/>
  <c r="E23" i="22"/>
  <c r="D23" i="22"/>
  <c r="BH22" i="22"/>
  <c r="CS22" i="22" s="1"/>
  <c r="AP22" i="22"/>
  <c r="AO22" i="22"/>
  <c r="AN22" i="22"/>
  <c r="AM22" i="22"/>
  <c r="AI22" i="22"/>
  <c r="AH22" i="22"/>
  <c r="AG22" i="22"/>
  <c r="AF22" i="22"/>
  <c r="AB22" i="22"/>
  <c r="AA22" i="22"/>
  <c r="Z22" i="22"/>
  <c r="Y22" i="22"/>
  <c r="U22" i="22"/>
  <c r="BN22" i="22" s="1"/>
  <c r="T22" i="22"/>
  <c r="S22" i="22"/>
  <c r="R22" i="22"/>
  <c r="N22" i="22"/>
  <c r="BM22" i="22" s="1"/>
  <c r="M22" i="22"/>
  <c r="L22" i="22"/>
  <c r="K22" i="22"/>
  <c r="G22" i="22"/>
  <c r="F22" i="22"/>
  <c r="E22" i="22"/>
  <c r="D22" i="22"/>
  <c r="CS21" i="22"/>
  <c r="CG21" i="22"/>
  <c r="BN21" i="22"/>
  <c r="BH21" i="22"/>
  <c r="BU21" i="22" s="1"/>
  <c r="AP21" i="22"/>
  <c r="AO21" i="22"/>
  <c r="AN21" i="22"/>
  <c r="AM21" i="22"/>
  <c r="AI21" i="22"/>
  <c r="AH21" i="22"/>
  <c r="AG21" i="22"/>
  <c r="AF21" i="22"/>
  <c r="AB21" i="22"/>
  <c r="AA21" i="22"/>
  <c r="Z21" i="22"/>
  <c r="Y21" i="22"/>
  <c r="U21" i="22"/>
  <c r="T21" i="22"/>
  <c r="S21" i="22"/>
  <c r="R21" i="22"/>
  <c r="N21" i="22"/>
  <c r="BM21" i="22" s="1"/>
  <c r="M21" i="22"/>
  <c r="L21" i="22"/>
  <c r="K21" i="22"/>
  <c r="G21" i="22"/>
  <c r="F21" i="22"/>
  <c r="E21" i="22"/>
  <c r="D21" i="22"/>
  <c r="CS20" i="22"/>
  <c r="BN20" i="22"/>
  <c r="BH20" i="22"/>
  <c r="BU20" i="22" s="1"/>
  <c r="AP20" i="22"/>
  <c r="AO20" i="22"/>
  <c r="AN20" i="22"/>
  <c r="AM20" i="22"/>
  <c r="AI20" i="22"/>
  <c r="AH20" i="22"/>
  <c r="AG20" i="22"/>
  <c r="AF20" i="22"/>
  <c r="AB20" i="22"/>
  <c r="AA20" i="22"/>
  <c r="Z20" i="22"/>
  <c r="Y20" i="22"/>
  <c r="U20" i="22"/>
  <c r="T20" i="22"/>
  <c r="S20" i="22"/>
  <c r="R20" i="22"/>
  <c r="N20" i="22"/>
  <c r="BM20" i="22" s="1"/>
  <c r="M20" i="22"/>
  <c r="L20" i="22"/>
  <c r="K20" i="22"/>
  <c r="G20" i="22"/>
  <c r="F20" i="22"/>
  <c r="E20" i="22"/>
  <c r="D20" i="22"/>
  <c r="BN19" i="22"/>
  <c r="BM19" i="22"/>
  <c r="BH19" i="22"/>
  <c r="CG19" i="22" s="1"/>
  <c r="AP19" i="22"/>
  <c r="AO19" i="22"/>
  <c r="AN19" i="22"/>
  <c r="AM19" i="22"/>
  <c r="AI19" i="22"/>
  <c r="AH19" i="22"/>
  <c r="AG19" i="22"/>
  <c r="AF19" i="22"/>
  <c r="AB19" i="22"/>
  <c r="AA19" i="22"/>
  <c r="Z19" i="22"/>
  <c r="Y19" i="22"/>
  <c r="U19" i="22"/>
  <c r="T19" i="22"/>
  <c r="S19" i="22"/>
  <c r="R19" i="22"/>
  <c r="N19" i="22"/>
  <c r="M19" i="22"/>
  <c r="L19" i="22"/>
  <c r="K19" i="22"/>
  <c r="G19" i="22"/>
  <c r="F19" i="22"/>
  <c r="E19" i="22"/>
  <c r="D19" i="22"/>
  <c r="CG18" i="22"/>
  <c r="BN18" i="22"/>
  <c r="BM18" i="22"/>
  <c r="BH18" i="22"/>
  <c r="BU18" i="22" s="1"/>
  <c r="AP18" i="22"/>
  <c r="AO18" i="22"/>
  <c r="AN18" i="22"/>
  <c r="AM18" i="22"/>
  <c r="AI18" i="22"/>
  <c r="AH18" i="22"/>
  <c r="AG18" i="22"/>
  <c r="AF18" i="22"/>
  <c r="AB18" i="22"/>
  <c r="AA18" i="22"/>
  <c r="Z18" i="22"/>
  <c r="Y18" i="22"/>
  <c r="U18" i="22"/>
  <c r="T18" i="22"/>
  <c r="S18" i="22"/>
  <c r="R18" i="22"/>
  <c r="N18" i="22"/>
  <c r="M18" i="22"/>
  <c r="L18" i="22"/>
  <c r="K18" i="22"/>
  <c r="G18" i="22"/>
  <c r="F18" i="22"/>
  <c r="E18" i="22"/>
  <c r="D18" i="22"/>
  <c r="BN17" i="22"/>
  <c r="BM17" i="22"/>
  <c r="BH17" i="22"/>
  <c r="CS17" i="22" s="1"/>
  <c r="AP17" i="22"/>
  <c r="AO17" i="22"/>
  <c r="AN17" i="22"/>
  <c r="AM17" i="22"/>
  <c r="AI17" i="22"/>
  <c r="AH17" i="22"/>
  <c r="AG17" i="22"/>
  <c r="AF17" i="22"/>
  <c r="AB17" i="22"/>
  <c r="AA17" i="22"/>
  <c r="Z17" i="22"/>
  <c r="Y17" i="22"/>
  <c r="U17" i="22"/>
  <c r="T17" i="22"/>
  <c r="S17" i="22"/>
  <c r="R17" i="22"/>
  <c r="N17" i="22"/>
  <c r="M17" i="22"/>
  <c r="L17" i="22"/>
  <c r="K17" i="22"/>
  <c r="G17" i="22"/>
  <c r="F17" i="22"/>
  <c r="E17" i="22"/>
  <c r="D17" i="22"/>
  <c r="BN16" i="22"/>
  <c r="BH16" i="22"/>
  <c r="CS16" i="22" s="1"/>
  <c r="AP16" i="22"/>
  <c r="AO16" i="22"/>
  <c r="AN16" i="22"/>
  <c r="AM16" i="22"/>
  <c r="AI16" i="22"/>
  <c r="AH16" i="22"/>
  <c r="AG16" i="22"/>
  <c r="AF16" i="22"/>
  <c r="AB16" i="22"/>
  <c r="AA16" i="22"/>
  <c r="Z16" i="22"/>
  <c r="Y16" i="22"/>
  <c r="U16" i="22"/>
  <c r="T16" i="22"/>
  <c r="S16" i="22"/>
  <c r="R16" i="22"/>
  <c r="N16" i="22"/>
  <c r="BM16" i="22" s="1"/>
  <c r="M16" i="22"/>
  <c r="L16" i="22"/>
  <c r="K16" i="22"/>
  <c r="G16" i="22"/>
  <c r="F16" i="22"/>
  <c r="E16" i="22"/>
  <c r="D16" i="22"/>
  <c r="BH15" i="22"/>
  <c r="CG15" i="22" s="1"/>
  <c r="AP15" i="22"/>
  <c r="AO15" i="22"/>
  <c r="AN15" i="22"/>
  <c r="AM15" i="22"/>
  <c r="AI15" i="22"/>
  <c r="AH15" i="22"/>
  <c r="AG15" i="22"/>
  <c r="AF15" i="22"/>
  <c r="AB15" i="22"/>
  <c r="AA15" i="22"/>
  <c r="Z15" i="22"/>
  <c r="Y15" i="22"/>
  <c r="U15" i="22"/>
  <c r="BN15" i="22" s="1"/>
  <c r="T15" i="22"/>
  <c r="S15" i="22"/>
  <c r="R15" i="22"/>
  <c r="N15" i="22"/>
  <c r="BM15" i="22" s="1"/>
  <c r="M15" i="22"/>
  <c r="L15" i="22"/>
  <c r="K15" i="22"/>
  <c r="G15" i="22"/>
  <c r="F15" i="22"/>
  <c r="E15" i="22"/>
  <c r="D15" i="22"/>
  <c r="BN14" i="22"/>
  <c r="BH14" i="22"/>
  <c r="CG14" i="22" s="1"/>
  <c r="AP14" i="22"/>
  <c r="AO14" i="22"/>
  <c r="AN14" i="22"/>
  <c r="AM14" i="22"/>
  <c r="AI14" i="22"/>
  <c r="AH14" i="22"/>
  <c r="AG14" i="22"/>
  <c r="AF14" i="22"/>
  <c r="AB14" i="22"/>
  <c r="AA14" i="22"/>
  <c r="Z14" i="22"/>
  <c r="Y14" i="22"/>
  <c r="U14" i="22"/>
  <c r="T14" i="22"/>
  <c r="S14" i="22"/>
  <c r="R14" i="22"/>
  <c r="N14" i="22"/>
  <c r="BM14" i="22" s="1"/>
  <c r="M14" i="22"/>
  <c r="L14" i="22"/>
  <c r="K14" i="22"/>
  <c r="G14" i="22"/>
  <c r="F14" i="22"/>
  <c r="E14" i="22"/>
  <c r="D14" i="22"/>
  <c r="BN13" i="22"/>
  <c r="BM13" i="22"/>
  <c r="BH13" i="22"/>
  <c r="CS13" i="22" s="1"/>
  <c r="AP13" i="22"/>
  <c r="AO13" i="22"/>
  <c r="AN13" i="22"/>
  <c r="AM13" i="22"/>
  <c r="AI13" i="22"/>
  <c r="AH13" i="22"/>
  <c r="AG13" i="22"/>
  <c r="AF13" i="22"/>
  <c r="AB13" i="22"/>
  <c r="AA13" i="22"/>
  <c r="Z13" i="22"/>
  <c r="Y13" i="22"/>
  <c r="U13" i="22"/>
  <c r="T13" i="22"/>
  <c r="S13" i="22"/>
  <c r="R13" i="22"/>
  <c r="N13" i="22"/>
  <c r="M13" i="22"/>
  <c r="L13" i="22"/>
  <c r="K13" i="22"/>
  <c r="G13" i="22"/>
  <c r="F13" i="22"/>
  <c r="E13" i="22"/>
  <c r="D13" i="22"/>
  <c r="BM12" i="22"/>
  <c r="BH12" i="22"/>
  <c r="BU12" i="22" s="1"/>
  <c r="AP12" i="22"/>
  <c r="AO12" i="22"/>
  <c r="AN12" i="22"/>
  <c r="AM12" i="22"/>
  <c r="AI12" i="22"/>
  <c r="AH12" i="22"/>
  <c r="AG12" i="22"/>
  <c r="AF12" i="22"/>
  <c r="AB12" i="22"/>
  <c r="AA12" i="22"/>
  <c r="Z12" i="22"/>
  <c r="Y12" i="22"/>
  <c r="U12" i="22"/>
  <c r="BN12" i="22" s="1"/>
  <c r="T12" i="22"/>
  <c r="S12" i="22"/>
  <c r="R12" i="22"/>
  <c r="N12" i="22"/>
  <c r="M12" i="22"/>
  <c r="L12" i="22"/>
  <c r="K12" i="22"/>
  <c r="G12" i="22"/>
  <c r="F12" i="22"/>
  <c r="F50" i="22" s="1"/>
  <c r="E12" i="22"/>
  <c r="D12" i="22"/>
  <c r="G10" i="22"/>
  <c r="F10" i="22"/>
  <c r="E10" i="22"/>
  <c r="D10" i="22"/>
  <c r="BA8" i="22"/>
  <c r="BA6" i="22"/>
  <c r="AN50" i="26" l="1"/>
  <c r="AN50" i="24"/>
  <c r="AG50" i="23"/>
  <c r="AG50" i="24"/>
  <c r="AN50" i="25"/>
  <c r="AN50" i="22"/>
  <c r="AG50" i="25"/>
  <c r="AG50" i="22"/>
  <c r="AN50" i="23"/>
  <c r="CS30" i="22"/>
  <c r="CS12" i="22"/>
  <c r="CG16" i="22"/>
  <c r="CG27" i="22"/>
  <c r="BU19" i="22"/>
  <c r="CS35" i="22"/>
  <c r="BU39" i="22"/>
  <c r="CS47" i="22"/>
  <c r="CG22" i="23"/>
  <c r="CS30" i="23"/>
  <c r="BU33" i="23"/>
  <c r="CG44" i="23"/>
  <c r="CS18" i="24"/>
  <c r="CG23" i="24"/>
  <c r="CG32" i="24"/>
  <c r="CG36" i="24"/>
  <c r="BU40" i="24"/>
  <c r="BU45" i="24"/>
  <c r="CG16" i="25"/>
  <c r="CG19" i="25"/>
  <c r="BU42" i="25"/>
  <c r="CS31" i="26"/>
  <c r="CS22" i="23"/>
  <c r="CG33" i="23"/>
  <c r="CS44" i="23"/>
  <c r="CS32" i="24"/>
  <c r="CS36" i="24"/>
  <c r="CS16" i="25"/>
  <c r="CS19" i="25"/>
  <c r="CS42" i="25"/>
  <c r="CG12" i="22"/>
  <c r="CS19" i="22"/>
  <c r="CG15" i="23"/>
  <c r="CS31" i="22"/>
  <c r="CG36" i="22"/>
  <c r="CS15" i="23"/>
  <c r="BU14" i="24"/>
  <c r="BU19" i="24"/>
  <c r="BU41" i="24"/>
  <c r="B41" i="31"/>
  <c r="CS23" i="22"/>
  <c r="BU13" i="22"/>
  <c r="CG17" i="22"/>
  <c r="CS28" i="22"/>
  <c r="CS48" i="22"/>
  <c r="BU37" i="23"/>
  <c r="CG41" i="23"/>
  <c r="BU45" i="23"/>
  <c r="CS14" i="24"/>
  <c r="CS19" i="24"/>
  <c r="CS25" i="24"/>
  <c r="CG46" i="24"/>
  <c r="CG32" i="25"/>
  <c r="CG16" i="26"/>
  <c r="BU26" i="26"/>
  <c r="BH41" i="26"/>
  <c r="CS25" i="22"/>
  <c r="CS49" i="22"/>
  <c r="CS15" i="24"/>
  <c r="BU22" i="26"/>
  <c r="BU40" i="26"/>
  <c r="BU14" i="22"/>
  <c r="CG29" i="22"/>
  <c r="CG20" i="24"/>
  <c r="BU27" i="24"/>
  <c r="BU47" i="24"/>
  <c r="CG14" i="25"/>
  <c r="BU33" i="25"/>
  <c r="CG49" i="25"/>
  <c r="BU18" i="26"/>
  <c r="BU37" i="26"/>
  <c r="CG40" i="26"/>
  <c r="BU45" i="26"/>
  <c r="BU49" i="26"/>
  <c r="CS37" i="26"/>
  <c r="CS45" i="26"/>
  <c r="BU15" i="22"/>
  <c r="CS18" i="22"/>
  <c r="CG42" i="22"/>
  <c r="CG21" i="23"/>
  <c r="BU35" i="23"/>
  <c r="CS21" i="24"/>
  <c r="BU25" i="25"/>
  <c r="CS37" i="25"/>
  <c r="CG31" i="24"/>
  <c r="CS25" i="25"/>
  <c r="BU15" i="26"/>
  <c r="CG19" i="26"/>
  <c r="BU23" i="26"/>
  <c r="BU35" i="26"/>
  <c r="BU22" i="22"/>
  <c r="BU22" i="25"/>
  <c r="CG15" i="26"/>
  <c r="CS19" i="26"/>
  <c r="CS23" i="26"/>
  <c r="CG35" i="26"/>
  <c r="D41" i="31"/>
  <c r="BU43" i="22"/>
  <c r="BU47" i="22"/>
  <c r="BU30" i="23"/>
  <c r="CG39" i="23"/>
  <c r="CS48" i="23"/>
  <c r="BU12" i="24"/>
  <c r="CG18" i="24"/>
  <c r="BU23" i="24"/>
  <c r="CS28" i="24"/>
  <c r="CS49" i="24"/>
  <c r="CS22" i="25"/>
  <c r="CS30" i="25"/>
  <c r="CG38" i="25"/>
  <c r="BU31" i="26"/>
  <c r="AI41" i="26"/>
  <c r="AH46" i="26"/>
  <c r="BU34" i="22"/>
  <c r="CS34" i="22"/>
  <c r="CS15" i="22"/>
  <c r="BU17" i="22"/>
  <c r="CG34" i="22"/>
  <c r="CS14" i="22"/>
  <c r="CG20" i="22"/>
  <c r="CG22" i="22"/>
  <c r="CS44" i="22"/>
  <c r="BU44" i="22"/>
  <c r="CG44" i="22"/>
  <c r="D50" i="23"/>
  <c r="CG13" i="22"/>
  <c r="D50" i="22"/>
  <c r="H29" i="22" s="1"/>
  <c r="CG32" i="22"/>
  <c r="CG33" i="22"/>
  <c r="CG35" i="22"/>
  <c r="CG39" i="22"/>
  <c r="BU40" i="22"/>
  <c r="CS18" i="23"/>
  <c r="CG18" i="23"/>
  <c r="E50" i="22"/>
  <c r="BU16" i="22"/>
  <c r="CS24" i="22"/>
  <c r="CG30" i="22"/>
  <c r="G50" i="22"/>
  <c r="CG40" i="22"/>
  <c r="CG24" i="22"/>
  <c r="BU26" i="22"/>
  <c r="CS27" i="22"/>
  <c r="BU29" i="22"/>
  <c r="BU38" i="22"/>
  <c r="BU24" i="23"/>
  <c r="CG24" i="23"/>
  <c r="CS24" i="23"/>
  <c r="CG25" i="22"/>
  <c r="BU36" i="22"/>
  <c r="H27" i="23"/>
  <c r="CG16" i="23"/>
  <c r="CS16" i="23"/>
  <c r="CG43" i="22"/>
  <c r="E50" i="23"/>
  <c r="H41" i="23" s="1"/>
  <c r="BU14" i="23"/>
  <c r="CS19" i="23"/>
  <c r="CS26" i="23"/>
  <c r="F50" i="23"/>
  <c r="H23" i="23"/>
  <c r="CG48" i="22"/>
  <c r="G50" i="23"/>
  <c r="H26" i="23" s="1"/>
  <c r="CS13" i="23"/>
  <c r="H14" i="23"/>
  <c r="CG19" i="23"/>
  <c r="H21" i="23"/>
  <c r="CS25" i="23"/>
  <c r="CS28" i="23"/>
  <c r="BU17" i="23"/>
  <c r="BU36" i="23"/>
  <c r="CS36" i="23"/>
  <c r="CS46" i="22"/>
  <c r="CG49" i="22"/>
  <c r="H46" i="23"/>
  <c r="H48" i="23"/>
  <c r="H44" i="23"/>
  <c r="H49" i="23"/>
  <c r="H37" i="23"/>
  <c r="H34" i="23"/>
  <c r="H19" i="23"/>
  <c r="H45" i="23"/>
  <c r="H28" i="23"/>
  <c r="H29" i="23"/>
  <c r="CS14" i="23"/>
  <c r="H15" i="23"/>
  <c r="H13" i="23"/>
  <c r="BU28" i="23"/>
  <c r="BU34" i="23"/>
  <c r="CS34" i="23"/>
  <c r="CG34" i="23"/>
  <c r="CG46" i="22"/>
  <c r="CG36" i="23"/>
  <c r="CS21" i="23"/>
  <c r="CG25" i="23"/>
  <c r="BU13" i="24"/>
  <c r="CS13" i="24"/>
  <c r="CG13" i="24"/>
  <c r="CG50" i="24" s="1"/>
  <c r="BU29" i="23"/>
  <c r="BU31" i="23"/>
  <c r="CG46" i="23"/>
  <c r="CS46" i="23"/>
  <c r="BU46" i="23"/>
  <c r="CG40" i="23"/>
  <c r="CS40" i="23"/>
  <c r="CG43" i="23"/>
  <c r="CS43" i="23"/>
  <c r="BU43" i="23"/>
  <c r="H12" i="24"/>
  <c r="CS39" i="23"/>
  <c r="CG45" i="23"/>
  <c r="CG49" i="23"/>
  <c r="H32" i="24"/>
  <c r="H43" i="24"/>
  <c r="H20" i="24"/>
  <c r="CS22" i="24"/>
  <c r="BU22" i="24"/>
  <c r="CG22" i="24"/>
  <c r="BM49" i="23"/>
  <c r="BM45" i="23"/>
  <c r="BN15" i="24"/>
  <c r="CS49" i="23"/>
  <c r="CS20" i="24"/>
  <c r="BU17" i="24"/>
  <c r="CS24" i="24"/>
  <c r="BU25" i="24"/>
  <c r="E50" i="24"/>
  <c r="H21" i="24" s="1"/>
  <c r="CG16" i="24"/>
  <c r="CG24" i="24"/>
  <c r="CG48" i="23"/>
  <c r="F50" i="24"/>
  <c r="CG15" i="24"/>
  <c r="G50" i="24"/>
  <c r="H49" i="24" s="1"/>
  <c r="CS12" i="24"/>
  <c r="CG21" i="24"/>
  <c r="CS26" i="24"/>
  <c r="BU26" i="24"/>
  <c r="CG35" i="24"/>
  <c r="BN27" i="24"/>
  <c r="BU31" i="24"/>
  <c r="CG37" i="24"/>
  <c r="CS18" i="25"/>
  <c r="BU18" i="25"/>
  <c r="CG18" i="25"/>
  <c r="BU35" i="24"/>
  <c r="BU26" i="25"/>
  <c r="CS26" i="25"/>
  <c r="CG26" i="25"/>
  <c r="H31" i="25"/>
  <c r="CG40" i="24"/>
  <c r="CG41" i="24"/>
  <c r="CG38" i="24"/>
  <c r="BU48" i="24"/>
  <c r="CG48" i="24"/>
  <c r="CS48" i="24"/>
  <c r="CS23" i="25"/>
  <c r="BU23" i="25"/>
  <c r="H39" i="25"/>
  <c r="H41" i="25"/>
  <c r="H43" i="25"/>
  <c r="H36" i="25"/>
  <c r="H32" i="25"/>
  <c r="H38" i="25"/>
  <c r="BU21" i="25"/>
  <c r="CG21" i="25"/>
  <c r="CS21" i="25"/>
  <c r="BU43" i="24"/>
  <c r="CS43" i="24"/>
  <c r="BN39" i="24"/>
  <c r="H15" i="25"/>
  <c r="BU13" i="25"/>
  <c r="CG43" i="24"/>
  <c r="CS12" i="25"/>
  <c r="D50" i="25"/>
  <c r="H35" i="25" s="1"/>
  <c r="BU29" i="25"/>
  <c r="E50" i="25"/>
  <c r="F50" i="25"/>
  <c r="H45" i="25" s="1"/>
  <c r="G50" i="25"/>
  <c r="CG24" i="25"/>
  <c r="CG29" i="25"/>
  <c r="CG15" i="25"/>
  <c r="CS28" i="25"/>
  <c r="CG31" i="25"/>
  <c r="CG14" i="26"/>
  <c r="CS14" i="26"/>
  <c r="BU14" i="26"/>
  <c r="CS27" i="25"/>
  <c r="CS17" i="26"/>
  <c r="CG17" i="26"/>
  <c r="BU17" i="26"/>
  <c r="CS39" i="25"/>
  <c r="BU44" i="25"/>
  <c r="BU48" i="25"/>
  <c r="CG27" i="26"/>
  <c r="BU27" i="26"/>
  <c r="BU38" i="25"/>
  <c r="CS35" i="25"/>
  <c r="CG39" i="25"/>
  <c r="CG47" i="25"/>
  <c r="CG37" i="25"/>
  <c r="CG44" i="25"/>
  <c r="CS43" i="25"/>
  <c r="BU43" i="25"/>
  <c r="CG43" i="25"/>
  <c r="BU46" i="25"/>
  <c r="CS46" i="25"/>
  <c r="CG46" i="25"/>
  <c r="CS48" i="25"/>
  <c r="BN49" i="25"/>
  <c r="BN13" i="26"/>
  <c r="CG30" i="26"/>
  <c r="BU30" i="26"/>
  <c r="CS30" i="26"/>
  <c r="BU49" i="25"/>
  <c r="BU43" i="26"/>
  <c r="CS43" i="26"/>
  <c r="CG43" i="26"/>
  <c r="BU12" i="26"/>
  <c r="CS12" i="26"/>
  <c r="BN22" i="26"/>
  <c r="CS13" i="26"/>
  <c r="CG13" i="26"/>
  <c r="BN17" i="26"/>
  <c r="BN26" i="26"/>
  <c r="BN31" i="26"/>
  <c r="BU24" i="26"/>
  <c r="CS24" i="26"/>
  <c r="BN27" i="26"/>
  <c r="BU38" i="26"/>
  <c r="CS38" i="26"/>
  <c r="CG38" i="26"/>
  <c r="CG18" i="26"/>
  <c r="BU29" i="26"/>
  <c r="CS29" i="26"/>
  <c r="CG29" i="26"/>
  <c r="D50" i="26"/>
  <c r="H48" i="26" s="1"/>
  <c r="CS21" i="26"/>
  <c r="BU21" i="26"/>
  <c r="CS25" i="26"/>
  <c r="BU25" i="26"/>
  <c r="CG25" i="26"/>
  <c r="F50" i="26"/>
  <c r="H44" i="26" s="1"/>
  <c r="CG21" i="26"/>
  <c r="BN25" i="26"/>
  <c r="BN20" i="26"/>
  <c r="CG26" i="26"/>
  <c r="BN34" i="26"/>
  <c r="BN32" i="26"/>
  <c r="CG28" i="26"/>
  <c r="CS28" i="26"/>
  <c r="BU28" i="26"/>
  <c r="BN46" i="26"/>
  <c r="AB39" i="26"/>
  <c r="BH39" i="26"/>
  <c r="AI39" i="26"/>
  <c r="AO50" i="26"/>
  <c r="AH50" i="26"/>
  <c r="AA50" i="26"/>
  <c r="CS34" i="26"/>
  <c r="BN41" i="26"/>
  <c r="BN47" i="26"/>
  <c r="BN35" i="26"/>
  <c r="BN39" i="26"/>
  <c r="BU46" i="26"/>
  <c r="CG46" i="26"/>
  <c r="BN40" i="26"/>
  <c r="BN42" i="26"/>
  <c r="BN45" i="26"/>
  <c r="BN48" i="26"/>
  <c r="BU47" i="26"/>
  <c r="CG47" i="26"/>
  <c r="CS47" i="26"/>
  <c r="B41" i="30"/>
  <c r="Y50" i="26"/>
  <c r="BN49" i="26"/>
  <c r="H41" i="28"/>
  <c r="CG41" i="26"/>
  <c r="J41" i="29"/>
  <c r="E41" i="31"/>
  <c r="Z46" i="26"/>
  <c r="AN46" i="26"/>
  <c r="K41" i="28"/>
  <c r="AG50" i="26"/>
  <c r="Z50" i="26"/>
  <c r="C41" i="28"/>
  <c r="B41" i="29"/>
  <c r="AM50" i="26"/>
  <c r="C44" i="21"/>
  <c r="AF51" i="12" s="1"/>
  <c r="E40" i="21"/>
  <c r="D40" i="21"/>
  <c r="AN47" i="16" s="1"/>
  <c r="B40" i="21"/>
  <c r="E35" i="21"/>
  <c r="AH42" i="16" s="1"/>
  <c r="D35" i="21"/>
  <c r="Z42" i="15" s="1"/>
  <c r="E33" i="21"/>
  <c r="AA40" i="16" s="1"/>
  <c r="D33" i="21"/>
  <c r="Z40" i="16" s="1"/>
  <c r="E17" i="21"/>
  <c r="D17" i="21"/>
  <c r="E6" i="21"/>
  <c r="D6" i="21"/>
  <c r="D44" i="21" s="1"/>
  <c r="AG51" i="14" s="1"/>
  <c r="B40" i="20"/>
  <c r="B35" i="20"/>
  <c r="B33" i="20"/>
  <c r="B44" i="20" s="1"/>
  <c r="B17" i="20"/>
  <c r="B6" i="20"/>
  <c r="H43" i="19"/>
  <c r="D43" i="19"/>
  <c r="S51" i="16" s="1"/>
  <c r="B43" i="19"/>
  <c r="K29" i="19"/>
  <c r="E29" i="19"/>
  <c r="K27" i="19"/>
  <c r="J27" i="19"/>
  <c r="I27" i="19"/>
  <c r="E27" i="19"/>
  <c r="D27" i="19"/>
  <c r="C27" i="19"/>
  <c r="J25" i="19"/>
  <c r="I25" i="19"/>
  <c r="D25" i="19"/>
  <c r="C25" i="19"/>
  <c r="C43" i="19" s="1"/>
  <c r="R51" i="16" s="1"/>
  <c r="K21" i="19"/>
  <c r="J21" i="19"/>
  <c r="J43" i="19" s="1"/>
  <c r="I21" i="19"/>
  <c r="I43" i="19" s="1"/>
  <c r="E21" i="19"/>
  <c r="D21" i="19"/>
  <c r="C21" i="19"/>
  <c r="H43" i="18"/>
  <c r="E43" i="18"/>
  <c r="D43" i="18"/>
  <c r="B43" i="18"/>
  <c r="K29" i="18"/>
  <c r="E29" i="18"/>
  <c r="K27" i="18"/>
  <c r="K43" i="18" s="1"/>
  <c r="J27" i="18"/>
  <c r="I27" i="18"/>
  <c r="E27" i="18"/>
  <c r="D27" i="18"/>
  <c r="C27" i="18"/>
  <c r="J25" i="18"/>
  <c r="I25" i="18"/>
  <c r="I43" i="18" s="1"/>
  <c r="D25" i="18"/>
  <c r="C25" i="18"/>
  <c r="K21" i="18"/>
  <c r="E21" i="18"/>
  <c r="D21" i="18"/>
  <c r="C21" i="18"/>
  <c r="C43" i="18" s="1"/>
  <c r="E43" i="17"/>
  <c r="D43" i="17"/>
  <c r="C43" i="17"/>
  <c r="B43" i="17"/>
  <c r="Q51" i="16" s="1"/>
  <c r="C58" i="16"/>
  <c r="D58" i="16" s="1"/>
  <c r="E58" i="16" s="1"/>
  <c r="F58" i="16" s="1"/>
  <c r="G58" i="16" s="1"/>
  <c r="H58" i="16" s="1"/>
  <c r="I58" i="16" s="1"/>
  <c r="J58" i="16" s="1"/>
  <c r="K58" i="16" s="1"/>
  <c r="L58" i="16" s="1"/>
  <c r="M58" i="16" s="1"/>
  <c r="N58" i="16" s="1"/>
  <c r="O58" i="16" s="1"/>
  <c r="P58" i="16" s="1"/>
  <c r="Q58" i="16" s="1"/>
  <c r="R58" i="16" s="1"/>
  <c r="S58" i="16" s="1"/>
  <c r="T58" i="16" s="1"/>
  <c r="U58" i="16" s="1"/>
  <c r="V58" i="16" s="1"/>
  <c r="W58" i="16" s="1"/>
  <c r="X58" i="16" s="1"/>
  <c r="Y58" i="16" s="1"/>
  <c r="Z58" i="16" s="1"/>
  <c r="AA58" i="16" s="1"/>
  <c r="AB58" i="16" s="1"/>
  <c r="AC58" i="16" s="1"/>
  <c r="AD58" i="16" s="1"/>
  <c r="AE58" i="16" s="1"/>
  <c r="AF58" i="16" s="1"/>
  <c r="AG58" i="16" s="1"/>
  <c r="AH58" i="16" s="1"/>
  <c r="AI58" i="16" s="1"/>
  <c r="AJ58" i="16" s="1"/>
  <c r="AK58" i="16" s="1"/>
  <c r="AL58" i="16" s="1"/>
  <c r="AM58" i="16" s="1"/>
  <c r="AN58" i="16" s="1"/>
  <c r="AO58" i="16" s="1"/>
  <c r="AP58" i="16" s="1"/>
  <c r="AQ58" i="16" s="1"/>
  <c r="AR58" i="16" s="1"/>
  <c r="AS58" i="16" s="1"/>
  <c r="AT58" i="16" s="1"/>
  <c r="AU58" i="16" s="1"/>
  <c r="AV58" i="16" s="1"/>
  <c r="AW58" i="16" s="1"/>
  <c r="AX58" i="16" s="1"/>
  <c r="AY58" i="16" s="1"/>
  <c r="AZ58" i="16" s="1"/>
  <c r="BA58" i="16" s="1"/>
  <c r="BB58" i="16" s="1"/>
  <c r="BC58" i="16" s="1"/>
  <c r="BD58" i="16" s="1"/>
  <c r="BE58" i="16" s="1"/>
  <c r="BF58" i="16" s="1"/>
  <c r="BG58" i="16" s="1"/>
  <c r="BH58" i="16" s="1"/>
  <c r="BI58" i="16" s="1"/>
  <c r="BJ58" i="16" s="1"/>
  <c r="BK58" i="16" s="1"/>
  <c r="BL58" i="16" s="1"/>
  <c r="BM58" i="16" s="1"/>
  <c r="BN58" i="16" s="1"/>
  <c r="BO58" i="16" s="1"/>
  <c r="J51" i="16"/>
  <c r="BG50" i="16"/>
  <c r="CG50" i="16" s="1"/>
  <c r="AO50" i="16"/>
  <c r="AN50" i="16"/>
  <c r="AM50" i="16"/>
  <c r="AL50" i="16"/>
  <c r="AH50" i="16"/>
  <c r="AG50" i="16"/>
  <c r="AF50" i="16"/>
  <c r="AE50" i="16"/>
  <c r="AA50" i="16"/>
  <c r="Z50" i="16"/>
  <c r="Y50" i="16"/>
  <c r="X50" i="16"/>
  <c r="T50" i="16"/>
  <c r="S50" i="16"/>
  <c r="R50" i="16"/>
  <c r="Q50" i="16"/>
  <c r="M50" i="16"/>
  <c r="L50" i="16"/>
  <c r="K50" i="16"/>
  <c r="J50" i="16"/>
  <c r="F50" i="16"/>
  <c r="E50" i="16"/>
  <c r="D50" i="16"/>
  <c r="C50" i="16"/>
  <c r="BG49" i="16"/>
  <c r="CG49" i="16" s="1"/>
  <c r="AO49" i="16"/>
  <c r="AN49" i="16"/>
  <c r="AM49" i="16"/>
  <c r="AL49" i="16"/>
  <c r="AH49" i="16"/>
  <c r="AG49" i="16"/>
  <c r="AF49" i="16"/>
  <c r="AE49" i="16"/>
  <c r="AA49" i="16"/>
  <c r="Z49" i="16"/>
  <c r="Y49" i="16"/>
  <c r="X49" i="16"/>
  <c r="T49" i="16"/>
  <c r="S49" i="16"/>
  <c r="R49" i="16"/>
  <c r="Q49" i="16"/>
  <c r="M49" i="16"/>
  <c r="L49" i="16"/>
  <c r="K49" i="16"/>
  <c r="J49" i="16"/>
  <c r="F49" i="16"/>
  <c r="E49" i="16"/>
  <c r="D49" i="16"/>
  <c r="C49" i="16"/>
  <c r="BG48" i="16"/>
  <c r="BU48" i="16" s="1"/>
  <c r="AO48" i="16"/>
  <c r="AN48" i="16"/>
  <c r="AM48" i="16"/>
  <c r="AL48" i="16"/>
  <c r="AH48" i="16"/>
  <c r="AG48" i="16"/>
  <c r="AF48" i="16"/>
  <c r="AE48" i="16"/>
  <c r="AA48" i="16"/>
  <c r="Z48" i="16"/>
  <c r="Y48" i="16"/>
  <c r="X48" i="16"/>
  <c r="T48" i="16"/>
  <c r="S48" i="16"/>
  <c r="R48" i="16"/>
  <c r="Q48" i="16"/>
  <c r="M48" i="16"/>
  <c r="L48" i="16"/>
  <c r="K48" i="16"/>
  <c r="J48" i="16"/>
  <c r="F48" i="16"/>
  <c r="E48" i="16"/>
  <c r="D48" i="16"/>
  <c r="C48" i="16"/>
  <c r="BG47" i="16"/>
  <c r="CG47" i="16" s="1"/>
  <c r="AO47" i="16"/>
  <c r="AM47" i="16"/>
  <c r="AH47" i="16"/>
  <c r="AG47" i="16"/>
  <c r="AF47" i="16"/>
  <c r="AA47" i="16"/>
  <c r="Z47" i="16"/>
  <c r="Y47" i="16"/>
  <c r="T47" i="16"/>
  <c r="S47" i="16"/>
  <c r="R47" i="16"/>
  <c r="Q47" i="16"/>
  <c r="M47" i="16"/>
  <c r="L47" i="16"/>
  <c r="K47" i="16"/>
  <c r="J47" i="16"/>
  <c r="F47" i="16"/>
  <c r="E47" i="16"/>
  <c r="D47" i="16"/>
  <c r="C47" i="16"/>
  <c r="BG46" i="16"/>
  <c r="AO46" i="16"/>
  <c r="AN46" i="16"/>
  <c r="AM46" i="16"/>
  <c r="AL46" i="16"/>
  <c r="AH46" i="16"/>
  <c r="AG46" i="16"/>
  <c r="AF46" i="16"/>
  <c r="AE46" i="16"/>
  <c r="AA46" i="16"/>
  <c r="Z46" i="16"/>
  <c r="Y46" i="16"/>
  <c r="X46" i="16"/>
  <c r="T46" i="16"/>
  <c r="S46" i="16"/>
  <c r="R46" i="16"/>
  <c r="Q46" i="16"/>
  <c r="M46" i="16"/>
  <c r="L46" i="16"/>
  <c r="K46" i="16"/>
  <c r="J46" i="16"/>
  <c r="F46" i="16"/>
  <c r="E46" i="16"/>
  <c r="D46" i="16"/>
  <c r="C46" i="16"/>
  <c r="BG45" i="16"/>
  <c r="BU45" i="16" s="1"/>
  <c r="AO45" i="16"/>
  <c r="AN45" i="16"/>
  <c r="AM45" i="16"/>
  <c r="AL45" i="16"/>
  <c r="AH45" i="16"/>
  <c r="AG45" i="16"/>
  <c r="AF45" i="16"/>
  <c r="AE45" i="16"/>
  <c r="AA45" i="16"/>
  <c r="Z45" i="16"/>
  <c r="Y45" i="16"/>
  <c r="X45" i="16"/>
  <c r="T45" i="16"/>
  <c r="S45" i="16"/>
  <c r="R45" i="16"/>
  <c r="Q45" i="16"/>
  <c r="M45" i="16"/>
  <c r="L45" i="16"/>
  <c r="K45" i="16"/>
  <c r="J45" i="16"/>
  <c r="F45" i="16"/>
  <c r="E45" i="16"/>
  <c r="D45" i="16"/>
  <c r="C45" i="16"/>
  <c r="BG44" i="16"/>
  <c r="AO44" i="16"/>
  <c r="AN44" i="16"/>
  <c r="AM44" i="16"/>
  <c r="AL44" i="16"/>
  <c r="AH44" i="16"/>
  <c r="AG44" i="16"/>
  <c r="AF44" i="16"/>
  <c r="AE44" i="16"/>
  <c r="AA44" i="16"/>
  <c r="Z44" i="16"/>
  <c r="Y44" i="16"/>
  <c r="X44" i="16"/>
  <c r="T44" i="16"/>
  <c r="S44" i="16"/>
  <c r="R44" i="16"/>
  <c r="Q44" i="16"/>
  <c r="M44" i="16"/>
  <c r="L44" i="16"/>
  <c r="K44" i="16"/>
  <c r="J44" i="16"/>
  <c r="F44" i="16"/>
  <c r="E44" i="16"/>
  <c r="D44" i="16"/>
  <c r="C44" i="16"/>
  <c r="BG43" i="16"/>
  <c r="CG43" i="16" s="1"/>
  <c r="AO43" i="16"/>
  <c r="AN43" i="16"/>
  <c r="AM43" i="16"/>
  <c r="AL43" i="16"/>
  <c r="AH43" i="16"/>
  <c r="AG43" i="16"/>
  <c r="AF43" i="16"/>
  <c r="AE43" i="16"/>
  <c r="AA43" i="16"/>
  <c r="Z43" i="16"/>
  <c r="Y43" i="16"/>
  <c r="X43" i="16"/>
  <c r="T43" i="16"/>
  <c r="S43" i="16"/>
  <c r="R43" i="16"/>
  <c r="Q43" i="16"/>
  <c r="M43" i="16"/>
  <c r="L43" i="16"/>
  <c r="K43" i="16"/>
  <c r="J43" i="16"/>
  <c r="F43" i="16"/>
  <c r="E43" i="16"/>
  <c r="D43" i="16"/>
  <c r="C43" i="16"/>
  <c r="AO42" i="16"/>
  <c r="AM42" i="16"/>
  <c r="AL42" i="16"/>
  <c r="AF42" i="16"/>
  <c r="AE42" i="16"/>
  <c r="AA42" i="16"/>
  <c r="Y42" i="16"/>
  <c r="X42" i="16"/>
  <c r="T42" i="16"/>
  <c r="S42" i="16"/>
  <c r="R42" i="16"/>
  <c r="Q42" i="16"/>
  <c r="M42" i="16"/>
  <c r="L42" i="16"/>
  <c r="K42" i="16"/>
  <c r="J42" i="16"/>
  <c r="F42" i="16"/>
  <c r="E42" i="16"/>
  <c r="D42" i="16"/>
  <c r="C42" i="16"/>
  <c r="BG41" i="16"/>
  <c r="BU41" i="16" s="1"/>
  <c r="AO41" i="16"/>
  <c r="AN41" i="16"/>
  <c r="AM41" i="16"/>
  <c r="AL41" i="16"/>
  <c r="AH41" i="16"/>
  <c r="AG41" i="16"/>
  <c r="AF41" i="16"/>
  <c r="AE41" i="16"/>
  <c r="AA41" i="16"/>
  <c r="Z41" i="16"/>
  <c r="Y41" i="16"/>
  <c r="X41" i="16"/>
  <c r="T41" i="16"/>
  <c r="S41" i="16"/>
  <c r="R41" i="16"/>
  <c r="Q41" i="16"/>
  <c r="M41" i="16"/>
  <c r="L41" i="16"/>
  <c r="K41" i="16"/>
  <c r="J41" i="16"/>
  <c r="F41" i="16"/>
  <c r="E41" i="16"/>
  <c r="D41" i="16"/>
  <c r="C41" i="16"/>
  <c r="BG40" i="16"/>
  <c r="BU40" i="16" s="1"/>
  <c r="AO40" i="16"/>
  <c r="AN40" i="16"/>
  <c r="AM40" i="16"/>
  <c r="AL40" i="16"/>
  <c r="AH40" i="16"/>
  <c r="AG40" i="16"/>
  <c r="AF40" i="16"/>
  <c r="AE40" i="16"/>
  <c r="Y40" i="16"/>
  <c r="X40" i="16"/>
  <c r="T40" i="16"/>
  <c r="S40" i="16"/>
  <c r="R40" i="16"/>
  <c r="Q40" i="16"/>
  <c r="M40" i="16"/>
  <c r="L40" i="16"/>
  <c r="K40" i="16"/>
  <c r="J40" i="16"/>
  <c r="F40" i="16"/>
  <c r="E40" i="16"/>
  <c r="D40" i="16"/>
  <c r="C40" i="16"/>
  <c r="BG39" i="16"/>
  <c r="CG39" i="16" s="1"/>
  <c r="AO39" i="16"/>
  <c r="AN39" i="16"/>
  <c r="AM39" i="16"/>
  <c r="AL39" i="16"/>
  <c r="AH39" i="16"/>
  <c r="AG39" i="16"/>
  <c r="AF39" i="16"/>
  <c r="AE39" i="16"/>
  <c r="AA39" i="16"/>
  <c r="Z39" i="16"/>
  <c r="Y39" i="16"/>
  <c r="X39" i="16"/>
  <c r="T39" i="16"/>
  <c r="S39" i="16"/>
  <c r="R39" i="16"/>
  <c r="Q39" i="16"/>
  <c r="M39" i="16"/>
  <c r="L39" i="16"/>
  <c r="K39" i="16"/>
  <c r="J39" i="16"/>
  <c r="F39" i="16"/>
  <c r="E39" i="16"/>
  <c r="D39" i="16"/>
  <c r="C39" i="16"/>
  <c r="BG38" i="16"/>
  <c r="BU38" i="16" s="1"/>
  <c r="AO38" i="16"/>
  <c r="AN38" i="16"/>
  <c r="AM38" i="16"/>
  <c r="AL38" i="16"/>
  <c r="AH38" i="16"/>
  <c r="AG38" i="16"/>
  <c r="AF38" i="16"/>
  <c r="AE38" i="16"/>
  <c r="AA38" i="16"/>
  <c r="Z38" i="16"/>
  <c r="Y38" i="16"/>
  <c r="X38" i="16"/>
  <c r="T38" i="16"/>
  <c r="S38" i="16"/>
  <c r="R38" i="16"/>
  <c r="Q38" i="16"/>
  <c r="M38" i="16"/>
  <c r="L38" i="16"/>
  <c r="K38" i="16"/>
  <c r="J38" i="16"/>
  <c r="F38" i="16"/>
  <c r="E38" i="16"/>
  <c r="D38" i="16"/>
  <c r="C38" i="16"/>
  <c r="BG37" i="16"/>
  <c r="BU37" i="16" s="1"/>
  <c r="AO37" i="16"/>
  <c r="AN37" i="16"/>
  <c r="AM37" i="16"/>
  <c r="AL37" i="16"/>
  <c r="AH37" i="16"/>
  <c r="AG37" i="16"/>
  <c r="AF37" i="16"/>
  <c r="AE37" i="16"/>
  <c r="AA37" i="16"/>
  <c r="Z37" i="16"/>
  <c r="Y37" i="16"/>
  <c r="X37" i="16"/>
  <c r="T37" i="16"/>
  <c r="S37" i="16"/>
  <c r="R37" i="16"/>
  <c r="Q37" i="16"/>
  <c r="M37" i="16"/>
  <c r="L37" i="16"/>
  <c r="K37" i="16"/>
  <c r="J37" i="16"/>
  <c r="F37" i="16"/>
  <c r="E37" i="16"/>
  <c r="D37" i="16"/>
  <c r="C37" i="16"/>
  <c r="BG36" i="16"/>
  <c r="BU36" i="16" s="1"/>
  <c r="AO36" i="16"/>
  <c r="AN36" i="16"/>
  <c r="AM36" i="16"/>
  <c r="AL36" i="16"/>
  <c r="AH36" i="16"/>
  <c r="AG36" i="16"/>
  <c r="AF36" i="16"/>
  <c r="AE36" i="16"/>
  <c r="AA36" i="16"/>
  <c r="Z36" i="16"/>
  <c r="Y36" i="16"/>
  <c r="X36" i="16"/>
  <c r="T36" i="16"/>
  <c r="S36" i="16"/>
  <c r="R36" i="16"/>
  <c r="Q36" i="16"/>
  <c r="M36" i="16"/>
  <c r="L36" i="16"/>
  <c r="K36" i="16"/>
  <c r="J36" i="16"/>
  <c r="F36" i="16"/>
  <c r="E36" i="16"/>
  <c r="D36" i="16"/>
  <c r="C36" i="16"/>
  <c r="BG35" i="16"/>
  <c r="CG35" i="16" s="1"/>
  <c r="AO35" i="16"/>
  <c r="AN35" i="16"/>
  <c r="AM35" i="16"/>
  <c r="AL35" i="16"/>
  <c r="AH35" i="16"/>
  <c r="AG35" i="16"/>
  <c r="AF35" i="16"/>
  <c r="AE35" i="16"/>
  <c r="AA35" i="16"/>
  <c r="Z35" i="16"/>
  <c r="Y35" i="16"/>
  <c r="X35" i="16"/>
  <c r="S35" i="16"/>
  <c r="R35" i="16"/>
  <c r="Q35" i="16"/>
  <c r="M35" i="16"/>
  <c r="L35" i="16"/>
  <c r="K35" i="16"/>
  <c r="J35" i="16"/>
  <c r="F35" i="16"/>
  <c r="E35" i="16"/>
  <c r="D35" i="16"/>
  <c r="C35" i="16"/>
  <c r="CG34" i="16"/>
  <c r="BU34" i="16"/>
  <c r="AP34" i="16"/>
  <c r="AI34" i="16"/>
  <c r="AJ34" i="16" s="1"/>
  <c r="AB34" i="16"/>
  <c r="T34" i="16"/>
  <c r="S34" i="16"/>
  <c r="R34" i="16"/>
  <c r="M34" i="16"/>
  <c r="L34" i="16"/>
  <c r="K34" i="16"/>
  <c r="H34" i="16"/>
  <c r="G34" i="16"/>
  <c r="BG33" i="16"/>
  <c r="AO33" i="16"/>
  <c r="AN33" i="16"/>
  <c r="AM33" i="16"/>
  <c r="AL33" i="16"/>
  <c r="AH33" i="16"/>
  <c r="AG33" i="16"/>
  <c r="AF33" i="16"/>
  <c r="AE33" i="16"/>
  <c r="AA33" i="16"/>
  <c r="Z33" i="16"/>
  <c r="Y33" i="16"/>
  <c r="X33" i="16"/>
  <c r="T33" i="16"/>
  <c r="S33" i="16"/>
  <c r="R33" i="16"/>
  <c r="Q33" i="16"/>
  <c r="M33" i="16"/>
  <c r="L33" i="16"/>
  <c r="K33" i="16"/>
  <c r="J33" i="16"/>
  <c r="F33" i="16"/>
  <c r="E33" i="16"/>
  <c r="D33" i="16"/>
  <c r="C33" i="16"/>
  <c r="BG32" i="16"/>
  <c r="BU32" i="16" s="1"/>
  <c r="AO32" i="16"/>
  <c r="AN32" i="16"/>
  <c r="AM32" i="16"/>
  <c r="AL32" i="16"/>
  <c r="AH32" i="16"/>
  <c r="AG32" i="16"/>
  <c r="AF32" i="16"/>
  <c r="AE32" i="16"/>
  <c r="AA32" i="16"/>
  <c r="Z32" i="16"/>
  <c r="Y32" i="16"/>
  <c r="X32" i="16"/>
  <c r="T32" i="16"/>
  <c r="S32" i="16"/>
  <c r="R32" i="16"/>
  <c r="Q32" i="16"/>
  <c r="M32" i="16"/>
  <c r="L32" i="16"/>
  <c r="K32" i="16"/>
  <c r="J32" i="16"/>
  <c r="F32" i="16"/>
  <c r="E32" i="16"/>
  <c r="D32" i="16"/>
  <c r="C32" i="16"/>
  <c r="BG31" i="16"/>
  <c r="CG31" i="16" s="1"/>
  <c r="AO31" i="16"/>
  <c r="AN31" i="16"/>
  <c r="AM31" i="16"/>
  <c r="AL31" i="16"/>
  <c r="AH31" i="16"/>
  <c r="AG31" i="16"/>
  <c r="AF31" i="16"/>
  <c r="AE31" i="16"/>
  <c r="AA31" i="16"/>
  <c r="Z31" i="16"/>
  <c r="Y31" i="16"/>
  <c r="X31" i="16"/>
  <c r="T31" i="16"/>
  <c r="S31" i="16"/>
  <c r="R31" i="16"/>
  <c r="Q31" i="16"/>
  <c r="M31" i="16"/>
  <c r="L31" i="16"/>
  <c r="K31" i="16"/>
  <c r="J31" i="16"/>
  <c r="F31" i="16"/>
  <c r="E31" i="16"/>
  <c r="D31" i="16"/>
  <c r="C31" i="16"/>
  <c r="BG30" i="16"/>
  <c r="CG30" i="16" s="1"/>
  <c r="AO30" i="16"/>
  <c r="AN30" i="16"/>
  <c r="AM30" i="16"/>
  <c r="AL30" i="16"/>
  <c r="AH30" i="16"/>
  <c r="AG30" i="16"/>
  <c r="AF30" i="16"/>
  <c r="AE30" i="16"/>
  <c r="AA30" i="16"/>
  <c r="Z30" i="16"/>
  <c r="Y30" i="16"/>
  <c r="X30" i="16"/>
  <c r="T30" i="16"/>
  <c r="S30" i="16"/>
  <c r="R30" i="16"/>
  <c r="Q30" i="16"/>
  <c r="M30" i="16"/>
  <c r="L30" i="16"/>
  <c r="K30" i="16"/>
  <c r="J30" i="16"/>
  <c r="F30" i="16"/>
  <c r="E30" i="16"/>
  <c r="D30" i="16"/>
  <c r="C30" i="16"/>
  <c r="BG29" i="16"/>
  <c r="BU29" i="16" s="1"/>
  <c r="AO29" i="16"/>
  <c r="AN29" i="16"/>
  <c r="AM29" i="16"/>
  <c r="AL29" i="16"/>
  <c r="AH29" i="16"/>
  <c r="AG29" i="16"/>
  <c r="AF29" i="16"/>
  <c r="AE29" i="16"/>
  <c r="AA29" i="16"/>
  <c r="Z29" i="16"/>
  <c r="Y29" i="16"/>
  <c r="X29" i="16"/>
  <c r="T29" i="16"/>
  <c r="S29" i="16"/>
  <c r="R29" i="16"/>
  <c r="Q29" i="16"/>
  <c r="M29" i="16"/>
  <c r="L29" i="16"/>
  <c r="K29" i="16"/>
  <c r="J29" i="16"/>
  <c r="F29" i="16"/>
  <c r="E29" i="16"/>
  <c r="D29" i="16"/>
  <c r="C29" i="16"/>
  <c r="CG28" i="16"/>
  <c r="BG28" i="16"/>
  <c r="BU28" i="16" s="1"/>
  <c r="AO28" i="16"/>
  <c r="AN28" i="16"/>
  <c r="AM28" i="16"/>
  <c r="AL28" i="16"/>
  <c r="AH28" i="16"/>
  <c r="AG28" i="16"/>
  <c r="AF28" i="16"/>
  <c r="AE28" i="16"/>
  <c r="AA28" i="16"/>
  <c r="Z28" i="16"/>
  <c r="Y28" i="16"/>
  <c r="X28" i="16"/>
  <c r="T28" i="16"/>
  <c r="S28" i="16"/>
  <c r="R28" i="16"/>
  <c r="Q28" i="16"/>
  <c r="M28" i="16"/>
  <c r="L28" i="16"/>
  <c r="K28" i="16"/>
  <c r="J28" i="16"/>
  <c r="F28" i="16"/>
  <c r="E28" i="16"/>
  <c r="D28" i="16"/>
  <c r="C28" i="16"/>
  <c r="BG27" i="16"/>
  <c r="CG27" i="16" s="1"/>
  <c r="AO27" i="16"/>
  <c r="AN27" i="16"/>
  <c r="AM27" i="16"/>
  <c r="AL27" i="16"/>
  <c r="AH27" i="16"/>
  <c r="AG27" i="16"/>
  <c r="AF27" i="16"/>
  <c r="AE27" i="16"/>
  <c r="AA27" i="16"/>
  <c r="Z27" i="16"/>
  <c r="Y27" i="16"/>
  <c r="X27" i="16"/>
  <c r="T27" i="16"/>
  <c r="S27" i="16"/>
  <c r="R27" i="16"/>
  <c r="Q27" i="16"/>
  <c r="M27" i="16"/>
  <c r="L27" i="16"/>
  <c r="K27" i="16"/>
  <c r="J27" i="16"/>
  <c r="F27" i="16"/>
  <c r="E27" i="16"/>
  <c r="D27" i="16"/>
  <c r="C27" i="16"/>
  <c r="BG26" i="16"/>
  <c r="BU26" i="16" s="1"/>
  <c r="AO26" i="16"/>
  <c r="AN26" i="16"/>
  <c r="AM26" i="16"/>
  <c r="AL26" i="16"/>
  <c r="AH26" i="16"/>
  <c r="AG26" i="16"/>
  <c r="AF26" i="16"/>
  <c r="AE26" i="16"/>
  <c r="AA26" i="16"/>
  <c r="Z26" i="16"/>
  <c r="Y26" i="16"/>
  <c r="X26" i="16"/>
  <c r="T26" i="16"/>
  <c r="S26" i="16"/>
  <c r="R26" i="16"/>
  <c r="Q26" i="16"/>
  <c r="M26" i="16"/>
  <c r="L26" i="16"/>
  <c r="K26" i="16"/>
  <c r="J26" i="16"/>
  <c r="F26" i="16"/>
  <c r="E26" i="16"/>
  <c r="D26" i="16"/>
  <c r="C26" i="16"/>
  <c r="BG25" i="16"/>
  <c r="BU25" i="16" s="1"/>
  <c r="AO25" i="16"/>
  <c r="AN25" i="16"/>
  <c r="AM25" i="16"/>
  <c r="AL25" i="16"/>
  <c r="AH25" i="16"/>
  <c r="AG25" i="16"/>
  <c r="AF25" i="16"/>
  <c r="AE25" i="16"/>
  <c r="AA25" i="16"/>
  <c r="Z25" i="16"/>
  <c r="Y25" i="16"/>
  <c r="X25" i="16"/>
  <c r="T25" i="16"/>
  <c r="S25" i="16"/>
  <c r="R25" i="16"/>
  <c r="Q25" i="16"/>
  <c r="M25" i="16"/>
  <c r="L25" i="16"/>
  <c r="K25" i="16"/>
  <c r="J25" i="16"/>
  <c r="F25" i="16"/>
  <c r="E25" i="16"/>
  <c r="D25" i="16"/>
  <c r="C25" i="16"/>
  <c r="BG24" i="16"/>
  <c r="CG24" i="16" s="1"/>
  <c r="AO24" i="16"/>
  <c r="AN24" i="16"/>
  <c r="AM24" i="16"/>
  <c r="AL24" i="16"/>
  <c r="AH24" i="16"/>
  <c r="AG24" i="16"/>
  <c r="AF24" i="16"/>
  <c r="AE24" i="16"/>
  <c r="AA24" i="16"/>
  <c r="Z24" i="16"/>
  <c r="Y24" i="16"/>
  <c r="X24" i="16"/>
  <c r="T24" i="16"/>
  <c r="S24" i="16"/>
  <c r="R24" i="16"/>
  <c r="Q24" i="16"/>
  <c r="M24" i="16"/>
  <c r="L24" i="16"/>
  <c r="K24" i="16"/>
  <c r="J24" i="16"/>
  <c r="F24" i="16"/>
  <c r="E24" i="16"/>
  <c r="D24" i="16"/>
  <c r="C24" i="16"/>
  <c r="BG23" i="16"/>
  <c r="BU23" i="16" s="1"/>
  <c r="AO23" i="16"/>
  <c r="AN23" i="16"/>
  <c r="AM23" i="16"/>
  <c r="AL23" i="16"/>
  <c r="AH23" i="16"/>
  <c r="AG23" i="16"/>
  <c r="AF23" i="16"/>
  <c r="AE23" i="16"/>
  <c r="AA23" i="16"/>
  <c r="Z23" i="16"/>
  <c r="Y23" i="16"/>
  <c r="X23" i="16"/>
  <c r="T23" i="16"/>
  <c r="S23" i="16"/>
  <c r="R23" i="16"/>
  <c r="Q23" i="16"/>
  <c r="M23" i="16"/>
  <c r="L23" i="16"/>
  <c r="K23" i="16"/>
  <c r="J23" i="16"/>
  <c r="F23" i="16"/>
  <c r="E23" i="16"/>
  <c r="D23" i="16"/>
  <c r="C23" i="16"/>
  <c r="BG22" i="16"/>
  <c r="BU22" i="16" s="1"/>
  <c r="AO22" i="16"/>
  <c r="AN22" i="16"/>
  <c r="AM22" i="16"/>
  <c r="AL22" i="16"/>
  <c r="AH22" i="16"/>
  <c r="AG22" i="16"/>
  <c r="AF22" i="16"/>
  <c r="AE22" i="16"/>
  <c r="AA22" i="16"/>
  <c r="Z22" i="16"/>
  <c r="Y22" i="16"/>
  <c r="X22" i="16"/>
  <c r="T22" i="16"/>
  <c r="S22" i="16"/>
  <c r="R22" i="16"/>
  <c r="Q22" i="16"/>
  <c r="M22" i="16"/>
  <c r="L22" i="16"/>
  <c r="K22" i="16"/>
  <c r="J22" i="16"/>
  <c r="F22" i="16"/>
  <c r="E22" i="16"/>
  <c r="D22" i="16"/>
  <c r="C22" i="16"/>
  <c r="BG21" i="16"/>
  <c r="BU21" i="16" s="1"/>
  <c r="AO21" i="16"/>
  <c r="AN21" i="16"/>
  <c r="AM21" i="16"/>
  <c r="AL21" i="16"/>
  <c r="AH21" i="16"/>
  <c r="AG21" i="16"/>
  <c r="AF21" i="16"/>
  <c r="AE21" i="16"/>
  <c r="AA21" i="16"/>
  <c r="Z21" i="16"/>
  <c r="Y21" i="16"/>
  <c r="X21" i="16"/>
  <c r="T21" i="16"/>
  <c r="S21" i="16"/>
  <c r="R21" i="16"/>
  <c r="Q21" i="16"/>
  <c r="M21" i="16"/>
  <c r="L21" i="16"/>
  <c r="K21" i="16"/>
  <c r="J21" i="16"/>
  <c r="F21" i="16"/>
  <c r="E21" i="16"/>
  <c r="D21" i="16"/>
  <c r="C21" i="16"/>
  <c r="BG20" i="16"/>
  <c r="AO20" i="16"/>
  <c r="AN20" i="16"/>
  <c r="AM20" i="16"/>
  <c r="AL20" i="16"/>
  <c r="AH20" i="16"/>
  <c r="AG20" i="16"/>
  <c r="AF20" i="16"/>
  <c r="AE20" i="16"/>
  <c r="AA20" i="16"/>
  <c r="Z20" i="16"/>
  <c r="Y20" i="16"/>
  <c r="X20" i="16"/>
  <c r="T20" i="16"/>
  <c r="S20" i="16"/>
  <c r="R20" i="16"/>
  <c r="Q20" i="16"/>
  <c r="M20" i="16"/>
  <c r="L20" i="16"/>
  <c r="K20" i="16"/>
  <c r="J20" i="16"/>
  <c r="F20" i="16"/>
  <c r="E20" i="16"/>
  <c r="D20" i="16"/>
  <c r="C20" i="16"/>
  <c r="BG19" i="16"/>
  <c r="BU19" i="16" s="1"/>
  <c r="AO19" i="16"/>
  <c r="AN19" i="16"/>
  <c r="AM19" i="16"/>
  <c r="AL19" i="16"/>
  <c r="AH19" i="16"/>
  <c r="AG19" i="16"/>
  <c r="AF19" i="16"/>
  <c r="AE19" i="16"/>
  <c r="AA19" i="16"/>
  <c r="Z19" i="16"/>
  <c r="Y19" i="16"/>
  <c r="X19" i="16"/>
  <c r="T19" i="16"/>
  <c r="S19" i="16"/>
  <c r="R19" i="16"/>
  <c r="Q19" i="16"/>
  <c r="M19" i="16"/>
  <c r="L19" i="16"/>
  <c r="K19" i="16"/>
  <c r="J19" i="16"/>
  <c r="F19" i="16"/>
  <c r="E19" i="16"/>
  <c r="D19" i="16"/>
  <c r="C19" i="16"/>
  <c r="BG18" i="16"/>
  <c r="CG18" i="16" s="1"/>
  <c r="AO18" i="16"/>
  <c r="AN18" i="16"/>
  <c r="AM18" i="16"/>
  <c r="AL18" i="16"/>
  <c r="AH18" i="16"/>
  <c r="AG18" i="16"/>
  <c r="AF18" i="16"/>
  <c r="AE18" i="16"/>
  <c r="AA18" i="16"/>
  <c r="Z18" i="16"/>
  <c r="Y18" i="16"/>
  <c r="X18" i="16"/>
  <c r="T18" i="16"/>
  <c r="S18" i="16"/>
  <c r="R18" i="16"/>
  <c r="Q18" i="16"/>
  <c r="M18" i="16"/>
  <c r="L18" i="16"/>
  <c r="K18" i="16"/>
  <c r="J18" i="16"/>
  <c r="F18" i="16"/>
  <c r="E18" i="16"/>
  <c r="D18" i="16"/>
  <c r="C18" i="16"/>
  <c r="BU17" i="16"/>
  <c r="BR17" i="16"/>
  <c r="AY17" i="16"/>
  <c r="BG16" i="16"/>
  <c r="AO16" i="16"/>
  <c r="AN16" i="16"/>
  <c r="AM16" i="16"/>
  <c r="AL16" i="16"/>
  <c r="AH16" i="16"/>
  <c r="AG16" i="16"/>
  <c r="AF16" i="16"/>
  <c r="AE16" i="16"/>
  <c r="AA16" i="16"/>
  <c r="Z16" i="16"/>
  <c r="Y16" i="16"/>
  <c r="X16" i="16"/>
  <c r="T16" i="16"/>
  <c r="S16" i="16"/>
  <c r="R16" i="16"/>
  <c r="Q16" i="16"/>
  <c r="M16" i="16"/>
  <c r="L16" i="16"/>
  <c r="K16" i="16"/>
  <c r="J16" i="16"/>
  <c r="F16" i="16"/>
  <c r="E16" i="16"/>
  <c r="D16" i="16"/>
  <c r="C16" i="16"/>
  <c r="BG15" i="16"/>
  <c r="BU15" i="16" s="1"/>
  <c r="AO15" i="16"/>
  <c r="AN15" i="16"/>
  <c r="AM15" i="16"/>
  <c r="AL15" i="16"/>
  <c r="AH15" i="16"/>
  <c r="AG15" i="16"/>
  <c r="AF15" i="16"/>
  <c r="AE15" i="16"/>
  <c r="AA15" i="16"/>
  <c r="Z15" i="16"/>
  <c r="Y15" i="16"/>
  <c r="X15" i="16"/>
  <c r="T15" i="16"/>
  <c r="S15" i="16"/>
  <c r="R15" i="16"/>
  <c r="Q15" i="16"/>
  <c r="M15" i="16"/>
  <c r="L15" i="16"/>
  <c r="K15" i="16"/>
  <c r="J15" i="16"/>
  <c r="F15" i="16"/>
  <c r="E15" i="16"/>
  <c r="D15" i="16"/>
  <c r="C15" i="16"/>
  <c r="BG14" i="16"/>
  <c r="CG14" i="16" s="1"/>
  <c r="AO14" i="16"/>
  <c r="AN14" i="16"/>
  <c r="AM14" i="16"/>
  <c r="AL14" i="16"/>
  <c r="AH14" i="16"/>
  <c r="AG14" i="16"/>
  <c r="AF14" i="16"/>
  <c r="AE14" i="16"/>
  <c r="AA14" i="16"/>
  <c r="Z14" i="16"/>
  <c r="Y14" i="16"/>
  <c r="X14" i="16"/>
  <c r="T14" i="16"/>
  <c r="S14" i="16"/>
  <c r="R14" i="16"/>
  <c r="Q14" i="16"/>
  <c r="M14" i="16"/>
  <c r="L14" i="16"/>
  <c r="K14" i="16"/>
  <c r="J14" i="16"/>
  <c r="F14" i="16"/>
  <c r="E14" i="16"/>
  <c r="D14" i="16"/>
  <c r="C14" i="16"/>
  <c r="BG13" i="16"/>
  <c r="AO13" i="16"/>
  <c r="AM13" i="16"/>
  <c r="AL13" i="16"/>
  <c r="AH13" i="16"/>
  <c r="AG13" i="16"/>
  <c r="AF13" i="16"/>
  <c r="AE13" i="16"/>
  <c r="AA13" i="16"/>
  <c r="Y13" i="16"/>
  <c r="X13" i="16"/>
  <c r="T13" i="16"/>
  <c r="S13" i="16"/>
  <c r="R13" i="16"/>
  <c r="Q13" i="16"/>
  <c r="M13" i="16"/>
  <c r="L13" i="16"/>
  <c r="K13" i="16"/>
  <c r="J13" i="16"/>
  <c r="F13" i="16"/>
  <c r="E13" i="16"/>
  <c r="D13" i="16"/>
  <c r="C13" i="16"/>
  <c r="BG12" i="16"/>
  <c r="BU12" i="16" s="1"/>
  <c r="AO12" i="16"/>
  <c r="AN12" i="16"/>
  <c r="AM12" i="16"/>
  <c r="AL12" i="16"/>
  <c r="AH12" i="16"/>
  <c r="AG12" i="16"/>
  <c r="AF12" i="16"/>
  <c r="AE12" i="16"/>
  <c r="AA12" i="16"/>
  <c r="Z12" i="16"/>
  <c r="Y12" i="16"/>
  <c r="X12" i="16"/>
  <c r="T12" i="16"/>
  <c r="S12" i="16"/>
  <c r="R12" i="16"/>
  <c r="Q12" i="16"/>
  <c r="M12" i="16"/>
  <c r="L12" i="16"/>
  <c r="K12" i="16"/>
  <c r="J12" i="16"/>
  <c r="F12" i="16"/>
  <c r="E12" i="16"/>
  <c r="D12" i="16"/>
  <c r="C12" i="16"/>
  <c r="BG11" i="16"/>
  <c r="BU11" i="16" s="1"/>
  <c r="AO11" i="16"/>
  <c r="AN11" i="16"/>
  <c r="AM11" i="16"/>
  <c r="AL11" i="16"/>
  <c r="AH11" i="16"/>
  <c r="AG11" i="16"/>
  <c r="AF11" i="16"/>
  <c r="AE11" i="16"/>
  <c r="AA11" i="16"/>
  <c r="Z11" i="16"/>
  <c r="Y11" i="16"/>
  <c r="X11" i="16"/>
  <c r="T11" i="16"/>
  <c r="S11" i="16"/>
  <c r="R11" i="16"/>
  <c r="Q11" i="16"/>
  <c r="M11" i="16"/>
  <c r="L11" i="16"/>
  <c r="K11" i="16"/>
  <c r="J11" i="16"/>
  <c r="F11" i="16"/>
  <c r="E11" i="16"/>
  <c r="D11" i="16"/>
  <c r="C11" i="16"/>
  <c r="F9" i="16"/>
  <c r="E9" i="16"/>
  <c r="D9" i="16"/>
  <c r="C9" i="16"/>
  <c r="AZ8" i="16"/>
  <c r="AZ6" i="16"/>
  <c r="BE17" i="16" s="1"/>
  <c r="C58" i="15"/>
  <c r="D58" i="15" s="1"/>
  <c r="E58" i="15" s="1"/>
  <c r="F58" i="15" s="1"/>
  <c r="G58" i="15" s="1"/>
  <c r="H58" i="15" s="1"/>
  <c r="I58" i="15" s="1"/>
  <c r="J58" i="15" s="1"/>
  <c r="K58" i="15" s="1"/>
  <c r="L58" i="15" s="1"/>
  <c r="M58" i="15" s="1"/>
  <c r="N58" i="15" s="1"/>
  <c r="O58" i="15" s="1"/>
  <c r="P58" i="15" s="1"/>
  <c r="Q58" i="15" s="1"/>
  <c r="R58" i="15" s="1"/>
  <c r="S58" i="15" s="1"/>
  <c r="T58" i="15" s="1"/>
  <c r="U58" i="15" s="1"/>
  <c r="V58" i="15" s="1"/>
  <c r="W58" i="15" s="1"/>
  <c r="X58" i="15" s="1"/>
  <c r="Y58" i="15" s="1"/>
  <c r="Z58" i="15" s="1"/>
  <c r="AA58" i="15" s="1"/>
  <c r="AB58" i="15" s="1"/>
  <c r="AC58" i="15" s="1"/>
  <c r="AD58" i="15" s="1"/>
  <c r="AE58" i="15" s="1"/>
  <c r="AF58" i="15" s="1"/>
  <c r="AG58" i="15" s="1"/>
  <c r="AH58" i="15" s="1"/>
  <c r="AI58" i="15" s="1"/>
  <c r="AJ58" i="15" s="1"/>
  <c r="AK58" i="15" s="1"/>
  <c r="AL58" i="15" s="1"/>
  <c r="AM58" i="15" s="1"/>
  <c r="AN58" i="15" s="1"/>
  <c r="AO58" i="15" s="1"/>
  <c r="AP58" i="15" s="1"/>
  <c r="AQ58" i="15" s="1"/>
  <c r="AR58" i="15" s="1"/>
  <c r="AS58" i="15" s="1"/>
  <c r="AT58" i="15" s="1"/>
  <c r="AU58" i="15" s="1"/>
  <c r="AV58" i="15" s="1"/>
  <c r="AW58" i="15" s="1"/>
  <c r="AX58" i="15" s="1"/>
  <c r="AY58" i="15" s="1"/>
  <c r="AZ58" i="15" s="1"/>
  <c r="BA58" i="15" s="1"/>
  <c r="BB58" i="15" s="1"/>
  <c r="BC58" i="15" s="1"/>
  <c r="BD58" i="15" s="1"/>
  <c r="BE58" i="15" s="1"/>
  <c r="BF58" i="15" s="1"/>
  <c r="BG58" i="15" s="1"/>
  <c r="BH58" i="15" s="1"/>
  <c r="BI58" i="15" s="1"/>
  <c r="BJ58" i="15" s="1"/>
  <c r="BK58" i="15" s="1"/>
  <c r="BL58" i="15" s="1"/>
  <c r="BM58" i="15" s="1"/>
  <c r="BN58" i="15" s="1"/>
  <c r="BO58" i="15" s="1"/>
  <c r="Y51" i="15"/>
  <c r="S51" i="15"/>
  <c r="R51" i="15"/>
  <c r="Q51" i="15"/>
  <c r="M51" i="15"/>
  <c r="BL43" i="15" s="1"/>
  <c r="K51" i="15"/>
  <c r="J51" i="15"/>
  <c r="BG50" i="15"/>
  <c r="BU50" i="15" s="1"/>
  <c r="AO50" i="15"/>
  <c r="AN50" i="15"/>
  <c r="AM50" i="15"/>
  <c r="AL50" i="15"/>
  <c r="AH50" i="15"/>
  <c r="AG50" i="15"/>
  <c r="AF50" i="15"/>
  <c r="AE50" i="15"/>
  <c r="AA50" i="15"/>
  <c r="Z50" i="15"/>
  <c r="Y50" i="15"/>
  <c r="X50" i="15"/>
  <c r="T50" i="15"/>
  <c r="S50" i="15"/>
  <c r="R50" i="15"/>
  <c r="Q50" i="15"/>
  <c r="M50" i="15"/>
  <c r="L50" i="15"/>
  <c r="K50" i="15"/>
  <c r="J50" i="15"/>
  <c r="F50" i="15"/>
  <c r="E50" i="15"/>
  <c r="D50" i="15"/>
  <c r="C50" i="15"/>
  <c r="BG49" i="15"/>
  <c r="CG49" i="15" s="1"/>
  <c r="AO49" i="15"/>
  <c r="AN49" i="15"/>
  <c r="AM49" i="15"/>
  <c r="AL49" i="15"/>
  <c r="AH49" i="15"/>
  <c r="AG49" i="15"/>
  <c r="AF49" i="15"/>
  <c r="AE49" i="15"/>
  <c r="AA49" i="15"/>
  <c r="Z49" i="15"/>
  <c r="Y49" i="15"/>
  <c r="X49" i="15"/>
  <c r="T49" i="15"/>
  <c r="S49" i="15"/>
  <c r="R49" i="15"/>
  <c r="Q49" i="15"/>
  <c r="M49" i="15"/>
  <c r="L49" i="15"/>
  <c r="K49" i="15"/>
  <c r="J49" i="15"/>
  <c r="F49" i="15"/>
  <c r="E49" i="15"/>
  <c r="D49" i="15"/>
  <c r="C49" i="15"/>
  <c r="BG48" i="15"/>
  <c r="CG48" i="15" s="1"/>
  <c r="AO48" i="15"/>
  <c r="AN48" i="15"/>
  <c r="AM48" i="15"/>
  <c r="AL48" i="15"/>
  <c r="AH48" i="15"/>
  <c r="AG48" i="15"/>
  <c r="AF48" i="15"/>
  <c r="AE48" i="15"/>
  <c r="AA48" i="15"/>
  <c r="Z48" i="15"/>
  <c r="Y48" i="15"/>
  <c r="X48" i="15"/>
  <c r="T48" i="15"/>
  <c r="S48" i="15"/>
  <c r="R48" i="15"/>
  <c r="Q48" i="15"/>
  <c r="M48" i="15"/>
  <c r="L48" i="15"/>
  <c r="K48" i="15"/>
  <c r="J48" i="15"/>
  <c r="F48" i="15"/>
  <c r="E48" i="15"/>
  <c r="D48" i="15"/>
  <c r="C48" i="15"/>
  <c r="BG47" i="15"/>
  <c r="BU47" i="15" s="1"/>
  <c r="AO47" i="15"/>
  <c r="AN47" i="15"/>
  <c r="AM47" i="15"/>
  <c r="AL47" i="15"/>
  <c r="AH47" i="15"/>
  <c r="AG47" i="15"/>
  <c r="AF47" i="15"/>
  <c r="AE47" i="15"/>
  <c r="AA47" i="15"/>
  <c r="Z47" i="15"/>
  <c r="Y47" i="15"/>
  <c r="X47" i="15"/>
  <c r="T47" i="15"/>
  <c r="S47" i="15"/>
  <c r="R47" i="15"/>
  <c r="Q47" i="15"/>
  <c r="M47" i="15"/>
  <c r="BL47" i="15" s="1"/>
  <c r="L47" i="15"/>
  <c r="K47" i="15"/>
  <c r="J47" i="15"/>
  <c r="F47" i="15"/>
  <c r="E47" i="15"/>
  <c r="D47" i="15"/>
  <c r="C47" i="15"/>
  <c r="BG46" i="15"/>
  <c r="CG46" i="15" s="1"/>
  <c r="AO46" i="15"/>
  <c r="AN46" i="15"/>
  <c r="AM46" i="15"/>
  <c r="AL46" i="15"/>
  <c r="AH46" i="15"/>
  <c r="AG46" i="15"/>
  <c r="AF46" i="15"/>
  <c r="AE46" i="15"/>
  <c r="AA46" i="15"/>
  <c r="Z46" i="15"/>
  <c r="Y46" i="15"/>
  <c r="X46" i="15"/>
  <c r="T46" i="15"/>
  <c r="S46" i="15"/>
  <c r="R46" i="15"/>
  <c r="Q46" i="15"/>
  <c r="M46" i="15"/>
  <c r="L46" i="15"/>
  <c r="K46" i="15"/>
  <c r="J46" i="15"/>
  <c r="F46" i="15"/>
  <c r="E46" i="15"/>
  <c r="D46" i="15"/>
  <c r="C46" i="15"/>
  <c r="BG45" i="15"/>
  <c r="CG45" i="15" s="1"/>
  <c r="AO45" i="15"/>
  <c r="AN45" i="15"/>
  <c r="AM45" i="15"/>
  <c r="AL45" i="15"/>
  <c r="AH45" i="15"/>
  <c r="AG45" i="15"/>
  <c r="AF45" i="15"/>
  <c r="AE45" i="15"/>
  <c r="AA45" i="15"/>
  <c r="Z45" i="15"/>
  <c r="Y45" i="15"/>
  <c r="X45" i="15"/>
  <c r="T45" i="15"/>
  <c r="S45" i="15"/>
  <c r="R45" i="15"/>
  <c r="Q45" i="15"/>
  <c r="M45" i="15"/>
  <c r="L45" i="15"/>
  <c r="K45" i="15"/>
  <c r="J45" i="15"/>
  <c r="F45" i="15"/>
  <c r="E45" i="15"/>
  <c r="D45" i="15"/>
  <c r="C45" i="15"/>
  <c r="BG44" i="15"/>
  <c r="BU44" i="15" s="1"/>
  <c r="AO44" i="15"/>
  <c r="AN44" i="15"/>
  <c r="AM44" i="15"/>
  <c r="AL44" i="15"/>
  <c r="AH44" i="15"/>
  <c r="AG44" i="15"/>
  <c r="AF44" i="15"/>
  <c r="AE44" i="15"/>
  <c r="AA44" i="15"/>
  <c r="Z44" i="15"/>
  <c r="Y44" i="15"/>
  <c r="X44" i="15"/>
  <c r="T44" i="15"/>
  <c r="S44" i="15"/>
  <c r="R44" i="15"/>
  <c r="Q44" i="15"/>
  <c r="M44" i="15"/>
  <c r="L44" i="15"/>
  <c r="K44" i="15"/>
  <c r="J44" i="15"/>
  <c r="F44" i="15"/>
  <c r="E44" i="15"/>
  <c r="D44" i="15"/>
  <c r="C44" i="15"/>
  <c r="BG43" i="15"/>
  <c r="CG43" i="15" s="1"/>
  <c r="AO43" i="15"/>
  <c r="AN43" i="15"/>
  <c r="AM43" i="15"/>
  <c r="AL43" i="15"/>
  <c r="AH43" i="15"/>
  <c r="AG43" i="15"/>
  <c r="AF43" i="15"/>
  <c r="AE43" i="15"/>
  <c r="AA43" i="15"/>
  <c r="Z43" i="15"/>
  <c r="Y43" i="15"/>
  <c r="X43" i="15"/>
  <c r="T43" i="15"/>
  <c r="S43" i="15"/>
  <c r="R43" i="15"/>
  <c r="Q43" i="15"/>
  <c r="M43" i="15"/>
  <c r="L43" i="15"/>
  <c r="K43" i="15"/>
  <c r="J43" i="15"/>
  <c r="F43" i="15"/>
  <c r="E43" i="15"/>
  <c r="D43" i="15"/>
  <c r="C43" i="15"/>
  <c r="BG42" i="15"/>
  <c r="CG42" i="15" s="1"/>
  <c r="AO42" i="15"/>
  <c r="AM42" i="15"/>
  <c r="AL42" i="15"/>
  <c r="AH42" i="15"/>
  <c r="AF42" i="15"/>
  <c r="AE42" i="15"/>
  <c r="AA42" i="15"/>
  <c r="Y42" i="15"/>
  <c r="X42" i="15"/>
  <c r="T42" i="15"/>
  <c r="S42" i="15"/>
  <c r="R42" i="15"/>
  <c r="Q42" i="15"/>
  <c r="M42" i="15"/>
  <c r="L42" i="15"/>
  <c r="K42" i="15"/>
  <c r="J42" i="15"/>
  <c r="F42" i="15"/>
  <c r="E42" i="15"/>
  <c r="D42" i="15"/>
  <c r="C42" i="15"/>
  <c r="BG41" i="15"/>
  <c r="BU41" i="15" s="1"/>
  <c r="AO41" i="15"/>
  <c r="AN41" i="15"/>
  <c r="AM41" i="15"/>
  <c r="AL41" i="15"/>
  <c r="AH41" i="15"/>
  <c r="AG41" i="15"/>
  <c r="AF41" i="15"/>
  <c r="AE41" i="15"/>
  <c r="AA41" i="15"/>
  <c r="Z41" i="15"/>
  <c r="Y41" i="15"/>
  <c r="X41" i="15"/>
  <c r="T41" i="15"/>
  <c r="S41" i="15"/>
  <c r="R41" i="15"/>
  <c r="Q41" i="15"/>
  <c r="M41" i="15"/>
  <c r="L41" i="15"/>
  <c r="K41" i="15"/>
  <c r="J41" i="15"/>
  <c r="F41" i="15"/>
  <c r="E41" i="15"/>
  <c r="D41" i="15"/>
  <c r="C41" i="15"/>
  <c r="BG40" i="15"/>
  <c r="CG40" i="15" s="1"/>
  <c r="AO40" i="15"/>
  <c r="AN40" i="15"/>
  <c r="AM40" i="15"/>
  <c r="AL40" i="15"/>
  <c r="AH40" i="15"/>
  <c r="AG40" i="15"/>
  <c r="AF40" i="15"/>
  <c r="AE40" i="15"/>
  <c r="AA40" i="15"/>
  <c r="Z40" i="15"/>
  <c r="Y40" i="15"/>
  <c r="X40" i="15"/>
  <c r="T40" i="15"/>
  <c r="S40" i="15"/>
  <c r="R40" i="15"/>
  <c r="Q40" i="15"/>
  <c r="M40" i="15"/>
  <c r="L40" i="15"/>
  <c r="K40" i="15"/>
  <c r="J40" i="15"/>
  <c r="F40" i="15"/>
  <c r="E40" i="15"/>
  <c r="D40" i="15"/>
  <c r="C40" i="15"/>
  <c r="BG39" i="15"/>
  <c r="BU39" i="15" s="1"/>
  <c r="AO39" i="15"/>
  <c r="AN39" i="15"/>
  <c r="AM39" i="15"/>
  <c r="AL39" i="15"/>
  <c r="AH39" i="15"/>
  <c r="AG39" i="15"/>
  <c r="AF39" i="15"/>
  <c r="AE39" i="15"/>
  <c r="AA39" i="15"/>
  <c r="Z39" i="15"/>
  <c r="Y39" i="15"/>
  <c r="X39" i="15"/>
  <c r="T39" i="15"/>
  <c r="S39" i="15"/>
  <c r="R39" i="15"/>
  <c r="Q39" i="15"/>
  <c r="M39" i="15"/>
  <c r="L39" i="15"/>
  <c r="K39" i="15"/>
  <c r="J39" i="15"/>
  <c r="F39" i="15"/>
  <c r="E39" i="15"/>
  <c r="D39" i="15"/>
  <c r="C39" i="15"/>
  <c r="BG38" i="15"/>
  <c r="CG38" i="15" s="1"/>
  <c r="AO38" i="15"/>
  <c r="AN38" i="15"/>
  <c r="AM38" i="15"/>
  <c r="AL38" i="15"/>
  <c r="AH38" i="15"/>
  <c r="AG38" i="15"/>
  <c r="AF38" i="15"/>
  <c r="AE38" i="15"/>
  <c r="AA38" i="15"/>
  <c r="Z38" i="15"/>
  <c r="Y38" i="15"/>
  <c r="X38" i="15"/>
  <c r="T38" i="15"/>
  <c r="S38" i="15"/>
  <c r="R38" i="15"/>
  <c r="Q38" i="15"/>
  <c r="M38" i="15"/>
  <c r="BL38" i="15" s="1"/>
  <c r="L38" i="15"/>
  <c r="K38" i="15"/>
  <c r="J38" i="15"/>
  <c r="F38" i="15"/>
  <c r="E38" i="15"/>
  <c r="D38" i="15"/>
  <c r="C38" i="15"/>
  <c r="BG37" i="15"/>
  <c r="CG37" i="15" s="1"/>
  <c r="AO37" i="15"/>
  <c r="AN37" i="15"/>
  <c r="AM37" i="15"/>
  <c r="AL37" i="15"/>
  <c r="AH37" i="15"/>
  <c r="AG37" i="15"/>
  <c r="AF37" i="15"/>
  <c r="AE37" i="15"/>
  <c r="AA37" i="15"/>
  <c r="Z37" i="15"/>
  <c r="Y37" i="15"/>
  <c r="X37" i="15"/>
  <c r="T37" i="15"/>
  <c r="S37" i="15"/>
  <c r="R37" i="15"/>
  <c r="Q37" i="15"/>
  <c r="M37" i="15"/>
  <c r="L37" i="15"/>
  <c r="K37" i="15"/>
  <c r="J37" i="15"/>
  <c r="F37" i="15"/>
  <c r="E37" i="15"/>
  <c r="D37" i="15"/>
  <c r="C37" i="15"/>
  <c r="BG36" i="15"/>
  <c r="CG36" i="15" s="1"/>
  <c r="AO36" i="15"/>
  <c r="AN36" i="15"/>
  <c r="AM36" i="15"/>
  <c r="AL36" i="15"/>
  <c r="AH36" i="15"/>
  <c r="AG36" i="15"/>
  <c r="AF36" i="15"/>
  <c r="AE36" i="15"/>
  <c r="AA36" i="15"/>
  <c r="Z36" i="15"/>
  <c r="Y36" i="15"/>
  <c r="X36" i="15"/>
  <c r="T36" i="15"/>
  <c r="S36" i="15"/>
  <c r="R36" i="15"/>
  <c r="Q36" i="15"/>
  <c r="M36" i="15"/>
  <c r="L36" i="15"/>
  <c r="K36" i="15"/>
  <c r="J36" i="15"/>
  <c r="F36" i="15"/>
  <c r="E36" i="15"/>
  <c r="D36" i="15"/>
  <c r="C36" i="15"/>
  <c r="BG35" i="15"/>
  <c r="CG35" i="15" s="1"/>
  <c r="AO35" i="15"/>
  <c r="AN35" i="15"/>
  <c r="AM35" i="15"/>
  <c r="AL35" i="15"/>
  <c r="AH35" i="15"/>
  <c r="AG35" i="15"/>
  <c r="AF35" i="15"/>
  <c r="AE35" i="15"/>
  <c r="AA35" i="15"/>
  <c r="Z35" i="15"/>
  <c r="Y35" i="15"/>
  <c r="X35" i="15"/>
  <c r="T35" i="15"/>
  <c r="S35" i="15"/>
  <c r="R35" i="15"/>
  <c r="Q35" i="15"/>
  <c r="M35" i="15"/>
  <c r="L35" i="15"/>
  <c r="K35" i="15"/>
  <c r="J35" i="15"/>
  <c r="F35" i="15"/>
  <c r="E35" i="15"/>
  <c r="D35" i="15"/>
  <c r="C35" i="15"/>
  <c r="CG34" i="15"/>
  <c r="BU34" i="15"/>
  <c r="AP34" i="15"/>
  <c r="AI34" i="15"/>
  <c r="AB34" i="15"/>
  <c r="U34" i="15"/>
  <c r="N34" i="15"/>
  <c r="H34" i="15"/>
  <c r="G34" i="15"/>
  <c r="BG33" i="15"/>
  <c r="BU33" i="15" s="1"/>
  <c r="AO33" i="15"/>
  <c r="AN33" i="15"/>
  <c r="AM33" i="15"/>
  <c r="AL33" i="15"/>
  <c r="AH33" i="15"/>
  <c r="AG33" i="15"/>
  <c r="AF33" i="15"/>
  <c r="AE33" i="15"/>
  <c r="AA33" i="15"/>
  <c r="Z33" i="15"/>
  <c r="Y33" i="15"/>
  <c r="X33" i="15"/>
  <c r="T33" i="15"/>
  <c r="S33" i="15"/>
  <c r="R33" i="15"/>
  <c r="Q33" i="15"/>
  <c r="M33" i="15"/>
  <c r="L33" i="15"/>
  <c r="K33" i="15"/>
  <c r="J33" i="15"/>
  <c r="F33" i="15"/>
  <c r="E33" i="15"/>
  <c r="D33" i="15"/>
  <c r="C33" i="15"/>
  <c r="CG32" i="15"/>
  <c r="BU32" i="15"/>
  <c r="BL32" i="15"/>
  <c r="BG32" i="15"/>
  <c r="AO32" i="15"/>
  <c r="AN32" i="15"/>
  <c r="AM32" i="15"/>
  <c r="AL32" i="15"/>
  <c r="AH32" i="15"/>
  <c r="AG32" i="15"/>
  <c r="AF32" i="15"/>
  <c r="AE32" i="15"/>
  <c r="AA32" i="15"/>
  <c r="Z32" i="15"/>
  <c r="Y32" i="15"/>
  <c r="X32" i="15"/>
  <c r="T32" i="15"/>
  <c r="S32" i="15"/>
  <c r="R32" i="15"/>
  <c r="Q32" i="15"/>
  <c r="M32" i="15"/>
  <c r="L32" i="15"/>
  <c r="K32" i="15"/>
  <c r="J32" i="15"/>
  <c r="F32" i="15"/>
  <c r="E32" i="15"/>
  <c r="D32" i="15"/>
  <c r="C32" i="15"/>
  <c r="BG31" i="15"/>
  <c r="CG31" i="15" s="1"/>
  <c r="AO31" i="15"/>
  <c r="AN31" i="15"/>
  <c r="AM31" i="15"/>
  <c r="AL31" i="15"/>
  <c r="AH31" i="15"/>
  <c r="AG31" i="15"/>
  <c r="AF31" i="15"/>
  <c r="AE31" i="15"/>
  <c r="AA31" i="15"/>
  <c r="Z31" i="15"/>
  <c r="Y31" i="15"/>
  <c r="X31" i="15"/>
  <c r="T31" i="15"/>
  <c r="S31" i="15"/>
  <c r="R31" i="15"/>
  <c r="Q31" i="15"/>
  <c r="M31" i="15"/>
  <c r="L31" i="15"/>
  <c r="K31" i="15"/>
  <c r="J31" i="15"/>
  <c r="F31" i="15"/>
  <c r="E31" i="15"/>
  <c r="D31" i="15"/>
  <c r="C31" i="15"/>
  <c r="BG30" i="15"/>
  <c r="BU30" i="15" s="1"/>
  <c r="AO30" i="15"/>
  <c r="AN30" i="15"/>
  <c r="AM30" i="15"/>
  <c r="AL30" i="15"/>
  <c r="AH30" i="15"/>
  <c r="AG30" i="15"/>
  <c r="AF30" i="15"/>
  <c r="AE30" i="15"/>
  <c r="AA30" i="15"/>
  <c r="Z30" i="15"/>
  <c r="Y30" i="15"/>
  <c r="X30" i="15"/>
  <c r="T30" i="15"/>
  <c r="S30" i="15"/>
  <c r="R30" i="15"/>
  <c r="Q30" i="15"/>
  <c r="M30" i="15"/>
  <c r="L30" i="15"/>
  <c r="K30" i="15"/>
  <c r="J30" i="15"/>
  <c r="F30" i="15"/>
  <c r="E30" i="15"/>
  <c r="D30" i="15"/>
  <c r="C30" i="15"/>
  <c r="BG29" i="15"/>
  <c r="BU29" i="15" s="1"/>
  <c r="AO29" i="15"/>
  <c r="AN29" i="15"/>
  <c r="AM29" i="15"/>
  <c r="AL29" i="15"/>
  <c r="AH29" i="15"/>
  <c r="AG29" i="15"/>
  <c r="AF29" i="15"/>
  <c r="AE29" i="15"/>
  <c r="AA29" i="15"/>
  <c r="Z29" i="15"/>
  <c r="Y29" i="15"/>
  <c r="X29" i="15"/>
  <c r="T29" i="15"/>
  <c r="S29" i="15"/>
  <c r="R29" i="15"/>
  <c r="Q29" i="15"/>
  <c r="M29" i="15"/>
  <c r="BL29" i="15" s="1"/>
  <c r="L29" i="15"/>
  <c r="K29" i="15"/>
  <c r="J29" i="15"/>
  <c r="F29" i="15"/>
  <c r="E29" i="15"/>
  <c r="D29" i="15"/>
  <c r="C29" i="15"/>
  <c r="BU28" i="15"/>
  <c r="BG28" i="15"/>
  <c r="CG28" i="15" s="1"/>
  <c r="AO28" i="15"/>
  <c r="AN28" i="15"/>
  <c r="AM28" i="15"/>
  <c r="AL28" i="15"/>
  <c r="AH28" i="15"/>
  <c r="AG28" i="15"/>
  <c r="AF28" i="15"/>
  <c r="AE28" i="15"/>
  <c r="AA28" i="15"/>
  <c r="Z28" i="15"/>
  <c r="Y28" i="15"/>
  <c r="X28" i="15"/>
  <c r="T28" i="15"/>
  <c r="S28" i="15"/>
  <c r="R28" i="15"/>
  <c r="Q28" i="15"/>
  <c r="M28" i="15"/>
  <c r="L28" i="15"/>
  <c r="K28" i="15"/>
  <c r="J28" i="15"/>
  <c r="F28" i="15"/>
  <c r="E28" i="15"/>
  <c r="D28" i="15"/>
  <c r="C28" i="15"/>
  <c r="BG27" i="15"/>
  <c r="CG27" i="15" s="1"/>
  <c r="AO27" i="15"/>
  <c r="AN27" i="15"/>
  <c r="AM27" i="15"/>
  <c r="AL27" i="15"/>
  <c r="AH27" i="15"/>
  <c r="AG27" i="15"/>
  <c r="AF27" i="15"/>
  <c r="AE27" i="15"/>
  <c r="AA27" i="15"/>
  <c r="Z27" i="15"/>
  <c r="Y27" i="15"/>
  <c r="X27" i="15"/>
  <c r="T27" i="15"/>
  <c r="S27" i="15"/>
  <c r="R27" i="15"/>
  <c r="Q27" i="15"/>
  <c r="M27" i="15"/>
  <c r="L27" i="15"/>
  <c r="K27" i="15"/>
  <c r="J27" i="15"/>
  <c r="F27" i="15"/>
  <c r="E27" i="15"/>
  <c r="D27" i="15"/>
  <c r="C27" i="15"/>
  <c r="BG26" i="15"/>
  <c r="CG26" i="15" s="1"/>
  <c r="AO26" i="15"/>
  <c r="AN26" i="15"/>
  <c r="AM26" i="15"/>
  <c r="AL26" i="15"/>
  <c r="AH26" i="15"/>
  <c r="AG26" i="15"/>
  <c r="AF26" i="15"/>
  <c r="AE26" i="15"/>
  <c r="AA26" i="15"/>
  <c r="Z26" i="15"/>
  <c r="Y26" i="15"/>
  <c r="X26" i="15"/>
  <c r="T26" i="15"/>
  <c r="S26" i="15"/>
  <c r="R26" i="15"/>
  <c r="Q26" i="15"/>
  <c r="M26" i="15"/>
  <c r="L26" i="15"/>
  <c r="K26" i="15"/>
  <c r="J26" i="15"/>
  <c r="F26" i="15"/>
  <c r="E26" i="15"/>
  <c r="D26" i="15"/>
  <c r="C26" i="15"/>
  <c r="BG25" i="15"/>
  <c r="CG25" i="15" s="1"/>
  <c r="AO25" i="15"/>
  <c r="AN25" i="15"/>
  <c r="AM25" i="15"/>
  <c r="AL25" i="15"/>
  <c r="AH25" i="15"/>
  <c r="AG25" i="15"/>
  <c r="AF25" i="15"/>
  <c r="AE25" i="15"/>
  <c r="AA25" i="15"/>
  <c r="Z25" i="15"/>
  <c r="Y25" i="15"/>
  <c r="X25" i="15"/>
  <c r="T25" i="15"/>
  <c r="S25" i="15"/>
  <c r="R25" i="15"/>
  <c r="Q25" i="15"/>
  <c r="M25" i="15"/>
  <c r="L25" i="15"/>
  <c r="K25" i="15"/>
  <c r="J25" i="15"/>
  <c r="F25" i="15"/>
  <c r="E25" i="15"/>
  <c r="D25" i="15"/>
  <c r="C25" i="15"/>
  <c r="BG24" i="15"/>
  <c r="BU24" i="15" s="1"/>
  <c r="AO24" i="15"/>
  <c r="AN24" i="15"/>
  <c r="AM24" i="15"/>
  <c r="AL24" i="15"/>
  <c r="AH24" i="15"/>
  <c r="AG24" i="15"/>
  <c r="AF24" i="15"/>
  <c r="AE24" i="15"/>
  <c r="AA24" i="15"/>
  <c r="Z24" i="15"/>
  <c r="Y24" i="15"/>
  <c r="X24" i="15"/>
  <c r="T24" i="15"/>
  <c r="S24" i="15"/>
  <c r="R24" i="15"/>
  <c r="Q24" i="15"/>
  <c r="M24" i="15"/>
  <c r="L24" i="15"/>
  <c r="K24" i="15"/>
  <c r="J24" i="15"/>
  <c r="F24" i="15"/>
  <c r="E24" i="15"/>
  <c r="D24" i="15"/>
  <c r="C24" i="15"/>
  <c r="BG23" i="15"/>
  <c r="BU23" i="15" s="1"/>
  <c r="AO23" i="15"/>
  <c r="AN23" i="15"/>
  <c r="AM23" i="15"/>
  <c r="AL23" i="15"/>
  <c r="AH23" i="15"/>
  <c r="AG23" i="15"/>
  <c r="AF23" i="15"/>
  <c r="AE23" i="15"/>
  <c r="AA23" i="15"/>
  <c r="Z23" i="15"/>
  <c r="Y23" i="15"/>
  <c r="X23" i="15"/>
  <c r="T23" i="15"/>
  <c r="S23" i="15"/>
  <c r="R23" i="15"/>
  <c r="Q23" i="15"/>
  <c r="M23" i="15"/>
  <c r="L23" i="15"/>
  <c r="K23" i="15"/>
  <c r="J23" i="15"/>
  <c r="F23" i="15"/>
  <c r="E23" i="15"/>
  <c r="D23" i="15"/>
  <c r="C23" i="15"/>
  <c r="BG22" i="15"/>
  <c r="BU22" i="15" s="1"/>
  <c r="AO22" i="15"/>
  <c r="AN22" i="15"/>
  <c r="AM22" i="15"/>
  <c r="AL22" i="15"/>
  <c r="AH22" i="15"/>
  <c r="AG22" i="15"/>
  <c r="AF22" i="15"/>
  <c r="AE22" i="15"/>
  <c r="AA22" i="15"/>
  <c r="Z22" i="15"/>
  <c r="Y22" i="15"/>
  <c r="X22" i="15"/>
  <c r="T22" i="15"/>
  <c r="S22" i="15"/>
  <c r="R22" i="15"/>
  <c r="Q22" i="15"/>
  <c r="M22" i="15"/>
  <c r="L22" i="15"/>
  <c r="K22" i="15"/>
  <c r="J22" i="15"/>
  <c r="F22" i="15"/>
  <c r="E22" i="15"/>
  <c r="D22" i="15"/>
  <c r="C22" i="15"/>
  <c r="BG21" i="15"/>
  <c r="BU21" i="15" s="1"/>
  <c r="AO21" i="15"/>
  <c r="AN21" i="15"/>
  <c r="AM21" i="15"/>
  <c r="AL21" i="15"/>
  <c r="AH21" i="15"/>
  <c r="AG21" i="15"/>
  <c r="AF21" i="15"/>
  <c r="AE21" i="15"/>
  <c r="AA21" i="15"/>
  <c r="Z21" i="15"/>
  <c r="Y21" i="15"/>
  <c r="X21" i="15"/>
  <c r="T21" i="15"/>
  <c r="S21" i="15"/>
  <c r="R21" i="15"/>
  <c r="Q21" i="15"/>
  <c r="M21" i="15"/>
  <c r="BL21" i="15" s="1"/>
  <c r="L21" i="15"/>
  <c r="K21" i="15"/>
  <c r="J21" i="15"/>
  <c r="F21" i="15"/>
  <c r="E21" i="15"/>
  <c r="D21" i="15"/>
  <c r="C21" i="15"/>
  <c r="BG20" i="15"/>
  <c r="BU20" i="15" s="1"/>
  <c r="AO20" i="15"/>
  <c r="AN20" i="15"/>
  <c r="AM20" i="15"/>
  <c r="AL20" i="15"/>
  <c r="AH20" i="15"/>
  <c r="AG20" i="15"/>
  <c r="AF20" i="15"/>
  <c r="AE20" i="15"/>
  <c r="AA20" i="15"/>
  <c r="Z20" i="15"/>
  <c r="Y20" i="15"/>
  <c r="X20" i="15"/>
  <c r="T20" i="15"/>
  <c r="S20" i="15"/>
  <c r="R20" i="15"/>
  <c r="Q20" i="15"/>
  <c r="M20" i="15"/>
  <c r="L20" i="15"/>
  <c r="K20" i="15"/>
  <c r="J20" i="15"/>
  <c r="F20" i="15"/>
  <c r="E20" i="15"/>
  <c r="D20" i="15"/>
  <c r="C20" i="15"/>
  <c r="BG19" i="15"/>
  <c r="CG19" i="15" s="1"/>
  <c r="AO19" i="15"/>
  <c r="AN19" i="15"/>
  <c r="AM19" i="15"/>
  <c r="AL19" i="15"/>
  <c r="AH19" i="15"/>
  <c r="AG19" i="15"/>
  <c r="AF19" i="15"/>
  <c r="AE19" i="15"/>
  <c r="AA19" i="15"/>
  <c r="Z19" i="15"/>
  <c r="Y19" i="15"/>
  <c r="X19" i="15"/>
  <c r="T19" i="15"/>
  <c r="S19" i="15"/>
  <c r="R19" i="15"/>
  <c r="Q19" i="15"/>
  <c r="M19" i="15"/>
  <c r="L19" i="15"/>
  <c r="K19" i="15"/>
  <c r="J19" i="15"/>
  <c r="F19" i="15"/>
  <c r="E19" i="15"/>
  <c r="D19" i="15"/>
  <c r="C19" i="15"/>
  <c r="CG18" i="15"/>
  <c r="BG18" i="15"/>
  <c r="BU18" i="15" s="1"/>
  <c r="AO18" i="15"/>
  <c r="AN18" i="15"/>
  <c r="AM18" i="15"/>
  <c r="AL18" i="15"/>
  <c r="AH18" i="15"/>
  <c r="AG18" i="15"/>
  <c r="AF18" i="15"/>
  <c r="AE18" i="15"/>
  <c r="AA18" i="15"/>
  <c r="Z18" i="15"/>
  <c r="Y18" i="15"/>
  <c r="X18" i="15"/>
  <c r="T18" i="15"/>
  <c r="S18" i="15"/>
  <c r="R18" i="15"/>
  <c r="Q18" i="15"/>
  <c r="M18" i="15"/>
  <c r="BL18" i="15" s="1"/>
  <c r="L18" i="15"/>
  <c r="K18" i="15"/>
  <c r="J18" i="15"/>
  <c r="F18" i="15"/>
  <c r="E18" i="15"/>
  <c r="D18" i="15"/>
  <c r="C18" i="15"/>
  <c r="BU17" i="15"/>
  <c r="BR17" i="15"/>
  <c r="AY17" i="15"/>
  <c r="BG16" i="15"/>
  <c r="BU16" i="15" s="1"/>
  <c r="AO16" i="15"/>
  <c r="AN16" i="15"/>
  <c r="AM16" i="15"/>
  <c r="AL16" i="15"/>
  <c r="AH16" i="15"/>
  <c r="AG16" i="15"/>
  <c r="AF16" i="15"/>
  <c r="AE16" i="15"/>
  <c r="AA16" i="15"/>
  <c r="Z16" i="15"/>
  <c r="Y16" i="15"/>
  <c r="X16" i="15"/>
  <c r="T16" i="15"/>
  <c r="S16" i="15"/>
  <c r="R16" i="15"/>
  <c r="Q16" i="15"/>
  <c r="M16" i="15"/>
  <c r="L16" i="15"/>
  <c r="K16" i="15"/>
  <c r="J16" i="15"/>
  <c r="F16" i="15"/>
  <c r="E16" i="15"/>
  <c r="D16" i="15"/>
  <c r="C16" i="15"/>
  <c r="BG15" i="15"/>
  <c r="CG15" i="15" s="1"/>
  <c r="AO15" i="15"/>
  <c r="AN15" i="15"/>
  <c r="AM15" i="15"/>
  <c r="AL15" i="15"/>
  <c r="AH15" i="15"/>
  <c r="AG15" i="15"/>
  <c r="AF15" i="15"/>
  <c r="AE15" i="15"/>
  <c r="AA15" i="15"/>
  <c r="Z15" i="15"/>
  <c r="Y15" i="15"/>
  <c r="X15" i="15"/>
  <c r="T15" i="15"/>
  <c r="S15" i="15"/>
  <c r="R15" i="15"/>
  <c r="Q15" i="15"/>
  <c r="M15" i="15"/>
  <c r="L15" i="15"/>
  <c r="K15" i="15"/>
  <c r="J15" i="15"/>
  <c r="F15" i="15"/>
  <c r="E15" i="15"/>
  <c r="D15" i="15"/>
  <c r="C15" i="15"/>
  <c r="BG14" i="15"/>
  <c r="BU14" i="15" s="1"/>
  <c r="AO14" i="15"/>
  <c r="AN14" i="15"/>
  <c r="AM14" i="15"/>
  <c r="AL14" i="15"/>
  <c r="AH14" i="15"/>
  <c r="AG14" i="15"/>
  <c r="AF14" i="15"/>
  <c r="AE14" i="15"/>
  <c r="AA14" i="15"/>
  <c r="Z14" i="15"/>
  <c r="Y14" i="15"/>
  <c r="X14" i="15"/>
  <c r="T14" i="15"/>
  <c r="S14" i="15"/>
  <c r="R14" i="15"/>
  <c r="Q14" i="15"/>
  <c r="M14" i="15"/>
  <c r="L14" i="15"/>
  <c r="K14" i="15"/>
  <c r="J14" i="15"/>
  <c r="F14" i="15"/>
  <c r="E14" i="15"/>
  <c r="D14" i="15"/>
  <c r="C14" i="15"/>
  <c r="BG13" i="15"/>
  <c r="CG13" i="15" s="1"/>
  <c r="AO13" i="15"/>
  <c r="AM13" i="15"/>
  <c r="AL13" i="15"/>
  <c r="AH13" i="15"/>
  <c r="AF13" i="15"/>
  <c r="AE13" i="15"/>
  <c r="AA13" i="15"/>
  <c r="Z13" i="15"/>
  <c r="Y13" i="15"/>
  <c r="X13" i="15"/>
  <c r="T13" i="15"/>
  <c r="S13" i="15"/>
  <c r="R13" i="15"/>
  <c r="Q13" i="15"/>
  <c r="M13" i="15"/>
  <c r="L13" i="15"/>
  <c r="K13" i="15"/>
  <c r="J13" i="15"/>
  <c r="F13" i="15"/>
  <c r="E13" i="15"/>
  <c r="D13" i="15"/>
  <c r="C13" i="15"/>
  <c r="BU12" i="15"/>
  <c r="BG12" i="15"/>
  <c r="CG12" i="15" s="1"/>
  <c r="AO12" i="15"/>
  <c r="AN12" i="15"/>
  <c r="AM12" i="15"/>
  <c r="AL12" i="15"/>
  <c r="AH12" i="15"/>
  <c r="AG12" i="15"/>
  <c r="AF12" i="15"/>
  <c r="AE12" i="15"/>
  <c r="AA12" i="15"/>
  <c r="Z12" i="15"/>
  <c r="Y12" i="15"/>
  <c r="X12" i="15"/>
  <c r="T12" i="15"/>
  <c r="S12" i="15"/>
  <c r="R12" i="15"/>
  <c r="Q12" i="15"/>
  <c r="M12" i="15"/>
  <c r="L12" i="15"/>
  <c r="K12" i="15"/>
  <c r="J12" i="15"/>
  <c r="F12" i="15"/>
  <c r="E12" i="15"/>
  <c r="D12" i="15"/>
  <c r="C12" i="15"/>
  <c r="BG11" i="15"/>
  <c r="BU11" i="15" s="1"/>
  <c r="AO11" i="15"/>
  <c r="AN11" i="15"/>
  <c r="AM11" i="15"/>
  <c r="AL11" i="15"/>
  <c r="AH11" i="15"/>
  <c r="AG11" i="15"/>
  <c r="AF11" i="15"/>
  <c r="AE11" i="15"/>
  <c r="AA11" i="15"/>
  <c r="Z11" i="15"/>
  <c r="Y11" i="15"/>
  <c r="X11" i="15"/>
  <c r="T11" i="15"/>
  <c r="S11" i="15"/>
  <c r="R11" i="15"/>
  <c r="Q11" i="15"/>
  <c r="M11" i="15"/>
  <c r="BL11" i="15" s="1"/>
  <c r="L11" i="15"/>
  <c r="K11" i="15"/>
  <c r="J11" i="15"/>
  <c r="F11" i="15"/>
  <c r="E11" i="15"/>
  <c r="D11" i="15"/>
  <c r="C11" i="15"/>
  <c r="F9" i="15"/>
  <c r="E9" i="15"/>
  <c r="D9" i="15"/>
  <c r="C9" i="15"/>
  <c r="AZ8" i="15"/>
  <c r="AZ6" i="15"/>
  <c r="C58" i="14"/>
  <c r="D58" i="14" s="1"/>
  <c r="E58" i="14" s="1"/>
  <c r="F58" i="14" s="1"/>
  <c r="G58" i="14" s="1"/>
  <c r="H58" i="14" s="1"/>
  <c r="I58" i="14" s="1"/>
  <c r="J58" i="14" s="1"/>
  <c r="K58" i="14" s="1"/>
  <c r="L58" i="14" s="1"/>
  <c r="M58" i="14" s="1"/>
  <c r="N58" i="14" s="1"/>
  <c r="O58" i="14" s="1"/>
  <c r="P58" i="14" s="1"/>
  <c r="Q58" i="14" s="1"/>
  <c r="R58" i="14" s="1"/>
  <c r="S58" i="14" s="1"/>
  <c r="T58" i="14" s="1"/>
  <c r="U58" i="14" s="1"/>
  <c r="V58" i="14" s="1"/>
  <c r="W58" i="14" s="1"/>
  <c r="X58" i="14" s="1"/>
  <c r="Y58" i="14" s="1"/>
  <c r="Z58" i="14" s="1"/>
  <c r="AA58" i="14" s="1"/>
  <c r="AB58" i="14" s="1"/>
  <c r="AC58" i="14" s="1"/>
  <c r="AD58" i="14" s="1"/>
  <c r="AE58" i="14" s="1"/>
  <c r="AF58" i="14" s="1"/>
  <c r="AG58" i="14" s="1"/>
  <c r="AH58" i="14" s="1"/>
  <c r="AI58" i="14" s="1"/>
  <c r="AJ58" i="14" s="1"/>
  <c r="AK58" i="14" s="1"/>
  <c r="AL58" i="14" s="1"/>
  <c r="AM58" i="14" s="1"/>
  <c r="AN58" i="14" s="1"/>
  <c r="AO58" i="14" s="1"/>
  <c r="AP58" i="14" s="1"/>
  <c r="AQ58" i="14" s="1"/>
  <c r="AR58" i="14" s="1"/>
  <c r="AS58" i="14" s="1"/>
  <c r="AT58" i="14" s="1"/>
  <c r="AU58" i="14" s="1"/>
  <c r="AV58" i="14" s="1"/>
  <c r="AW58" i="14" s="1"/>
  <c r="AX58" i="14" s="1"/>
  <c r="AY58" i="14" s="1"/>
  <c r="AZ58" i="14" s="1"/>
  <c r="BA58" i="14" s="1"/>
  <c r="BB58" i="14" s="1"/>
  <c r="BC58" i="14" s="1"/>
  <c r="BD58" i="14" s="1"/>
  <c r="BE58" i="14" s="1"/>
  <c r="BF58" i="14" s="1"/>
  <c r="BG58" i="14" s="1"/>
  <c r="BH58" i="14" s="1"/>
  <c r="BI58" i="14" s="1"/>
  <c r="BJ58" i="14" s="1"/>
  <c r="BK58" i="14" s="1"/>
  <c r="BL58" i="14" s="1"/>
  <c r="BM58" i="14" s="1"/>
  <c r="BN58" i="14" s="1"/>
  <c r="BO58" i="14" s="1"/>
  <c r="S51" i="14"/>
  <c r="R51" i="14"/>
  <c r="Q51" i="14"/>
  <c r="M51" i="14"/>
  <c r="L51" i="14"/>
  <c r="K51" i="14"/>
  <c r="J51" i="14"/>
  <c r="BU50" i="14"/>
  <c r="BG50" i="14"/>
  <c r="CG50" i="14" s="1"/>
  <c r="AO50" i="14"/>
  <c r="AN50" i="14"/>
  <c r="AM50" i="14"/>
  <c r="AL50" i="14"/>
  <c r="AH50" i="14"/>
  <c r="AG50" i="14"/>
  <c r="AF50" i="14"/>
  <c r="AE50" i="14"/>
  <c r="AA50" i="14"/>
  <c r="Z50" i="14"/>
  <c r="Y50" i="14"/>
  <c r="X50" i="14"/>
  <c r="T50" i="14"/>
  <c r="S50" i="14"/>
  <c r="R50" i="14"/>
  <c r="Q50" i="14"/>
  <c r="M50" i="14"/>
  <c r="L50" i="14"/>
  <c r="K50" i="14"/>
  <c r="J50" i="14"/>
  <c r="F50" i="14"/>
  <c r="E50" i="14"/>
  <c r="D50" i="14"/>
  <c r="C50" i="14"/>
  <c r="BG49" i="14"/>
  <c r="CG49" i="14" s="1"/>
  <c r="AO49" i="14"/>
  <c r="AN49" i="14"/>
  <c r="AM49" i="14"/>
  <c r="AL49" i="14"/>
  <c r="AH49" i="14"/>
  <c r="AG49" i="14"/>
  <c r="AF49" i="14"/>
  <c r="AE49" i="14"/>
  <c r="AA49" i="14"/>
  <c r="Z49" i="14"/>
  <c r="Y49" i="14"/>
  <c r="X49" i="14"/>
  <c r="T49" i="14"/>
  <c r="S49" i="14"/>
  <c r="R49" i="14"/>
  <c r="Q49" i="14"/>
  <c r="M49" i="14"/>
  <c r="BL49" i="14" s="1"/>
  <c r="L49" i="14"/>
  <c r="K49" i="14"/>
  <c r="J49" i="14"/>
  <c r="F49" i="14"/>
  <c r="E49" i="14"/>
  <c r="D49" i="14"/>
  <c r="C49" i="14"/>
  <c r="BG48" i="14"/>
  <c r="CG48" i="14" s="1"/>
  <c r="AO48" i="14"/>
  <c r="AN48" i="14"/>
  <c r="AM48" i="14"/>
  <c r="AL48" i="14"/>
  <c r="AH48" i="14"/>
  <c r="AG48" i="14"/>
  <c r="AF48" i="14"/>
  <c r="AE48" i="14"/>
  <c r="AA48" i="14"/>
  <c r="Z48" i="14"/>
  <c r="Y48" i="14"/>
  <c r="X48" i="14"/>
  <c r="T48" i="14"/>
  <c r="S48" i="14"/>
  <c r="R48" i="14"/>
  <c r="Q48" i="14"/>
  <c r="M48" i="14"/>
  <c r="L48" i="14"/>
  <c r="K48" i="14"/>
  <c r="J48" i="14"/>
  <c r="F48" i="14"/>
  <c r="E48" i="14"/>
  <c r="D48" i="14"/>
  <c r="C48" i="14"/>
  <c r="BG47" i="14"/>
  <c r="CG47" i="14" s="1"/>
  <c r="AO47" i="14"/>
  <c r="AN47" i="14"/>
  <c r="AM47" i="14"/>
  <c r="AL47" i="14"/>
  <c r="AH47" i="14"/>
  <c r="AG47" i="14"/>
  <c r="AF47" i="14"/>
  <c r="AE47" i="14"/>
  <c r="AA47" i="14"/>
  <c r="Z47" i="14"/>
  <c r="Y47" i="14"/>
  <c r="X47" i="14"/>
  <c r="T47" i="14"/>
  <c r="S47" i="14"/>
  <c r="R47" i="14"/>
  <c r="Q47" i="14"/>
  <c r="M47" i="14"/>
  <c r="L47" i="14"/>
  <c r="K47" i="14"/>
  <c r="J47" i="14"/>
  <c r="F47" i="14"/>
  <c r="E47" i="14"/>
  <c r="D47" i="14"/>
  <c r="C47" i="14"/>
  <c r="CG46" i="14"/>
  <c r="BU46" i="14"/>
  <c r="BL46" i="14"/>
  <c r="BG46" i="14"/>
  <c r="AO46" i="14"/>
  <c r="AN46" i="14"/>
  <c r="AM46" i="14"/>
  <c r="AL46" i="14"/>
  <c r="AH46" i="14"/>
  <c r="AG46" i="14"/>
  <c r="AF46" i="14"/>
  <c r="AE46" i="14"/>
  <c r="AA46" i="14"/>
  <c r="Z46" i="14"/>
  <c r="Y46" i="14"/>
  <c r="X46" i="14"/>
  <c r="T46" i="14"/>
  <c r="S46" i="14"/>
  <c r="R46" i="14"/>
  <c r="Q46" i="14"/>
  <c r="M46" i="14"/>
  <c r="L46" i="14"/>
  <c r="K46" i="14"/>
  <c r="J46" i="14"/>
  <c r="N46" i="14" s="1"/>
  <c r="F46" i="14"/>
  <c r="E46" i="14"/>
  <c r="D46" i="14"/>
  <c r="C46" i="14"/>
  <c r="BG45" i="14"/>
  <c r="CG45" i="14" s="1"/>
  <c r="AO45" i="14"/>
  <c r="AN45" i="14"/>
  <c r="AM45" i="14"/>
  <c r="AL45" i="14"/>
  <c r="AH45" i="14"/>
  <c r="AG45" i="14"/>
  <c r="AF45" i="14"/>
  <c r="AE45" i="14"/>
  <c r="AA45" i="14"/>
  <c r="Z45" i="14"/>
  <c r="Y45" i="14"/>
  <c r="X45" i="14"/>
  <c r="T45" i="14"/>
  <c r="S45" i="14"/>
  <c r="R45" i="14"/>
  <c r="Q45" i="14"/>
  <c r="M45" i="14"/>
  <c r="BL45" i="14" s="1"/>
  <c r="L45" i="14"/>
  <c r="K45" i="14"/>
  <c r="J45" i="14"/>
  <c r="F45" i="14"/>
  <c r="E45" i="14"/>
  <c r="D45" i="14"/>
  <c r="C45" i="14"/>
  <c r="BG44" i="14"/>
  <c r="CG44" i="14" s="1"/>
  <c r="AO44" i="14"/>
  <c r="AN44" i="14"/>
  <c r="AM44" i="14"/>
  <c r="AL44" i="14"/>
  <c r="AH44" i="14"/>
  <c r="AG44" i="14"/>
  <c r="AF44" i="14"/>
  <c r="AE44" i="14"/>
  <c r="AA44" i="14"/>
  <c r="Z44" i="14"/>
  <c r="Y44" i="14"/>
  <c r="X44" i="14"/>
  <c r="T44" i="14"/>
  <c r="S44" i="14"/>
  <c r="R44" i="14"/>
  <c r="Q44" i="14"/>
  <c r="M44" i="14"/>
  <c r="BL44" i="14" s="1"/>
  <c r="L44" i="14"/>
  <c r="K44" i="14"/>
  <c r="J44" i="14"/>
  <c r="F44" i="14"/>
  <c r="E44" i="14"/>
  <c r="D44" i="14"/>
  <c r="C44" i="14"/>
  <c r="BG43" i="14"/>
  <c r="BU43" i="14" s="1"/>
  <c r="AO43" i="14"/>
  <c r="AN43" i="14"/>
  <c r="AM43" i="14"/>
  <c r="AL43" i="14"/>
  <c r="AH43" i="14"/>
  <c r="AG43" i="14"/>
  <c r="AF43" i="14"/>
  <c r="AE43" i="14"/>
  <c r="AA43" i="14"/>
  <c r="Z43" i="14"/>
  <c r="Y43" i="14"/>
  <c r="X43" i="14"/>
  <c r="T43" i="14"/>
  <c r="S43" i="14"/>
  <c r="R43" i="14"/>
  <c r="Q43" i="14"/>
  <c r="M43" i="14"/>
  <c r="BL43" i="14" s="1"/>
  <c r="L43" i="14"/>
  <c r="K43" i="14"/>
  <c r="J43" i="14"/>
  <c r="F43" i="14"/>
  <c r="E43" i="14"/>
  <c r="D43" i="14"/>
  <c r="C43" i="14"/>
  <c r="BG42" i="14"/>
  <c r="BU42" i="14" s="1"/>
  <c r="AO42" i="14"/>
  <c r="AN42" i="14"/>
  <c r="AM42" i="14"/>
  <c r="AL42" i="14"/>
  <c r="AH42" i="14"/>
  <c r="AF42" i="14"/>
  <c r="AE42" i="14"/>
  <c r="AA42" i="14"/>
  <c r="Y42" i="14"/>
  <c r="X42" i="14"/>
  <c r="T42" i="14"/>
  <c r="S42" i="14"/>
  <c r="R42" i="14"/>
  <c r="Q42" i="14"/>
  <c r="M42" i="14"/>
  <c r="BL42" i="14" s="1"/>
  <c r="L42" i="14"/>
  <c r="K42" i="14"/>
  <c r="J42" i="14"/>
  <c r="F42" i="14"/>
  <c r="E42" i="14"/>
  <c r="D42" i="14"/>
  <c r="C42" i="14"/>
  <c r="BG41" i="14"/>
  <c r="CG41" i="14" s="1"/>
  <c r="AO41" i="14"/>
  <c r="AN41" i="14"/>
  <c r="AM41" i="14"/>
  <c r="AL41" i="14"/>
  <c r="AH41" i="14"/>
  <c r="AG41" i="14"/>
  <c r="AF41" i="14"/>
  <c r="AE41" i="14"/>
  <c r="AA41" i="14"/>
  <c r="Z41" i="14"/>
  <c r="Y41" i="14"/>
  <c r="X41" i="14"/>
  <c r="T41" i="14"/>
  <c r="S41" i="14"/>
  <c r="R41" i="14"/>
  <c r="Q41" i="14"/>
  <c r="M41" i="14"/>
  <c r="BL41" i="14" s="1"/>
  <c r="L41" i="14"/>
  <c r="K41" i="14"/>
  <c r="J41" i="14"/>
  <c r="F41" i="14"/>
  <c r="E41" i="14"/>
  <c r="D41" i="14"/>
  <c r="C41" i="14"/>
  <c r="BG40" i="14"/>
  <c r="CG40" i="14" s="1"/>
  <c r="AO40" i="14"/>
  <c r="AN40" i="14"/>
  <c r="AM40" i="14"/>
  <c r="AL40" i="14"/>
  <c r="AH40" i="14"/>
  <c r="AG40" i="14"/>
  <c r="AF40" i="14"/>
  <c r="AE40" i="14"/>
  <c r="AA40" i="14"/>
  <c r="Z40" i="14"/>
  <c r="Y40" i="14"/>
  <c r="X40" i="14"/>
  <c r="T40" i="14"/>
  <c r="S40" i="14"/>
  <c r="R40" i="14"/>
  <c r="Q40" i="14"/>
  <c r="M40" i="14"/>
  <c r="L40" i="14"/>
  <c r="K40" i="14"/>
  <c r="J40" i="14"/>
  <c r="F40" i="14"/>
  <c r="E40" i="14"/>
  <c r="D40" i="14"/>
  <c r="C40" i="14"/>
  <c r="BG39" i="14"/>
  <c r="CG39" i="14" s="1"/>
  <c r="AO39" i="14"/>
  <c r="AN39" i="14"/>
  <c r="AM39" i="14"/>
  <c r="AL39" i="14"/>
  <c r="AH39" i="14"/>
  <c r="AG39" i="14"/>
  <c r="AF39" i="14"/>
  <c r="AE39" i="14"/>
  <c r="AA39" i="14"/>
  <c r="Z39" i="14"/>
  <c r="Y39" i="14"/>
  <c r="X39" i="14"/>
  <c r="T39" i="14"/>
  <c r="S39" i="14"/>
  <c r="R39" i="14"/>
  <c r="Q39" i="14"/>
  <c r="M39" i="14"/>
  <c r="L39" i="14"/>
  <c r="K39" i="14"/>
  <c r="J39" i="14"/>
  <c r="F39" i="14"/>
  <c r="E39" i="14"/>
  <c r="D39" i="14"/>
  <c r="C39" i="14"/>
  <c r="BL38" i="14"/>
  <c r="BG38" i="14"/>
  <c r="CG38" i="14" s="1"/>
  <c r="AO38" i="14"/>
  <c r="AN38" i="14"/>
  <c r="AM38" i="14"/>
  <c r="AL38" i="14"/>
  <c r="AH38" i="14"/>
  <c r="AG38" i="14"/>
  <c r="AF38" i="14"/>
  <c r="AE38" i="14"/>
  <c r="AA38" i="14"/>
  <c r="Z38" i="14"/>
  <c r="Y38" i="14"/>
  <c r="X38" i="14"/>
  <c r="T38" i="14"/>
  <c r="S38" i="14"/>
  <c r="R38" i="14"/>
  <c r="Q38" i="14"/>
  <c r="M38" i="14"/>
  <c r="L38" i="14"/>
  <c r="K38" i="14"/>
  <c r="N38" i="14" s="1"/>
  <c r="J38" i="14"/>
  <c r="F38" i="14"/>
  <c r="E38" i="14"/>
  <c r="D38" i="14"/>
  <c r="C38" i="14"/>
  <c r="BG37" i="14"/>
  <c r="BU37" i="14" s="1"/>
  <c r="AO37" i="14"/>
  <c r="AN37" i="14"/>
  <c r="AM37" i="14"/>
  <c r="AL37" i="14"/>
  <c r="AH37" i="14"/>
  <c r="AG37" i="14"/>
  <c r="AF37" i="14"/>
  <c r="AE37" i="14"/>
  <c r="AA37" i="14"/>
  <c r="Z37" i="14"/>
  <c r="Y37" i="14"/>
  <c r="X37" i="14"/>
  <c r="T37" i="14"/>
  <c r="S37" i="14"/>
  <c r="R37" i="14"/>
  <c r="Q37" i="14"/>
  <c r="M37" i="14"/>
  <c r="L37" i="14"/>
  <c r="K37" i="14"/>
  <c r="J37" i="14"/>
  <c r="F37" i="14"/>
  <c r="E37" i="14"/>
  <c r="D37" i="14"/>
  <c r="C37" i="14"/>
  <c r="BG36" i="14"/>
  <c r="BU36" i="14" s="1"/>
  <c r="AO36" i="14"/>
  <c r="AN36" i="14"/>
  <c r="AM36" i="14"/>
  <c r="AL36" i="14"/>
  <c r="AH36" i="14"/>
  <c r="AG36" i="14"/>
  <c r="AF36" i="14"/>
  <c r="AE36" i="14"/>
  <c r="AA36" i="14"/>
  <c r="Z36" i="14"/>
  <c r="Y36" i="14"/>
  <c r="X36" i="14"/>
  <c r="T36" i="14"/>
  <c r="S36" i="14"/>
  <c r="R36" i="14"/>
  <c r="Q36" i="14"/>
  <c r="M36" i="14"/>
  <c r="BL36" i="14" s="1"/>
  <c r="L36" i="14"/>
  <c r="K36" i="14"/>
  <c r="J36" i="14"/>
  <c r="F36" i="14"/>
  <c r="E36" i="14"/>
  <c r="D36" i="14"/>
  <c r="C36" i="14"/>
  <c r="BG35" i="14"/>
  <c r="CG35" i="14" s="1"/>
  <c r="AO35" i="14"/>
  <c r="AN35" i="14"/>
  <c r="AM35" i="14"/>
  <c r="AL35" i="14"/>
  <c r="AH35" i="14"/>
  <c r="AG35" i="14"/>
  <c r="AF35" i="14"/>
  <c r="AE35" i="14"/>
  <c r="AA35" i="14"/>
  <c r="Z35" i="14"/>
  <c r="Y35" i="14"/>
  <c r="X35" i="14"/>
  <c r="T35" i="14"/>
  <c r="S35" i="14"/>
  <c r="R35" i="14"/>
  <c r="Q35" i="14"/>
  <c r="M35" i="14"/>
  <c r="L35" i="14"/>
  <c r="K35" i="14"/>
  <c r="J35" i="14"/>
  <c r="F35" i="14"/>
  <c r="E35" i="14"/>
  <c r="D35" i="14"/>
  <c r="C35" i="14"/>
  <c r="CG34" i="14"/>
  <c r="BU34" i="14"/>
  <c r="BL34" i="14"/>
  <c r="AP34" i="14"/>
  <c r="AI34" i="14"/>
  <c r="AB34" i="14"/>
  <c r="U34" i="14"/>
  <c r="T34" i="14"/>
  <c r="N34" i="14"/>
  <c r="M34" i="14"/>
  <c r="H34" i="14"/>
  <c r="G34" i="14"/>
  <c r="BG33" i="14"/>
  <c r="BU33" i="14" s="1"/>
  <c r="AO33" i="14"/>
  <c r="AN33" i="14"/>
  <c r="AM33" i="14"/>
  <c r="AL33" i="14"/>
  <c r="AH33" i="14"/>
  <c r="AG33" i="14"/>
  <c r="AF33" i="14"/>
  <c r="AE33" i="14"/>
  <c r="AA33" i="14"/>
  <c r="Z33" i="14"/>
  <c r="Y33" i="14"/>
  <c r="X33" i="14"/>
  <c r="T33" i="14"/>
  <c r="S33" i="14"/>
  <c r="R33" i="14"/>
  <c r="Q33" i="14"/>
  <c r="M33" i="14"/>
  <c r="BL33" i="14" s="1"/>
  <c r="L33" i="14"/>
  <c r="K33" i="14"/>
  <c r="J33" i="14"/>
  <c r="F33" i="14"/>
  <c r="E33" i="14"/>
  <c r="D33" i="14"/>
  <c r="C33" i="14"/>
  <c r="BL32" i="14"/>
  <c r="BG32" i="14"/>
  <c r="CG32" i="14" s="1"/>
  <c r="AO32" i="14"/>
  <c r="AN32" i="14"/>
  <c r="AM32" i="14"/>
  <c r="AL32" i="14"/>
  <c r="AH32" i="14"/>
  <c r="AG32" i="14"/>
  <c r="AF32" i="14"/>
  <c r="AE32" i="14"/>
  <c r="AA32" i="14"/>
  <c r="Z32" i="14"/>
  <c r="Y32" i="14"/>
  <c r="X32" i="14"/>
  <c r="T32" i="14"/>
  <c r="S32" i="14"/>
  <c r="R32" i="14"/>
  <c r="Q32" i="14"/>
  <c r="M32" i="14"/>
  <c r="L32" i="14"/>
  <c r="K32" i="14"/>
  <c r="J32" i="14"/>
  <c r="F32" i="14"/>
  <c r="E32" i="14"/>
  <c r="D32" i="14"/>
  <c r="C32" i="14"/>
  <c r="BG31" i="14"/>
  <c r="CG31" i="14" s="1"/>
  <c r="AO31" i="14"/>
  <c r="AN31" i="14"/>
  <c r="AM31" i="14"/>
  <c r="AL31" i="14"/>
  <c r="AH31" i="14"/>
  <c r="AG31" i="14"/>
  <c r="AF31" i="14"/>
  <c r="AE31" i="14"/>
  <c r="AA31" i="14"/>
  <c r="Z31" i="14"/>
  <c r="Y31" i="14"/>
  <c r="X31" i="14"/>
  <c r="T31" i="14"/>
  <c r="S31" i="14"/>
  <c r="R31" i="14"/>
  <c r="Q31" i="14"/>
  <c r="M31" i="14"/>
  <c r="L31" i="14"/>
  <c r="K31" i="14"/>
  <c r="J31" i="14"/>
  <c r="F31" i="14"/>
  <c r="E31" i="14"/>
  <c r="D31" i="14"/>
  <c r="C31" i="14"/>
  <c r="CG30" i="14"/>
  <c r="BG30" i="14"/>
  <c r="BU30" i="14" s="1"/>
  <c r="AO30" i="14"/>
  <c r="AN30" i="14"/>
  <c r="AM30" i="14"/>
  <c r="AL30" i="14"/>
  <c r="AH30" i="14"/>
  <c r="AG30" i="14"/>
  <c r="AF30" i="14"/>
  <c r="AE30" i="14"/>
  <c r="AA30" i="14"/>
  <c r="Z30" i="14"/>
  <c r="Y30" i="14"/>
  <c r="X30" i="14"/>
  <c r="T30" i="14"/>
  <c r="S30" i="14"/>
  <c r="R30" i="14"/>
  <c r="Q30" i="14"/>
  <c r="M30" i="14"/>
  <c r="L30" i="14"/>
  <c r="K30" i="14"/>
  <c r="J30" i="14"/>
  <c r="F30" i="14"/>
  <c r="E30" i="14"/>
  <c r="D30" i="14"/>
  <c r="C30" i="14"/>
  <c r="BG29" i="14"/>
  <c r="BU29" i="14" s="1"/>
  <c r="AO29" i="14"/>
  <c r="AN29" i="14"/>
  <c r="AM29" i="14"/>
  <c r="AL29" i="14"/>
  <c r="AH29" i="14"/>
  <c r="AG29" i="14"/>
  <c r="AF29" i="14"/>
  <c r="AE29" i="14"/>
  <c r="AA29" i="14"/>
  <c r="Z29" i="14"/>
  <c r="Y29" i="14"/>
  <c r="X29" i="14"/>
  <c r="T29" i="14"/>
  <c r="S29" i="14"/>
  <c r="R29" i="14"/>
  <c r="Q29" i="14"/>
  <c r="M29" i="14"/>
  <c r="BL29" i="14" s="1"/>
  <c r="L29" i="14"/>
  <c r="K29" i="14"/>
  <c r="J29" i="14"/>
  <c r="F29" i="14"/>
  <c r="E29" i="14"/>
  <c r="D29" i="14"/>
  <c r="C29" i="14"/>
  <c r="BG28" i="14"/>
  <c r="CG28" i="14" s="1"/>
  <c r="AO28" i="14"/>
  <c r="AN28" i="14"/>
  <c r="AM28" i="14"/>
  <c r="AL28" i="14"/>
  <c r="AH28" i="14"/>
  <c r="AG28" i="14"/>
  <c r="AF28" i="14"/>
  <c r="AE28" i="14"/>
  <c r="AA28" i="14"/>
  <c r="Z28" i="14"/>
  <c r="Y28" i="14"/>
  <c r="X28" i="14"/>
  <c r="T28" i="14"/>
  <c r="S28" i="14"/>
  <c r="R28" i="14"/>
  <c r="Q28" i="14"/>
  <c r="M28" i="14"/>
  <c r="BL28" i="14" s="1"/>
  <c r="L28" i="14"/>
  <c r="K28" i="14"/>
  <c r="J28" i="14"/>
  <c r="F28" i="14"/>
  <c r="E28" i="14"/>
  <c r="D28" i="14"/>
  <c r="C28" i="14"/>
  <c r="BG27" i="14"/>
  <c r="CG27" i="14" s="1"/>
  <c r="AO27" i="14"/>
  <c r="AN27" i="14"/>
  <c r="AM27" i="14"/>
  <c r="AL27" i="14"/>
  <c r="AH27" i="14"/>
  <c r="AG27" i="14"/>
  <c r="AF27" i="14"/>
  <c r="AE27" i="14"/>
  <c r="AA27" i="14"/>
  <c r="Z27" i="14"/>
  <c r="Y27" i="14"/>
  <c r="X27" i="14"/>
  <c r="T27" i="14"/>
  <c r="S27" i="14"/>
  <c r="R27" i="14"/>
  <c r="Q27" i="14"/>
  <c r="M27" i="14"/>
  <c r="BL27" i="14" s="1"/>
  <c r="L27" i="14"/>
  <c r="K27" i="14"/>
  <c r="J27" i="14"/>
  <c r="F27" i="14"/>
  <c r="E27" i="14"/>
  <c r="D27" i="14"/>
  <c r="C27" i="14"/>
  <c r="BG26" i="14"/>
  <c r="CG26" i="14" s="1"/>
  <c r="AO26" i="14"/>
  <c r="AN26" i="14"/>
  <c r="AM26" i="14"/>
  <c r="AL26" i="14"/>
  <c r="AH26" i="14"/>
  <c r="AG26" i="14"/>
  <c r="AF26" i="14"/>
  <c r="AE26" i="14"/>
  <c r="AA26" i="14"/>
  <c r="Z26" i="14"/>
  <c r="Y26" i="14"/>
  <c r="X26" i="14"/>
  <c r="T26" i="14"/>
  <c r="S26" i="14"/>
  <c r="R26" i="14"/>
  <c r="Q26" i="14"/>
  <c r="M26" i="14"/>
  <c r="BL26" i="14" s="1"/>
  <c r="L26" i="14"/>
  <c r="K26" i="14"/>
  <c r="J26" i="14"/>
  <c r="F26" i="14"/>
  <c r="E26" i="14"/>
  <c r="D26" i="14"/>
  <c r="C26" i="14"/>
  <c r="BG25" i="14"/>
  <c r="CG25" i="14" s="1"/>
  <c r="AO25" i="14"/>
  <c r="AN25" i="14"/>
  <c r="AM25" i="14"/>
  <c r="AL25" i="14"/>
  <c r="AH25" i="14"/>
  <c r="AG25" i="14"/>
  <c r="AF25" i="14"/>
  <c r="AE25" i="14"/>
  <c r="AA25" i="14"/>
  <c r="Z25" i="14"/>
  <c r="Y25" i="14"/>
  <c r="X25" i="14"/>
  <c r="T25" i="14"/>
  <c r="S25" i="14"/>
  <c r="R25" i="14"/>
  <c r="Q25" i="14"/>
  <c r="M25" i="14"/>
  <c r="L25" i="14"/>
  <c r="K25" i="14"/>
  <c r="J25" i="14"/>
  <c r="F25" i="14"/>
  <c r="E25" i="14"/>
  <c r="D25" i="14"/>
  <c r="C25" i="14"/>
  <c r="BG24" i="14"/>
  <c r="BU24" i="14" s="1"/>
  <c r="AO24" i="14"/>
  <c r="AN24" i="14"/>
  <c r="AM24" i="14"/>
  <c r="AL24" i="14"/>
  <c r="AH24" i="14"/>
  <c r="AG24" i="14"/>
  <c r="AF24" i="14"/>
  <c r="AE24" i="14"/>
  <c r="AA24" i="14"/>
  <c r="Z24" i="14"/>
  <c r="Y24" i="14"/>
  <c r="X24" i="14"/>
  <c r="T24" i="14"/>
  <c r="S24" i="14"/>
  <c r="R24" i="14"/>
  <c r="Q24" i="14"/>
  <c r="M24" i="14"/>
  <c r="L24" i="14"/>
  <c r="K24" i="14"/>
  <c r="J24" i="14"/>
  <c r="F24" i="14"/>
  <c r="E24" i="14"/>
  <c r="D24" i="14"/>
  <c r="C24" i="14"/>
  <c r="BG23" i="14"/>
  <c r="CG23" i="14" s="1"/>
  <c r="AO23" i="14"/>
  <c r="AN23" i="14"/>
  <c r="AM23" i="14"/>
  <c r="AL23" i="14"/>
  <c r="AH23" i="14"/>
  <c r="AG23" i="14"/>
  <c r="AF23" i="14"/>
  <c r="AE23" i="14"/>
  <c r="AA23" i="14"/>
  <c r="Z23" i="14"/>
  <c r="Y23" i="14"/>
  <c r="X23" i="14"/>
  <c r="T23" i="14"/>
  <c r="S23" i="14"/>
  <c r="R23" i="14"/>
  <c r="Q23" i="14"/>
  <c r="M23" i="14"/>
  <c r="BL23" i="14" s="1"/>
  <c r="L23" i="14"/>
  <c r="K23" i="14"/>
  <c r="J23" i="14"/>
  <c r="F23" i="14"/>
  <c r="E23" i="14"/>
  <c r="D23" i="14"/>
  <c r="C23" i="14"/>
  <c r="BG22" i="14"/>
  <c r="BU22" i="14" s="1"/>
  <c r="AO22" i="14"/>
  <c r="AN22" i="14"/>
  <c r="AM22" i="14"/>
  <c r="AL22" i="14"/>
  <c r="AH22" i="14"/>
  <c r="AG22" i="14"/>
  <c r="AF22" i="14"/>
  <c r="AE22" i="14"/>
  <c r="AA22" i="14"/>
  <c r="Z22" i="14"/>
  <c r="Y22" i="14"/>
  <c r="X22" i="14"/>
  <c r="T22" i="14"/>
  <c r="S22" i="14"/>
  <c r="R22" i="14"/>
  <c r="Q22" i="14"/>
  <c r="M22" i="14"/>
  <c r="BL22" i="14" s="1"/>
  <c r="L22" i="14"/>
  <c r="K22" i="14"/>
  <c r="J22" i="14"/>
  <c r="F22" i="14"/>
  <c r="E22" i="14"/>
  <c r="D22" i="14"/>
  <c r="C22" i="14"/>
  <c r="BG21" i="14"/>
  <c r="BU21" i="14" s="1"/>
  <c r="AO21" i="14"/>
  <c r="AN21" i="14"/>
  <c r="AM21" i="14"/>
  <c r="AL21" i="14"/>
  <c r="AH21" i="14"/>
  <c r="AG21" i="14"/>
  <c r="AF21" i="14"/>
  <c r="AE21" i="14"/>
  <c r="AA21" i="14"/>
  <c r="Z21" i="14"/>
  <c r="Y21" i="14"/>
  <c r="X21" i="14"/>
  <c r="T21" i="14"/>
  <c r="S21" i="14"/>
  <c r="R21" i="14"/>
  <c r="Q21" i="14"/>
  <c r="M21" i="14"/>
  <c r="BL21" i="14" s="1"/>
  <c r="L21" i="14"/>
  <c r="K21" i="14"/>
  <c r="J21" i="14"/>
  <c r="F21" i="14"/>
  <c r="E21" i="14"/>
  <c r="D21" i="14"/>
  <c r="C21" i="14"/>
  <c r="BL20" i="14"/>
  <c r="BG20" i="14"/>
  <c r="CG20" i="14" s="1"/>
  <c r="AO20" i="14"/>
  <c r="AN20" i="14"/>
  <c r="AM20" i="14"/>
  <c r="AL20" i="14"/>
  <c r="AH20" i="14"/>
  <c r="AG20" i="14"/>
  <c r="AF20" i="14"/>
  <c r="AE20" i="14"/>
  <c r="AA20" i="14"/>
  <c r="Z20" i="14"/>
  <c r="Y20" i="14"/>
  <c r="X20" i="14"/>
  <c r="T20" i="14"/>
  <c r="S20" i="14"/>
  <c r="R20" i="14"/>
  <c r="Q20" i="14"/>
  <c r="M20" i="14"/>
  <c r="L20" i="14"/>
  <c r="K20" i="14"/>
  <c r="J20" i="14"/>
  <c r="F20" i="14"/>
  <c r="E20" i="14"/>
  <c r="D20" i="14"/>
  <c r="C20" i="14"/>
  <c r="BG19" i="14"/>
  <c r="CG19" i="14" s="1"/>
  <c r="AO19" i="14"/>
  <c r="AN19" i="14"/>
  <c r="AM19" i="14"/>
  <c r="AL19" i="14"/>
  <c r="AH19" i="14"/>
  <c r="AG19" i="14"/>
  <c r="AF19" i="14"/>
  <c r="AE19" i="14"/>
  <c r="AA19" i="14"/>
  <c r="Z19" i="14"/>
  <c r="Y19" i="14"/>
  <c r="X19" i="14"/>
  <c r="T19" i="14"/>
  <c r="S19" i="14"/>
  <c r="R19" i="14"/>
  <c r="Q19" i="14"/>
  <c r="M19" i="14"/>
  <c r="L19" i="14"/>
  <c r="K19" i="14"/>
  <c r="J19" i="14"/>
  <c r="F19" i="14"/>
  <c r="E19" i="14"/>
  <c r="D19" i="14"/>
  <c r="C19" i="14"/>
  <c r="CG18" i="14"/>
  <c r="BG18" i="14"/>
  <c r="BU18" i="14" s="1"/>
  <c r="AO18" i="14"/>
  <c r="AN18" i="14"/>
  <c r="AM18" i="14"/>
  <c r="AL18" i="14"/>
  <c r="AH18" i="14"/>
  <c r="AG18" i="14"/>
  <c r="AF18" i="14"/>
  <c r="AE18" i="14"/>
  <c r="AA18" i="14"/>
  <c r="Z18" i="14"/>
  <c r="Y18" i="14"/>
  <c r="X18" i="14"/>
  <c r="T18" i="14"/>
  <c r="S18" i="14"/>
  <c r="R18" i="14"/>
  <c r="Q18" i="14"/>
  <c r="M18" i="14"/>
  <c r="BL18" i="14" s="1"/>
  <c r="L18" i="14"/>
  <c r="K18" i="14"/>
  <c r="J18" i="14"/>
  <c r="F18" i="14"/>
  <c r="E18" i="14"/>
  <c r="D18" i="14"/>
  <c r="C18" i="14"/>
  <c r="BU17" i="14"/>
  <c r="BR17" i="14"/>
  <c r="BL17" i="14"/>
  <c r="AY17" i="14"/>
  <c r="BL16" i="14"/>
  <c r="BG16" i="14"/>
  <c r="BU16" i="14" s="1"/>
  <c r="AO16" i="14"/>
  <c r="AN16" i="14"/>
  <c r="AM16" i="14"/>
  <c r="AL16" i="14"/>
  <c r="AH16" i="14"/>
  <c r="AG16" i="14"/>
  <c r="AF16" i="14"/>
  <c r="AE16" i="14"/>
  <c r="AA16" i="14"/>
  <c r="Z16" i="14"/>
  <c r="Y16" i="14"/>
  <c r="X16" i="14"/>
  <c r="T16" i="14"/>
  <c r="S16" i="14"/>
  <c r="R16" i="14"/>
  <c r="Q16" i="14"/>
  <c r="M16" i="14"/>
  <c r="L16" i="14"/>
  <c r="K16" i="14"/>
  <c r="J16" i="14"/>
  <c r="F16" i="14"/>
  <c r="E16" i="14"/>
  <c r="D16" i="14"/>
  <c r="C16" i="14"/>
  <c r="BG15" i="14"/>
  <c r="BU15" i="14" s="1"/>
  <c r="AO15" i="14"/>
  <c r="AN15" i="14"/>
  <c r="AM15" i="14"/>
  <c r="AL15" i="14"/>
  <c r="AH15" i="14"/>
  <c r="AG15" i="14"/>
  <c r="AF15" i="14"/>
  <c r="AE15" i="14"/>
  <c r="AA15" i="14"/>
  <c r="Z15" i="14"/>
  <c r="Y15" i="14"/>
  <c r="X15" i="14"/>
  <c r="T15" i="14"/>
  <c r="S15" i="14"/>
  <c r="R15" i="14"/>
  <c r="Q15" i="14"/>
  <c r="M15" i="14"/>
  <c r="L15" i="14"/>
  <c r="K15" i="14"/>
  <c r="J15" i="14"/>
  <c r="F15" i="14"/>
  <c r="E15" i="14"/>
  <c r="D15" i="14"/>
  <c r="C15" i="14"/>
  <c r="BG14" i="14"/>
  <c r="BU14" i="14" s="1"/>
  <c r="AO14" i="14"/>
  <c r="AN14" i="14"/>
  <c r="AM14" i="14"/>
  <c r="AL14" i="14"/>
  <c r="AH14" i="14"/>
  <c r="AG14" i="14"/>
  <c r="AF14" i="14"/>
  <c r="AE14" i="14"/>
  <c r="AA14" i="14"/>
  <c r="Z14" i="14"/>
  <c r="Y14" i="14"/>
  <c r="X14" i="14"/>
  <c r="T14" i="14"/>
  <c r="S14" i="14"/>
  <c r="R14" i="14"/>
  <c r="Q14" i="14"/>
  <c r="M14" i="14"/>
  <c r="BL14" i="14" s="1"/>
  <c r="L14" i="14"/>
  <c r="K14" i="14"/>
  <c r="J14" i="14"/>
  <c r="F14" i="14"/>
  <c r="E14" i="14"/>
  <c r="D14" i="14"/>
  <c r="C14" i="14"/>
  <c r="BL13" i="14"/>
  <c r="BG13" i="14"/>
  <c r="BU13" i="14" s="1"/>
  <c r="AO13" i="14"/>
  <c r="AM13" i="14"/>
  <c r="AL13" i="14"/>
  <c r="AH13" i="14"/>
  <c r="AF13" i="14"/>
  <c r="AE13" i="14"/>
  <c r="AA13" i="14"/>
  <c r="Y13" i="14"/>
  <c r="X13" i="14"/>
  <c r="T13" i="14"/>
  <c r="S13" i="14"/>
  <c r="R13" i="14"/>
  <c r="Q13" i="14"/>
  <c r="M13" i="14"/>
  <c r="L13" i="14"/>
  <c r="K13" i="14"/>
  <c r="J13" i="14"/>
  <c r="F13" i="14"/>
  <c r="E13" i="14"/>
  <c r="D13" i="14"/>
  <c r="C13" i="14"/>
  <c r="BG12" i="14"/>
  <c r="CG12" i="14" s="1"/>
  <c r="AO12" i="14"/>
  <c r="AN12" i="14"/>
  <c r="AM12" i="14"/>
  <c r="AL12" i="14"/>
  <c r="AH12" i="14"/>
  <c r="AG12" i="14"/>
  <c r="AF12" i="14"/>
  <c r="AE12" i="14"/>
  <c r="AA12" i="14"/>
  <c r="Z12" i="14"/>
  <c r="Y12" i="14"/>
  <c r="X12" i="14"/>
  <c r="T12" i="14"/>
  <c r="S12" i="14"/>
  <c r="R12" i="14"/>
  <c r="Q12" i="14"/>
  <c r="M12" i="14"/>
  <c r="L12" i="14"/>
  <c r="K12" i="14"/>
  <c r="J12" i="14"/>
  <c r="F12" i="14"/>
  <c r="E12" i="14"/>
  <c r="D12" i="14"/>
  <c r="C12" i="14"/>
  <c r="BG11" i="14"/>
  <c r="CG11" i="14" s="1"/>
  <c r="AO11" i="14"/>
  <c r="AN11" i="14"/>
  <c r="AM11" i="14"/>
  <c r="AL11" i="14"/>
  <c r="AH11" i="14"/>
  <c r="AG11" i="14"/>
  <c r="AF11" i="14"/>
  <c r="AE11" i="14"/>
  <c r="AA11" i="14"/>
  <c r="Z11" i="14"/>
  <c r="Y11" i="14"/>
  <c r="X11" i="14"/>
  <c r="T11" i="14"/>
  <c r="S11" i="14"/>
  <c r="R11" i="14"/>
  <c r="Q11" i="14"/>
  <c r="M11" i="14"/>
  <c r="BL11" i="14" s="1"/>
  <c r="L11" i="14"/>
  <c r="K11" i="14"/>
  <c r="J11" i="14"/>
  <c r="F11" i="14"/>
  <c r="E11" i="14"/>
  <c r="D11" i="14"/>
  <c r="C11" i="14"/>
  <c r="F9" i="14"/>
  <c r="E9" i="14"/>
  <c r="D9" i="14"/>
  <c r="C9" i="14"/>
  <c r="AZ8" i="14"/>
  <c r="AZ6" i="14"/>
  <c r="BE17" i="14" s="1"/>
  <c r="C58" i="13"/>
  <c r="D58" i="13" s="1"/>
  <c r="E58" i="13" s="1"/>
  <c r="F58" i="13" s="1"/>
  <c r="G58" i="13" s="1"/>
  <c r="H58" i="13" s="1"/>
  <c r="I58" i="13" s="1"/>
  <c r="J58" i="13" s="1"/>
  <c r="K58" i="13" s="1"/>
  <c r="L58" i="13" s="1"/>
  <c r="M58" i="13" s="1"/>
  <c r="N58" i="13" s="1"/>
  <c r="O58" i="13" s="1"/>
  <c r="P58" i="13" s="1"/>
  <c r="Q58" i="13" s="1"/>
  <c r="R58" i="13" s="1"/>
  <c r="S58" i="13" s="1"/>
  <c r="T58" i="13" s="1"/>
  <c r="U58" i="13" s="1"/>
  <c r="V58" i="13" s="1"/>
  <c r="W58" i="13" s="1"/>
  <c r="X58" i="13" s="1"/>
  <c r="Y58" i="13" s="1"/>
  <c r="Z58" i="13" s="1"/>
  <c r="AA58" i="13" s="1"/>
  <c r="AB58" i="13" s="1"/>
  <c r="AC58" i="13" s="1"/>
  <c r="AD58" i="13" s="1"/>
  <c r="AE58" i="13" s="1"/>
  <c r="AF58" i="13" s="1"/>
  <c r="AG58" i="13" s="1"/>
  <c r="AH58" i="13" s="1"/>
  <c r="AI58" i="13" s="1"/>
  <c r="AJ58" i="13" s="1"/>
  <c r="AK58" i="13" s="1"/>
  <c r="AL58" i="13" s="1"/>
  <c r="AM58" i="13" s="1"/>
  <c r="AN58" i="13" s="1"/>
  <c r="AO58" i="13" s="1"/>
  <c r="AP58" i="13" s="1"/>
  <c r="AQ58" i="13" s="1"/>
  <c r="AR58" i="13" s="1"/>
  <c r="AS58" i="13" s="1"/>
  <c r="AT58" i="13" s="1"/>
  <c r="AU58" i="13" s="1"/>
  <c r="AV58" i="13" s="1"/>
  <c r="AW58" i="13" s="1"/>
  <c r="AX58" i="13" s="1"/>
  <c r="AY58" i="13" s="1"/>
  <c r="AZ58" i="13" s="1"/>
  <c r="BA58" i="13" s="1"/>
  <c r="BB58" i="13" s="1"/>
  <c r="BC58" i="13" s="1"/>
  <c r="BD58" i="13" s="1"/>
  <c r="BE58" i="13" s="1"/>
  <c r="BF58" i="13" s="1"/>
  <c r="BG58" i="13" s="1"/>
  <c r="BH58" i="13" s="1"/>
  <c r="BI58" i="13" s="1"/>
  <c r="BJ58" i="13" s="1"/>
  <c r="BK58" i="13" s="1"/>
  <c r="BL58" i="13" s="1"/>
  <c r="BM58" i="13" s="1"/>
  <c r="BN58" i="13" s="1"/>
  <c r="BO58" i="13" s="1"/>
  <c r="S51" i="13"/>
  <c r="R51" i="13"/>
  <c r="Q51" i="13"/>
  <c r="M51" i="13"/>
  <c r="L51" i="13"/>
  <c r="K51" i="13"/>
  <c r="BL34" i="13" s="1"/>
  <c r="J51" i="13"/>
  <c r="BG50" i="13"/>
  <c r="CG50" i="13" s="1"/>
  <c r="AO50" i="13"/>
  <c r="AN50" i="13"/>
  <c r="AM50" i="13"/>
  <c r="AL50" i="13"/>
  <c r="AH50" i="13"/>
  <c r="AG50" i="13"/>
  <c r="AF50" i="13"/>
  <c r="AE50" i="13"/>
  <c r="AA50" i="13"/>
  <c r="Z50" i="13"/>
  <c r="Y50" i="13"/>
  <c r="X50" i="13"/>
  <c r="T50" i="13"/>
  <c r="S50" i="13"/>
  <c r="R50" i="13"/>
  <c r="Q50" i="13"/>
  <c r="M50" i="13"/>
  <c r="L50" i="13"/>
  <c r="K50" i="13"/>
  <c r="J50" i="13"/>
  <c r="F50" i="13"/>
  <c r="E50" i="13"/>
  <c r="D50" i="13"/>
  <c r="C50" i="13"/>
  <c r="BG49" i="13"/>
  <c r="BU49" i="13" s="1"/>
  <c r="AO49" i="13"/>
  <c r="AN49" i="13"/>
  <c r="AM49" i="13"/>
  <c r="AL49" i="13"/>
  <c r="AH49" i="13"/>
  <c r="AG49" i="13"/>
  <c r="AF49" i="13"/>
  <c r="AE49" i="13"/>
  <c r="AA49" i="13"/>
  <c r="Z49" i="13"/>
  <c r="Y49" i="13"/>
  <c r="X49" i="13"/>
  <c r="T49" i="13"/>
  <c r="S49" i="13"/>
  <c r="R49" i="13"/>
  <c r="Q49" i="13"/>
  <c r="M49" i="13"/>
  <c r="L49" i="13"/>
  <c r="K49" i="13"/>
  <c r="J49" i="13"/>
  <c r="F49" i="13"/>
  <c r="E49" i="13"/>
  <c r="D49" i="13"/>
  <c r="C49" i="13"/>
  <c r="BG48" i="13"/>
  <c r="CG48" i="13" s="1"/>
  <c r="AO48" i="13"/>
  <c r="AN48" i="13"/>
  <c r="AM48" i="13"/>
  <c r="AL48" i="13"/>
  <c r="AH48" i="13"/>
  <c r="AG48" i="13"/>
  <c r="AF48" i="13"/>
  <c r="AE48" i="13"/>
  <c r="AA48" i="13"/>
  <c r="Z48" i="13"/>
  <c r="Y48" i="13"/>
  <c r="X48" i="13"/>
  <c r="T48" i="13"/>
  <c r="S48" i="13"/>
  <c r="R48" i="13"/>
  <c r="Q48" i="13"/>
  <c r="M48" i="13"/>
  <c r="L48" i="13"/>
  <c r="K48" i="13"/>
  <c r="J48" i="13"/>
  <c r="F48" i="13"/>
  <c r="E48" i="13"/>
  <c r="D48" i="13"/>
  <c r="C48" i="13"/>
  <c r="BG47" i="13"/>
  <c r="CG47" i="13" s="1"/>
  <c r="AO47" i="13"/>
  <c r="AN47" i="13"/>
  <c r="AM47" i="13"/>
  <c r="AL47" i="13"/>
  <c r="AH47" i="13"/>
  <c r="AG47" i="13"/>
  <c r="AF47" i="13"/>
  <c r="AE47" i="13"/>
  <c r="AA47" i="13"/>
  <c r="Z47" i="13"/>
  <c r="Y47" i="13"/>
  <c r="X47" i="13"/>
  <c r="T47" i="13"/>
  <c r="S47" i="13"/>
  <c r="R47" i="13"/>
  <c r="Q47" i="13"/>
  <c r="M47" i="13"/>
  <c r="L47" i="13"/>
  <c r="K47" i="13"/>
  <c r="J47" i="13"/>
  <c r="F47" i="13"/>
  <c r="E47" i="13"/>
  <c r="D47" i="13"/>
  <c r="C47" i="13"/>
  <c r="BG46" i="13"/>
  <c r="BU46" i="13" s="1"/>
  <c r="AO46" i="13"/>
  <c r="AN46" i="13"/>
  <c r="AM46" i="13"/>
  <c r="AL46" i="13"/>
  <c r="AH46" i="13"/>
  <c r="AG46" i="13"/>
  <c r="AF46" i="13"/>
  <c r="AE46" i="13"/>
  <c r="AA46" i="13"/>
  <c r="Z46" i="13"/>
  <c r="Y46" i="13"/>
  <c r="X46" i="13"/>
  <c r="T46" i="13"/>
  <c r="S46" i="13"/>
  <c r="R46" i="13"/>
  <c r="Q46" i="13"/>
  <c r="M46" i="13"/>
  <c r="L46" i="13"/>
  <c r="K46" i="13"/>
  <c r="J46" i="13"/>
  <c r="F46" i="13"/>
  <c r="E46" i="13"/>
  <c r="D46" i="13"/>
  <c r="C46" i="13"/>
  <c r="BG45" i="13"/>
  <c r="BU45" i="13" s="1"/>
  <c r="AO45" i="13"/>
  <c r="AN45" i="13"/>
  <c r="AM45" i="13"/>
  <c r="AL45" i="13"/>
  <c r="AH45" i="13"/>
  <c r="AG45" i="13"/>
  <c r="AF45" i="13"/>
  <c r="AE45" i="13"/>
  <c r="AA45" i="13"/>
  <c r="Z45" i="13"/>
  <c r="Y45" i="13"/>
  <c r="X45" i="13"/>
  <c r="T45" i="13"/>
  <c r="S45" i="13"/>
  <c r="R45" i="13"/>
  <c r="Q45" i="13"/>
  <c r="M45" i="13"/>
  <c r="BL45" i="13" s="1"/>
  <c r="L45" i="13"/>
  <c r="K45" i="13"/>
  <c r="J45" i="13"/>
  <c r="F45" i="13"/>
  <c r="E45" i="13"/>
  <c r="D45" i="13"/>
  <c r="C45" i="13"/>
  <c r="BG44" i="13"/>
  <c r="CG44" i="13" s="1"/>
  <c r="AO44" i="13"/>
  <c r="AN44" i="13"/>
  <c r="AM44" i="13"/>
  <c r="AL44" i="13"/>
  <c r="AH44" i="13"/>
  <c r="AG44" i="13"/>
  <c r="AF44" i="13"/>
  <c r="AE44" i="13"/>
  <c r="AA44" i="13"/>
  <c r="Z44" i="13"/>
  <c r="Y44" i="13"/>
  <c r="X44" i="13"/>
  <c r="T44" i="13"/>
  <c r="S44" i="13"/>
  <c r="R44" i="13"/>
  <c r="Q44" i="13"/>
  <c r="M44" i="13"/>
  <c r="L44" i="13"/>
  <c r="K44" i="13"/>
  <c r="J44" i="13"/>
  <c r="F44" i="13"/>
  <c r="E44" i="13"/>
  <c r="D44" i="13"/>
  <c r="C44" i="13"/>
  <c r="BG43" i="13"/>
  <c r="CG43" i="13" s="1"/>
  <c r="AO43" i="13"/>
  <c r="AN43" i="13"/>
  <c r="AM43" i="13"/>
  <c r="AL43" i="13"/>
  <c r="AH43" i="13"/>
  <c r="AG43" i="13"/>
  <c r="AF43" i="13"/>
  <c r="AE43" i="13"/>
  <c r="AA43" i="13"/>
  <c r="Z43" i="13"/>
  <c r="Y43" i="13"/>
  <c r="X43" i="13"/>
  <c r="T43" i="13"/>
  <c r="S43" i="13"/>
  <c r="R43" i="13"/>
  <c r="Q43" i="13"/>
  <c r="M43" i="13"/>
  <c r="L43" i="13"/>
  <c r="K43" i="13"/>
  <c r="J43" i="13"/>
  <c r="F43" i="13"/>
  <c r="E43" i="13"/>
  <c r="D43" i="13"/>
  <c r="C43" i="13"/>
  <c r="BG42" i="13"/>
  <c r="CG42" i="13" s="1"/>
  <c r="AO42" i="13"/>
  <c r="AM42" i="13"/>
  <c r="AL42" i="13"/>
  <c r="AH42" i="13"/>
  <c r="AF42" i="13"/>
  <c r="AE42" i="13"/>
  <c r="AA42" i="13"/>
  <c r="Y42" i="13"/>
  <c r="X42" i="13"/>
  <c r="T42" i="13"/>
  <c r="S42" i="13"/>
  <c r="R42" i="13"/>
  <c r="Q42" i="13"/>
  <c r="M42" i="13"/>
  <c r="L42" i="13"/>
  <c r="K42" i="13"/>
  <c r="J42" i="13"/>
  <c r="F42" i="13"/>
  <c r="E42" i="13"/>
  <c r="D42" i="13"/>
  <c r="C42" i="13"/>
  <c r="BG41" i="13"/>
  <c r="CG41" i="13" s="1"/>
  <c r="AO41" i="13"/>
  <c r="AN41" i="13"/>
  <c r="AM41" i="13"/>
  <c r="AL41" i="13"/>
  <c r="AH41" i="13"/>
  <c r="AG41" i="13"/>
  <c r="AF41" i="13"/>
  <c r="AE41" i="13"/>
  <c r="AA41" i="13"/>
  <c r="Z41" i="13"/>
  <c r="Y41" i="13"/>
  <c r="X41" i="13"/>
  <c r="T41" i="13"/>
  <c r="S41" i="13"/>
  <c r="R41" i="13"/>
  <c r="Q41" i="13"/>
  <c r="M41" i="13"/>
  <c r="L41" i="13"/>
  <c r="K41" i="13"/>
  <c r="J41" i="13"/>
  <c r="F41" i="13"/>
  <c r="E41" i="13"/>
  <c r="D41" i="13"/>
  <c r="C41" i="13"/>
  <c r="BG40" i="13"/>
  <c r="BU40" i="13" s="1"/>
  <c r="AO40" i="13"/>
  <c r="AN40" i="13"/>
  <c r="AM40" i="13"/>
  <c r="AL40" i="13"/>
  <c r="AH40" i="13"/>
  <c r="AG40" i="13"/>
  <c r="AF40" i="13"/>
  <c r="AE40" i="13"/>
  <c r="AA40" i="13"/>
  <c r="Z40" i="13"/>
  <c r="Y40" i="13"/>
  <c r="X40" i="13"/>
  <c r="T40" i="13"/>
  <c r="S40" i="13"/>
  <c r="R40" i="13"/>
  <c r="Q40" i="13"/>
  <c r="M40" i="13"/>
  <c r="L40" i="13"/>
  <c r="K40" i="13"/>
  <c r="J40" i="13"/>
  <c r="F40" i="13"/>
  <c r="E40" i="13"/>
  <c r="D40" i="13"/>
  <c r="C40" i="13"/>
  <c r="BG39" i="13"/>
  <c r="AO39" i="13"/>
  <c r="AN39" i="13"/>
  <c r="AM39" i="13"/>
  <c r="AL39" i="13"/>
  <c r="AH39" i="13"/>
  <c r="AG39" i="13"/>
  <c r="AF39" i="13"/>
  <c r="AE39" i="13"/>
  <c r="AA39" i="13"/>
  <c r="Z39" i="13"/>
  <c r="Y39" i="13"/>
  <c r="X39" i="13"/>
  <c r="T39" i="13"/>
  <c r="S39" i="13"/>
  <c r="R39" i="13"/>
  <c r="Q39" i="13"/>
  <c r="M39" i="13"/>
  <c r="L39" i="13"/>
  <c r="K39" i="13"/>
  <c r="J39" i="13"/>
  <c r="F39" i="13"/>
  <c r="E39" i="13"/>
  <c r="D39" i="13"/>
  <c r="C39" i="13"/>
  <c r="BG38" i="13"/>
  <c r="AO38" i="13"/>
  <c r="AN38" i="13"/>
  <c r="AM38" i="13"/>
  <c r="AL38" i="13"/>
  <c r="AH38" i="13"/>
  <c r="AG38" i="13"/>
  <c r="AF38" i="13"/>
  <c r="AE38" i="13"/>
  <c r="AA38" i="13"/>
  <c r="Z38" i="13"/>
  <c r="Y38" i="13"/>
  <c r="X38" i="13"/>
  <c r="T38" i="13"/>
  <c r="S38" i="13"/>
  <c r="R38" i="13"/>
  <c r="Q38" i="13"/>
  <c r="M38" i="13"/>
  <c r="L38" i="13"/>
  <c r="K38" i="13"/>
  <c r="J38" i="13"/>
  <c r="F38" i="13"/>
  <c r="E38" i="13"/>
  <c r="D38" i="13"/>
  <c r="C38" i="13"/>
  <c r="BG37" i="13"/>
  <c r="BU37" i="13" s="1"/>
  <c r="AO37" i="13"/>
  <c r="AN37" i="13"/>
  <c r="AM37" i="13"/>
  <c r="AL37" i="13"/>
  <c r="AH37" i="13"/>
  <c r="AG37" i="13"/>
  <c r="AF37" i="13"/>
  <c r="AE37" i="13"/>
  <c r="AA37" i="13"/>
  <c r="Z37" i="13"/>
  <c r="Y37" i="13"/>
  <c r="X37" i="13"/>
  <c r="T37" i="13"/>
  <c r="S37" i="13"/>
  <c r="R37" i="13"/>
  <c r="Q37" i="13"/>
  <c r="M37" i="13"/>
  <c r="L37" i="13"/>
  <c r="K37" i="13"/>
  <c r="J37" i="13"/>
  <c r="F37" i="13"/>
  <c r="E37" i="13"/>
  <c r="D37" i="13"/>
  <c r="C37" i="13"/>
  <c r="BG36" i="13"/>
  <c r="AO36" i="13"/>
  <c r="AN36" i="13"/>
  <c r="AM36" i="13"/>
  <c r="AL36" i="13"/>
  <c r="AH36" i="13"/>
  <c r="AG36" i="13"/>
  <c r="AF36" i="13"/>
  <c r="AE36" i="13"/>
  <c r="AA36" i="13"/>
  <c r="Z36" i="13"/>
  <c r="Y36" i="13"/>
  <c r="X36" i="13"/>
  <c r="T36" i="13"/>
  <c r="S36" i="13"/>
  <c r="R36" i="13"/>
  <c r="Q36" i="13"/>
  <c r="M36" i="13"/>
  <c r="L36" i="13"/>
  <c r="K36" i="13"/>
  <c r="J36" i="13"/>
  <c r="F36" i="13"/>
  <c r="E36" i="13"/>
  <c r="D36" i="13"/>
  <c r="C36" i="13"/>
  <c r="BG35" i="13"/>
  <c r="CG35" i="13" s="1"/>
  <c r="AO35" i="13"/>
  <c r="AN35" i="13"/>
  <c r="AM35" i="13"/>
  <c r="AL35" i="13"/>
  <c r="AH35" i="13"/>
  <c r="AG35" i="13"/>
  <c r="AF35" i="13"/>
  <c r="AE35" i="13"/>
  <c r="AA35" i="13"/>
  <c r="Z35" i="13"/>
  <c r="Y35" i="13"/>
  <c r="X35" i="13"/>
  <c r="T35" i="13"/>
  <c r="S35" i="13"/>
  <c r="R35" i="13"/>
  <c r="Q35" i="13"/>
  <c r="M35" i="13"/>
  <c r="L35" i="13"/>
  <c r="K35" i="13"/>
  <c r="J35" i="13"/>
  <c r="F35" i="13"/>
  <c r="E35" i="13"/>
  <c r="D35" i="13"/>
  <c r="C35" i="13"/>
  <c r="CG34" i="13"/>
  <c r="BU34" i="13"/>
  <c r="AP34" i="13"/>
  <c r="AI34" i="13"/>
  <c r="AB34" i="13"/>
  <c r="U34" i="13"/>
  <c r="N34" i="13"/>
  <c r="H34" i="13"/>
  <c r="AC34" i="13" s="1"/>
  <c r="G34" i="13"/>
  <c r="BG33" i="13"/>
  <c r="CG33" i="13" s="1"/>
  <c r="AO33" i="13"/>
  <c r="AN33" i="13"/>
  <c r="AM33" i="13"/>
  <c r="AL33" i="13"/>
  <c r="AH33" i="13"/>
  <c r="AG33" i="13"/>
  <c r="AF33" i="13"/>
  <c r="AE33" i="13"/>
  <c r="AA33" i="13"/>
  <c r="Z33" i="13"/>
  <c r="Y33" i="13"/>
  <c r="X33" i="13"/>
  <c r="T33" i="13"/>
  <c r="S33" i="13"/>
  <c r="R33" i="13"/>
  <c r="Q33" i="13"/>
  <c r="M33" i="13"/>
  <c r="L33" i="13"/>
  <c r="K33" i="13"/>
  <c r="J33" i="13"/>
  <c r="F33" i="13"/>
  <c r="E33" i="13"/>
  <c r="D33" i="13"/>
  <c r="C33" i="13"/>
  <c r="BG32" i="13"/>
  <c r="CG32" i="13" s="1"/>
  <c r="AO32" i="13"/>
  <c r="AN32" i="13"/>
  <c r="AM32" i="13"/>
  <c r="AL32" i="13"/>
  <c r="AH32" i="13"/>
  <c r="AG32" i="13"/>
  <c r="AF32" i="13"/>
  <c r="AE32" i="13"/>
  <c r="AA32" i="13"/>
  <c r="Z32" i="13"/>
  <c r="Y32" i="13"/>
  <c r="X32" i="13"/>
  <c r="T32" i="13"/>
  <c r="S32" i="13"/>
  <c r="R32" i="13"/>
  <c r="Q32" i="13"/>
  <c r="M32" i="13"/>
  <c r="L32" i="13"/>
  <c r="K32" i="13"/>
  <c r="J32" i="13"/>
  <c r="N32" i="13" s="1"/>
  <c r="F32" i="13"/>
  <c r="E32" i="13"/>
  <c r="D32" i="13"/>
  <c r="C32" i="13"/>
  <c r="BG31" i="13"/>
  <c r="CG31" i="13" s="1"/>
  <c r="AO31" i="13"/>
  <c r="AN31" i="13"/>
  <c r="AM31" i="13"/>
  <c r="AL31" i="13"/>
  <c r="AH31" i="13"/>
  <c r="AG31" i="13"/>
  <c r="AF31" i="13"/>
  <c r="AE31" i="13"/>
  <c r="AA31" i="13"/>
  <c r="Z31" i="13"/>
  <c r="Y31" i="13"/>
  <c r="X31" i="13"/>
  <c r="T31" i="13"/>
  <c r="S31" i="13"/>
  <c r="R31" i="13"/>
  <c r="Q31" i="13"/>
  <c r="M31" i="13"/>
  <c r="L31" i="13"/>
  <c r="K31" i="13"/>
  <c r="J31" i="13"/>
  <c r="F31" i="13"/>
  <c r="E31" i="13"/>
  <c r="D31" i="13"/>
  <c r="C31" i="13"/>
  <c r="BG30" i="13"/>
  <c r="BU30" i="13" s="1"/>
  <c r="AO30" i="13"/>
  <c r="AN30" i="13"/>
  <c r="AM30" i="13"/>
  <c r="AL30" i="13"/>
  <c r="AH30" i="13"/>
  <c r="AG30" i="13"/>
  <c r="AF30" i="13"/>
  <c r="AE30" i="13"/>
  <c r="AA30" i="13"/>
  <c r="Z30" i="13"/>
  <c r="Y30" i="13"/>
  <c r="X30" i="13"/>
  <c r="T30" i="13"/>
  <c r="S30" i="13"/>
  <c r="R30" i="13"/>
  <c r="Q30" i="13"/>
  <c r="M30" i="13"/>
  <c r="L30" i="13"/>
  <c r="K30" i="13"/>
  <c r="J30" i="13"/>
  <c r="F30" i="13"/>
  <c r="E30" i="13"/>
  <c r="D30" i="13"/>
  <c r="C30" i="13"/>
  <c r="BG29" i="13"/>
  <c r="CG29" i="13" s="1"/>
  <c r="AO29" i="13"/>
  <c r="AN29" i="13"/>
  <c r="AM29" i="13"/>
  <c r="AL29" i="13"/>
  <c r="AH29" i="13"/>
  <c r="AG29" i="13"/>
  <c r="AF29" i="13"/>
  <c r="AE29" i="13"/>
  <c r="AA29" i="13"/>
  <c r="Z29" i="13"/>
  <c r="Y29" i="13"/>
  <c r="X29" i="13"/>
  <c r="T29" i="13"/>
  <c r="S29" i="13"/>
  <c r="R29" i="13"/>
  <c r="Q29" i="13"/>
  <c r="M29" i="13"/>
  <c r="L29" i="13"/>
  <c r="K29" i="13"/>
  <c r="J29" i="13"/>
  <c r="F29" i="13"/>
  <c r="E29" i="13"/>
  <c r="D29" i="13"/>
  <c r="C29" i="13"/>
  <c r="BG28" i="13"/>
  <c r="BU28" i="13" s="1"/>
  <c r="AO28" i="13"/>
  <c r="AN28" i="13"/>
  <c r="AM28" i="13"/>
  <c r="AL28" i="13"/>
  <c r="AH28" i="13"/>
  <c r="AG28" i="13"/>
  <c r="AF28" i="13"/>
  <c r="AE28" i="13"/>
  <c r="AA28" i="13"/>
  <c r="Z28" i="13"/>
  <c r="Y28" i="13"/>
  <c r="X28" i="13"/>
  <c r="T28" i="13"/>
  <c r="S28" i="13"/>
  <c r="R28" i="13"/>
  <c r="Q28" i="13"/>
  <c r="M28" i="13"/>
  <c r="L28" i="13"/>
  <c r="K28" i="13"/>
  <c r="J28" i="13"/>
  <c r="F28" i="13"/>
  <c r="E28" i="13"/>
  <c r="D28" i="13"/>
  <c r="C28" i="13"/>
  <c r="BG27" i="13"/>
  <c r="CG27" i="13" s="1"/>
  <c r="AO27" i="13"/>
  <c r="AN27" i="13"/>
  <c r="AM27" i="13"/>
  <c r="AL27" i="13"/>
  <c r="AH27" i="13"/>
  <c r="AG27" i="13"/>
  <c r="AF27" i="13"/>
  <c r="AE27" i="13"/>
  <c r="AA27" i="13"/>
  <c r="Z27" i="13"/>
  <c r="Y27" i="13"/>
  <c r="X27" i="13"/>
  <c r="T27" i="13"/>
  <c r="S27" i="13"/>
  <c r="R27" i="13"/>
  <c r="Q27" i="13"/>
  <c r="M27" i="13"/>
  <c r="L27" i="13"/>
  <c r="K27" i="13"/>
  <c r="J27" i="13"/>
  <c r="F27" i="13"/>
  <c r="E27" i="13"/>
  <c r="D27" i="13"/>
  <c r="C27" i="13"/>
  <c r="BG26" i="13"/>
  <c r="CG26" i="13" s="1"/>
  <c r="AO26" i="13"/>
  <c r="AN26" i="13"/>
  <c r="AM26" i="13"/>
  <c r="AL26" i="13"/>
  <c r="AH26" i="13"/>
  <c r="AG26" i="13"/>
  <c r="AF26" i="13"/>
  <c r="AE26" i="13"/>
  <c r="AA26" i="13"/>
  <c r="Z26" i="13"/>
  <c r="Y26" i="13"/>
  <c r="X26" i="13"/>
  <c r="T26" i="13"/>
  <c r="S26" i="13"/>
  <c r="R26" i="13"/>
  <c r="Q26" i="13"/>
  <c r="M26" i="13"/>
  <c r="L26" i="13"/>
  <c r="K26" i="13"/>
  <c r="J26" i="13"/>
  <c r="F26" i="13"/>
  <c r="E26" i="13"/>
  <c r="D26" i="13"/>
  <c r="C26" i="13"/>
  <c r="BG25" i="13"/>
  <c r="CG25" i="13" s="1"/>
  <c r="AO25" i="13"/>
  <c r="AN25" i="13"/>
  <c r="AM25" i="13"/>
  <c r="AL25" i="13"/>
  <c r="AH25" i="13"/>
  <c r="AG25" i="13"/>
  <c r="AF25" i="13"/>
  <c r="AE25" i="13"/>
  <c r="AA25" i="13"/>
  <c r="Z25" i="13"/>
  <c r="Y25" i="13"/>
  <c r="X25" i="13"/>
  <c r="T25" i="13"/>
  <c r="S25" i="13"/>
  <c r="R25" i="13"/>
  <c r="Q25" i="13"/>
  <c r="M25" i="13"/>
  <c r="L25" i="13"/>
  <c r="K25" i="13"/>
  <c r="J25" i="13"/>
  <c r="F25" i="13"/>
  <c r="E25" i="13"/>
  <c r="D25" i="13"/>
  <c r="C25" i="13"/>
  <c r="BG24" i="13"/>
  <c r="BU24" i="13" s="1"/>
  <c r="AO24" i="13"/>
  <c r="AN24" i="13"/>
  <c r="AM24" i="13"/>
  <c r="AL24" i="13"/>
  <c r="AH24" i="13"/>
  <c r="AG24" i="13"/>
  <c r="AF24" i="13"/>
  <c r="AE24" i="13"/>
  <c r="AA24" i="13"/>
  <c r="Z24" i="13"/>
  <c r="Y24" i="13"/>
  <c r="X24" i="13"/>
  <c r="T24" i="13"/>
  <c r="S24" i="13"/>
  <c r="R24" i="13"/>
  <c r="Q24" i="13"/>
  <c r="M24" i="13"/>
  <c r="L24" i="13"/>
  <c r="K24" i="13"/>
  <c r="J24" i="13"/>
  <c r="F24" i="13"/>
  <c r="E24" i="13"/>
  <c r="D24" i="13"/>
  <c r="C24" i="13"/>
  <c r="BG23" i="13"/>
  <c r="CG23" i="13" s="1"/>
  <c r="AO23" i="13"/>
  <c r="AN23" i="13"/>
  <c r="AM23" i="13"/>
  <c r="AL23" i="13"/>
  <c r="AH23" i="13"/>
  <c r="AG23" i="13"/>
  <c r="AF23" i="13"/>
  <c r="AE23" i="13"/>
  <c r="AA23" i="13"/>
  <c r="Z23" i="13"/>
  <c r="Y23" i="13"/>
  <c r="X23" i="13"/>
  <c r="T23" i="13"/>
  <c r="S23" i="13"/>
  <c r="R23" i="13"/>
  <c r="Q23" i="13"/>
  <c r="M23" i="13"/>
  <c r="L23" i="13"/>
  <c r="K23" i="13"/>
  <c r="BL23" i="13" s="1"/>
  <c r="J23" i="13"/>
  <c r="F23" i="13"/>
  <c r="E23" i="13"/>
  <c r="D23" i="13"/>
  <c r="C23" i="13"/>
  <c r="BG22" i="13"/>
  <c r="BU22" i="13" s="1"/>
  <c r="AO22" i="13"/>
  <c r="AN22" i="13"/>
  <c r="AM22" i="13"/>
  <c r="AL22" i="13"/>
  <c r="AH22" i="13"/>
  <c r="AG22" i="13"/>
  <c r="AF22" i="13"/>
  <c r="AE22" i="13"/>
  <c r="AA22" i="13"/>
  <c r="Z22" i="13"/>
  <c r="Y22" i="13"/>
  <c r="X22" i="13"/>
  <c r="T22" i="13"/>
  <c r="S22" i="13"/>
  <c r="R22" i="13"/>
  <c r="Q22" i="13"/>
  <c r="M22" i="13"/>
  <c r="L22" i="13"/>
  <c r="K22" i="13"/>
  <c r="J22" i="13"/>
  <c r="F22" i="13"/>
  <c r="E22" i="13"/>
  <c r="D22" i="13"/>
  <c r="C22" i="13"/>
  <c r="BG21" i="13"/>
  <c r="CG21" i="13" s="1"/>
  <c r="AO21" i="13"/>
  <c r="AN21" i="13"/>
  <c r="AM21" i="13"/>
  <c r="AL21" i="13"/>
  <c r="AH21" i="13"/>
  <c r="AG21" i="13"/>
  <c r="AF21" i="13"/>
  <c r="AE21" i="13"/>
  <c r="AA21" i="13"/>
  <c r="Z21" i="13"/>
  <c r="Y21" i="13"/>
  <c r="X21" i="13"/>
  <c r="T21" i="13"/>
  <c r="S21" i="13"/>
  <c r="R21" i="13"/>
  <c r="Q21" i="13"/>
  <c r="M21" i="13"/>
  <c r="L21" i="13"/>
  <c r="K21" i="13"/>
  <c r="J21" i="13"/>
  <c r="F21" i="13"/>
  <c r="E21" i="13"/>
  <c r="D21" i="13"/>
  <c r="C21" i="13"/>
  <c r="BG20" i="13"/>
  <c r="AO20" i="13"/>
  <c r="AN20" i="13"/>
  <c r="AM20" i="13"/>
  <c r="AL20" i="13"/>
  <c r="AH20" i="13"/>
  <c r="AG20" i="13"/>
  <c r="AF20" i="13"/>
  <c r="AE20" i="13"/>
  <c r="AA20" i="13"/>
  <c r="Z20" i="13"/>
  <c r="Y20" i="13"/>
  <c r="X20" i="13"/>
  <c r="T20" i="13"/>
  <c r="S20" i="13"/>
  <c r="R20" i="13"/>
  <c r="Q20" i="13"/>
  <c r="M20" i="13"/>
  <c r="L20" i="13"/>
  <c r="K20" i="13"/>
  <c r="J20" i="13"/>
  <c r="F20" i="13"/>
  <c r="E20" i="13"/>
  <c r="D20" i="13"/>
  <c r="C20" i="13"/>
  <c r="BG19" i="13"/>
  <c r="BU19" i="13" s="1"/>
  <c r="AO19" i="13"/>
  <c r="AN19" i="13"/>
  <c r="AM19" i="13"/>
  <c r="AL19" i="13"/>
  <c r="AH19" i="13"/>
  <c r="AG19" i="13"/>
  <c r="AF19" i="13"/>
  <c r="AE19" i="13"/>
  <c r="AA19" i="13"/>
  <c r="Z19" i="13"/>
  <c r="Y19" i="13"/>
  <c r="X19" i="13"/>
  <c r="T19" i="13"/>
  <c r="S19" i="13"/>
  <c r="R19" i="13"/>
  <c r="Q19" i="13"/>
  <c r="M19" i="13"/>
  <c r="L19" i="13"/>
  <c r="K19" i="13"/>
  <c r="J19" i="13"/>
  <c r="F19" i="13"/>
  <c r="E19" i="13"/>
  <c r="D19" i="13"/>
  <c r="C19" i="13"/>
  <c r="BG18" i="13"/>
  <c r="CG18" i="13" s="1"/>
  <c r="AO18" i="13"/>
  <c r="AN18" i="13"/>
  <c r="AM18" i="13"/>
  <c r="AL18" i="13"/>
  <c r="AH18" i="13"/>
  <c r="AG18" i="13"/>
  <c r="AF18" i="13"/>
  <c r="AE18" i="13"/>
  <c r="AA18" i="13"/>
  <c r="Z18" i="13"/>
  <c r="Y18" i="13"/>
  <c r="X18" i="13"/>
  <c r="T18" i="13"/>
  <c r="S18" i="13"/>
  <c r="R18" i="13"/>
  <c r="Q18" i="13"/>
  <c r="M18" i="13"/>
  <c r="L18" i="13"/>
  <c r="K18" i="13"/>
  <c r="J18" i="13"/>
  <c r="F18" i="13"/>
  <c r="E18" i="13"/>
  <c r="D18" i="13"/>
  <c r="C18" i="13"/>
  <c r="BU17" i="13"/>
  <c r="BR17" i="13"/>
  <c r="AY17" i="13"/>
  <c r="BG16" i="13"/>
  <c r="AO16" i="13"/>
  <c r="AN16" i="13"/>
  <c r="AM16" i="13"/>
  <c r="AL16" i="13"/>
  <c r="AH16" i="13"/>
  <c r="AG16" i="13"/>
  <c r="AF16" i="13"/>
  <c r="AE16" i="13"/>
  <c r="AA16" i="13"/>
  <c r="Z16" i="13"/>
  <c r="Y16" i="13"/>
  <c r="X16" i="13"/>
  <c r="T16" i="13"/>
  <c r="S16" i="13"/>
  <c r="R16" i="13"/>
  <c r="Q16" i="13"/>
  <c r="M16" i="13"/>
  <c r="BL16" i="13" s="1"/>
  <c r="L16" i="13"/>
  <c r="K16" i="13"/>
  <c r="J16" i="13"/>
  <c r="F16" i="13"/>
  <c r="E16" i="13"/>
  <c r="D16" i="13"/>
  <c r="C16" i="13"/>
  <c r="BG15" i="13"/>
  <c r="CG15" i="13" s="1"/>
  <c r="AO15" i="13"/>
  <c r="AN15" i="13"/>
  <c r="AM15" i="13"/>
  <c r="AL15" i="13"/>
  <c r="AH15" i="13"/>
  <c r="AG15" i="13"/>
  <c r="AF15" i="13"/>
  <c r="AE15" i="13"/>
  <c r="AA15" i="13"/>
  <c r="Z15" i="13"/>
  <c r="Y15" i="13"/>
  <c r="X15" i="13"/>
  <c r="T15" i="13"/>
  <c r="S15" i="13"/>
  <c r="R15" i="13"/>
  <c r="Q15" i="13"/>
  <c r="M15" i="13"/>
  <c r="L15" i="13"/>
  <c r="K15" i="13"/>
  <c r="J15" i="13"/>
  <c r="F15" i="13"/>
  <c r="E15" i="13"/>
  <c r="D15" i="13"/>
  <c r="C15" i="13"/>
  <c r="BG14" i="13"/>
  <c r="BU14" i="13" s="1"/>
  <c r="AO14" i="13"/>
  <c r="AN14" i="13"/>
  <c r="AM14" i="13"/>
  <c r="AL14" i="13"/>
  <c r="AH14" i="13"/>
  <c r="AG14" i="13"/>
  <c r="AF14" i="13"/>
  <c r="AE14" i="13"/>
  <c r="AA14" i="13"/>
  <c r="Z14" i="13"/>
  <c r="Y14" i="13"/>
  <c r="X14" i="13"/>
  <c r="T14" i="13"/>
  <c r="S14" i="13"/>
  <c r="R14" i="13"/>
  <c r="Q14" i="13"/>
  <c r="M14" i="13"/>
  <c r="L14" i="13"/>
  <c r="K14" i="13"/>
  <c r="J14" i="13"/>
  <c r="F14" i="13"/>
  <c r="E14" i="13"/>
  <c r="D14" i="13"/>
  <c r="C14" i="13"/>
  <c r="BG13" i="13"/>
  <c r="AO13" i="13"/>
  <c r="AN13" i="13"/>
  <c r="AM13" i="13"/>
  <c r="AL13" i="13"/>
  <c r="AH13" i="13"/>
  <c r="AF13" i="13"/>
  <c r="AE13" i="13"/>
  <c r="AA13" i="13"/>
  <c r="Y13" i="13"/>
  <c r="X13" i="13"/>
  <c r="T13" i="13"/>
  <c r="S13" i="13"/>
  <c r="R13" i="13"/>
  <c r="Q13" i="13"/>
  <c r="M13" i="13"/>
  <c r="L13" i="13"/>
  <c r="K13" i="13"/>
  <c r="J13" i="13"/>
  <c r="F13" i="13"/>
  <c r="E13" i="13"/>
  <c r="D13" i="13"/>
  <c r="C13" i="13"/>
  <c r="BG12" i="13"/>
  <c r="CG12" i="13" s="1"/>
  <c r="AO12" i="13"/>
  <c r="AN12" i="13"/>
  <c r="AM12" i="13"/>
  <c r="AL12" i="13"/>
  <c r="AH12" i="13"/>
  <c r="AG12" i="13"/>
  <c r="AF12" i="13"/>
  <c r="AE12" i="13"/>
  <c r="AA12" i="13"/>
  <c r="Z12" i="13"/>
  <c r="Y12" i="13"/>
  <c r="X12" i="13"/>
  <c r="T12" i="13"/>
  <c r="S12" i="13"/>
  <c r="R12" i="13"/>
  <c r="Q12" i="13"/>
  <c r="M12" i="13"/>
  <c r="L12" i="13"/>
  <c r="K12" i="13"/>
  <c r="J12" i="13"/>
  <c r="F12" i="13"/>
  <c r="E12" i="13"/>
  <c r="D12" i="13"/>
  <c r="C12" i="13"/>
  <c r="BG11" i="13"/>
  <c r="BU11" i="13" s="1"/>
  <c r="AO11" i="13"/>
  <c r="AN11" i="13"/>
  <c r="AM11" i="13"/>
  <c r="AL11" i="13"/>
  <c r="AH11" i="13"/>
  <c r="AG11" i="13"/>
  <c r="AF11" i="13"/>
  <c r="AE11" i="13"/>
  <c r="AA11" i="13"/>
  <c r="Z11" i="13"/>
  <c r="Y11" i="13"/>
  <c r="X11" i="13"/>
  <c r="T11" i="13"/>
  <c r="S11" i="13"/>
  <c r="R11" i="13"/>
  <c r="Q11" i="13"/>
  <c r="M11" i="13"/>
  <c r="L11" i="13"/>
  <c r="K11" i="13"/>
  <c r="J11" i="13"/>
  <c r="F11" i="13"/>
  <c r="E11" i="13"/>
  <c r="D11" i="13"/>
  <c r="C11" i="13"/>
  <c r="F9" i="13"/>
  <c r="E9" i="13"/>
  <c r="D9" i="13"/>
  <c r="C9" i="13"/>
  <c r="AZ8" i="13"/>
  <c r="AZ6" i="13"/>
  <c r="C58" i="12"/>
  <c r="D58" i="12" s="1"/>
  <c r="E58" i="12" s="1"/>
  <c r="F58" i="12" s="1"/>
  <c r="G58" i="12" s="1"/>
  <c r="H58" i="12" s="1"/>
  <c r="I58" i="12" s="1"/>
  <c r="J58" i="12" s="1"/>
  <c r="K58" i="12" s="1"/>
  <c r="L58" i="12" s="1"/>
  <c r="M58" i="12" s="1"/>
  <c r="N58" i="12" s="1"/>
  <c r="O58" i="12" s="1"/>
  <c r="P58" i="12" s="1"/>
  <c r="Q58" i="12" s="1"/>
  <c r="R58" i="12" s="1"/>
  <c r="S58" i="12" s="1"/>
  <c r="T58" i="12" s="1"/>
  <c r="U58" i="12" s="1"/>
  <c r="V58" i="12" s="1"/>
  <c r="W58" i="12" s="1"/>
  <c r="X58" i="12" s="1"/>
  <c r="Y58" i="12" s="1"/>
  <c r="Z58" i="12" s="1"/>
  <c r="AA58" i="12" s="1"/>
  <c r="AB58" i="12" s="1"/>
  <c r="AC58" i="12" s="1"/>
  <c r="AD58" i="12" s="1"/>
  <c r="AE58" i="12" s="1"/>
  <c r="AF58" i="12" s="1"/>
  <c r="AG58" i="12" s="1"/>
  <c r="AH58" i="12" s="1"/>
  <c r="AI58" i="12" s="1"/>
  <c r="AJ58" i="12" s="1"/>
  <c r="AK58" i="12" s="1"/>
  <c r="AL58" i="12" s="1"/>
  <c r="AM58" i="12" s="1"/>
  <c r="AN58" i="12" s="1"/>
  <c r="AO58" i="12" s="1"/>
  <c r="AP58" i="12" s="1"/>
  <c r="AQ58" i="12" s="1"/>
  <c r="AR58" i="12" s="1"/>
  <c r="AS58" i="12" s="1"/>
  <c r="AT58" i="12" s="1"/>
  <c r="AU58" i="12" s="1"/>
  <c r="AV58" i="12" s="1"/>
  <c r="AW58" i="12" s="1"/>
  <c r="AX58" i="12" s="1"/>
  <c r="AY58" i="12" s="1"/>
  <c r="AZ58" i="12" s="1"/>
  <c r="BA58" i="12" s="1"/>
  <c r="BB58" i="12" s="1"/>
  <c r="BC58" i="12" s="1"/>
  <c r="BD58" i="12" s="1"/>
  <c r="BE58" i="12" s="1"/>
  <c r="BF58" i="12" s="1"/>
  <c r="BG58" i="12" s="1"/>
  <c r="BH58" i="12" s="1"/>
  <c r="BI58" i="12" s="1"/>
  <c r="BJ58" i="12" s="1"/>
  <c r="BK58" i="12" s="1"/>
  <c r="BL58" i="12" s="1"/>
  <c r="BM58" i="12" s="1"/>
  <c r="BN58" i="12" s="1"/>
  <c r="BO58" i="12" s="1"/>
  <c r="AG51" i="12"/>
  <c r="S51" i="12"/>
  <c r="R51" i="12"/>
  <c r="Q51" i="12"/>
  <c r="M51" i="12"/>
  <c r="L51" i="12"/>
  <c r="K51" i="12"/>
  <c r="J51" i="12"/>
  <c r="BG50" i="12"/>
  <c r="CG50" i="12" s="1"/>
  <c r="AO50" i="12"/>
  <c r="AN50" i="12"/>
  <c r="AM50" i="12"/>
  <c r="AL50" i="12"/>
  <c r="AH50" i="12"/>
  <c r="AG50" i="12"/>
  <c r="AF50" i="12"/>
  <c r="AE50" i="12"/>
  <c r="AA50" i="12"/>
  <c r="Z50" i="12"/>
  <c r="Y50" i="12"/>
  <c r="X50" i="12"/>
  <c r="T50" i="12"/>
  <c r="S50" i="12"/>
  <c r="R50" i="12"/>
  <c r="Q50" i="12"/>
  <c r="M50" i="12"/>
  <c r="L50" i="12"/>
  <c r="K50" i="12"/>
  <c r="J50" i="12"/>
  <c r="F50" i="12"/>
  <c r="E50" i="12"/>
  <c r="D50" i="12"/>
  <c r="C50" i="12"/>
  <c r="BG49" i="12"/>
  <c r="CG49" i="12" s="1"/>
  <c r="AO49" i="12"/>
  <c r="AN49" i="12"/>
  <c r="AM49" i="12"/>
  <c r="AL49" i="12"/>
  <c r="AH49" i="12"/>
  <c r="AG49" i="12"/>
  <c r="AF49" i="12"/>
  <c r="AE49" i="12"/>
  <c r="AA49" i="12"/>
  <c r="Z49" i="12"/>
  <c r="Y49" i="12"/>
  <c r="X49" i="12"/>
  <c r="T49" i="12"/>
  <c r="S49" i="12"/>
  <c r="R49" i="12"/>
  <c r="Q49" i="12"/>
  <c r="M49" i="12"/>
  <c r="BL49" i="12" s="1"/>
  <c r="L49" i="12"/>
  <c r="K49" i="12"/>
  <c r="J49" i="12"/>
  <c r="F49" i="12"/>
  <c r="E49" i="12"/>
  <c r="D49" i="12"/>
  <c r="C49" i="12"/>
  <c r="BG48" i="12"/>
  <c r="CG48" i="12" s="1"/>
  <c r="AO48" i="12"/>
  <c r="AN48" i="12"/>
  <c r="AM48" i="12"/>
  <c r="AL48" i="12"/>
  <c r="AH48" i="12"/>
  <c r="AG48" i="12"/>
  <c r="AF48" i="12"/>
  <c r="AE48" i="12"/>
  <c r="AA48" i="12"/>
  <c r="Z48" i="12"/>
  <c r="Y48" i="12"/>
  <c r="X48" i="12"/>
  <c r="T48" i="12"/>
  <c r="S48" i="12"/>
  <c r="R48" i="12"/>
  <c r="Q48" i="12"/>
  <c r="M48" i="12"/>
  <c r="BL48" i="12" s="1"/>
  <c r="L48" i="12"/>
  <c r="K48" i="12"/>
  <c r="J48" i="12"/>
  <c r="F48" i="12"/>
  <c r="E48" i="12"/>
  <c r="D48" i="12"/>
  <c r="C48" i="12"/>
  <c r="BG47" i="12"/>
  <c r="BU47" i="12" s="1"/>
  <c r="AO47" i="12"/>
  <c r="AN47" i="12"/>
  <c r="AM47" i="12"/>
  <c r="AL47" i="12"/>
  <c r="AH47" i="12"/>
  <c r="AG47" i="12"/>
  <c r="AF47" i="12"/>
  <c r="AE47" i="12"/>
  <c r="AA47" i="12"/>
  <c r="Z47" i="12"/>
  <c r="Y47" i="12"/>
  <c r="X47" i="12"/>
  <c r="T47" i="12"/>
  <c r="S47" i="12"/>
  <c r="R47" i="12"/>
  <c r="Q47" i="12"/>
  <c r="M47" i="12"/>
  <c r="BL47" i="12" s="1"/>
  <c r="L47" i="12"/>
  <c r="K47" i="12"/>
  <c r="J47" i="12"/>
  <c r="F47" i="12"/>
  <c r="E47" i="12"/>
  <c r="D47" i="12"/>
  <c r="C47" i="12"/>
  <c r="BG46" i="12"/>
  <c r="BU46" i="12" s="1"/>
  <c r="AO46" i="12"/>
  <c r="AN46" i="12"/>
  <c r="AM46" i="12"/>
  <c r="AL46" i="12"/>
  <c r="AH46" i="12"/>
  <c r="AG46" i="12"/>
  <c r="AF46" i="12"/>
  <c r="AE46" i="12"/>
  <c r="AA46" i="12"/>
  <c r="Z46" i="12"/>
  <c r="Y46" i="12"/>
  <c r="X46" i="12"/>
  <c r="T46" i="12"/>
  <c r="S46" i="12"/>
  <c r="R46" i="12"/>
  <c r="Q46" i="12"/>
  <c r="M46" i="12"/>
  <c r="BL46" i="12" s="1"/>
  <c r="L46" i="12"/>
  <c r="K46" i="12"/>
  <c r="J46" i="12"/>
  <c r="F46" i="12"/>
  <c r="E46" i="12"/>
  <c r="D46" i="12"/>
  <c r="C46" i="12"/>
  <c r="BG45" i="12"/>
  <c r="CG45" i="12" s="1"/>
  <c r="AO45" i="12"/>
  <c r="AN45" i="12"/>
  <c r="AM45" i="12"/>
  <c r="AL45" i="12"/>
  <c r="AH45" i="12"/>
  <c r="AG45" i="12"/>
  <c r="AF45" i="12"/>
  <c r="AE45" i="12"/>
  <c r="AA45" i="12"/>
  <c r="Z45" i="12"/>
  <c r="Y45" i="12"/>
  <c r="X45" i="12"/>
  <c r="T45" i="12"/>
  <c r="S45" i="12"/>
  <c r="R45" i="12"/>
  <c r="Q45" i="12"/>
  <c r="M45" i="12"/>
  <c r="L45" i="12"/>
  <c r="K45" i="12"/>
  <c r="J45" i="12"/>
  <c r="F45" i="12"/>
  <c r="E45" i="12"/>
  <c r="D45" i="12"/>
  <c r="C45" i="12"/>
  <c r="BG44" i="12"/>
  <c r="AO44" i="12"/>
  <c r="AN44" i="12"/>
  <c r="AM44" i="12"/>
  <c r="AL44" i="12"/>
  <c r="AH44" i="12"/>
  <c r="AG44" i="12"/>
  <c r="AF44" i="12"/>
  <c r="AE44" i="12"/>
  <c r="AA44" i="12"/>
  <c r="Z44" i="12"/>
  <c r="Y44" i="12"/>
  <c r="X44" i="12"/>
  <c r="T44" i="12"/>
  <c r="S44" i="12"/>
  <c r="R44" i="12"/>
  <c r="Q44" i="12"/>
  <c r="M44" i="12"/>
  <c r="L44" i="12"/>
  <c r="K44" i="12"/>
  <c r="J44" i="12"/>
  <c r="F44" i="12"/>
  <c r="E44" i="12"/>
  <c r="D44" i="12"/>
  <c r="C44" i="12"/>
  <c r="BG43" i="12"/>
  <c r="BU43" i="12" s="1"/>
  <c r="AO43" i="12"/>
  <c r="AN43" i="12"/>
  <c r="AM43" i="12"/>
  <c r="AL43" i="12"/>
  <c r="AH43" i="12"/>
  <c r="AG43" i="12"/>
  <c r="AF43" i="12"/>
  <c r="AE43" i="12"/>
  <c r="AA43" i="12"/>
  <c r="Z43" i="12"/>
  <c r="Y43" i="12"/>
  <c r="X43" i="12"/>
  <c r="T43" i="12"/>
  <c r="S43" i="12"/>
  <c r="R43" i="12"/>
  <c r="Q43" i="12"/>
  <c r="M43" i="12"/>
  <c r="BL43" i="12" s="1"/>
  <c r="L43" i="12"/>
  <c r="K43" i="12"/>
  <c r="J43" i="12"/>
  <c r="F43" i="12"/>
  <c r="E43" i="12"/>
  <c r="D43" i="12"/>
  <c r="C43" i="12"/>
  <c r="BG42" i="12"/>
  <c r="BU42" i="12" s="1"/>
  <c r="AO42" i="12"/>
  <c r="AM42" i="12"/>
  <c r="AL42" i="12"/>
  <c r="AH42" i="12"/>
  <c r="AF42" i="12"/>
  <c r="AE42" i="12"/>
  <c r="AA42" i="12"/>
  <c r="Y42" i="12"/>
  <c r="X42" i="12"/>
  <c r="T42" i="12"/>
  <c r="S42" i="12"/>
  <c r="R42" i="12"/>
  <c r="Q42" i="12"/>
  <c r="M42" i="12"/>
  <c r="L42" i="12"/>
  <c r="K42" i="12"/>
  <c r="J42" i="12"/>
  <c r="F42" i="12"/>
  <c r="E42" i="12"/>
  <c r="D42" i="12"/>
  <c r="C42" i="12"/>
  <c r="BG41" i="12"/>
  <c r="AO41" i="12"/>
  <c r="AN41" i="12"/>
  <c r="AM41" i="12"/>
  <c r="AL41" i="12"/>
  <c r="AH41" i="12"/>
  <c r="AG41" i="12"/>
  <c r="AF41" i="12"/>
  <c r="AE41" i="12"/>
  <c r="AA41" i="12"/>
  <c r="Z41" i="12"/>
  <c r="Y41" i="12"/>
  <c r="X41" i="12"/>
  <c r="T41" i="12"/>
  <c r="S41" i="12"/>
  <c r="R41" i="12"/>
  <c r="Q41" i="12"/>
  <c r="M41" i="12"/>
  <c r="BL41" i="12" s="1"/>
  <c r="L41" i="12"/>
  <c r="K41" i="12"/>
  <c r="J41" i="12"/>
  <c r="N41" i="12" s="1"/>
  <c r="F41" i="12"/>
  <c r="E41" i="12"/>
  <c r="D41" i="12"/>
  <c r="C41" i="12"/>
  <c r="BL40" i="12"/>
  <c r="BG40" i="12"/>
  <c r="CG40" i="12" s="1"/>
  <c r="AO40" i="12"/>
  <c r="AN40" i="12"/>
  <c r="AM40" i="12"/>
  <c r="AL40" i="12"/>
  <c r="AH40" i="12"/>
  <c r="AG40" i="12"/>
  <c r="AF40" i="12"/>
  <c r="AE40" i="12"/>
  <c r="AA40" i="12"/>
  <c r="Z40" i="12"/>
  <c r="Y40" i="12"/>
  <c r="X40" i="12"/>
  <c r="T40" i="12"/>
  <c r="S40" i="12"/>
  <c r="R40" i="12"/>
  <c r="Q40" i="12"/>
  <c r="M40" i="12"/>
  <c r="L40" i="12"/>
  <c r="K40" i="12"/>
  <c r="J40" i="12"/>
  <c r="F40" i="12"/>
  <c r="E40" i="12"/>
  <c r="D40" i="12"/>
  <c r="C40" i="12"/>
  <c r="BG39" i="12"/>
  <c r="CG39" i="12" s="1"/>
  <c r="AO39" i="12"/>
  <c r="AN39" i="12"/>
  <c r="AM39" i="12"/>
  <c r="AL39" i="12"/>
  <c r="AH39" i="12"/>
  <c r="AG39" i="12"/>
  <c r="AF39" i="12"/>
  <c r="AE39" i="12"/>
  <c r="AA39" i="12"/>
  <c r="Z39" i="12"/>
  <c r="Y39" i="12"/>
  <c r="X39" i="12"/>
  <c r="T39" i="12"/>
  <c r="S39" i="12"/>
  <c r="R39" i="12"/>
  <c r="Q39" i="12"/>
  <c r="M39" i="12"/>
  <c r="BL39" i="12" s="1"/>
  <c r="L39" i="12"/>
  <c r="K39" i="12"/>
  <c r="J39" i="12"/>
  <c r="F39" i="12"/>
  <c r="E39" i="12"/>
  <c r="D39" i="12"/>
  <c r="C39" i="12"/>
  <c r="BG38" i="12"/>
  <c r="CG38" i="12" s="1"/>
  <c r="AO38" i="12"/>
  <c r="AN38" i="12"/>
  <c r="AM38" i="12"/>
  <c r="AL38" i="12"/>
  <c r="AH38" i="12"/>
  <c r="AG38" i="12"/>
  <c r="AF38" i="12"/>
  <c r="AE38" i="12"/>
  <c r="AA38" i="12"/>
  <c r="Z38" i="12"/>
  <c r="Y38" i="12"/>
  <c r="X38" i="12"/>
  <c r="T38" i="12"/>
  <c r="S38" i="12"/>
  <c r="R38" i="12"/>
  <c r="Q38" i="12"/>
  <c r="M38" i="12"/>
  <c r="BL38" i="12" s="1"/>
  <c r="L38" i="12"/>
  <c r="K38" i="12"/>
  <c r="J38" i="12"/>
  <c r="F38" i="12"/>
  <c r="E38" i="12"/>
  <c r="D38" i="12"/>
  <c r="C38" i="12"/>
  <c r="BG37" i="12"/>
  <c r="AO37" i="12"/>
  <c r="AN37" i="12"/>
  <c r="AM37" i="12"/>
  <c r="AL37" i="12"/>
  <c r="AH37" i="12"/>
  <c r="AG37" i="12"/>
  <c r="AF37" i="12"/>
  <c r="AE37" i="12"/>
  <c r="AA37" i="12"/>
  <c r="Z37" i="12"/>
  <c r="Y37" i="12"/>
  <c r="X37" i="12"/>
  <c r="T37" i="12"/>
  <c r="S37" i="12"/>
  <c r="R37" i="12"/>
  <c r="Q37" i="12"/>
  <c r="M37" i="12"/>
  <c r="BL37" i="12" s="1"/>
  <c r="L37" i="12"/>
  <c r="K37" i="12"/>
  <c r="J37" i="12"/>
  <c r="F37" i="12"/>
  <c r="E37" i="12"/>
  <c r="D37" i="12"/>
  <c r="C37" i="12"/>
  <c r="BG36" i="12"/>
  <c r="CG36" i="12" s="1"/>
  <c r="AO36" i="12"/>
  <c r="AN36" i="12"/>
  <c r="AM36" i="12"/>
  <c r="AL36" i="12"/>
  <c r="AH36" i="12"/>
  <c r="AG36" i="12"/>
  <c r="AF36" i="12"/>
  <c r="AE36" i="12"/>
  <c r="AA36" i="12"/>
  <c r="Z36" i="12"/>
  <c r="Y36" i="12"/>
  <c r="X36" i="12"/>
  <c r="T36" i="12"/>
  <c r="S36" i="12"/>
  <c r="R36" i="12"/>
  <c r="Q36" i="12"/>
  <c r="M36" i="12"/>
  <c r="L36" i="12"/>
  <c r="K36" i="12"/>
  <c r="J36" i="12"/>
  <c r="F36" i="12"/>
  <c r="E36" i="12"/>
  <c r="D36" i="12"/>
  <c r="C36" i="12"/>
  <c r="BG35" i="12"/>
  <c r="BU35" i="12" s="1"/>
  <c r="AO35" i="12"/>
  <c r="AN35" i="12"/>
  <c r="AM35" i="12"/>
  <c r="AL35" i="12"/>
  <c r="AH35" i="12"/>
  <c r="AG35" i="12"/>
  <c r="AF35" i="12"/>
  <c r="AE35" i="12"/>
  <c r="AA35" i="12"/>
  <c r="Z35" i="12"/>
  <c r="Y35" i="12"/>
  <c r="X35" i="12"/>
  <c r="T35" i="12"/>
  <c r="S35" i="12"/>
  <c r="R35" i="12"/>
  <c r="Q35" i="12"/>
  <c r="M35" i="12"/>
  <c r="L35" i="12"/>
  <c r="K35" i="12"/>
  <c r="J35" i="12"/>
  <c r="F35" i="12"/>
  <c r="E35" i="12"/>
  <c r="D35" i="12"/>
  <c r="C35" i="12"/>
  <c r="CG34" i="12"/>
  <c r="BU34" i="12"/>
  <c r="BL34" i="12"/>
  <c r="AP34" i="12"/>
  <c r="AI34" i="12"/>
  <c r="AB34" i="12"/>
  <c r="U34" i="12"/>
  <c r="N34" i="12"/>
  <c r="H34" i="12"/>
  <c r="G34" i="12"/>
  <c r="BG33" i="12"/>
  <c r="BU33" i="12" s="1"/>
  <c r="AO33" i="12"/>
  <c r="AN33" i="12"/>
  <c r="AM33" i="12"/>
  <c r="AL33" i="12"/>
  <c r="AH33" i="12"/>
  <c r="AG33" i="12"/>
  <c r="AF33" i="12"/>
  <c r="AE33" i="12"/>
  <c r="AA33" i="12"/>
  <c r="Z33" i="12"/>
  <c r="Y33" i="12"/>
  <c r="X33" i="12"/>
  <c r="T33" i="12"/>
  <c r="S33" i="12"/>
  <c r="R33" i="12"/>
  <c r="Q33" i="12"/>
  <c r="M33" i="12"/>
  <c r="L33" i="12"/>
  <c r="K33" i="12"/>
  <c r="J33" i="12"/>
  <c r="F33" i="12"/>
  <c r="E33" i="12"/>
  <c r="D33" i="12"/>
  <c r="C33" i="12"/>
  <c r="BG32" i="12"/>
  <c r="CG32" i="12" s="1"/>
  <c r="AO32" i="12"/>
  <c r="AN32" i="12"/>
  <c r="AM32" i="12"/>
  <c r="AL32" i="12"/>
  <c r="AH32" i="12"/>
  <c r="AG32" i="12"/>
  <c r="AF32" i="12"/>
  <c r="AE32" i="12"/>
  <c r="AA32" i="12"/>
  <c r="Z32" i="12"/>
  <c r="Y32" i="12"/>
  <c r="X32" i="12"/>
  <c r="T32" i="12"/>
  <c r="S32" i="12"/>
  <c r="R32" i="12"/>
  <c r="Q32" i="12"/>
  <c r="M32" i="12"/>
  <c r="BL32" i="12" s="1"/>
  <c r="L32" i="12"/>
  <c r="K32" i="12"/>
  <c r="J32" i="12"/>
  <c r="F32" i="12"/>
  <c r="E32" i="12"/>
  <c r="D32" i="12"/>
  <c r="C32" i="12"/>
  <c r="BG31" i="12"/>
  <c r="CG31" i="12" s="1"/>
  <c r="AO31" i="12"/>
  <c r="AN31" i="12"/>
  <c r="AM31" i="12"/>
  <c r="AL31" i="12"/>
  <c r="AH31" i="12"/>
  <c r="AG31" i="12"/>
  <c r="AF31" i="12"/>
  <c r="AE31" i="12"/>
  <c r="AA31" i="12"/>
  <c r="Z31" i="12"/>
  <c r="Y31" i="12"/>
  <c r="X31" i="12"/>
  <c r="T31" i="12"/>
  <c r="S31" i="12"/>
  <c r="R31" i="12"/>
  <c r="Q31" i="12"/>
  <c r="M31" i="12"/>
  <c r="L31" i="12"/>
  <c r="K31" i="12"/>
  <c r="J31" i="12"/>
  <c r="N31" i="12" s="1"/>
  <c r="F31" i="12"/>
  <c r="E31" i="12"/>
  <c r="D31" i="12"/>
  <c r="C31" i="12"/>
  <c r="BG30" i="12"/>
  <c r="CG30" i="12" s="1"/>
  <c r="AO30" i="12"/>
  <c r="AN30" i="12"/>
  <c r="AM30" i="12"/>
  <c r="AL30" i="12"/>
  <c r="AH30" i="12"/>
  <c r="AG30" i="12"/>
  <c r="AF30" i="12"/>
  <c r="AE30" i="12"/>
  <c r="AA30" i="12"/>
  <c r="Z30" i="12"/>
  <c r="Y30" i="12"/>
  <c r="X30" i="12"/>
  <c r="T30" i="12"/>
  <c r="S30" i="12"/>
  <c r="R30" i="12"/>
  <c r="Q30" i="12"/>
  <c r="M30" i="12"/>
  <c r="BL30" i="12" s="1"/>
  <c r="L30" i="12"/>
  <c r="K30" i="12"/>
  <c r="J30" i="12"/>
  <c r="F30" i="12"/>
  <c r="E30" i="12"/>
  <c r="D30" i="12"/>
  <c r="C30" i="12"/>
  <c r="BG29" i="12"/>
  <c r="BU29" i="12" s="1"/>
  <c r="AO29" i="12"/>
  <c r="AN29" i="12"/>
  <c r="AM29" i="12"/>
  <c r="AL29" i="12"/>
  <c r="AH29" i="12"/>
  <c r="AG29" i="12"/>
  <c r="AF29" i="12"/>
  <c r="AE29" i="12"/>
  <c r="AA29" i="12"/>
  <c r="Z29" i="12"/>
  <c r="Y29" i="12"/>
  <c r="X29" i="12"/>
  <c r="T29" i="12"/>
  <c r="S29" i="12"/>
  <c r="R29" i="12"/>
  <c r="Q29" i="12"/>
  <c r="M29" i="12"/>
  <c r="BL29" i="12" s="1"/>
  <c r="L29" i="12"/>
  <c r="K29" i="12"/>
  <c r="J29" i="12"/>
  <c r="F29" i="12"/>
  <c r="E29" i="12"/>
  <c r="D29" i="12"/>
  <c r="C29" i="12"/>
  <c r="BL28" i="12"/>
  <c r="BG28" i="12"/>
  <c r="CG28" i="12" s="1"/>
  <c r="AO28" i="12"/>
  <c r="AN28" i="12"/>
  <c r="AM28" i="12"/>
  <c r="AL28" i="12"/>
  <c r="AH28" i="12"/>
  <c r="AG28" i="12"/>
  <c r="AF28" i="12"/>
  <c r="AE28" i="12"/>
  <c r="AA28" i="12"/>
  <c r="Z28" i="12"/>
  <c r="Y28" i="12"/>
  <c r="X28" i="12"/>
  <c r="T28" i="12"/>
  <c r="S28" i="12"/>
  <c r="R28" i="12"/>
  <c r="Q28" i="12"/>
  <c r="M28" i="12"/>
  <c r="L28" i="12"/>
  <c r="K28" i="12"/>
  <c r="J28" i="12"/>
  <c r="F28" i="12"/>
  <c r="E28" i="12"/>
  <c r="D28" i="12"/>
  <c r="C28" i="12"/>
  <c r="BG27" i="12"/>
  <c r="CG27" i="12" s="1"/>
  <c r="AO27" i="12"/>
  <c r="AN27" i="12"/>
  <c r="AM27" i="12"/>
  <c r="AL27" i="12"/>
  <c r="AH27" i="12"/>
  <c r="AG27" i="12"/>
  <c r="AF27" i="12"/>
  <c r="AE27" i="12"/>
  <c r="AA27" i="12"/>
  <c r="Z27" i="12"/>
  <c r="Y27" i="12"/>
  <c r="X27" i="12"/>
  <c r="T27" i="12"/>
  <c r="S27" i="12"/>
  <c r="R27" i="12"/>
  <c r="Q27" i="12"/>
  <c r="M27" i="12"/>
  <c r="BL27" i="12" s="1"/>
  <c r="L27" i="12"/>
  <c r="K27" i="12"/>
  <c r="J27" i="12"/>
  <c r="F27" i="12"/>
  <c r="E27" i="12"/>
  <c r="D27" i="12"/>
  <c r="C27" i="12"/>
  <c r="BG26" i="12"/>
  <c r="CG26" i="12" s="1"/>
  <c r="AO26" i="12"/>
  <c r="AN26" i="12"/>
  <c r="AM26" i="12"/>
  <c r="AL26" i="12"/>
  <c r="AH26" i="12"/>
  <c r="AG26" i="12"/>
  <c r="AF26" i="12"/>
  <c r="AE26" i="12"/>
  <c r="AA26" i="12"/>
  <c r="Z26" i="12"/>
  <c r="Y26" i="12"/>
  <c r="X26" i="12"/>
  <c r="T26" i="12"/>
  <c r="S26" i="12"/>
  <c r="R26" i="12"/>
  <c r="Q26" i="12"/>
  <c r="M26" i="12"/>
  <c r="BL26" i="12" s="1"/>
  <c r="L26" i="12"/>
  <c r="K26" i="12"/>
  <c r="J26" i="12"/>
  <c r="F26" i="12"/>
  <c r="E26" i="12"/>
  <c r="D26" i="12"/>
  <c r="C26" i="12"/>
  <c r="CG25" i="12"/>
  <c r="BG25" i="12"/>
  <c r="BU25" i="12" s="1"/>
  <c r="AO25" i="12"/>
  <c r="AN25" i="12"/>
  <c r="AM25" i="12"/>
  <c r="AL25" i="12"/>
  <c r="AH25" i="12"/>
  <c r="AG25" i="12"/>
  <c r="AF25" i="12"/>
  <c r="AE25" i="12"/>
  <c r="AA25" i="12"/>
  <c r="Z25" i="12"/>
  <c r="Y25" i="12"/>
  <c r="X25" i="12"/>
  <c r="T25" i="12"/>
  <c r="S25" i="12"/>
  <c r="R25" i="12"/>
  <c r="Q25" i="12"/>
  <c r="M25" i="12"/>
  <c r="L25" i="12"/>
  <c r="K25" i="12"/>
  <c r="J25" i="12"/>
  <c r="F25" i="12"/>
  <c r="E25" i="12"/>
  <c r="D25" i="12"/>
  <c r="C25" i="12"/>
  <c r="BG24" i="12"/>
  <c r="CG24" i="12" s="1"/>
  <c r="AO24" i="12"/>
  <c r="AN24" i="12"/>
  <c r="AM24" i="12"/>
  <c r="AL24" i="12"/>
  <c r="AH24" i="12"/>
  <c r="AG24" i="12"/>
  <c r="AF24" i="12"/>
  <c r="AE24" i="12"/>
  <c r="AA24" i="12"/>
  <c r="Z24" i="12"/>
  <c r="Y24" i="12"/>
  <c r="X24" i="12"/>
  <c r="T24" i="12"/>
  <c r="S24" i="12"/>
  <c r="R24" i="12"/>
  <c r="Q24" i="12"/>
  <c r="M24" i="12"/>
  <c r="BL24" i="12" s="1"/>
  <c r="L24" i="12"/>
  <c r="K24" i="12"/>
  <c r="J24" i="12"/>
  <c r="F24" i="12"/>
  <c r="E24" i="12"/>
  <c r="D24" i="12"/>
  <c r="C24" i="12"/>
  <c r="BG23" i="12"/>
  <c r="BU23" i="12" s="1"/>
  <c r="AO23" i="12"/>
  <c r="AN23" i="12"/>
  <c r="AM23" i="12"/>
  <c r="AL23" i="12"/>
  <c r="AH23" i="12"/>
  <c r="AG23" i="12"/>
  <c r="AF23" i="12"/>
  <c r="AE23" i="12"/>
  <c r="AA23" i="12"/>
  <c r="Z23" i="12"/>
  <c r="Y23" i="12"/>
  <c r="X23" i="12"/>
  <c r="T23" i="12"/>
  <c r="S23" i="12"/>
  <c r="R23" i="12"/>
  <c r="Q23" i="12"/>
  <c r="M23" i="12"/>
  <c r="BL23" i="12" s="1"/>
  <c r="L23" i="12"/>
  <c r="K23" i="12"/>
  <c r="J23" i="12"/>
  <c r="F23" i="12"/>
  <c r="E23" i="12"/>
  <c r="D23" i="12"/>
  <c r="C23" i="12"/>
  <c r="BG22" i="12"/>
  <c r="CG22" i="12" s="1"/>
  <c r="AO22" i="12"/>
  <c r="AN22" i="12"/>
  <c r="AM22" i="12"/>
  <c r="AL22" i="12"/>
  <c r="AH22" i="12"/>
  <c r="AG22" i="12"/>
  <c r="AF22" i="12"/>
  <c r="AE22" i="12"/>
  <c r="AA22" i="12"/>
  <c r="Z22" i="12"/>
  <c r="Y22" i="12"/>
  <c r="X22" i="12"/>
  <c r="T22" i="12"/>
  <c r="S22" i="12"/>
  <c r="R22" i="12"/>
  <c r="Q22" i="12"/>
  <c r="M22" i="12"/>
  <c r="BL22" i="12" s="1"/>
  <c r="L22" i="12"/>
  <c r="K22" i="12"/>
  <c r="J22" i="12"/>
  <c r="F22" i="12"/>
  <c r="E22" i="12"/>
  <c r="D22" i="12"/>
  <c r="C22" i="12"/>
  <c r="BG21" i="12"/>
  <c r="CG21" i="12" s="1"/>
  <c r="AO21" i="12"/>
  <c r="AN21" i="12"/>
  <c r="AM21" i="12"/>
  <c r="AL21" i="12"/>
  <c r="AH21" i="12"/>
  <c r="AG21" i="12"/>
  <c r="AF21" i="12"/>
  <c r="AE21" i="12"/>
  <c r="AA21" i="12"/>
  <c r="Z21" i="12"/>
  <c r="Y21" i="12"/>
  <c r="X21" i="12"/>
  <c r="T21" i="12"/>
  <c r="S21" i="12"/>
  <c r="R21" i="12"/>
  <c r="Q21" i="12"/>
  <c r="M21" i="12"/>
  <c r="BL21" i="12" s="1"/>
  <c r="L21" i="12"/>
  <c r="K21" i="12"/>
  <c r="J21" i="12"/>
  <c r="F21" i="12"/>
  <c r="E21" i="12"/>
  <c r="D21" i="12"/>
  <c r="C21" i="12"/>
  <c r="BG20" i="12"/>
  <c r="CG20" i="12" s="1"/>
  <c r="AO20" i="12"/>
  <c r="AN20" i="12"/>
  <c r="AM20" i="12"/>
  <c r="AL20" i="12"/>
  <c r="AH20" i="12"/>
  <c r="AG20" i="12"/>
  <c r="AF20" i="12"/>
  <c r="AE20" i="12"/>
  <c r="AA20" i="12"/>
  <c r="Z20" i="12"/>
  <c r="Y20" i="12"/>
  <c r="X20" i="12"/>
  <c r="T20" i="12"/>
  <c r="S20" i="12"/>
  <c r="R20" i="12"/>
  <c r="Q20" i="12"/>
  <c r="M20" i="12"/>
  <c r="BL20" i="12" s="1"/>
  <c r="L20" i="12"/>
  <c r="K20" i="12"/>
  <c r="J20" i="12"/>
  <c r="F20" i="12"/>
  <c r="E20" i="12"/>
  <c r="D20" i="12"/>
  <c r="C20" i="12"/>
  <c r="BU19" i="12"/>
  <c r="BG19" i="12"/>
  <c r="CG19" i="12" s="1"/>
  <c r="AO19" i="12"/>
  <c r="AN19" i="12"/>
  <c r="AM19" i="12"/>
  <c r="AL19" i="12"/>
  <c r="AH19" i="12"/>
  <c r="AG19" i="12"/>
  <c r="AF19" i="12"/>
  <c r="AE19" i="12"/>
  <c r="AA19" i="12"/>
  <c r="Z19" i="12"/>
  <c r="Y19" i="12"/>
  <c r="X19" i="12"/>
  <c r="T19" i="12"/>
  <c r="S19" i="12"/>
  <c r="R19" i="12"/>
  <c r="Q19" i="12"/>
  <c r="M19" i="12"/>
  <c r="BL19" i="12" s="1"/>
  <c r="L19" i="12"/>
  <c r="K19" i="12"/>
  <c r="J19" i="12"/>
  <c r="F19" i="12"/>
  <c r="E19" i="12"/>
  <c r="D19" i="12"/>
  <c r="C19" i="12"/>
  <c r="BG18" i="12"/>
  <c r="AO18" i="12"/>
  <c r="AN18" i="12"/>
  <c r="AM18" i="12"/>
  <c r="AL18" i="12"/>
  <c r="AH18" i="12"/>
  <c r="AG18" i="12"/>
  <c r="AF18" i="12"/>
  <c r="AE18" i="12"/>
  <c r="AA18" i="12"/>
  <c r="Z18" i="12"/>
  <c r="Y18" i="12"/>
  <c r="X18" i="12"/>
  <c r="T18" i="12"/>
  <c r="S18" i="12"/>
  <c r="R18" i="12"/>
  <c r="Q18" i="12"/>
  <c r="M18" i="12"/>
  <c r="BL18" i="12" s="1"/>
  <c r="L18" i="12"/>
  <c r="K18" i="12"/>
  <c r="J18" i="12"/>
  <c r="F18" i="12"/>
  <c r="E18" i="12"/>
  <c r="D18" i="12"/>
  <c r="C18" i="12"/>
  <c r="BU17" i="12"/>
  <c r="BR17" i="12"/>
  <c r="BL17" i="12"/>
  <c r="BE17" i="12"/>
  <c r="AY17" i="12"/>
  <c r="BG16" i="12"/>
  <c r="AO16" i="12"/>
  <c r="AN16" i="12"/>
  <c r="AM16" i="12"/>
  <c r="AL16" i="12"/>
  <c r="AH16" i="12"/>
  <c r="AG16" i="12"/>
  <c r="AF16" i="12"/>
  <c r="AE16" i="12"/>
  <c r="AA16" i="12"/>
  <c r="Z16" i="12"/>
  <c r="Y16" i="12"/>
  <c r="X16" i="12"/>
  <c r="T16" i="12"/>
  <c r="S16" i="12"/>
  <c r="R16" i="12"/>
  <c r="Q16" i="12"/>
  <c r="M16" i="12"/>
  <c r="BL16" i="12" s="1"/>
  <c r="L16" i="12"/>
  <c r="K16" i="12"/>
  <c r="J16" i="12"/>
  <c r="N16" i="12" s="1"/>
  <c r="F16" i="12"/>
  <c r="E16" i="12"/>
  <c r="D16" i="12"/>
  <c r="C16" i="12"/>
  <c r="BG15" i="12"/>
  <c r="AO15" i="12"/>
  <c r="AN15" i="12"/>
  <c r="AM15" i="12"/>
  <c r="AL15" i="12"/>
  <c r="AH15" i="12"/>
  <c r="AG15" i="12"/>
  <c r="AF15" i="12"/>
  <c r="AE15" i="12"/>
  <c r="AA15" i="12"/>
  <c r="Z15" i="12"/>
  <c r="Y15" i="12"/>
  <c r="X15" i="12"/>
  <c r="T15" i="12"/>
  <c r="S15" i="12"/>
  <c r="R15" i="12"/>
  <c r="Q15" i="12"/>
  <c r="M15" i="12"/>
  <c r="L15" i="12"/>
  <c r="K15" i="12"/>
  <c r="J15" i="12"/>
  <c r="F15" i="12"/>
  <c r="E15" i="12"/>
  <c r="D15" i="12"/>
  <c r="C15" i="12"/>
  <c r="BG14" i="12"/>
  <c r="CG14" i="12" s="1"/>
  <c r="AO14" i="12"/>
  <c r="AN14" i="12"/>
  <c r="AM14" i="12"/>
  <c r="AL14" i="12"/>
  <c r="AH14" i="12"/>
  <c r="AG14" i="12"/>
  <c r="AF14" i="12"/>
  <c r="AE14" i="12"/>
  <c r="AA14" i="12"/>
  <c r="Z14" i="12"/>
  <c r="Y14" i="12"/>
  <c r="X14" i="12"/>
  <c r="T14" i="12"/>
  <c r="S14" i="12"/>
  <c r="R14" i="12"/>
  <c r="Q14" i="12"/>
  <c r="M14" i="12"/>
  <c r="BL14" i="12" s="1"/>
  <c r="L14" i="12"/>
  <c r="K14" i="12"/>
  <c r="J14" i="12"/>
  <c r="F14" i="12"/>
  <c r="E14" i="12"/>
  <c r="D14" i="12"/>
  <c r="C14" i="12"/>
  <c r="BG13" i="12"/>
  <c r="CG13" i="12" s="1"/>
  <c r="AO13" i="12"/>
  <c r="AM13" i="12"/>
  <c r="AL13" i="12"/>
  <c r="AH13" i="12"/>
  <c r="AF13" i="12"/>
  <c r="AE13" i="12"/>
  <c r="AA13" i="12"/>
  <c r="Z13" i="12"/>
  <c r="Y13" i="12"/>
  <c r="X13" i="12"/>
  <c r="T13" i="12"/>
  <c r="S13" i="12"/>
  <c r="R13" i="12"/>
  <c r="Q13" i="12"/>
  <c r="M13" i="12"/>
  <c r="BL13" i="12" s="1"/>
  <c r="L13" i="12"/>
  <c r="K13" i="12"/>
  <c r="J13" i="12"/>
  <c r="F13" i="12"/>
  <c r="E13" i="12"/>
  <c r="D13" i="12"/>
  <c r="C13" i="12"/>
  <c r="BG12" i="12"/>
  <c r="CG12" i="12" s="1"/>
  <c r="AO12" i="12"/>
  <c r="AN12" i="12"/>
  <c r="AM12" i="12"/>
  <c r="AL12" i="12"/>
  <c r="AH12" i="12"/>
  <c r="AG12" i="12"/>
  <c r="AF12" i="12"/>
  <c r="AE12" i="12"/>
  <c r="AA12" i="12"/>
  <c r="Z12" i="12"/>
  <c r="Y12" i="12"/>
  <c r="X12" i="12"/>
  <c r="T12" i="12"/>
  <c r="S12" i="12"/>
  <c r="R12" i="12"/>
  <c r="Q12" i="12"/>
  <c r="M12" i="12"/>
  <c r="BL12" i="12" s="1"/>
  <c r="L12" i="12"/>
  <c r="K12" i="12"/>
  <c r="J12" i="12"/>
  <c r="F12" i="12"/>
  <c r="E12" i="12"/>
  <c r="D12" i="12"/>
  <c r="C12" i="12"/>
  <c r="BG11" i="12"/>
  <c r="CG11" i="12" s="1"/>
  <c r="AO11" i="12"/>
  <c r="AN11" i="12"/>
  <c r="AM11" i="12"/>
  <c r="AL11" i="12"/>
  <c r="AH11" i="12"/>
  <c r="AG11" i="12"/>
  <c r="AF11" i="12"/>
  <c r="AE11" i="12"/>
  <c r="AA11" i="12"/>
  <c r="Z11" i="12"/>
  <c r="Y11" i="12"/>
  <c r="X11" i="12"/>
  <c r="T11" i="12"/>
  <c r="S11" i="12"/>
  <c r="R11" i="12"/>
  <c r="Q11" i="12"/>
  <c r="M11" i="12"/>
  <c r="BL11" i="12" s="1"/>
  <c r="L11" i="12"/>
  <c r="K11" i="12"/>
  <c r="J11" i="12"/>
  <c r="F11" i="12"/>
  <c r="E11" i="12"/>
  <c r="D11" i="12"/>
  <c r="C11" i="12"/>
  <c r="F9" i="12"/>
  <c r="E9" i="12"/>
  <c r="D9" i="12"/>
  <c r="C9" i="12"/>
  <c r="AZ8" i="12"/>
  <c r="AZ6" i="12"/>
  <c r="D44" i="11"/>
  <c r="Z51" i="6" s="1"/>
  <c r="C44" i="11"/>
  <c r="E40" i="11"/>
  <c r="C40" i="11"/>
  <c r="B40" i="11"/>
  <c r="E35" i="11"/>
  <c r="B35" i="11"/>
  <c r="E33" i="11"/>
  <c r="B33" i="11"/>
  <c r="AE40" i="6" s="1"/>
  <c r="E17" i="11"/>
  <c r="AH24" i="6" s="1"/>
  <c r="B17" i="11"/>
  <c r="B15" i="11"/>
  <c r="E6" i="11"/>
  <c r="B6" i="11"/>
  <c r="B44" i="10"/>
  <c r="B40" i="10"/>
  <c r="B35" i="10"/>
  <c r="B33" i="10"/>
  <c r="B17" i="10"/>
  <c r="B6" i="10"/>
  <c r="I43" i="9"/>
  <c r="D43" i="9"/>
  <c r="I39" i="9"/>
  <c r="C39" i="9"/>
  <c r="C43" i="9" s="1"/>
  <c r="L27" i="9"/>
  <c r="T35" i="4" s="1"/>
  <c r="K27" i="9"/>
  <c r="S35" i="6" s="1"/>
  <c r="J27" i="9"/>
  <c r="F27" i="9"/>
  <c r="E27" i="9"/>
  <c r="E43" i="9" s="1"/>
  <c r="L25" i="9"/>
  <c r="K25" i="9"/>
  <c r="J25" i="9"/>
  <c r="F25" i="9"/>
  <c r="E25" i="9"/>
  <c r="L21" i="9"/>
  <c r="K21" i="9"/>
  <c r="J21" i="9"/>
  <c r="J43" i="9" s="1"/>
  <c r="F21" i="9"/>
  <c r="AH29" i="4" s="1"/>
  <c r="E21" i="9"/>
  <c r="I43" i="8"/>
  <c r="D43" i="8"/>
  <c r="I39" i="8"/>
  <c r="C39" i="8"/>
  <c r="C43" i="8" s="1"/>
  <c r="J51" i="6" s="1"/>
  <c r="M27" i="8"/>
  <c r="L27" i="8"/>
  <c r="K27" i="8"/>
  <c r="J27" i="8"/>
  <c r="F27" i="8"/>
  <c r="N27" i="8" s="1"/>
  <c r="E27" i="8"/>
  <c r="L25" i="8"/>
  <c r="L43" i="8" s="1"/>
  <c r="K25" i="8"/>
  <c r="J25" i="8"/>
  <c r="F25" i="8"/>
  <c r="F43" i="8" s="1"/>
  <c r="M51" i="6" s="1"/>
  <c r="E25" i="8"/>
  <c r="M25" i="8" s="1"/>
  <c r="N21" i="8"/>
  <c r="L21" i="8"/>
  <c r="K21" i="8"/>
  <c r="K43" i="8" s="1"/>
  <c r="J21" i="8"/>
  <c r="J43" i="8" s="1"/>
  <c r="F21" i="8"/>
  <c r="E21" i="8"/>
  <c r="E43" i="8" s="1"/>
  <c r="E43" i="7"/>
  <c r="D43" i="7"/>
  <c r="C43" i="7"/>
  <c r="B43" i="7"/>
  <c r="B39" i="7"/>
  <c r="C55" i="6"/>
  <c r="D55" i="6" s="1"/>
  <c r="E55" i="6" s="1"/>
  <c r="F55" i="6" s="1"/>
  <c r="G55" i="6" s="1"/>
  <c r="H55" i="6" s="1"/>
  <c r="I55" i="6" s="1"/>
  <c r="J55" i="6" s="1"/>
  <c r="K55" i="6" s="1"/>
  <c r="L55" i="6" s="1"/>
  <c r="M55" i="6" s="1"/>
  <c r="N55" i="6" s="1"/>
  <c r="O55" i="6" s="1"/>
  <c r="P55" i="6" s="1"/>
  <c r="Q55" i="6" s="1"/>
  <c r="R55" i="6" s="1"/>
  <c r="S55" i="6" s="1"/>
  <c r="T55" i="6" s="1"/>
  <c r="U55" i="6" s="1"/>
  <c r="V55" i="6" s="1"/>
  <c r="W55" i="6" s="1"/>
  <c r="X55" i="6" s="1"/>
  <c r="Y55" i="6" s="1"/>
  <c r="Z55" i="6" s="1"/>
  <c r="AA55" i="6" s="1"/>
  <c r="AB55" i="6" s="1"/>
  <c r="AC55" i="6" s="1"/>
  <c r="AD55" i="6" s="1"/>
  <c r="AE55" i="6" s="1"/>
  <c r="AF55" i="6" s="1"/>
  <c r="AG55" i="6" s="1"/>
  <c r="AH55" i="6" s="1"/>
  <c r="AI55" i="6" s="1"/>
  <c r="AJ55" i="6" s="1"/>
  <c r="AK55" i="6" s="1"/>
  <c r="AL55" i="6" s="1"/>
  <c r="AM55" i="6" s="1"/>
  <c r="AN55" i="6" s="1"/>
  <c r="AO55" i="6" s="1"/>
  <c r="AP55" i="6" s="1"/>
  <c r="AQ55" i="6" s="1"/>
  <c r="AR55" i="6" s="1"/>
  <c r="AS55" i="6" s="1"/>
  <c r="AT55" i="6" s="1"/>
  <c r="AU55" i="6" s="1"/>
  <c r="AV55" i="6" s="1"/>
  <c r="AW55" i="6" s="1"/>
  <c r="AX55" i="6" s="1"/>
  <c r="AY55" i="6" s="1"/>
  <c r="AZ55" i="6" s="1"/>
  <c r="BA55" i="6" s="1"/>
  <c r="BB55" i="6" s="1"/>
  <c r="BC55" i="6" s="1"/>
  <c r="BD55" i="6" s="1"/>
  <c r="BE55" i="6" s="1"/>
  <c r="BF55" i="6" s="1"/>
  <c r="BG55" i="6" s="1"/>
  <c r="BH55" i="6" s="1"/>
  <c r="BI55" i="6" s="1"/>
  <c r="BJ55" i="6" s="1"/>
  <c r="BK55" i="6" s="1"/>
  <c r="BL55" i="6" s="1"/>
  <c r="BM55" i="6" s="1"/>
  <c r="BN55" i="6" s="1"/>
  <c r="BO55" i="6" s="1"/>
  <c r="BP55" i="6" s="1"/>
  <c r="BQ55" i="6" s="1"/>
  <c r="BR55" i="6" s="1"/>
  <c r="BS55" i="6" s="1"/>
  <c r="BT55" i="6" s="1"/>
  <c r="BU55" i="6" s="1"/>
  <c r="BV55" i="6" s="1"/>
  <c r="BW55" i="6" s="1"/>
  <c r="BX55" i="6" s="1"/>
  <c r="BX51" i="6"/>
  <c r="AN51" i="6"/>
  <c r="AM51" i="6"/>
  <c r="AF51" i="6"/>
  <c r="Y51" i="6"/>
  <c r="R51" i="6"/>
  <c r="L51" i="6"/>
  <c r="K51" i="6"/>
  <c r="BG50" i="6"/>
  <c r="CE50" i="6" s="1"/>
  <c r="AO50" i="6"/>
  <c r="AN50" i="6"/>
  <c r="AM50" i="6"/>
  <c r="AL50" i="6"/>
  <c r="AH50" i="6"/>
  <c r="AG50" i="6"/>
  <c r="AF50" i="6"/>
  <c r="AE50" i="6"/>
  <c r="AA50" i="6"/>
  <c r="Z50" i="6"/>
  <c r="Y50" i="6"/>
  <c r="X50" i="6"/>
  <c r="T50" i="6"/>
  <c r="S50" i="6"/>
  <c r="R50" i="6"/>
  <c r="Q50" i="6"/>
  <c r="M50" i="6"/>
  <c r="L50" i="6"/>
  <c r="K50" i="6"/>
  <c r="J50" i="6"/>
  <c r="F50" i="6"/>
  <c r="E50" i="6"/>
  <c r="D50" i="6"/>
  <c r="C50" i="6"/>
  <c r="BG49" i="6"/>
  <c r="AO49" i="6"/>
  <c r="AN49" i="6"/>
  <c r="AM49" i="6"/>
  <c r="AL49" i="6"/>
  <c r="AH49" i="6"/>
  <c r="AG49" i="6"/>
  <c r="AF49" i="6"/>
  <c r="AE49" i="6"/>
  <c r="AA49" i="6"/>
  <c r="Z49" i="6"/>
  <c r="Y49" i="6"/>
  <c r="X49" i="6"/>
  <c r="T49" i="6"/>
  <c r="S49" i="6"/>
  <c r="R49" i="6"/>
  <c r="Q49" i="6"/>
  <c r="M49" i="6"/>
  <c r="L49" i="6"/>
  <c r="K49" i="6"/>
  <c r="J49" i="6"/>
  <c r="F49" i="6"/>
  <c r="E49" i="6"/>
  <c r="D49" i="6"/>
  <c r="C49" i="6"/>
  <c r="BG48" i="6"/>
  <c r="AO48" i="6"/>
  <c r="AN48" i="6"/>
  <c r="AM48" i="6"/>
  <c r="AL48" i="6"/>
  <c r="AH48" i="6"/>
  <c r="AG48" i="6"/>
  <c r="AF48" i="6"/>
  <c r="AE48" i="6"/>
  <c r="AA48" i="6"/>
  <c r="Z48" i="6"/>
  <c r="Y48" i="6"/>
  <c r="X48" i="6"/>
  <c r="T48" i="6"/>
  <c r="S48" i="6"/>
  <c r="R48" i="6"/>
  <c r="Q48" i="6"/>
  <c r="M48" i="6"/>
  <c r="L48" i="6"/>
  <c r="K48" i="6"/>
  <c r="J48" i="6"/>
  <c r="F48" i="6"/>
  <c r="E48" i="6"/>
  <c r="D48" i="6"/>
  <c r="C48" i="6"/>
  <c r="BG47" i="6"/>
  <c r="AO47" i="6"/>
  <c r="AN47" i="6"/>
  <c r="AM47" i="6"/>
  <c r="AL47" i="6"/>
  <c r="AH47" i="6"/>
  <c r="AG47" i="6"/>
  <c r="AF47" i="6"/>
  <c r="AE47" i="6"/>
  <c r="AA47" i="6"/>
  <c r="Z47" i="6"/>
  <c r="Y47" i="6"/>
  <c r="X47" i="6"/>
  <c r="T47" i="6"/>
  <c r="S47" i="6"/>
  <c r="R47" i="6"/>
  <c r="Q47" i="6"/>
  <c r="M47" i="6"/>
  <c r="L47" i="6"/>
  <c r="K47" i="6"/>
  <c r="J47" i="6"/>
  <c r="F47" i="6"/>
  <c r="E47" i="6"/>
  <c r="D47" i="6"/>
  <c r="C47" i="6"/>
  <c r="BG46" i="6"/>
  <c r="CE46" i="6" s="1"/>
  <c r="AO46" i="6"/>
  <c r="AN46" i="6"/>
  <c r="AM46" i="6"/>
  <c r="AL46" i="6"/>
  <c r="AH46" i="6"/>
  <c r="AG46" i="6"/>
  <c r="AF46" i="6"/>
  <c r="AE46" i="6"/>
  <c r="AA46" i="6"/>
  <c r="Z46" i="6"/>
  <c r="Y46" i="6"/>
  <c r="X46" i="6"/>
  <c r="T46" i="6"/>
  <c r="S46" i="6"/>
  <c r="R46" i="6"/>
  <c r="Q46" i="6"/>
  <c r="M46" i="6"/>
  <c r="L46" i="6"/>
  <c r="K46" i="6"/>
  <c r="J46" i="6"/>
  <c r="F46" i="6"/>
  <c r="E46" i="6"/>
  <c r="D46" i="6"/>
  <c r="C46" i="6"/>
  <c r="BG45" i="6"/>
  <c r="AO45" i="6"/>
  <c r="AN45" i="6"/>
  <c r="AM45" i="6"/>
  <c r="AL45" i="6"/>
  <c r="AH45" i="6"/>
  <c r="AG45" i="6"/>
  <c r="AF45" i="6"/>
  <c r="AE45" i="6"/>
  <c r="AA45" i="6"/>
  <c r="Z45" i="6"/>
  <c r="Y45" i="6"/>
  <c r="X45" i="6"/>
  <c r="T45" i="6"/>
  <c r="S45" i="6"/>
  <c r="R45" i="6"/>
  <c r="Q45" i="6"/>
  <c r="M45" i="6"/>
  <c r="BL45" i="6" s="1"/>
  <c r="L45" i="6"/>
  <c r="K45" i="6"/>
  <c r="J45" i="6"/>
  <c r="F45" i="6"/>
  <c r="E45" i="6"/>
  <c r="D45" i="6"/>
  <c r="C45" i="6"/>
  <c r="BG44" i="6"/>
  <c r="AO44" i="6"/>
  <c r="AN44" i="6"/>
  <c r="AM44" i="6"/>
  <c r="AL44" i="6"/>
  <c r="AH44" i="6"/>
  <c r="AG44" i="6"/>
  <c r="AF44" i="6"/>
  <c r="AE44" i="6"/>
  <c r="AA44" i="6"/>
  <c r="Z44" i="6"/>
  <c r="Y44" i="6"/>
  <c r="X44" i="6"/>
  <c r="T44" i="6"/>
  <c r="S44" i="6"/>
  <c r="R44" i="6"/>
  <c r="Q44" i="6"/>
  <c r="M44" i="6"/>
  <c r="L44" i="6"/>
  <c r="K44" i="6"/>
  <c r="J44" i="6"/>
  <c r="F44" i="6"/>
  <c r="E44" i="6"/>
  <c r="D44" i="6"/>
  <c r="C44" i="6"/>
  <c r="BG43" i="6"/>
  <c r="BT43" i="6" s="1"/>
  <c r="AO43" i="6"/>
  <c r="AN43" i="6"/>
  <c r="AM43" i="6"/>
  <c r="AL43" i="6"/>
  <c r="AH43" i="6"/>
  <c r="AG43" i="6"/>
  <c r="AF43" i="6"/>
  <c r="AE43" i="6"/>
  <c r="AA43" i="6"/>
  <c r="Z43" i="6"/>
  <c r="Y43" i="6"/>
  <c r="X43" i="6"/>
  <c r="T43" i="6"/>
  <c r="S43" i="6"/>
  <c r="R43" i="6"/>
  <c r="Q43" i="6"/>
  <c r="M43" i="6"/>
  <c r="L43" i="6"/>
  <c r="K43" i="6"/>
  <c r="J43" i="6"/>
  <c r="F43" i="6"/>
  <c r="E43" i="6"/>
  <c r="D43" i="6"/>
  <c r="C43" i="6"/>
  <c r="BT42" i="6"/>
  <c r="BG42" i="6"/>
  <c r="CE42" i="6" s="1"/>
  <c r="AO42" i="6"/>
  <c r="AN42" i="6"/>
  <c r="AM42" i="6"/>
  <c r="AL42" i="6"/>
  <c r="AH42" i="6"/>
  <c r="AG42" i="6"/>
  <c r="AF42" i="6"/>
  <c r="AE42" i="6"/>
  <c r="AA42" i="6"/>
  <c r="Z42" i="6"/>
  <c r="Y42" i="6"/>
  <c r="X42" i="6"/>
  <c r="T42" i="6"/>
  <c r="S42" i="6"/>
  <c r="R42" i="6"/>
  <c r="Q42" i="6"/>
  <c r="M42" i="6"/>
  <c r="BL42" i="6" s="1"/>
  <c r="L42" i="6"/>
  <c r="K42" i="6"/>
  <c r="J42" i="6"/>
  <c r="F42" i="6"/>
  <c r="E42" i="6"/>
  <c r="D42" i="6"/>
  <c r="C42" i="6"/>
  <c r="BG41" i="6"/>
  <c r="AO41" i="6"/>
  <c r="AN41" i="6"/>
  <c r="AM41" i="6"/>
  <c r="AL41" i="6"/>
  <c r="AH41" i="6"/>
  <c r="AG41" i="6"/>
  <c r="AF41" i="6"/>
  <c r="AE41" i="6"/>
  <c r="AA41" i="6"/>
  <c r="Z41" i="6"/>
  <c r="Y41" i="6"/>
  <c r="X41" i="6"/>
  <c r="T41" i="6"/>
  <c r="S41" i="6"/>
  <c r="R41" i="6"/>
  <c r="Q41" i="6"/>
  <c r="M41" i="6"/>
  <c r="L41" i="6"/>
  <c r="K41" i="6"/>
  <c r="J41" i="6"/>
  <c r="F41" i="6"/>
  <c r="E41" i="6"/>
  <c r="D41" i="6"/>
  <c r="C41" i="6"/>
  <c r="BG40" i="6"/>
  <c r="AO40" i="6"/>
  <c r="AN40" i="6"/>
  <c r="AM40" i="6"/>
  <c r="AH40" i="6"/>
  <c r="AG40" i="6"/>
  <c r="AF40" i="6"/>
  <c r="AA40" i="6"/>
  <c r="Z40" i="6"/>
  <c r="Y40" i="6"/>
  <c r="T40" i="6"/>
  <c r="S40" i="6"/>
  <c r="R40" i="6"/>
  <c r="Q40" i="6"/>
  <c r="M40" i="6"/>
  <c r="L40" i="6"/>
  <c r="K40" i="6"/>
  <c r="J40" i="6"/>
  <c r="F40" i="6"/>
  <c r="E40" i="6"/>
  <c r="D40" i="6"/>
  <c r="C40" i="6"/>
  <c r="BG39" i="6"/>
  <c r="BT39" i="6" s="1"/>
  <c r="AO39" i="6"/>
  <c r="AN39" i="6"/>
  <c r="AM39" i="6"/>
  <c r="AL39" i="6"/>
  <c r="AH39" i="6"/>
  <c r="AG39" i="6"/>
  <c r="AF39" i="6"/>
  <c r="AE39" i="6"/>
  <c r="AA39" i="6"/>
  <c r="Z39" i="6"/>
  <c r="Y39" i="6"/>
  <c r="X39" i="6"/>
  <c r="T39" i="6"/>
  <c r="S39" i="6"/>
  <c r="R39" i="6"/>
  <c r="Q39" i="6"/>
  <c r="M39" i="6"/>
  <c r="L39" i="6"/>
  <c r="K39" i="6"/>
  <c r="J39" i="6"/>
  <c r="F39" i="6"/>
  <c r="E39" i="6"/>
  <c r="D39" i="6"/>
  <c r="C39" i="6"/>
  <c r="BG38" i="6"/>
  <c r="BT38" i="6" s="1"/>
  <c r="AO38" i="6"/>
  <c r="AN38" i="6"/>
  <c r="AM38" i="6"/>
  <c r="AL38" i="6"/>
  <c r="AH38" i="6"/>
  <c r="AG38" i="6"/>
  <c r="AF38" i="6"/>
  <c r="AE38" i="6"/>
  <c r="AA38" i="6"/>
  <c r="Z38" i="6"/>
  <c r="Y38" i="6"/>
  <c r="X38" i="6"/>
  <c r="T38" i="6"/>
  <c r="S38" i="6"/>
  <c r="R38" i="6"/>
  <c r="Q38" i="6"/>
  <c r="M38" i="6"/>
  <c r="L38" i="6"/>
  <c r="BL38" i="6" s="1"/>
  <c r="K38" i="6"/>
  <c r="J38" i="6"/>
  <c r="F38" i="6"/>
  <c r="E38" i="6"/>
  <c r="D38" i="6"/>
  <c r="C38" i="6"/>
  <c r="BG37" i="6"/>
  <c r="CE37" i="6" s="1"/>
  <c r="AO37" i="6"/>
  <c r="AN37" i="6"/>
  <c r="AM37" i="6"/>
  <c r="AL37" i="6"/>
  <c r="AH37" i="6"/>
  <c r="AG37" i="6"/>
  <c r="AF37" i="6"/>
  <c r="AE37" i="6"/>
  <c r="AA37" i="6"/>
  <c r="Z37" i="6"/>
  <c r="Y37" i="6"/>
  <c r="X37" i="6"/>
  <c r="T37" i="6"/>
  <c r="S37" i="6"/>
  <c r="R37" i="6"/>
  <c r="Q37" i="6"/>
  <c r="M37" i="6"/>
  <c r="L37" i="6"/>
  <c r="K37" i="6"/>
  <c r="J37" i="6"/>
  <c r="F37" i="6"/>
  <c r="E37" i="6"/>
  <c r="D37" i="6"/>
  <c r="C37" i="6"/>
  <c r="BG36" i="6"/>
  <c r="BT36" i="6" s="1"/>
  <c r="AO36" i="6"/>
  <c r="AN36" i="6"/>
  <c r="AM36" i="6"/>
  <c r="AL36" i="6"/>
  <c r="AH36" i="6"/>
  <c r="AG36" i="6"/>
  <c r="AF36" i="6"/>
  <c r="AE36" i="6"/>
  <c r="AA36" i="6"/>
  <c r="Z36" i="6"/>
  <c r="Y36" i="6"/>
  <c r="X36" i="6"/>
  <c r="T36" i="6"/>
  <c r="S36" i="6"/>
  <c r="R36" i="6"/>
  <c r="Q36" i="6"/>
  <c r="M36" i="6"/>
  <c r="L36" i="6"/>
  <c r="K36" i="6"/>
  <c r="J36" i="6"/>
  <c r="F36" i="6"/>
  <c r="E36" i="6"/>
  <c r="D36" i="6"/>
  <c r="C36" i="6"/>
  <c r="BG35" i="6"/>
  <c r="AO35" i="6"/>
  <c r="AN35" i="6"/>
  <c r="AM35" i="6"/>
  <c r="AL35" i="6"/>
  <c r="AH35" i="6"/>
  <c r="AG35" i="6"/>
  <c r="AF35" i="6"/>
  <c r="AE35" i="6"/>
  <c r="AA35" i="6"/>
  <c r="Z35" i="6"/>
  <c r="Y35" i="6"/>
  <c r="X35" i="6"/>
  <c r="R35" i="6"/>
  <c r="Q35" i="6"/>
  <c r="M35" i="6"/>
  <c r="L35" i="6"/>
  <c r="K35" i="6"/>
  <c r="J35" i="6"/>
  <c r="F35" i="6"/>
  <c r="E35" i="6"/>
  <c r="D35" i="6"/>
  <c r="C35" i="6"/>
  <c r="BG34" i="6"/>
  <c r="BT34" i="6" s="1"/>
  <c r="AO34" i="6"/>
  <c r="AN34" i="6"/>
  <c r="AM34" i="6"/>
  <c r="AL34" i="6"/>
  <c r="AH34" i="6"/>
  <c r="AG34" i="6"/>
  <c r="AF34" i="6"/>
  <c r="AE34" i="6"/>
  <c r="AA34" i="6"/>
  <c r="Z34" i="6"/>
  <c r="Y34" i="6"/>
  <c r="X34" i="6"/>
  <c r="T34" i="6"/>
  <c r="S34" i="6"/>
  <c r="R34" i="6"/>
  <c r="Q34" i="6"/>
  <c r="M34" i="6"/>
  <c r="L34" i="6"/>
  <c r="K34" i="6"/>
  <c r="J34" i="6"/>
  <c r="H34" i="6"/>
  <c r="F34" i="6"/>
  <c r="E34" i="6"/>
  <c r="D34" i="6"/>
  <c r="C34" i="6"/>
  <c r="BG33" i="6"/>
  <c r="BT33" i="6" s="1"/>
  <c r="AO33" i="6"/>
  <c r="AN33" i="6"/>
  <c r="AM33" i="6"/>
  <c r="AL33" i="6"/>
  <c r="AH33" i="6"/>
  <c r="AG33" i="6"/>
  <c r="AF33" i="6"/>
  <c r="AE33" i="6"/>
  <c r="AA33" i="6"/>
  <c r="Z33" i="6"/>
  <c r="Y33" i="6"/>
  <c r="X33" i="6"/>
  <c r="T33" i="6"/>
  <c r="S33" i="6"/>
  <c r="R33" i="6"/>
  <c r="Q33" i="6"/>
  <c r="M33" i="6"/>
  <c r="L33" i="6"/>
  <c r="K33" i="6"/>
  <c r="J33" i="6"/>
  <c r="F33" i="6"/>
  <c r="E33" i="6"/>
  <c r="D33" i="6"/>
  <c r="C33" i="6"/>
  <c r="BG32" i="6"/>
  <c r="CE32" i="6" s="1"/>
  <c r="AO32" i="6"/>
  <c r="AN32" i="6"/>
  <c r="AM32" i="6"/>
  <c r="AL32" i="6"/>
  <c r="AH32" i="6"/>
  <c r="AG32" i="6"/>
  <c r="AF32" i="6"/>
  <c r="AE32" i="6"/>
  <c r="AA32" i="6"/>
  <c r="Z32" i="6"/>
  <c r="Y32" i="6"/>
  <c r="X32" i="6"/>
  <c r="T32" i="6"/>
  <c r="S32" i="6"/>
  <c r="R32" i="6"/>
  <c r="Q32" i="6"/>
  <c r="M32" i="6"/>
  <c r="L32" i="6"/>
  <c r="K32" i="6"/>
  <c r="J32" i="6"/>
  <c r="F32" i="6"/>
  <c r="E32" i="6"/>
  <c r="D32" i="6"/>
  <c r="C32" i="6"/>
  <c r="BG31" i="6"/>
  <c r="AO31" i="6"/>
  <c r="AN31" i="6"/>
  <c r="AM31" i="6"/>
  <c r="AL31" i="6"/>
  <c r="AH31" i="6"/>
  <c r="AG31" i="6"/>
  <c r="AF31" i="6"/>
  <c r="AE31" i="6"/>
  <c r="AA31" i="6"/>
  <c r="Z31" i="6"/>
  <c r="Y31" i="6"/>
  <c r="X31" i="6"/>
  <c r="T31" i="6"/>
  <c r="S31" i="6"/>
  <c r="R31" i="6"/>
  <c r="Q31" i="6"/>
  <c r="M31" i="6"/>
  <c r="L31" i="6"/>
  <c r="K31" i="6"/>
  <c r="J31" i="6"/>
  <c r="F31" i="6"/>
  <c r="E31" i="6"/>
  <c r="D31" i="6"/>
  <c r="C31" i="6"/>
  <c r="BG30" i="6"/>
  <c r="BT30" i="6" s="1"/>
  <c r="AO30" i="6"/>
  <c r="AN30" i="6"/>
  <c r="AM30" i="6"/>
  <c r="AL30" i="6"/>
  <c r="AH30" i="6"/>
  <c r="AG30" i="6"/>
  <c r="AF30" i="6"/>
  <c r="AE30" i="6"/>
  <c r="AA30" i="6"/>
  <c r="Z30" i="6"/>
  <c r="Y30" i="6"/>
  <c r="X30" i="6"/>
  <c r="T30" i="6"/>
  <c r="S30" i="6"/>
  <c r="R30" i="6"/>
  <c r="Q30" i="6"/>
  <c r="M30" i="6"/>
  <c r="BL30" i="6" s="1"/>
  <c r="L30" i="6"/>
  <c r="K30" i="6"/>
  <c r="J30" i="6"/>
  <c r="F30" i="6"/>
  <c r="E30" i="6"/>
  <c r="D30" i="6"/>
  <c r="C30" i="6"/>
  <c r="CE29" i="6"/>
  <c r="BG29" i="6"/>
  <c r="BT29" i="6" s="1"/>
  <c r="AO29" i="6"/>
  <c r="AN29" i="6"/>
  <c r="AM29" i="6"/>
  <c r="AL29" i="6"/>
  <c r="AH29" i="6"/>
  <c r="AG29" i="6"/>
  <c r="AF29" i="6"/>
  <c r="AE29" i="6"/>
  <c r="AA29" i="6"/>
  <c r="Z29" i="6"/>
  <c r="Y29" i="6"/>
  <c r="X29" i="6"/>
  <c r="T29" i="6"/>
  <c r="S29" i="6"/>
  <c r="Q29" i="6"/>
  <c r="M29" i="6"/>
  <c r="L29" i="6"/>
  <c r="K29" i="6"/>
  <c r="J29" i="6"/>
  <c r="E29" i="6"/>
  <c r="D29" i="6"/>
  <c r="C29" i="6"/>
  <c r="BG28" i="6"/>
  <c r="BT28" i="6" s="1"/>
  <c r="AO28" i="6"/>
  <c r="AN28" i="6"/>
  <c r="AM28" i="6"/>
  <c r="AL28" i="6"/>
  <c r="AH28" i="6"/>
  <c r="AG28" i="6"/>
  <c r="AF28" i="6"/>
  <c r="AE28" i="6"/>
  <c r="AA28" i="6"/>
  <c r="Z28" i="6"/>
  <c r="Y28" i="6"/>
  <c r="X28" i="6"/>
  <c r="T28" i="6"/>
  <c r="S28" i="6"/>
  <c r="R28" i="6"/>
  <c r="Q28" i="6"/>
  <c r="M28" i="6"/>
  <c r="L28" i="6"/>
  <c r="K28" i="6"/>
  <c r="J28" i="6"/>
  <c r="N28" i="6" s="1"/>
  <c r="F28" i="6"/>
  <c r="E28" i="6"/>
  <c r="D28" i="6"/>
  <c r="C28" i="6"/>
  <c r="BG27" i="6"/>
  <c r="BT27" i="6" s="1"/>
  <c r="AO27" i="6"/>
  <c r="AN27" i="6"/>
  <c r="AM27" i="6"/>
  <c r="AL27" i="6"/>
  <c r="AH27" i="6"/>
  <c r="AG27" i="6"/>
  <c r="AF27" i="6"/>
  <c r="AE27" i="6"/>
  <c r="AA27" i="6"/>
  <c r="Z27" i="6"/>
  <c r="Y27" i="6"/>
  <c r="X27" i="6"/>
  <c r="T27" i="6"/>
  <c r="S27" i="6"/>
  <c r="R27" i="6"/>
  <c r="Q27" i="6"/>
  <c r="M27" i="6"/>
  <c r="L27" i="6"/>
  <c r="K27" i="6"/>
  <c r="J27" i="6"/>
  <c r="F27" i="6"/>
  <c r="E27" i="6"/>
  <c r="D27" i="6"/>
  <c r="C27" i="6"/>
  <c r="BG26" i="6"/>
  <c r="BT26" i="6" s="1"/>
  <c r="AO26" i="6"/>
  <c r="AN26" i="6"/>
  <c r="AM26" i="6"/>
  <c r="AL26" i="6"/>
  <c r="AH26" i="6"/>
  <c r="AG26" i="6"/>
  <c r="AF26" i="6"/>
  <c r="AE26" i="6"/>
  <c r="AA26" i="6"/>
  <c r="Z26" i="6"/>
  <c r="Y26" i="6"/>
  <c r="X26" i="6"/>
  <c r="T26" i="6"/>
  <c r="S26" i="6"/>
  <c r="R26" i="6"/>
  <c r="Q26" i="6"/>
  <c r="M26" i="6"/>
  <c r="L26" i="6"/>
  <c r="K26" i="6"/>
  <c r="J26" i="6"/>
  <c r="F26" i="6"/>
  <c r="E26" i="6"/>
  <c r="D26" i="6"/>
  <c r="C26" i="6"/>
  <c r="BG25" i="6"/>
  <c r="CE25" i="6" s="1"/>
  <c r="AO25" i="6"/>
  <c r="AN25" i="6"/>
  <c r="AM25" i="6"/>
  <c r="AL25" i="6"/>
  <c r="AH25" i="6"/>
  <c r="AG25" i="6"/>
  <c r="AF25" i="6"/>
  <c r="AE25" i="6"/>
  <c r="AA25" i="6"/>
  <c r="Z25" i="6"/>
  <c r="Y25" i="6"/>
  <c r="X25" i="6"/>
  <c r="T25" i="6"/>
  <c r="S25" i="6"/>
  <c r="R25" i="6"/>
  <c r="Q25" i="6"/>
  <c r="M25" i="6"/>
  <c r="L25" i="6"/>
  <c r="K25" i="6"/>
  <c r="J25" i="6"/>
  <c r="F25" i="6"/>
  <c r="E25" i="6"/>
  <c r="D25" i="6"/>
  <c r="C25" i="6"/>
  <c r="AN24" i="6"/>
  <c r="AM24" i="6"/>
  <c r="AL24" i="6"/>
  <c r="AG24" i="6"/>
  <c r="AF24" i="6"/>
  <c r="AE24" i="6"/>
  <c r="Z24" i="6"/>
  <c r="Y24" i="6"/>
  <c r="X24" i="6"/>
  <c r="T24" i="6"/>
  <c r="S24" i="6"/>
  <c r="R24" i="6"/>
  <c r="Q24" i="6"/>
  <c r="M24" i="6"/>
  <c r="L24" i="6"/>
  <c r="K24" i="6"/>
  <c r="J24" i="6"/>
  <c r="F24" i="6"/>
  <c r="E24" i="6"/>
  <c r="D24" i="6"/>
  <c r="BG23" i="6"/>
  <c r="CE23" i="6" s="1"/>
  <c r="AO23" i="6"/>
  <c r="AN23" i="6"/>
  <c r="AM23" i="6"/>
  <c r="AL23" i="6"/>
  <c r="AH23" i="6"/>
  <c r="AG23" i="6"/>
  <c r="AF23" i="6"/>
  <c r="AE23" i="6"/>
  <c r="AA23" i="6"/>
  <c r="Z23" i="6"/>
  <c r="Y23" i="6"/>
  <c r="X23" i="6"/>
  <c r="T23" i="6"/>
  <c r="S23" i="6"/>
  <c r="R23" i="6"/>
  <c r="Q23" i="6"/>
  <c r="M23" i="6"/>
  <c r="L23" i="6"/>
  <c r="K23" i="6"/>
  <c r="J23" i="6"/>
  <c r="N23" i="6" s="1"/>
  <c r="F23" i="6"/>
  <c r="E23" i="6"/>
  <c r="D23" i="6"/>
  <c r="C23" i="6"/>
  <c r="BG22" i="6"/>
  <c r="CE22" i="6" s="1"/>
  <c r="AO22" i="6"/>
  <c r="AN22" i="6"/>
  <c r="AM22" i="6"/>
  <c r="AL22" i="6"/>
  <c r="AH22" i="6"/>
  <c r="AG22" i="6"/>
  <c r="AF22" i="6"/>
  <c r="AE22" i="6"/>
  <c r="AA22" i="6"/>
  <c r="Z22" i="6"/>
  <c r="Y22" i="6"/>
  <c r="X22" i="6"/>
  <c r="T22" i="6"/>
  <c r="S22" i="6"/>
  <c r="R22" i="6"/>
  <c r="Q22" i="6"/>
  <c r="M22" i="6"/>
  <c r="L22" i="6"/>
  <c r="K22" i="6"/>
  <c r="J22" i="6"/>
  <c r="F22" i="6"/>
  <c r="E22" i="6"/>
  <c r="D22" i="6"/>
  <c r="C22" i="6"/>
  <c r="BG21" i="6"/>
  <c r="BT21" i="6" s="1"/>
  <c r="AO21" i="6"/>
  <c r="AN21" i="6"/>
  <c r="AM21" i="6"/>
  <c r="AL21" i="6"/>
  <c r="AH21" i="6"/>
  <c r="AG21" i="6"/>
  <c r="AF21" i="6"/>
  <c r="AE21" i="6"/>
  <c r="AA21" i="6"/>
  <c r="Z21" i="6"/>
  <c r="Y21" i="6"/>
  <c r="X21" i="6"/>
  <c r="T21" i="6"/>
  <c r="S21" i="6"/>
  <c r="R21" i="6"/>
  <c r="Q21" i="6"/>
  <c r="M21" i="6"/>
  <c r="L21" i="6"/>
  <c r="K21" i="6"/>
  <c r="J21" i="6"/>
  <c r="F21" i="6"/>
  <c r="E21" i="6"/>
  <c r="D21" i="6"/>
  <c r="C21" i="6"/>
  <c r="BG20" i="6"/>
  <c r="CE20" i="6" s="1"/>
  <c r="AO20" i="6"/>
  <c r="AN20" i="6"/>
  <c r="AM20" i="6"/>
  <c r="AL20" i="6"/>
  <c r="AH20" i="6"/>
  <c r="AG20" i="6"/>
  <c r="AF20" i="6"/>
  <c r="AE20" i="6"/>
  <c r="AA20" i="6"/>
  <c r="Z20" i="6"/>
  <c r="Y20" i="6"/>
  <c r="X20" i="6"/>
  <c r="T20" i="6"/>
  <c r="S20" i="6"/>
  <c r="R20" i="6"/>
  <c r="Q20" i="6"/>
  <c r="M20" i="6"/>
  <c r="L20" i="6"/>
  <c r="K20" i="6"/>
  <c r="N20" i="6" s="1"/>
  <c r="J20" i="6"/>
  <c r="F20" i="6"/>
  <c r="E20" i="6"/>
  <c r="D20" i="6"/>
  <c r="C20" i="6"/>
  <c r="BG19" i="6"/>
  <c r="BT19" i="6" s="1"/>
  <c r="AO19" i="6"/>
  <c r="AN19" i="6"/>
  <c r="AM19" i="6"/>
  <c r="AL19" i="6"/>
  <c r="AH19" i="6"/>
  <c r="AG19" i="6"/>
  <c r="AF19" i="6"/>
  <c r="AE19" i="6"/>
  <c r="AA19" i="6"/>
  <c r="Z19" i="6"/>
  <c r="Y19" i="6"/>
  <c r="X19" i="6"/>
  <c r="T19" i="6"/>
  <c r="S19" i="6"/>
  <c r="R19" i="6"/>
  <c r="Q19" i="6"/>
  <c r="M19" i="6"/>
  <c r="L19" i="6"/>
  <c r="K19" i="6"/>
  <c r="J19" i="6"/>
  <c r="F19" i="6"/>
  <c r="E19" i="6"/>
  <c r="D19" i="6"/>
  <c r="C19" i="6"/>
  <c r="BG18" i="6"/>
  <c r="CE18" i="6" s="1"/>
  <c r="AO18" i="6"/>
  <c r="AN18" i="6"/>
  <c r="AM18" i="6"/>
  <c r="AL18" i="6"/>
  <c r="AH18" i="6"/>
  <c r="AG18" i="6"/>
  <c r="AF18" i="6"/>
  <c r="AE18" i="6"/>
  <c r="AA18" i="6"/>
  <c r="Z18" i="6"/>
  <c r="Y18" i="6"/>
  <c r="X18" i="6"/>
  <c r="T18" i="6"/>
  <c r="S18" i="6"/>
  <c r="R18" i="6"/>
  <c r="Q18" i="6"/>
  <c r="M18" i="6"/>
  <c r="L18" i="6"/>
  <c r="K18" i="6"/>
  <c r="J18" i="6"/>
  <c r="F18" i="6"/>
  <c r="E18" i="6"/>
  <c r="D18" i="6"/>
  <c r="C18" i="6"/>
  <c r="CG17" i="6"/>
  <c r="CH17" i="6" s="1"/>
  <c r="BT17" i="6"/>
  <c r="BQ17" i="6"/>
  <c r="AY17" i="6"/>
  <c r="BG16" i="6"/>
  <c r="BT16" i="6" s="1"/>
  <c r="AO16" i="6"/>
  <c r="AN16" i="6"/>
  <c r="AM16" i="6"/>
  <c r="AL16" i="6"/>
  <c r="AH16" i="6"/>
  <c r="AG16" i="6"/>
  <c r="AF16" i="6"/>
  <c r="AE16" i="6"/>
  <c r="AA16" i="6"/>
  <c r="Z16" i="6"/>
  <c r="Y16" i="6"/>
  <c r="X16" i="6"/>
  <c r="T16" i="6"/>
  <c r="S16" i="6"/>
  <c r="R16" i="6"/>
  <c r="Q16" i="6"/>
  <c r="M16" i="6"/>
  <c r="L16" i="6"/>
  <c r="K16" i="6"/>
  <c r="J16" i="6"/>
  <c r="F16" i="6"/>
  <c r="E16" i="6"/>
  <c r="D16" i="6"/>
  <c r="C16" i="6"/>
  <c r="BG15" i="6"/>
  <c r="CE15" i="6" s="1"/>
  <c r="AO15" i="6"/>
  <c r="AN15" i="6"/>
  <c r="AM15" i="6"/>
  <c r="AL15" i="6"/>
  <c r="AH15" i="6"/>
  <c r="AG15" i="6"/>
  <c r="AF15" i="6"/>
  <c r="AE15" i="6"/>
  <c r="AA15" i="6"/>
  <c r="Z15" i="6"/>
  <c r="Y15" i="6"/>
  <c r="X15" i="6"/>
  <c r="T15" i="6"/>
  <c r="S15" i="6"/>
  <c r="R15" i="6"/>
  <c r="Q15" i="6"/>
  <c r="M15" i="6"/>
  <c r="L15" i="6"/>
  <c r="K15" i="6"/>
  <c r="J15" i="6"/>
  <c r="F15" i="6"/>
  <c r="E15" i="6"/>
  <c r="D15" i="6"/>
  <c r="C15" i="6"/>
  <c r="BG14" i="6"/>
  <c r="AO14" i="6"/>
  <c r="AN14" i="6"/>
  <c r="AM14" i="6"/>
  <c r="AL14" i="6"/>
  <c r="AH14" i="6"/>
  <c r="AG14" i="6"/>
  <c r="AF14" i="6"/>
  <c r="AE14" i="6"/>
  <c r="AA14" i="6"/>
  <c r="Z14" i="6"/>
  <c r="Y14" i="6"/>
  <c r="X14" i="6"/>
  <c r="T14" i="6"/>
  <c r="S14" i="6"/>
  <c r="R14" i="6"/>
  <c r="Q14" i="6"/>
  <c r="M14" i="6"/>
  <c r="L14" i="6"/>
  <c r="K14" i="6"/>
  <c r="J14" i="6"/>
  <c r="F14" i="6"/>
  <c r="E14" i="6"/>
  <c r="D14" i="6"/>
  <c r="C14" i="6"/>
  <c r="BG13" i="6"/>
  <c r="BT13" i="6" s="1"/>
  <c r="AO13" i="6"/>
  <c r="AN13" i="6"/>
  <c r="AM13" i="6"/>
  <c r="AL13" i="6"/>
  <c r="AH13" i="6"/>
  <c r="AG13" i="6"/>
  <c r="AF13" i="6"/>
  <c r="AE13" i="6"/>
  <c r="AA13" i="6"/>
  <c r="Z13" i="6"/>
  <c r="Y13" i="6"/>
  <c r="X13" i="6"/>
  <c r="T13" i="6"/>
  <c r="S13" i="6"/>
  <c r="R13" i="6"/>
  <c r="Q13" i="6"/>
  <c r="M13" i="6"/>
  <c r="L13" i="6"/>
  <c r="K13" i="6"/>
  <c r="J13" i="6"/>
  <c r="F13" i="6"/>
  <c r="E13" i="6"/>
  <c r="D13" i="6"/>
  <c r="C13" i="6"/>
  <c r="BG12" i="6"/>
  <c r="CE12" i="6" s="1"/>
  <c r="AO12" i="6"/>
  <c r="AN12" i="6"/>
  <c r="AM12" i="6"/>
  <c r="AL12" i="6"/>
  <c r="AH12" i="6"/>
  <c r="AG12" i="6"/>
  <c r="AF12" i="6"/>
  <c r="AE12" i="6"/>
  <c r="AA12" i="6"/>
  <c r="Z12" i="6"/>
  <c r="Y12" i="6"/>
  <c r="X12" i="6"/>
  <c r="T12" i="6"/>
  <c r="S12" i="6"/>
  <c r="R12" i="6"/>
  <c r="Q12" i="6"/>
  <c r="M12" i="6"/>
  <c r="L12" i="6"/>
  <c r="K12" i="6"/>
  <c r="J12" i="6"/>
  <c r="F12" i="6"/>
  <c r="E12" i="6"/>
  <c r="D12" i="6"/>
  <c r="C12" i="6"/>
  <c r="BL11" i="6"/>
  <c r="BG11" i="6"/>
  <c r="BT11" i="6" s="1"/>
  <c r="AO11" i="6"/>
  <c r="AN11" i="6"/>
  <c r="AM11" i="6"/>
  <c r="AL11" i="6"/>
  <c r="AH11" i="6"/>
  <c r="AG11" i="6"/>
  <c r="AF11" i="6"/>
  <c r="AE11" i="6"/>
  <c r="AA11" i="6"/>
  <c r="Z11" i="6"/>
  <c r="Y11" i="6"/>
  <c r="X11" i="6"/>
  <c r="T11" i="6"/>
  <c r="S11" i="6"/>
  <c r="R11" i="6"/>
  <c r="Q11" i="6"/>
  <c r="M11" i="6"/>
  <c r="L11" i="6"/>
  <c r="K11" i="6"/>
  <c r="J11" i="6"/>
  <c r="F11" i="6"/>
  <c r="E11" i="6"/>
  <c r="D11" i="6"/>
  <c r="C11" i="6"/>
  <c r="F9" i="6"/>
  <c r="E9" i="6"/>
  <c r="D9" i="6"/>
  <c r="C9" i="6"/>
  <c r="AZ8" i="6"/>
  <c r="AZ6" i="6"/>
  <c r="BE17" i="6" s="1"/>
  <c r="G34" i="6"/>
  <c r="C55" i="5"/>
  <c r="D55" i="5" s="1"/>
  <c r="E55" i="5" s="1"/>
  <c r="F55" i="5" s="1"/>
  <c r="G55" i="5" s="1"/>
  <c r="H55" i="5" s="1"/>
  <c r="I55" i="5" s="1"/>
  <c r="J55" i="5" s="1"/>
  <c r="K55" i="5" s="1"/>
  <c r="L55" i="5" s="1"/>
  <c r="M55" i="5" s="1"/>
  <c r="N55" i="5" s="1"/>
  <c r="O55" i="5" s="1"/>
  <c r="P55" i="5" s="1"/>
  <c r="Q55" i="5" s="1"/>
  <c r="R55" i="5" s="1"/>
  <c r="S55" i="5" s="1"/>
  <c r="T55" i="5" s="1"/>
  <c r="U55" i="5" s="1"/>
  <c r="V55" i="5" s="1"/>
  <c r="W55" i="5" s="1"/>
  <c r="X55" i="5" s="1"/>
  <c r="Y55" i="5" s="1"/>
  <c r="Z55" i="5" s="1"/>
  <c r="AA55" i="5" s="1"/>
  <c r="AB55" i="5" s="1"/>
  <c r="AC55" i="5" s="1"/>
  <c r="AD55" i="5" s="1"/>
  <c r="AE55" i="5" s="1"/>
  <c r="AF55" i="5" s="1"/>
  <c r="AG55" i="5" s="1"/>
  <c r="AH55" i="5" s="1"/>
  <c r="AI55" i="5" s="1"/>
  <c r="AJ55" i="5" s="1"/>
  <c r="AK55" i="5" s="1"/>
  <c r="AL55" i="5" s="1"/>
  <c r="AM55" i="5" s="1"/>
  <c r="AN55" i="5" s="1"/>
  <c r="AO55" i="5" s="1"/>
  <c r="AP55" i="5" s="1"/>
  <c r="AQ55" i="5" s="1"/>
  <c r="AR55" i="5" s="1"/>
  <c r="AS55" i="5" s="1"/>
  <c r="AT55" i="5" s="1"/>
  <c r="AU55" i="5" s="1"/>
  <c r="AV55" i="5" s="1"/>
  <c r="AW55" i="5" s="1"/>
  <c r="AX55" i="5" s="1"/>
  <c r="AY55" i="5" s="1"/>
  <c r="AZ55" i="5" s="1"/>
  <c r="BA55" i="5" s="1"/>
  <c r="BB55" i="5" s="1"/>
  <c r="BC55" i="5" s="1"/>
  <c r="BD55" i="5" s="1"/>
  <c r="BE55" i="5" s="1"/>
  <c r="BF55" i="5" s="1"/>
  <c r="BG55" i="5" s="1"/>
  <c r="BH55" i="5" s="1"/>
  <c r="BI55" i="5" s="1"/>
  <c r="BJ55" i="5" s="1"/>
  <c r="BK55" i="5" s="1"/>
  <c r="BL55" i="5" s="1"/>
  <c r="BM55" i="5" s="1"/>
  <c r="BN55" i="5" s="1"/>
  <c r="BO55" i="5" s="1"/>
  <c r="BP55" i="5" s="1"/>
  <c r="BQ55" i="5" s="1"/>
  <c r="BR55" i="5" s="1"/>
  <c r="BS55" i="5" s="1"/>
  <c r="BT55" i="5" s="1"/>
  <c r="BU55" i="5" s="1"/>
  <c r="BV55" i="5" s="1"/>
  <c r="BW55" i="5" s="1"/>
  <c r="BX55" i="5" s="1"/>
  <c r="BY55" i="5" s="1"/>
  <c r="BX51" i="5"/>
  <c r="AN51" i="5"/>
  <c r="AM51" i="5"/>
  <c r="AG51" i="5"/>
  <c r="AF51" i="5"/>
  <c r="Z51" i="5"/>
  <c r="Y51" i="5"/>
  <c r="S51" i="5"/>
  <c r="R51" i="5"/>
  <c r="M51" i="5"/>
  <c r="L51" i="5"/>
  <c r="K51" i="5"/>
  <c r="J51" i="5"/>
  <c r="BG50" i="5"/>
  <c r="BT50" i="5" s="1"/>
  <c r="AO50" i="5"/>
  <c r="AN50" i="5"/>
  <c r="AM50" i="5"/>
  <c r="AL50" i="5"/>
  <c r="AH50" i="5"/>
  <c r="AG50" i="5"/>
  <c r="AF50" i="5"/>
  <c r="AE50" i="5"/>
  <c r="AA50" i="5"/>
  <c r="Z50" i="5"/>
  <c r="Y50" i="5"/>
  <c r="X50" i="5"/>
  <c r="T50" i="5"/>
  <c r="S50" i="5"/>
  <c r="R50" i="5"/>
  <c r="Q50" i="5"/>
  <c r="M50" i="5"/>
  <c r="BL50" i="5" s="1"/>
  <c r="L50" i="5"/>
  <c r="K50" i="5"/>
  <c r="J50" i="5"/>
  <c r="F50" i="5"/>
  <c r="E50" i="5"/>
  <c r="D50" i="5"/>
  <c r="C50" i="5"/>
  <c r="BL49" i="5"/>
  <c r="BG49" i="5"/>
  <c r="AO49" i="5"/>
  <c r="AN49" i="5"/>
  <c r="AM49" i="5"/>
  <c r="AL49" i="5"/>
  <c r="AH49" i="5"/>
  <c r="AG49" i="5"/>
  <c r="AF49" i="5"/>
  <c r="AE49" i="5"/>
  <c r="AA49" i="5"/>
  <c r="Z49" i="5"/>
  <c r="Y49" i="5"/>
  <c r="X49" i="5"/>
  <c r="T49" i="5"/>
  <c r="S49" i="5"/>
  <c r="R49" i="5"/>
  <c r="Q49" i="5"/>
  <c r="M49" i="5"/>
  <c r="L49" i="5"/>
  <c r="K49" i="5"/>
  <c r="J49" i="5"/>
  <c r="N49" i="5" s="1"/>
  <c r="F49" i="5"/>
  <c r="E49" i="5"/>
  <c r="D49" i="5"/>
  <c r="C49" i="5"/>
  <c r="BG48" i="5"/>
  <c r="BT48" i="5" s="1"/>
  <c r="AO48" i="5"/>
  <c r="AN48" i="5"/>
  <c r="AM48" i="5"/>
  <c r="AL48" i="5"/>
  <c r="AH48" i="5"/>
  <c r="AG48" i="5"/>
  <c r="AF48" i="5"/>
  <c r="AE48" i="5"/>
  <c r="AA48" i="5"/>
  <c r="Z48" i="5"/>
  <c r="Y48" i="5"/>
  <c r="X48" i="5"/>
  <c r="T48" i="5"/>
  <c r="S48" i="5"/>
  <c r="R48" i="5"/>
  <c r="Q48" i="5"/>
  <c r="M48" i="5"/>
  <c r="L48" i="5"/>
  <c r="K48" i="5"/>
  <c r="J48" i="5"/>
  <c r="F48" i="5"/>
  <c r="E48" i="5"/>
  <c r="D48" i="5"/>
  <c r="C48" i="5"/>
  <c r="BG47" i="5"/>
  <c r="CE47" i="5" s="1"/>
  <c r="AO47" i="5"/>
  <c r="AN47" i="5"/>
  <c r="AM47" i="5"/>
  <c r="AL47" i="5"/>
  <c r="AH47" i="5"/>
  <c r="AG47" i="5"/>
  <c r="AF47" i="5"/>
  <c r="AE47" i="5"/>
  <c r="AA47" i="5"/>
  <c r="Z47" i="5"/>
  <c r="Y47" i="5"/>
  <c r="X47" i="5"/>
  <c r="T47" i="5"/>
  <c r="S47" i="5"/>
  <c r="R47" i="5"/>
  <c r="Q47" i="5"/>
  <c r="M47" i="5"/>
  <c r="L47" i="5"/>
  <c r="K47" i="5"/>
  <c r="J47" i="5"/>
  <c r="F47" i="5"/>
  <c r="E47" i="5"/>
  <c r="D47" i="5"/>
  <c r="C47" i="5"/>
  <c r="CE46" i="5"/>
  <c r="BL46" i="5"/>
  <c r="BG46" i="5"/>
  <c r="BT46" i="5" s="1"/>
  <c r="AO46" i="5"/>
  <c r="AN46" i="5"/>
  <c r="AM46" i="5"/>
  <c r="AL46" i="5"/>
  <c r="AH46" i="5"/>
  <c r="AG46" i="5"/>
  <c r="AF46" i="5"/>
  <c r="AE46" i="5"/>
  <c r="AA46" i="5"/>
  <c r="Z46" i="5"/>
  <c r="Y46" i="5"/>
  <c r="X46" i="5"/>
  <c r="T46" i="5"/>
  <c r="S46" i="5"/>
  <c r="R46" i="5"/>
  <c r="Q46" i="5"/>
  <c r="M46" i="5"/>
  <c r="L46" i="5"/>
  <c r="K46" i="5"/>
  <c r="J46" i="5"/>
  <c r="F46" i="5"/>
  <c r="E46" i="5"/>
  <c r="D46" i="5"/>
  <c r="C46" i="5"/>
  <c r="BG45" i="5"/>
  <c r="BT45" i="5" s="1"/>
  <c r="AO45" i="5"/>
  <c r="AN45" i="5"/>
  <c r="AM45" i="5"/>
  <c r="AL45" i="5"/>
  <c r="AH45" i="5"/>
  <c r="AG45" i="5"/>
  <c r="AF45" i="5"/>
  <c r="AE45" i="5"/>
  <c r="AA45" i="5"/>
  <c r="Z45" i="5"/>
  <c r="Y45" i="5"/>
  <c r="X45" i="5"/>
  <c r="T45" i="5"/>
  <c r="S45" i="5"/>
  <c r="R45" i="5"/>
  <c r="Q45" i="5"/>
  <c r="M45" i="5"/>
  <c r="BL45" i="5" s="1"/>
  <c r="L45" i="5"/>
  <c r="K45" i="5"/>
  <c r="J45" i="5"/>
  <c r="F45" i="5"/>
  <c r="E45" i="5"/>
  <c r="D45" i="5"/>
  <c r="C45" i="5"/>
  <c r="BG44" i="5"/>
  <c r="CE44" i="5" s="1"/>
  <c r="AO44" i="5"/>
  <c r="AN44" i="5"/>
  <c r="AM44" i="5"/>
  <c r="AL44" i="5"/>
  <c r="AH44" i="5"/>
  <c r="AG44" i="5"/>
  <c r="AF44" i="5"/>
  <c r="AE44" i="5"/>
  <c r="AA44" i="5"/>
  <c r="Z44" i="5"/>
  <c r="Y44" i="5"/>
  <c r="X44" i="5"/>
  <c r="T44" i="5"/>
  <c r="S44" i="5"/>
  <c r="R44" i="5"/>
  <c r="Q44" i="5"/>
  <c r="M44" i="5"/>
  <c r="BL44" i="5" s="1"/>
  <c r="L44" i="5"/>
  <c r="K44" i="5"/>
  <c r="J44" i="5"/>
  <c r="F44" i="5"/>
  <c r="E44" i="5"/>
  <c r="D44" i="5"/>
  <c r="C44" i="5"/>
  <c r="BG43" i="5"/>
  <c r="CE43" i="5" s="1"/>
  <c r="AO43" i="5"/>
  <c r="AN43" i="5"/>
  <c r="AM43" i="5"/>
  <c r="AL43" i="5"/>
  <c r="AH43" i="5"/>
  <c r="AG43" i="5"/>
  <c r="AF43" i="5"/>
  <c r="AE43" i="5"/>
  <c r="AA43" i="5"/>
  <c r="Z43" i="5"/>
  <c r="Y43" i="5"/>
  <c r="X43" i="5"/>
  <c r="T43" i="5"/>
  <c r="S43" i="5"/>
  <c r="R43" i="5"/>
  <c r="Q43" i="5"/>
  <c r="M43" i="5"/>
  <c r="BL43" i="5" s="1"/>
  <c r="L43" i="5"/>
  <c r="K43" i="5"/>
  <c r="J43" i="5"/>
  <c r="F43" i="5"/>
  <c r="E43" i="5"/>
  <c r="D43" i="5"/>
  <c r="C43" i="5"/>
  <c r="BG42" i="5"/>
  <c r="BT42" i="5" s="1"/>
  <c r="AO42" i="5"/>
  <c r="AN42" i="5"/>
  <c r="AM42" i="5"/>
  <c r="AL42" i="5"/>
  <c r="AH42" i="5"/>
  <c r="AG42" i="5"/>
  <c r="AF42" i="5"/>
  <c r="AE42" i="5"/>
  <c r="AA42" i="5"/>
  <c r="Z42" i="5"/>
  <c r="Y42" i="5"/>
  <c r="X42" i="5"/>
  <c r="T42" i="5"/>
  <c r="S42" i="5"/>
  <c r="R42" i="5"/>
  <c r="Q42" i="5"/>
  <c r="M42" i="5"/>
  <c r="BL42" i="5" s="1"/>
  <c r="L42" i="5"/>
  <c r="K42" i="5"/>
  <c r="J42" i="5"/>
  <c r="F42" i="5"/>
  <c r="E42" i="5"/>
  <c r="D42" i="5"/>
  <c r="C42" i="5"/>
  <c r="BG41" i="5"/>
  <c r="AO41" i="5"/>
  <c r="AN41" i="5"/>
  <c r="AM41" i="5"/>
  <c r="AL41" i="5"/>
  <c r="AH41" i="5"/>
  <c r="AG41" i="5"/>
  <c r="AF41" i="5"/>
  <c r="AE41" i="5"/>
  <c r="AA41" i="5"/>
  <c r="Z41" i="5"/>
  <c r="Y41" i="5"/>
  <c r="X41" i="5"/>
  <c r="T41" i="5"/>
  <c r="S41" i="5"/>
  <c r="R41" i="5"/>
  <c r="Q41" i="5"/>
  <c r="M41" i="5"/>
  <c r="BL41" i="5" s="1"/>
  <c r="L41" i="5"/>
  <c r="K41" i="5"/>
  <c r="J41" i="5"/>
  <c r="F41" i="5"/>
  <c r="E41" i="5"/>
  <c r="D41" i="5"/>
  <c r="C41" i="5"/>
  <c r="BG40" i="5"/>
  <c r="BT40" i="5" s="1"/>
  <c r="AO40" i="5"/>
  <c r="AN40" i="5"/>
  <c r="AM40" i="5"/>
  <c r="AL40" i="5"/>
  <c r="AH40" i="5"/>
  <c r="AG40" i="5"/>
  <c r="AF40" i="5"/>
  <c r="AE40" i="5"/>
  <c r="AA40" i="5"/>
  <c r="Z40" i="5"/>
  <c r="Y40" i="5"/>
  <c r="T40" i="5"/>
  <c r="S40" i="5"/>
  <c r="R40" i="5"/>
  <c r="Q40" i="5"/>
  <c r="M40" i="5"/>
  <c r="BL40" i="5" s="1"/>
  <c r="L40" i="5"/>
  <c r="K40" i="5"/>
  <c r="J40" i="5"/>
  <c r="F40" i="5"/>
  <c r="E40" i="5"/>
  <c r="D40" i="5"/>
  <c r="C40" i="5"/>
  <c r="BG39" i="5"/>
  <c r="AO39" i="5"/>
  <c r="AN39" i="5"/>
  <c r="AM39" i="5"/>
  <c r="AL39" i="5"/>
  <c r="AH39" i="5"/>
  <c r="AG39" i="5"/>
  <c r="AF39" i="5"/>
  <c r="AE39" i="5"/>
  <c r="AA39" i="5"/>
  <c r="Z39" i="5"/>
  <c r="Y39" i="5"/>
  <c r="X39" i="5"/>
  <c r="T39" i="5"/>
  <c r="S39" i="5"/>
  <c r="R39" i="5"/>
  <c r="Q39" i="5"/>
  <c r="M39" i="5"/>
  <c r="BL39" i="5" s="1"/>
  <c r="L39" i="5"/>
  <c r="K39" i="5"/>
  <c r="J39" i="5"/>
  <c r="F39" i="5"/>
  <c r="E39" i="5"/>
  <c r="D39" i="5"/>
  <c r="C39" i="5"/>
  <c r="BG38" i="5"/>
  <c r="BT38" i="5" s="1"/>
  <c r="AO38" i="5"/>
  <c r="AN38" i="5"/>
  <c r="AM38" i="5"/>
  <c r="AL38" i="5"/>
  <c r="AH38" i="5"/>
  <c r="AG38" i="5"/>
  <c r="AF38" i="5"/>
  <c r="AE38" i="5"/>
  <c r="AA38" i="5"/>
  <c r="Z38" i="5"/>
  <c r="Y38" i="5"/>
  <c r="X38" i="5"/>
  <c r="T38" i="5"/>
  <c r="S38" i="5"/>
  <c r="R38" i="5"/>
  <c r="Q38" i="5"/>
  <c r="M38" i="5"/>
  <c r="BL38" i="5" s="1"/>
  <c r="L38" i="5"/>
  <c r="K38" i="5"/>
  <c r="J38" i="5"/>
  <c r="F38" i="5"/>
  <c r="E38" i="5"/>
  <c r="D38" i="5"/>
  <c r="C38" i="5"/>
  <c r="BG37" i="5"/>
  <c r="BT37" i="5" s="1"/>
  <c r="AO37" i="5"/>
  <c r="AN37" i="5"/>
  <c r="AM37" i="5"/>
  <c r="AL37" i="5"/>
  <c r="AH37" i="5"/>
  <c r="AG37" i="5"/>
  <c r="AF37" i="5"/>
  <c r="AE37" i="5"/>
  <c r="AA37" i="5"/>
  <c r="Z37" i="5"/>
  <c r="Y37" i="5"/>
  <c r="X37" i="5"/>
  <c r="T37" i="5"/>
  <c r="S37" i="5"/>
  <c r="R37" i="5"/>
  <c r="Q37" i="5"/>
  <c r="M37" i="5"/>
  <c r="BL37" i="5" s="1"/>
  <c r="L37" i="5"/>
  <c r="K37" i="5"/>
  <c r="J37" i="5"/>
  <c r="F37" i="5"/>
  <c r="E37" i="5"/>
  <c r="D37" i="5"/>
  <c r="C37" i="5"/>
  <c r="BL36" i="5"/>
  <c r="BG36" i="5"/>
  <c r="CE36" i="5" s="1"/>
  <c r="AO36" i="5"/>
  <c r="AN36" i="5"/>
  <c r="AM36" i="5"/>
  <c r="AL36" i="5"/>
  <c r="AH36" i="5"/>
  <c r="AG36" i="5"/>
  <c r="AF36" i="5"/>
  <c r="AE36" i="5"/>
  <c r="AA36" i="5"/>
  <c r="Z36" i="5"/>
  <c r="Y36" i="5"/>
  <c r="X36" i="5"/>
  <c r="T36" i="5"/>
  <c r="S36" i="5"/>
  <c r="R36" i="5"/>
  <c r="Q36" i="5"/>
  <c r="M36" i="5"/>
  <c r="L36" i="5"/>
  <c r="K36" i="5"/>
  <c r="J36" i="5"/>
  <c r="F36" i="5"/>
  <c r="E36" i="5"/>
  <c r="D36" i="5"/>
  <c r="C36" i="5"/>
  <c r="BG35" i="5"/>
  <c r="BT35" i="5" s="1"/>
  <c r="AO35" i="5"/>
  <c r="AN35" i="5"/>
  <c r="AM35" i="5"/>
  <c r="AL35" i="5"/>
  <c r="AH35" i="5"/>
  <c r="AG35" i="5"/>
  <c r="AF35" i="5"/>
  <c r="AE35" i="5"/>
  <c r="AA35" i="5"/>
  <c r="Z35" i="5"/>
  <c r="Y35" i="5"/>
  <c r="X35" i="5"/>
  <c r="T35" i="5"/>
  <c r="S35" i="5"/>
  <c r="R35" i="5"/>
  <c r="Q35" i="5"/>
  <c r="M35" i="5"/>
  <c r="BL35" i="5" s="1"/>
  <c r="L35" i="5"/>
  <c r="K35" i="5"/>
  <c r="J35" i="5"/>
  <c r="F35" i="5"/>
  <c r="E35" i="5"/>
  <c r="D35" i="5"/>
  <c r="C35" i="5"/>
  <c r="BG34" i="5"/>
  <c r="BT34" i="5" s="1"/>
  <c r="AO34" i="5"/>
  <c r="AN34" i="5"/>
  <c r="AM34" i="5"/>
  <c r="AL34" i="5"/>
  <c r="AH34" i="5"/>
  <c r="AG34" i="5"/>
  <c r="AF34" i="5"/>
  <c r="AE34" i="5"/>
  <c r="AA34" i="5"/>
  <c r="Z34" i="5"/>
  <c r="Y34" i="5"/>
  <c r="X34" i="5"/>
  <c r="T34" i="5"/>
  <c r="S34" i="5"/>
  <c r="R34" i="5"/>
  <c r="Q34" i="5"/>
  <c r="M34" i="5"/>
  <c r="BL34" i="5" s="1"/>
  <c r="L34" i="5"/>
  <c r="K34" i="5"/>
  <c r="J34" i="5"/>
  <c r="F34" i="5"/>
  <c r="E34" i="5"/>
  <c r="D34" i="5"/>
  <c r="C34" i="5"/>
  <c r="CE33" i="5"/>
  <c r="BT33" i="5"/>
  <c r="BG33" i="5"/>
  <c r="AO33" i="5"/>
  <c r="AN33" i="5"/>
  <c r="AM33" i="5"/>
  <c r="AL33" i="5"/>
  <c r="AH33" i="5"/>
  <c r="AG33" i="5"/>
  <c r="AF33" i="5"/>
  <c r="AE33" i="5"/>
  <c r="AA33" i="5"/>
  <c r="Z33" i="5"/>
  <c r="Y33" i="5"/>
  <c r="X33" i="5"/>
  <c r="T33" i="5"/>
  <c r="S33" i="5"/>
  <c r="R33" i="5"/>
  <c r="Q33" i="5"/>
  <c r="M33" i="5"/>
  <c r="BL33" i="5" s="1"/>
  <c r="L33" i="5"/>
  <c r="K33" i="5"/>
  <c r="J33" i="5"/>
  <c r="F33" i="5"/>
  <c r="E33" i="5"/>
  <c r="D33" i="5"/>
  <c r="C33" i="5"/>
  <c r="CE32" i="5"/>
  <c r="BT32" i="5"/>
  <c r="BG32" i="5"/>
  <c r="AO32" i="5"/>
  <c r="AN32" i="5"/>
  <c r="AM32" i="5"/>
  <c r="AL32" i="5"/>
  <c r="AH32" i="5"/>
  <c r="AG32" i="5"/>
  <c r="AF32" i="5"/>
  <c r="AE32" i="5"/>
  <c r="AA32" i="5"/>
  <c r="Z32" i="5"/>
  <c r="Y32" i="5"/>
  <c r="X32" i="5"/>
  <c r="T32" i="5"/>
  <c r="S32" i="5"/>
  <c r="R32" i="5"/>
  <c r="Q32" i="5"/>
  <c r="M32" i="5"/>
  <c r="BL32" i="5" s="1"/>
  <c r="L32" i="5"/>
  <c r="K32" i="5"/>
  <c r="J32" i="5"/>
  <c r="F32" i="5"/>
  <c r="E32" i="5"/>
  <c r="D32" i="5"/>
  <c r="C32" i="5"/>
  <c r="BG31" i="5"/>
  <c r="CE31" i="5" s="1"/>
  <c r="AO31" i="5"/>
  <c r="AN31" i="5"/>
  <c r="AM31" i="5"/>
  <c r="AL31" i="5"/>
  <c r="AH31" i="5"/>
  <c r="AG31" i="5"/>
  <c r="AF31" i="5"/>
  <c r="AE31" i="5"/>
  <c r="AA31" i="5"/>
  <c r="Z31" i="5"/>
  <c r="Y31" i="5"/>
  <c r="X31" i="5"/>
  <c r="T31" i="5"/>
  <c r="S31" i="5"/>
  <c r="R31" i="5"/>
  <c r="Q31" i="5"/>
  <c r="M31" i="5"/>
  <c r="BL31" i="5" s="1"/>
  <c r="L31" i="5"/>
  <c r="K31" i="5"/>
  <c r="J31" i="5"/>
  <c r="F31" i="5"/>
  <c r="E31" i="5"/>
  <c r="D31" i="5"/>
  <c r="C31" i="5"/>
  <c r="BG30" i="5"/>
  <c r="AO30" i="5"/>
  <c r="AN30" i="5"/>
  <c r="AM30" i="5"/>
  <c r="AL30" i="5"/>
  <c r="AH30" i="5"/>
  <c r="AG30" i="5"/>
  <c r="AF30" i="5"/>
  <c r="AE30" i="5"/>
  <c r="AA30" i="5"/>
  <c r="Z30" i="5"/>
  <c r="Y30" i="5"/>
  <c r="X30" i="5"/>
  <c r="T30" i="5"/>
  <c r="S30" i="5"/>
  <c r="R30" i="5"/>
  <c r="Q30" i="5"/>
  <c r="M30" i="5"/>
  <c r="BL30" i="5" s="1"/>
  <c r="L30" i="5"/>
  <c r="K30" i="5"/>
  <c r="J30" i="5"/>
  <c r="F30" i="5"/>
  <c r="E30" i="5"/>
  <c r="D30" i="5"/>
  <c r="C30" i="5"/>
  <c r="BG29" i="5"/>
  <c r="BT29" i="5" s="1"/>
  <c r="AO29" i="5"/>
  <c r="AN29" i="5"/>
  <c r="AM29" i="5"/>
  <c r="AL29" i="5"/>
  <c r="AG29" i="5"/>
  <c r="AF29" i="5"/>
  <c r="AE29" i="5"/>
  <c r="AA29" i="5"/>
  <c r="Z29" i="5"/>
  <c r="Y29" i="5"/>
  <c r="X29" i="5"/>
  <c r="T29" i="5"/>
  <c r="S29" i="5"/>
  <c r="R29" i="5"/>
  <c r="Q29" i="5"/>
  <c r="M29" i="5"/>
  <c r="BL29" i="5" s="1"/>
  <c r="L29" i="5"/>
  <c r="K29" i="5"/>
  <c r="J29" i="5"/>
  <c r="E29" i="5"/>
  <c r="D29" i="5"/>
  <c r="C29" i="5"/>
  <c r="BG28" i="5"/>
  <c r="CE28" i="5" s="1"/>
  <c r="AO28" i="5"/>
  <c r="AN28" i="5"/>
  <c r="AM28" i="5"/>
  <c r="AL28" i="5"/>
  <c r="AH28" i="5"/>
  <c r="AG28" i="5"/>
  <c r="AF28" i="5"/>
  <c r="AE28" i="5"/>
  <c r="AA28" i="5"/>
  <c r="Z28" i="5"/>
  <c r="Y28" i="5"/>
  <c r="X28" i="5"/>
  <c r="T28" i="5"/>
  <c r="S28" i="5"/>
  <c r="R28" i="5"/>
  <c r="Q28" i="5"/>
  <c r="M28" i="5"/>
  <c r="BL28" i="5" s="1"/>
  <c r="L28" i="5"/>
  <c r="K28" i="5"/>
  <c r="J28" i="5"/>
  <c r="N28" i="5" s="1"/>
  <c r="F28" i="5"/>
  <c r="E28" i="5"/>
  <c r="D28" i="5"/>
  <c r="C28" i="5"/>
  <c r="CE27" i="5"/>
  <c r="BT27" i="5"/>
  <c r="BG27" i="5"/>
  <c r="AO27" i="5"/>
  <c r="AN27" i="5"/>
  <c r="AM27" i="5"/>
  <c r="AL27" i="5"/>
  <c r="AH27" i="5"/>
  <c r="AG27" i="5"/>
  <c r="AF27" i="5"/>
  <c r="AE27" i="5"/>
  <c r="AA27" i="5"/>
  <c r="Z27" i="5"/>
  <c r="Y27" i="5"/>
  <c r="X27" i="5"/>
  <c r="T27" i="5"/>
  <c r="S27" i="5"/>
  <c r="R27" i="5"/>
  <c r="Q27" i="5"/>
  <c r="M27" i="5"/>
  <c r="BL27" i="5" s="1"/>
  <c r="L27" i="5"/>
  <c r="K27" i="5"/>
  <c r="J27" i="5"/>
  <c r="F27" i="5"/>
  <c r="E27" i="5"/>
  <c r="D27" i="5"/>
  <c r="C27" i="5"/>
  <c r="BL26" i="5"/>
  <c r="BG26" i="5"/>
  <c r="BT26" i="5" s="1"/>
  <c r="AO26" i="5"/>
  <c r="AN26" i="5"/>
  <c r="AM26" i="5"/>
  <c r="AL26" i="5"/>
  <c r="AH26" i="5"/>
  <c r="AG26" i="5"/>
  <c r="AF26" i="5"/>
  <c r="AE26" i="5"/>
  <c r="AA26" i="5"/>
  <c r="Z26" i="5"/>
  <c r="Y26" i="5"/>
  <c r="X26" i="5"/>
  <c r="T26" i="5"/>
  <c r="S26" i="5"/>
  <c r="R26" i="5"/>
  <c r="Q26" i="5"/>
  <c r="M26" i="5"/>
  <c r="L26" i="5"/>
  <c r="K26" i="5"/>
  <c r="J26" i="5"/>
  <c r="F26" i="5"/>
  <c r="E26" i="5"/>
  <c r="D26" i="5"/>
  <c r="C26" i="5"/>
  <c r="BG25" i="5"/>
  <c r="CE25" i="5" s="1"/>
  <c r="AO25" i="5"/>
  <c r="AN25" i="5"/>
  <c r="AM25" i="5"/>
  <c r="AL25" i="5"/>
  <c r="AH25" i="5"/>
  <c r="AG25" i="5"/>
  <c r="AF25" i="5"/>
  <c r="AE25" i="5"/>
  <c r="AA25" i="5"/>
  <c r="Z25" i="5"/>
  <c r="Y25" i="5"/>
  <c r="X25" i="5"/>
  <c r="T25" i="5"/>
  <c r="S25" i="5"/>
  <c r="R25" i="5"/>
  <c r="Q25" i="5"/>
  <c r="M25" i="5"/>
  <c r="BL25" i="5" s="1"/>
  <c r="L25" i="5"/>
  <c r="K25" i="5"/>
  <c r="J25" i="5"/>
  <c r="F25" i="5"/>
  <c r="E25" i="5"/>
  <c r="D25" i="5"/>
  <c r="C25" i="5"/>
  <c r="BG24" i="5"/>
  <c r="CE24" i="5" s="1"/>
  <c r="AO24" i="5"/>
  <c r="AN24" i="5"/>
  <c r="AM24" i="5"/>
  <c r="AL24" i="5"/>
  <c r="AH24" i="5"/>
  <c r="AG24" i="5"/>
  <c r="AF24" i="5"/>
  <c r="AE24" i="5"/>
  <c r="AA24" i="5"/>
  <c r="Z24" i="5"/>
  <c r="Y24" i="5"/>
  <c r="X24" i="5"/>
  <c r="T24" i="5"/>
  <c r="S24" i="5"/>
  <c r="R24" i="5"/>
  <c r="Q24" i="5"/>
  <c r="M24" i="5"/>
  <c r="BL24" i="5" s="1"/>
  <c r="L24" i="5"/>
  <c r="K24" i="5"/>
  <c r="J24" i="5"/>
  <c r="F24" i="5"/>
  <c r="E24" i="5"/>
  <c r="D24" i="5"/>
  <c r="C24" i="5"/>
  <c r="BG23" i="5"/>
  <c r="CE23" i="5" s="1"/>
  <c r="AO23" i="5"/>
  <c r="AN23" i="5"/>
  <c r="AM23" i="5"/>
  <c r="AL23" i="5"/>
  <c r="AH23" i="5"/>
  <c r="AG23" i="5"/>
  <c r="AF23" i="5"/>
  <c r="AE23" i="5"/>
  <c r="AA23" i="5"/>
  <c r="Z23" i="5"/>
  <c r="Y23" i="5"/>
  <c r="X23" i="5"/>
  <c r="T23" i="5"/>
  <c r="S23" i="5"/>
  <c r="R23" i="5"/>
  <c r="Q23" i="5"/>
  <c r="M23" i="5"/>
  <c r="BL23" i="5" s="1"/>
  <c r="L23" i="5"/>
  <c r="K23" i="5"/>
  <c r="J23" i="5"/>
  <c r="F23" i="5"/>
  <c r="E23" i="5"/>
  <c r="D23" i="5"/>
  <c r="C23" i="5"/>
  <c r="BG22" i="5"/>
  <c r="BT22" i="5" s="1"/>
  <c r="AO22" i="5"/>
  <c r="AN22" i="5"/>
  <c r="AM22" i="5"/>
  <c r="AL22" i="5"/>
  <c r="AH22" i="5"/>
  <c r="AG22" i="5"/>
  <c r="AF22" i="5"/>
  <c r="AE22" i="5"/>
  <c r="AA22" i="5"/>
  <c r="Z22" i="5"/>
  <c r="Y22" i="5"/>
  <c r="X22" i="5"/>
  <c r="T22" i="5"/>
  <c r="S22" i="5"/>
  <c r="R22" i="5"/>
  <c r="Q22" i="5"/>
  <c r="M22" i="5"/>
  <c r="BL22" i="5" s="1"/>
  <c r="L22" i="5"/>
  <c r="K22" i="5"/>
  <c r="J22" i="5"/>
  <c r="F22" i="5"/>
  <c r="E22" i="5"/>
  <c r="D22" i="5"/>
  <c r="C22" i="5"/>
  <c r="BL21" i="5"/>
  <c r="BG21" i="5"/>
  <c r="CE21" i="5" s="1"/>
  <c r="AO21" i="5"/>
  <c r="AN21" i="5"/>
  <c r="AM21" i="5"/>
  <c r="AL21" i="5"/>
  <c r="AH21" i="5"/>
  <c r="AG21" i="5"/>
  <c r="AF21" i="5"/>
  <c r="AE21" i="5"/>
  <c r="AA21" i="5"/>
  <c r="Z21" i="5"/>
  <c r="Y21" i="5"/>
  <c r="X21" i="5"/>
  <c r="T21" i="5"/>
  <c r="S21" i="5"/>
  <c r="R21" i="5"/>
  <c r="Q21" i="5"/>
  <c r="M21" i="5"/>
  <c r="L21" i="5"/>
  <c r="K21" i="5"/>
  <c r="J21" i="5"/>
  <c r="F21" i="5"/>
  <c r="E21" i="5"/>
  <c r="D21" i="5"/>
  <c r="C21" i="5"/>
  <c r="BG20" i="5"/>
  <c r="CE20" i="5" s="1"/>
  <c r="AO20" i="5"/>
  <c r="AN20" i="5"/>
  <c r="AM20" i="5"/>
  <c r="AL20" i="5"/>
  <c r="AH20" i="5"/>
  <c r="AG20" i="5"/>
  <c r="AF20" i="5"/>
  <c r="AE20" i="5"/>
  <c r="AA20" i="5"/>
  <c r="Z20" i="5"/>
  <c r="Y20" i="5"/>
  <c r="X20" i="5"/>
  <c r="T20" i="5"/>
  <c r="S20" i="5"/>
  <c r="R20" i="5"/>
  <c r="Q20" i="5"/>
  <c r="M20" i="5"/>
  <c r="BL20" i="5" s="1"/>
  <c r="L20" i="5"/>
  <c r="K20" i="5"/>
  <c r="J20" i="5"/>
  <c r="F20" i="5"/>
  <c r="E20" i="5"/>
  <c r="D20" i="5"/>
  <c r="C20" i="5"/>
  <c r="BT19" i="5"/>
  <c r="BG19" i="5"/>
  <c r="CE19" i="5" s="1"/>
  <c r="AO19" i="5"/>
  <c r="AN19" i="5"/>
  <c r="AM19" i="5"/>
  <c r="AL19" i="5"/>
  <c r="AH19" i="5"/>
  <c r="AG19" i="5"/>
  <c r="AF19" i="5"/>
  <c r="AE19" i="5"/>
  <c r="AA19" i="5"/>
  <c r="Z19" i="5"/>
  <c r="Y19" i="5"/>
  <c r="X19" i="5"/>
  <c r="T19" i="5"/>
  <c r="S19" i="5"/>
  <c r="R19" i="5"/>
  <c r="Q19" i="5"/>
  <c r="M19" i="5"/>
  <c r="BL19" i="5" s="1"/>
  <c r="L19" i="5"/>
  <c r="K19" i="5"/>
  <c r="J19" i="5"/>
  <c r="F19" i="5"/>
  <c r="E19" i="5"/>
  <c r="D19" i="5"/>
  <c r="C19" i="5"/>
  <c r="BG18" i="5"/>
  <c r="BT18" i="5" s="1"/>
  <c r="AO18" i="5"/>
  <c r="AN18" i="5"/>
  <c r="AM18" i="5"/>
  <c r="AL18" i="5"/>
  <c r="AH18" i="5"/>
  <c r="AG18" i="5"/>
  <c r="AF18" i="5"/>
  <c r="AE18" i="5"/>
  <c r="AA18" i="5"/>
  <c r="Z18" i="5"/>
  <c r="Y18" i="5"/>
  <c r="X18" i="5"/>
  <c r="T18" i="5"/>
  <c r="S18" i="5"/>
  <c r="R18" i="5"/>
  <c r="Q18" i="5"/>
  <c r="M18" i="5"/>
  <c r="BL18" i="5" s="1"/>
  <c r="L18" i="5"/>
  <c r="K18" i="5"/>
  <c r="N18" i="5" s="1"/>
  <c r="J18" i="5"/>
  <c r="F18" i="5"/>
  <c r="E18" i="5"/>
  <c r="D18" i="5"/>
  <c r="C18" i="5"/>
  <c r="CG17" i="5"/>
  <c r="CH17" i="5" s="1"/>
  <c r="BT17" i="5"/>
  <c r="BQ17" i="5"/>
  <c r="AY17" i="5"/>
  <c r="BG16" i="5"/>
  <c r="CE16" i="5" s="1"/>
  <c r="AO16" i="5"/>
  <c r="AN16" i="5"/>
  <c r="AM16" i="5"/>
  <c r="AL16" i="5"/>
  <c r="AH16" i="5"/>
  <c r="AG16" i="5"/>
  <c r="AF16" i="5"/>
  <c r="AE16" i="5"/>
  <c r="AA16" i="5"/>
  <c r="Z16" i="5"/>
  <c r="Y16" i="5"/>
  <c r="X16" i="5"/>
  <c r="T16" i="5"/>
  <c r="S16" i="5"/>
  <c r="R16" i="5"/>
  <c r="Q16" i="5"/>
  <c r="M16" i="5"/>
  <c r="BL16" i="5" s="1"/>
  <c r="L16" i="5"/>
  <c r="K16" i="5"/>
  <c r="J16" i="5"/>
  <c r="F16" i="5"/>
  <c r="E16" i="5"/>
  <c r="D16" i="5"/>
  <c r="C16" i="5"/>
  <c r="BG15" i="5"/>
  <c r="CE15" i="5" s="1"/>
  <c r="AO15" i="5"/>
  <c r="AN15" i="5"/>
  <c r="AM15" i="5"/>
  <c r="AL15" i="5"/>
  <c r="AH15" i="5"/>
  <c r="AG15" i="5"/>
  <c r="AF15" i="5"/>
  <c r="AE15" i="5"/>
  <c r="AA15" i="5"/>
  <c r="Z15" i="5"/>
  <c r="Y15" i="5"/>
  <c r="X15" i="5"/>
  <c r="T15" i="5"/>
  <c r="S15" i="5"/>
  <c r="R15" i="5"/>
  <c r="Q15" i="5"/>
  <c r="M15" i="5"/>
  <c r="BL15" i="5" s="1"/>
  <c r="L15" i="5"/>
  <c r="K15" i="5"/>
  <c r="J15" i="5"/>
  <c r="F15" i="5"/>
  <c r="E15" i="5"/>
  <c r="D15" i="5"/>
  <c r="C15" i="5"/>
  <c r="BG14" i="5"/>
  <c r="CE14" i="5" s="1"/>
  <c r="AO14" i="5"/>
  <c r="AN14" i="5"/>
  <c r="AM14" i="5"/>
  <c r="AL14" i="5"/>
  <c r="AH14" i="5"/>
  <c r="AG14" i="5"/>
  <c r="AF14" i="5"/>
  <c r="AE14" i="5"/>
  <c r="AA14" i="5"/>
  <c r="Z14" i="5"/>
  <c r="Y14" i="5"/>
  <c r="X14" i="5"/>
  <c r="T14" i="5"/>
  <c r="S14" i="5"/>
  <c r="R14" i="5"/>
  <c r="Q14" i="5"/>
  <c r="M14" i="5"/>
  <c r="BL14" i="5" s="1"/>
  <c r="L14" i="5"/>
  <c r="K14" i="5"/>
  <c r="J14" i="5"/>
  <c r="F14" i="5"/>
  <c r="E14" i="5"/>
  <c r="D14" i="5"/>
  <c r="C14" i="5"/>
  <c r="BG13" i="5"/>
  <c r="CE13" i="5" s="1"/>
  <c r="AO13" i="5"/>
  <c r="AN13" i="5"/>
  <c r="AM13" i="5"/>
  <c r="AL13" i="5"/>
  <c r="AH13" i="5"/>
  <c r="AG13" i="5"/>
  <c r="AF13" i="5"/>
  <c r="AE13" i="5"/>
  <c r="AA13" i="5"/>
  <c r="Z13" i="5"/>
  <c r="Y13" i="5"/>
  <c r="X13" i="5"/>
  <c r="T13" i="5"/>
  <c r="S13" i="5"/>
  <c r="R13" i="5"/>
  <c r="Q13" i="5"/>
  <c r="M13" i="5"/>
  <c r="BL13" i="5" s="1"/>
  <c r="L13" i="5"/>
  <c r="K13" i="5"/>
  <c r="J13" i="5"/>
  <c r="F13" i="5"/>
  <c r="E13" i="5"/>
  <c r="D13" i="5"/>
  <c r="C13" i="5"/>
  <c r="BG12" i="5"/>
  <c r="AO12" i="5"/>
  <c r="AN12" i="5"/>
  <c r="AM12" i="5"/>
  <c r="AL12" i="5"/>
  <c r="AH12" i="5"/>
  <c r="AG12" i="5"/>
  <c r="AF12" i="5"/>
  <c r="AE12" i="5"/>
  <c r="AA12" i="5"/>
  <c r="Z12" i="5"/>
  <c r="Y12" i="5"/>
  <c r="X12" i="5"/>
  <c r="T12" i="5"/>
  <c r="S12" i="5"/>
  <c r="R12" i="5"/>
  <c r="Q12" i="5"/>
  <c r="M12" i="5"/>
  <c r="BL12" i="5" s="1"/>
  <c r="L12" i="5"/>
  <c r="K12" i="5"/>
  <c r="J12" i="5"/>
  <c r="F12" i="5"/>
  <c r="E12" i="5"/>
  <c r="D12" i="5"/>
  <c r="C12" i="5"/>
  <c r="BT11" i="5"/>
  <c r="BG11" i="5"/>
  <c r="CE11" i="5" s="1"/>
  <c r="AO11" i="5"/>
  <c r="AN11" i="5"/>
  <c r="AM11" i="5"/>
  <c r="AL11" i="5"/>
  <c r="AH11" i="5"/>
  <c r="AG11" i="5"/>
  <c r="AF11" i="5"/>
  <c r="AE11" i="5"/>
  <c r="AA11" i="5"/>
  <c r="Z11" i="5"/>
  <c r="Y11" i="5"/>
  <c r="X11" i="5"/>
  <c r="T11" i="5"/>
  <c r="S11" i="5"/>
  <c r="R11" i="5"/>
  <c r="Q11" i="5"/>
  <c r="M11" i="5"/>
  <c r="BL11" i="5" s="1"/>
  <c r="L11" i="5"/>
  <c r="K11" i="5"/>
  <c r="J11" i="5"/>
  <c r="F11" i="5"/>
  <c r="E11" i="5"/>
  <c r="D11" i="5"/>
  <c r="C11" i="5"/>
  <c r="F9" i="5"/>
  <c r="E9" i="5"/>
  <c r="D9" i="5"/>
  <c r="C9" i="5"/>
  <c r="AZ8" i="5"/>
  <c r="AZ6" i="5"/>
  <c r="C55" i="4"/>
  <c r="D55" i="4" s="1"/>
  <c r="E55" i="4" s="1"/>
  <c r="F55" i="4" s="1"/>
  <c r="G55" i="4" s="1"/>
  <c r="H55" i="4" s="1"/>
  <c r="I55" i="4" s="1"/>
  <c r="J55" i="4" s="1"/>
  <c r="K55" i="4" s="1"/>
  <c r="L55" i="4" s="1"/>
  <c r="M55" i="4" s="1"/>
  <c r="N55" i="4" s="1"/>
  <c r="O55" i="4" s="1"/>
  <c r="P55" i="4" s="1"/>
  <c r="Q55" i="4" s="1"/>
  <c r="R55" i="4" s="1"/>
  <c r="S55" i="4" s="1"/>
  <c r="T55" i="4" s="1"/>
  <c r="U55" i="4" s="1"/>
  <c r="V55" i="4" s="1"/>
  <c r="W55" i="4" s="1"/>
  <c r="X55" i="4" s="1"/>
  <c r="Y55" i="4" s="1"/>
  <c r="Z55" i="4" s="1"/>
  <c r="AA55" i="4" s="1"/>
  <c r="AB55" i="4" s="1"/>
  <c r="AC55" i="4" s="1"/>
  <c r="AD55" i="4" s="1"/>
  <c r="AE55" i="4" s="1"/>
  <c r="AF55" i="4" s="1"/>
  <c r="AG55" i="4" s="1"/>
  <c r="AH55" i="4" s="1"/>
  <c r="AI55" i="4" s="1"/>
  <c r="AJ55" i="4" s="1"/>
  <c r="AK55" i="4" s="1"/>
  <c r="AL55" i="4" s="1"/>
  <c r="AM55" i="4" s="1"/>
  <c r="AN55" i="4" s="1"/>
  <c r="AO55" i="4" s="1"/>
  <c r="AP55" i="4" s="1"/>
  <c r="AQ55" i="4" s="1"/>
  <c r="AR55" i="4" s="1"/>
  <c r="AS55" i="4" s="1"/>
  <c r="AT55" i="4" s="1"/>
  <c r="AU55" i="4" s="1"/>
  <c r="AV55" i="4" s="1"/>
  <c r="AW55" i="4" s="1"/>
  <c r="AX55" i="4" s="1"/>
  <c r="AY55" i="4" s="1"/>
  <c r="AZ55" i="4" s="1"/>
  <c r="BA55" i="4" s="1"/>
  <c r="BB55" i="4" s="1"/>
  <c r="BC55" i="4" s="1"/>
  <c r="BD55" i="4" s="1"/>
  <c r="BE55" i="4" s="1"/>
  <c r="BF55" i="4" s="1"/>
  <c r="BG55" i="4" s="1"/>
  <c r="BH55" i="4" s="1"/>
  <c r="BI55" i="4" s="1"/>
  <c r="BJ55" i="4" s="1"/>
  <c r="BK55" i="4" s="1"/>
  <c r="BL55" i="4" s="1"/>
  <c r="BM55" i="4" s="1"/>
  <c r="BN55" i="4" s="1"/>
  <c r="BO55" i="4" s="1"/>
  <c r="BP55" i="4" s="1"/>
  <c r="BQ55" i="4" s="1"/>
  <c r="BX51" i="4"/>
  <c r="AN51" i="4"/>
  <c r="AM51" i="4"/>
  <c r="AG51" i="4"/>
  <c r="AF51" i="4"/>
  <c r="Z51" i="4"/>
  <c r="Y51" i="4"/>
  <c r="S51" i="4"/>
  <c r="R51" i="4"/>
  <c r="M51" i="4"/>
  <c r="L51" i="4"/>
  <c r="K51" i="4"/>
  <c r="J51" i="4"/>
  <c r="CE50" i="4"/>
  <c r="BT50" i="4"/>
  <c r="BG50" i="4"/>
  <c r="AO50" i="4"/>
  <c r="AN50" i="4"/>
  <c r="AM50" i="4"/>
  <c r="AL50" i="4"/>
  <c r="AH50" i="4"/>
  <c r="AG50" i="4"/>
  <c r="AF50" i="4"/>
  <c r="AE50" i="4"/>
  <c r="AA50" i="4"/>
  <c r="Z50" i="4"/>
  <c r="Y50" i="4"/>
  <c r="X50" i="4"/>
  <c r="T50" i="4"/>
  <c r="S50" i="4"/>
  <c r="R50" i="4"/>
  <c r="Q50" i="4"/>
  <c r="M50" i="4"/>
  <c r="BL50" i="4" s="1"/>
  <c r="L50" i="4"/>
  <c r="K50" i="4"/>
  <c r="J50" i="4"/>
  <c r="F50" i="4"/>
  <c r="E50" i="4"/>
  <c r="D50" i="4"/>
  <c r="C50" i="4"/>
  <c r="BG49" i="4"/>
  <c r="BT49" i="4" s="1"/>
  <c r="AO49" i="4"/>
  <c r="AN49" i="4"/>
  <c r="AM49" i="4"/>
  <c r="AL49" i="4"/>
  <c r="AH49" i="4"/>
  <c r="AG49" i="4"/>
  <c r="AF49" i="4"/>
  <c r="AE49" i="4"/>
  <c r="AA49" i="4"/>
  <c r="Z49" i="4"/>
  <c r="Y49" i="4"/>
  <c r="X49" i="4"/>
  <c r="T49" i="4"/>
  <c r="S49" i="4"/>
  <c r="R49" i="4"/>
  <c r="Q49" i="4"/>
  <c r="M49" i="4"/>
  <c r="L49" i="4"/>
  <c r="K49" i="4"/>
  <c r="J49" i="4"/>
  <c r="F49" i="4"/>
  <c r="E49" i="4"/>
  <c r="D49" i="4"/>
  <c r="C49" i="4"/>
  <c r="BG48" i="4"/>
  <c r="BT48" i="4" s="1"/>
  <c r="AO48" i="4"/>
  <c r="AN48" i="4"/>
  <c r="AM48" i="4"/>
  <c r="AL48" i="4"/>
  <c r="AH48" i="4"/>
  <c r="AG48" i="4"/>
  <c r="AF48" i="4"/>
  <c r="AE48" i="4"/>
  <c r="AA48" i="4"/>
  <c r="Z48" i="4"/>
  <c r="Y48" i="4"/>
  <c r="X48" i="4"/>
  <c r="T48" i="4"/>
  <c r="S48" i="4"/>
  <c r="R48" i="4"/>
  <c r="Q48" i="4"/>
  <c r="M48" i="4"/>
  <c r="BL48" i="4" s="1"/>
  <c r="L48" i="4"/>
  <c r="K48" i="4"/>
  <c r="J48" i="4"/>
  <c r="F48" i="4"/>
  <c r="E48" i="4"/>
  <c r="D48" i="4"/>
  <c r="C48" i="4"/>
  <c r="BG47" i="4"/>
  <c r="CE47" i="4" s="1"/>
  <c r="AO47" i="4"/>
  <c r="AN47" i="4"/>
  <c r="AM47" i="4"/>
  <c r="AL47" i="4"/>
  <c r="AH47" i="4"/>
  <c r="AG47" i="4"/>
  <c r="AF47" i="4"/>
  <c r="AE47" i="4"/>
  <c r="AA47" i="4"/>
  <c r="Z47" i="4"/>
  <c r="Y47" i="4"/>
  <c r="X47" i="4"/>
  <c r="T47" i="4"/>
  <c r="S47" i="4"/>
  <c r="R47" i="4"/>
  <c r="Q47" i="4"/>
  <c r="M47" i="4"/>
  <c r="BL47" i="4" s="1"/>
  <c r="L47" i="4"/>
  <c r="K47" i="4"/>
  <c r="J47" i="4"/>
  <c r="F47" i="4"/>
  <c r="E47" i="4"/>
  <c r="D47" i="4"/>
  <c r="C47" i="4"/>
  <c r="BG46" i="4"/>
  <c r="AO46" i="4"/>
  <c r="AN46" i="4"/>
  <c r="AM46" i="4"/>
  <c r="AL46" i="4"/>
  <c r="AH46" i="4"/>
  <c r="AG46" i="4"/>
  <c r="AF46" i="4"/>
  <c r="AE46" i="4"/>
  <c r="AA46" i="4"/>
  <c r="Z46" i="4"/>
  <c r="Y46" i="4"/>
  <c r="X46" i="4"/>
  <c r="T46" i="4"/>
  <c r="S46" i="4"/>
  <c r="R46" i="4"/>
  <c r="Q46" i="4"/>
  <c r="M46" i="4"/>
  <c r="BL46" i="4" s="1"/>
  <c r="L46" i="4"/>
  <c r="K46" i="4"/>
  <c r="J46" i="4"/>
  <c r="F46" i="4"/>
  <c r="E46" i="4"/>
  <c r="D46" i="4"/>
  <c r="C46" i="4"/>
  <c r="BG45" i="4"/>
  <c r="AO45" i="4"/>
  <c r="AN45" i="4"/>
  <c r="AM45" i="4"/>
  <c r="AL45" i="4"/>
  <c r="AH45" i="4"/>
  <c r="AG45" i="4"/>
  <c r="AF45" i="4"/>
  <c r="AE45" i="4"/>
  <c r="AA45" i="4"/>
  <c r="Z45" i="4"/>
  <c r="Y45" i="4"/>
  <c r="X45" i="4"/>
  <c r="T45" i="4"/>
  <c r="S45" i="4"/>
  <c r="R45" i="4"/>
  <c r="Q45" i="4"/>
  <c r="M45" i="4"/>
  <c r="BL45" i="4" s="1"/>
  <c r="L45" i="4"/>
  <c r="K45" i="4"/>
  <c r="J45" i="4"/>
  <c r="F45" i="4"/>
  <c r="E45" i="4"/>
  <c r="D45" i="4"/>
  <c r="C45" i="4"/>
  <c r="BG44" i="4"/>
  <c r="CE44" i="4" s="1"/>
  <c r="AO44" i="4"/>
  <c r="AN44" i="4"/>
  <c r="AM44" i="4"/>
  <c r="AL44" i="4"/>
  <c r="AH44" i="4"/>
  <c r="AG44" i="4"/>
  <c r="AF44" i="4"/>
  <c r="AE44" i="4"/>
  <c r="AA44" i="4"/>
  <c r="Z44" i="4"/>
  <c r="Y44" i="4"/>
  <c r="X44" i="4"/>
  <c r="T44" i="4"/>
  <c r="S44" i="4"/>
  <c r="R44" i="4"/>
  <c r="Q44" i="4"/>
  <c r="M44" i="4"/>
  <c r="BL44" i="4" s="1"/>
  <c r="L44" i="4"/>
  <c r="K44" i="4"/>
  <c r="J44" i="4"/>
  <c r="N44" i="4" s="1"/>
  <c r="F44" i="4"/>
  <c r="E44" i="4"/>
  <c r="D44" i="4"/>
  <c r="C44" i="4"/>
  <c r="BG43" i="4"/>
  <c r="BT43" i="4" s="1"/>
  <c r="AO43" i="4"/>
  <c r="AN43" i="4"/>
  <c r="AM43" i="4"/>
  <c r="AL43" i="4"/>
  <c r="AH43" i="4"/>
  <c r="AG43" i="4"/>
  <c r="AF43" i="4"/>
  <c r="AE43" i="4"/>
  <c r="AA43" i="4"/>
  <c r="Z43" i="4"/>
  <c r="Y43" i="4"/>
  <c r="X43" i="4"/>
  <c r="T43" i="4"/>
  <c r="S43" i="4"/>
  <c r="R43" i="4"/>
  <c r="Q43" i="4"/>
  <c r="M43" i="4"/>
  <c r="BL43" i="4" s="1"/>
  <c r="L43" i="4"/>
  <c r="K43" i="4"/>
  <c r="J43" i="4"/>
  <c r="F43" i="4"/>
  <c r="E43" i="4"/>
  <c r="D43" i="4"/>
  <c r="C43" i="4"/>
  <c r="BG42" i="4"/>
  <c r="CE42" i="4" s="1"/>
  <c r="AO42" i="4"/>
  <c r="AN42" i="4"/>
  <c r="AM42" i="4"/>
  <c r="AL42" i="4"/>
  <c r="AH42" i="4"/>
  <c r="AG42" i="4"/>
  <c r="AF42" i="4"/>
  <c r="AE42" i="4"/>
  <c r="AA42" i="4"/>
  <c r="Z42" i="4"/>
  <c r="Y42" i="4"/>
  <c r="X42" i="4"/>
  <c r="T42" i="4"/>
  <c r="S42" i="4"/>
  <c r="R42" i="4"/>
  <c r="Q42" i="4"/>
  <c r="M42" i="4"/>
  <c r="BL42" i="4" s="1"/>
  <c r="L42" i="4"/>
  <c r="K42" i="4"/>
  <c r="J42" i="4"/>
  <c r="N42" i="4" s="1"/>
  <c r="F42" i="4"/>
  <c r="E42" i="4"/>
  <c r="D42" i="4"/>
  <c r="C42" i="4"/>
  <c r="BG41" i="4"/>
  <c r="AO41" i="4"/>
  <c r="AN41" i="4"/>
  <c r="AM41" i="4"/>
  <c r="AL41" i="4"/>
  <c r="AH41" i="4"/>
  <c r="AG41" i="4"/>
  <c r="AF41" i="4"/>
  <c r="AE41" i="4"/>
  <c r="AA41" i="4"/>
  <c r="Z41" i="4"/>
  <c r="Y41" i="4"/>
  <c r="X41" i="4"/>
  <c r="T41" i="4"/>
  <c r="S41" i="4"/>
  <c r="R41" i="4"/>
  <c r="Q41" i="4"/>
  <c r="M41" i="4"/>
  <c r="BL41" i="4" s="1"/>
  <c r="L41" i="4"/>
  <c r="K41" i="4"/>
  <c r="J41" i="4"/>
  <c r="F41" i="4"/>
  <c r="E41" i="4"/>
  <c r="D41" i="4"/>
  <c r="C41" i="4"/>
  <c r="BG40" i="4"/>
  <c r="CE40" i="4" s="1"/>
  <c r="AO40" i="4"/>
  <c r="AN40" i="4"/>
  <c r="AM40" i="4"/>
  <c r="AL40" i="4"/>
  <c r="AH40" i="4"/>
  <c r="AG40" i="4"/>
  <c r="AF40" i="4"/>
  <c r="AE40" i="4"/>
  <c r="AA40" i="4"/>
  <c r="Z40" i="4"/>
  <c r="Y40" i="4"/>
  <c r="X40" i="4"/>
  <c r="T40" i="4"/>
  <c r="S40" i="4"/>
  <c r="R40" i="4"/>
  <c r="Q40" i="4"/>
  <c r="M40" i="4"/>
  <c r="BL40" i="4" s="1"/>
  <c r="L40" i="4"/>
  <c r="K40" i="4"/>
  <c r="J40" i="4"/>
  <c r="F40" i="4"/>
  <c r="E40" i="4"/>
  <c r="D40" i="4"/>
  <c r="C40" i="4"/>
  <c r="BG39" i="4"/>
  <c r="AO39" i="4"/>
  <c r="AN39" i="4"/>
  <c r="AM39" i="4"/>
  <c r="AL39" i="4"/>
  <c r="AH39" i="4"/>
  <c r="AG39" i="4"/>
  <c r="AF39" i="4"/>
  <c r="AE39" i="4"/>
  <c r="AA39" i="4"/>
  <c r="Z39" i="4"/>
  <c r="Y39" i="4"/>
  <c r="X39" i="4"/>
  <c r="T39" i="4"/>
  <c r="S39" i="4"/>
  <c r="R39" i="4"/>
  <c r="Q39" i="4"/>
  <c r="M39" i="4"/>
  <c r="BL39" i="4" s="1"/>
  <c r="L39" i="4"/>
  <c r="K39" i="4"/>
  <c r="J39" i="4"/>
  <c r="F39" i="4"/>
  <c r="E39" i="4"/>
  <c r="D39" i="4"/>
  <c r="C39" i="4"/>
  <c r="BT38" i="4"/>
  <c r="BG38" i="4"/>
  <c r="CE38" i="4" s="1"/>
  <c r="AO38" i="4"/>
  <c r="AN38" i="4"/>
  <c r="AM38" i="4"/>
  <c r="AL38" i="4"/>
  <c r="AH38" i="4"/>
  <c r="AG38" i="4"/>
  <c r="AF38" i="4"/>
  <c r="AE38" i="4"/>
  <c r="AA38" i="4"/>
  <c r="Z38" i="4"/>
  <c r="Y38" i="4"/>
  <c r="X38" i="4"/>
  <c r="T38" i="4"/>
  <c r="S38" i="4"/>
  <c r="R38" i="4"/>
  <c r="Q38" i="4"/>
  <c r="M38" i="4"/>
  <c r="BL38" i="4" s="1"/>
  <c r="L38" i="4"/>
  <c r="K38" i="4"/>
  <c r="J38" i="4"/>
  <c r="F38" i="4"/>
  <c r="E38" i="4"/>
  <c r="D38" i="4"/>
  <c r="C38" i="4"/>
  <c r="BG37" i="4"/>
  <c r="CE37" i="4" s="1"/>
  <c r="AO37" i="4"/>
  <c r="AN37" i="4"/>
  <c r="AM37" i="4"/>
  <c r="AL37" i="4"/>
  <c r="AH37" i="4"/>
  <c r="AG37" i="4"/>
  <c r="AF37" i="4"/>
  <c r="AE37" i="4"/>
  <c r="AA37" i="4"/>
  <c r="Z37" i="4"/>
  <c r="Y37" i="4"/>
  <c r="X37" i="4"/>
  <c r="T37" i="4"/>
  <c r="S37" i="4"/>
  <c r="R37" i="4"/>
  <c r="Q37" i="4"/>
  <c r="M37" i="4"/>
  <c r="BL37" i="4" s="1"/>
  <c r="L37" i="4"/>
  <c r="K37" i="4"/>
  <c r="J37" i="4"/>
  <c r="N37" i="4" s="1"/>
  <c r="F37" i="4"/>
  <c r="E37" i="4"/>
  <c r="D37" i="4"/>
  <c r="C37" i="4"/>
  <c r="BG36" i="4"/>
  <c r="BT36" i="4" s="1"/>
  <c r="AO36" i="4"/>
  <c r="AN36" i="4"/>
  <c r="AM36" i="4"/>
  <c r="AL36" i="4"/>
  <c r="AH36" i="4"/>
  <c r="AG36" i="4"/>
  <c r="AF36" i="4"/>
  <c r="AE36" i="4"/>
  <c r="AA36" i="4"/>
  <c r="Z36" i="4"/>
  <c r="Y36" i="4"/>
  <c r="X36" i="4"/>
  <c r="T36" i="4"/>
  <c r="S36" i="4"/>
  <c r="R36" i="4"/>
  <c r="Q36" i="4"/>
  <c r="M36" i="4"/>
  <c r="BL36" i="4" s="1"/>
  <c r="L36" i="4"/>
  <c r="K36" i="4"/>
  <c r="J36" i="4"/>
  <c r="F36" i="4"/>
  <c r="E36" i="4"/>
  <c r="D36" i="4"/>
  <c r="C36" i="4"/>
  <c r="CE35" i="4"/>
  <c r="BG35" i="4"/>
  <c r="BT35" i="4" s="1"/>
  <c r="AO35" i="4"/>
  <c r="AN35" i="4"/>
  <c r="AM35" i="4"/>
  <c r="AL35" i="4"/>
  <c r="AH35" i="4"/>
  <c r="AG35" i="4"/>
  <c r="AF35" i="4"/>
  <c r="AE35" i="4"/>
  <c r="AA35" i="4"/>
  <c r="Z35" i="4"/>
  <c r="Y35" i="4"/>
  <c r="X35" i="4"/>
  <c r="S35" i="4"/>
  <c r="R35" i="4"/>
  <c r="Q35" i="4"/>
  <c r="M35" i="4"/>
  <c r="BL35" i="4" s="1"/>
  <c r="L35" i="4"/>
  <c r="K35" i="4"/>
  <c r="J35" i="4"/>
  <c r="F35" i="4"/>
  <c r="E35" i="4"/>
  <c r="D35" i="4"/>
  <c r="C35" i="4"/>
  <c r="BG34" i="4"/>
  <c r="AO34" i="4"/>
  <c r="AN34" i="4"/>
  <c r="AM34" i="4"/>
  <c r="AL34" i="4"/>
  <c r="AH34" i="4"/>
  <c r="AG34" i="4"/>
  <c r="AF34" i="4"/>
  <c r="AE34" i="4"/>
  <c r="AA34" i="4"/>
  <c r="Z34" i="4"/>
  <c r="Y34" i="4"/>
  <c r="X34" i="4"/>
  <c r="T34" i="4"/>
  <c r="S34" i="4"/>
  <c r="R34" i="4"/>
  <c r="Q34" i="4"/>
  <c r="M34" i="4"/>
  <c r="BL34" i="4" s="1"/>
  <c r="L34" i="4"/>
  <c r="K34" i="4"/>
  <c r="J34" i="4"/>
  <c r="F34" i="4"/>
  <c r="E34" i="4"/>
  <c r="D34" i="4"/>
  <c r="C34" i="4"/>
  <c r="BG33" i="4"/>
  <c r="BT33" i="4" s="1"/>
  <c r="AO33" i="4"/>
  <c r="AN33" i="4"/>
  <c r="AM33" i="4"/>
  <c r="AL33" i="4"/>
  <c r="AH33" i="4"/>
  <c r="AG33" i="4"/>
  <c r="AF33" i="4"/>
  <c r="AE33" i="4"/>
  <c r="AA33" i="4"/>
  <c r="Z33" i="4"/>
  <c r="Y33" i="4"/>
  <c r="X33" i="4"/>
  <c r="T33" i="4"/>
  <c r="S33" i="4"/>
  <c r="R33" i="4"/>
  <c r="Q33" i="4"/>
  <c r="M33" i="4"/>
  <c r="BL33" i="4" s="1"/>
  <c r="L33" i="4"/>
  <c r="K33" i="4"/>
  <c r="J33" i="4"/>
  <c r="F33" i="4"/>
  <c r="E33" i="4"/>
  <c r="D33" i="4"/>
  <c r="C33" i="4"/>
  <c r="BG32" i="4"/>
  <c r="CE32" i="4" s="1"/>
  <c r="AO32" i="4"/>
  <c r="AN32" i="4"/>
  <c r="AM32" i="4"/>
  <c r="AL32" i="4"/>
  <c r="AH32" i="4"/>
  <c r="AG32" i="4"/>
  <c r="AF32" i="4"/>
  <c r="AE32" i="4"/>
  <c r="AA32" i="4"/>
  <c r="Z32" i="4"/>
  <c r="Y32" i="4"/>
  <c r="X32" i="4"/>
  <c r="T32" i="4"/>
  <c r="S32" i="4"/>
  <c r="R32" i="4"/>
  <c r="Q32" i="4"/>
  <c r="M32" i="4"/>
  <c r="BL32" i="4" s="1"/>
  <c r="L32" i="4"/>
  <c r="K32" i="4"/>
  <c r="J32" i="4"/>
  <c r="F32" i="4"/>
  <c r="E32" i="4"/>
  <c r="D32" i="4"/>
  <c r="C32" i="4"/>
  <c r="BG31" i="4"/>
  <c r="AO31" i="4"/>
  <c r="AN31" i="4"/>
  <c r="AM31" i="4"/>
  <c r="AL31" i="4"/>
  <c r="AH31" i="4"/>
  <c r="AG31" i="4"/>
  <c r="AF31" i="4"/>
  <c r="AE31" i="4"/>
  <c r="AA31" i="4"/>
  <c r="Z31" i="4"/>
  <c r="Y31" i="4"/>
  <c r="X31" i="4"/>
  <c r="T31" i="4"/>
  <c r="S31" i="4"/>
  <c r="R31" i="4"/>
  <c r="Q31" i="4"/>
  <c r="M31" i="4"/>
  <c r="BL31" i="4" s="1"/>
  <c r="L31" i="4"/>
  <c r="K31" i="4"/>
  <c r="J31" i="4"/>
  <c r="F31" i="4"/>
  <c r="E31" i="4"/>
  <c r="D31" i="4"/>
  <c r="C31" i="4"/>
  <c r="BG30" i="4"/>
  <c r="CE30" i="4" s="1"/>
  <c r="AO30" i="4"/>
  <c r="AN30" i="4"/>
  <c r="AM30" i="4"/>
  <c r="AL30" i="4"/>
  <c r="AH30" i="4"/>
  <c r="AG30" i="4"/>
  <c r="AF30" i="4"/>
  <c r="AE30" i="4"/>
  <c r="AA30" i="4"/>
  <c r="Z30" i="4"/>
  <c r="Y30" i="4"/>
  <c r="X30" i="4"/>
  <c r="T30" i="4"/>
  <c r="S30" i="4"/>
  <c r="R30" i="4"/>
  <c r="Q30" i="4"/>
  <c r="M30" i="4"/>
  <c r="BL30" i="4" s="1"/>
  <c r="L30" i="4"/>
  <c r="K30" i="4"/>
  <c r="J30" i="4"/>
  <c r="F30" i="4"/>
  <c r="E30" i="4"/>
  <c r="D30" i="4"/>
  <c r="C30" i="4"/>
  <c r="BL29" i="4"/>
  <c r="BG29" i="4"/>
  <c r="CE29" i="4" s="1"/>
  <c r="AO29" i="4"/>
  <c r="AN29" i="4"/>
  <c r="AM29" i="4"/>
  <c r="AL29" i="4"/>
  <c r="AG29" i="4"/>
  <c r="AF29" i="4"/>
  <c r="AE29" i="4"/>
  <c r="AA29" i="4"/>
  <c r="Z29" i="4"/>
  <c r="Y29" i="4"/>
  <c r="X29" i="4"/>
  <c r="T29" i="4"/>
  <c r="S29" i="4"/>
  <c r="R29" i="4"/>
  <c r="Q29" i="4"/>
  <c r="M29" i="4"/>
  <c r="L29" i="4"/>
  <c r="K29" i="4"/>
  <c r="J29" i="4"/>
  <c r="E29" i="4"/>
  <c r="D29" i="4"/>
  <c r="C29" i="4"/>
  <c r="BG28" i="4"/>
  <c r="BT28" i="4" s="1"/>
  <c r="AO28" i="4"/>
  <c r="AN28" i="4"/>
  <c r="AM28" i="4"/>
  <c r="AL28" i="4"/>
  <c r="AH28" i="4"/>
  <c r="AG28" i="4"/>
  <c r="AF28" i="4"/>
  <c r="AE28" i="4"/>
  <c r="AA28" i="4"/>
  <c r="Z28" i="4"/>
  <c r="Y28" i="4"/>
  <c r="X28" i="4"/>
  <c r="T28" i="4"/>
  <c r="S28" i="4"/>
  <c r="R28" i="4"/>
  <c r="Q28" i="4"/>
  <c r="M28" i="4"/>
  <c r="BL28" i="4" s="1"/>
  <c r="L28" i="4"/>
  <c r="K28" i="4"/>
  <c r="J28" i="4"/>
  <c r="F28" i="4"/>
  <c r="E28" i="4"/>
  <c r="D28" i="4"/>
  <c r="C28" i="4"/>
  <c r="BG27" i="4"/>
  <c r="CE27" i="4" s="1"/>
  <c r="AO27" i="4"/>
  <c r="AN27" i="4"/>
  <c r="AM27" i="4"/>
  <c r="AL27" i="4"/>
  <c r="AH27" i="4"/>
  <c r="AG27" i="4"/>
  <c r="AF27" i="4"/>
  <c r="AE27" i="4"/>
  <c r="AA27" i="4"/>
  <c r="Z27" i="4"/>
  <c r="Y27" i="4"/>
  <c r="X27" i="4"/>
  <c r="T27" i="4"/>
  <c r="S27" i="4"/>
  <c r="R27" i="4"/>
  <c r="Q27" i="4"/>
  <c r="M27" i="4"/>
  <c r="BL27" i="4" s="1"/>
  <c r="L27" i="4"/>
  <c r="K27" i="4"/>
  <c r="J27" i="4"/>
  <c r="F27" i="4"/>
  <c r="E27" i="4"/>
  <c r="D27" i="4"/>
  <c r="C27" i="4"/>
  <c r="BG26" i="4"/>
  <c r="AO26" i="4"/>
  <c r="AN26" i="4"/>
  <c r="AM26" i="4"/>
  <c r="AL26" i="4"/>
  <c r="AH26" i="4"/>
  <c r="AG26" i="4"/>
  <c r="AF26" i="4"/>
  <c r="AE26" i="4"/>
  <c r="AA26" i="4"/>
  <c r="Z26" i="4"/>
  <c r="Y26" i="4"/>
  <c r="X26" i="4"/>
  <c r="T26" i="4"/>
  <c r="S26" i="4"/>
  <c r="R26" i="4"/>
  <c r="Q26" i="4"/>
  <c r="M26" i="4"/>
  <c r="BL26" i="4" s="1"/>
  <c r="L26" i="4"/>
  <c r="K26" i="4"/>
  <c r="J26" i="4"/>
  <c r="F26" i="4"/>
  <c r="E26" i="4"/>
  <c r="D26" i="4"/>
  <c r="C26" i="4"/>
  <c r="CE25" i="4"/>
  <c r="BT25" i="4"/>
  <c r="BG25" i="4"/>
  <c r="AO25" i="4"/>
  <c r="AN25" i="4"/>
  <c r="AM25" i="4"/>
  <c r="AL25" i="4"/>
  <c r="AH25" i="4"/>
  <c r="AG25" i="4"/>
  <c r="AF25" i="4"/>
  <c r="AE25" i="4"/>
  <c r="AA25" i="4"/>
  <c r="Z25" i="4"/>
  <c r="Y25" i="4"/>
  <c r="X25" i="4"/>
  <c r="T25" i="4"/>
  <c r="S25" i="4"/>
  <c r="R25" i="4"/>
  <c r="Q25" i="4"/>
  <c r="M25" i="4"/>
  <c r="BL25" i="4" s="1"/>
  <c r="L25" i="4"/>
  <c r="K25" i="4"/>
  <c r="J25" i="4"/>
  <c r="F25" i="4"/>
  <c r="E25" i="4"/>
  <c r="D25" i="4"/>
  <c r="C25" i="4"/>
  <c r="BG24" i="4"/>
  <c r="BT24" i="4" s="1"/>
  <c r="AO24" i="4"/>
  <c r="AN24" i="4"/>
  <c r="AM24" i="4"/>
  <c r="AL24" i="4"/>
  <c r="AH24" i="4"/>
  <c r="AG24" i="4"/>
  <c r="AF24" i="4"/>
  <c r="AE24" i="4"/>
  <c r="AA24" i="4"/>
  <c r="Z24" i="4"/>
  <c r="Y24" i="4"/>
  <c r="X24" i="4"/>
  <c r="T24" i="4"/>
  <c r="S24" i="4"/>
  <c r="R24" i="4"/>
  <c r="Q24" i="4"/>
  <c r="M24" i="4"/>
  <c r="BL24" i="4" s="1"/>
  <c r="L24" i="4"/>
  <c r="K24" i="4"/>
  <c r="J24" i="4"/>
  <c r="F24" i="4"/>
  <c r="E24" i="4"/>
  <c r="D24" i="4"/>
  <c r="C24" i="4"/>
  <c r="BG23" i="4"/>
  <c r="CE23" i="4" s="1"/>
  <c r="AO23" i="4"/>
  <c r="AN23" i="4"/>
  <c r="AM23" i="4"/>
  <c r="AL23" i="4"/>
  <c r="AH23" i="4"/>
  <c r="AG23" i="4"/>
  <c r="AF23" i="4"/>
  <c r="AE23" i="4"/>
  <c r="AA23" i="4"/>
  <c r="Z23" i="4"/>
  <c r="Y23" i="4"/>
  <c r="X23" i="4"/>
  <c r="T23" i="4"/>
  <c r="S23" i="4"/>
  <c r="R23" i="4"/>
  <c r="Q23" i="4"/>
  <c r="M23" i="4"/>
  <c r="BL23" i="4" s="1"/>
  <c r="L23" i="4"/>
  <c r="K23" i="4"/>
  <c r="J23" i="4"/>
  <c r="F23" i="4"/>
  <c r="E23" i="4"/>
  <c r="D23" i="4"/>
  <c r="C23" i="4"/>
  <c r="BG22" i="4"/>
  <c r="AO22" i="4"/>
  <c r="AN22" i="4"/>
  <c r="AM22" i="4"/>
  <c r="AL22" i="4"/>
  <c r="AH22" i="4"/>
  <c r="AG22" i="4"/>
  <c r="AF22" i="4"/>
  <c r="AE22" i="4"/>
  <c r="AA22" i="4"/>
  <c r="Z22" i="4"/>
  <c r="Y22" i="4"/>
  <c r="X22" i="4"/>
  <c r="T22" i="4"/>
  <c r="S22" i="4"/>
  <c r="R22" i="4"/>
  <c r="Q22" i="4"/>
  <c r="M22" i="4"/>
  <c r="BL22" i="4" s="1"/>
  <c r="L22" i="4"/>
  <c r="K22" i="4"/>
  <c r="J22" i="4"/>
  <c r="F22" i="4"/>
  <c r="E22" i="4"/>
  <c r="D22" i="4"/>
  <c r="C22" i="4"/>
  <c r="CE21" i="4"/>
  <c r="BG21" i="4"/>
  <c r="BT21" i="4" s="1"/>
  <c r="AO21" i="4"/>
  <c r="AN21" i="4"/>
  <c r="AM21" i="4"/>
  <c r="AL21" i="4"/>
  <c r="AH21" i="4"/>
  <c r="AG21" i="4"/>
  <c r="AF21" i="4"/>
  <c r="AE21" i="4"/>
  <c r="AA21" i="4"/>
  <c r="Z21" i="4"/>
  <c r="Y21" i="4"/>
  <c r="X21" i="4"/>
  <c r="T21" i="4"/>
  <c r="S21" i="4"/>
  <c r="R21" i="4"/>
  <c r="Q21" i="4"/>
  <c r="M21" i="4"/>
  <c r="BL21" i="4" s="1"/>
  <c r="L21" i="4"/>
  <c r="K21" i="4"/>
  <c r="J21" i="4"/>
  <c r="F21" i="4"/>
  <c r="E21" i="4"/>
  <c r="D21" i="4"/>
  <c r="C21" i="4"/>
  <c r="BG20" i="4"/>
  <c r="CE20" i="4" s="1"/>
  <c r="AO20" i="4"/>
  <c r="AN20" i="4"/>
  <c r="AM20" i="4"/>
  <c r="AL20" i="4"/>
  <c r="AH20" i="4"/>
  <c r="AG20" i="4"/>
  <c r="AF20" i="4"/>
  <c r="AE20" i="4"/>
  <c r="AA20" i="4"/>
  <c r="Z20" i="4"/>
  <c r="Y20" i="4"/>
  <c r="X20" i="4"/>
  <c r="T20" i="4"/>
  <c r="S20" i="4"/>
  <c r="R20" i="4"/>
  <c r="Q20" i="4"/>
  <c r="M20" i="4"/>
  <c r="BL20" i="4" s="1"/>
  <c r="L20" i="4"/>
  <c r="K20" i="4"/>
  <c r="J20" i="4"/>
  <c r="F20" i="4"/>
  <c r="E20" i="4"/>
  <c r="D20" i="4"/>
  <c r="C20" i="4"/>
  <c r="BG19" i="4"/>
  <c r="CE19" i="4" s="1"/>
  <c r="AO19" i="4"/>
  <c r="AN19" i="4"/>
  <c r="AM19" i="4"/>
  <c r="AL19" i="4"/>
  <c r="AH19" i="4"/>
  <c r="AG19" i="4"/>
  <c r="AF19" i="4"/>
  <c r="AE19" i="4"/>
  <c r="AA19" i="4"/>
  <c r="Z19" i="4"/>
  <c r="Y19" i="4"/>
  <c r="X19" i="4"/>
  <c r="T19" i="4"/>
  <c r="S19" i="4"/>
  <c r="R19" i="4"/>
  <c r="Q19" i="4"/>
  <c r="M19" i="4"/>
  <c r="BL19" i="4" s="1"/>
  <c r="L19" i="4"/>
  <c r="K19" i="4"/>
  <c r="J19" i="4"/>
  <c r="F19" i="4"/>
  <c r="E19" i="4"/>
  <c r="D19" i="4"/>
  <c r="C19" i="4"/>
  <c r="BG18" i="4"/>
  <c r="BT18" i="4" s="1"/>
  <c r="AO18" i="4"/>
  <c r="AN18" i="4"/>
  <c r="AM18" i="4"/>
  <c r="AL18" i="4"/>
  <c r="AH18" i="4"/>
  <c r="AG18" i="4"/>
  <c r="AF18" i="4"/>
  <c r="AE18" i="4"/>
  <c r="AA18" i="4"/>
  <c r="Z18" i="4"/>
  <c r="Y18" i="4"/>
  <c r="X18" i="4"/>
  <c r="T18" i="4"/>
  <c r="S18" i="4"/>
  <c r="R18" i="4"/>
  <c r="Q18" i="4"/>
  <c r="M18" i="4"/>
  <c r="BL18" i="4" s="1"/>
  <c r="L18" i="4"/>
  <c r="K18" i="4"/>
  <c r="J18" i="4"/>
  <c r="F18" i="4"/>
  <c r="E18" i="4"/>
  <c r="D18" i="4"/>
  <c r="C18" i="4"/>
  <c r="CG17" i="4"/>
  <c r="CH17" i="4" s="1"/>
  <c r="BT17" i="4"/>
  <c r="BQ17" i="4"/>
  <c r="AY17" i="4"/>
  <c r="BG16" i="4"/>
  <c r="BT16" i="4" s="1"/>
  <c r="AO16" i="4"/>
  <c r="AN16" i="4"/>
  <c r="AM16" i="4"/>
  <c r="AL16" i="4"/>
  <c r="AH16" i="4"/>
  <c r="AG16" i="4"/>
  <c r="AF16" i="4"/>
  <c r="AE16" i="4"/>
  <c r="AA16" i="4"/>
  <c r="Z16" i="4"/>
  <c r="Y16" i="4"/>
  <c r="X16" i="4"/>
  <c r="T16" i="4"/>
  <c r="S16" i="4"/>
  <c r="R16" i="4"/>
  <c r="Q16" i="4"/>
  <c r="M16" i="4"/>
  <c r="BL16" i="4" s="1"/>
  <c r="L16" i="4"/>
  <c r="K16" i="4"/>
  <c r="J16" i="4"/>
  <c r="F16" i="4"/>
  <c r="E16" i="4"/>
  <c r="D16" i="4"/>
  <c r="C16" i="4"/>
  <c r="BL15" i="4"/>
  <c r="BG15" i="4"/>
  <c r="BT15" i="4" s="1"/>
  <c r="AO15" i="4"/>
  <c r="AN15" i="4"/>
  <c r="AM15" i="4"/>
  <c r="AL15" i="4"/>
  <c r="AH15" i="4"/>
  <c r="AG15" i="4"/>
  <c r="AF15" i="4"/>
  <c r="AE15" i="4"/>
  <c r="AA15" i="4"/>
  <c r="Z15" i="4"/>
  <c r="Y15" i="4"/>
  <c r="X15" i="4"/>
  <c r="T15" i="4"/>
  <c r="S15" i="4"/>
  <c r="R15" i="4"/>
  <c r="Q15" i="4"/>
  <c r="M15" i="4"/>
  <c r="L15" i="4"/>
  <c r="K15" i="4"/>
  <c r="J15" i="4"/>
  <c r="F15" i="4"/>
  <c r="E15" i="4"/>
  <c r="D15" i="4"/>
  <c r="C15" i="4"/>
  <c r="BG14" i="4"/>
  <c r="CE14" i="4" s="1"/>
  <c r="AO14" i="4"/>
  <c r="AN14" i="4"/>
  <c r="AM14" i="4"/>
  <c r="AL14" i="4"/>
  <c r="AH14" i="4"/>
  <c r="AG14" i="4"/>
  <c r="AF14" i="4"/>
  <c r="AE14" i="4"/>
  <c r="AA14" i="4"/>
  <c r="Z14" i="4"/>
  <c r="Y14" i="4"/>
  <c r="X14" i="4"/>
  <c r="T14" i="4"/>
  <c r="S14" i="4"/>
  <c r="R14" i="4"/>
  <c r="Q14" i="4"/>
  <c r="M14" i="4"/>
  <c r="BL14" i="4" s="1"/>
  <c r="L14" i="4"/>
  <c r="K14" i="4"/>
  <c r="J14" i="4"/>
  <c r="F14" i="4"/>
  <c r="E14" i="4"/>
  <c r="D14" i="4"/>
  <c r="C14" i="4"/>
  <c r="BG13" i="4"/>
  <c r="AO13" i="4"/>
  <c r="AN13" i="4"/>
  <c r="AM13" i="4"/>
  <c r="AL13" i="4"/>
  <c r="AH13" i="4"/>
  <c r="AG13" i="4"/>
  <c r="AF13" i="4"/>
  <c r="AE13" i="4"/>
  <c r="AA13" i="4"/>
  <c r="Z13" i="4"/>
  <c r="Y13" i="4"/>
  <c r="X13" i="4"/>
  <c r="T13" i="4"/>
  <c r="S13" i="4"/>
  <c r="R13" i="4"/>
  <c r="Q13" i="4"/>
  <c r="M13" i="4"/>
  <c r="BL13" i="4" s="1"/>
  <c r="L13" i="4"/>
  <c r="K13" i="4"/>
  <c r="J13" i="4"/>
  <c r="F13" i="4"/>
  <c r="E13" i="4"/>
  <c r="D13" i="4"/>
  <c r="C13" i="4"/>
  <c r="CE12" i="4"/>
  <c r="BG12" i="4"/>
  <c r="BT12" i="4" s="1"/>
  <c r="AO12" i="4"/>
  <c r="AN12" i="4"/>
  <c r="AM12" i="4"/>
  <c r="AL12" i="4"/>
  <c r="AH12" i="4"/>
  <c r="AG12" i="4"/>
  <c r="AF12" i="4"/>
  <c r="AE12" i="4"/>
  <c r="AA12" i="4"/>
  <c r="Z12" i="4"/>
  <c r="Y12" i="4"/>
  <c r="X12" i="4"/>
  <c r="T12" i="4"/>
  <c r="S12" i="4"/>
  <c r="R12" i="4"/>
  <c r="Q12" i="4"/>
  <c r="M12" i="4"/>
  <c r="BL12" i="4" s="1"/>
  <c r="L12" i="4"/>
  <c r="K12" i="4"/>
  <c r="J12" i="4"/>
  <c r="F12" i="4"/>
  <c r="E12" i="4"/>
  <c r="D12" i="4"/>
  <c r="C12" i="4"/>
  <c r="CE11" i="4"/>
  <c r="BT11" i="4"/>
  <c r="BG11" i="4"/>
  <c r="AO11" i="4"/>
  <c r="AN11" i="4"/>
  <c r="AM11" i="4"/>
  <c r="AL11" i="4"/>
  <c r="AH11" i="4"/>
  <c r="AG11" i="4"/>
  <c r="AF11" i="4"/>
  <c r="AE11" i="4"/>
  <c r="AA11" i="4"/>
  <c r="Z11" i="4"/>
  <c r="Y11" i="4"/>
  <c r="X11" i="4"/>
  <c r="T11" i="4"/>
  <c r="S11" i="4"/>
  <c r="R11" i="4"/>
  <c r="Q11" i="4"/>
  <c r="M11" i="4"/>
  <c r="BL11" i="4" s="1"/>
  <c r="L11" i="4"/>
  <c r="K11" i="4"/>
  <c r="J11" i="4"/>
  <c r="F11" i="4"/>
  <c r="E11" i="4"/>
  <c r="D11" i="4"/>
  <c r="C11" i="4"/>
  <c r="F9" i="4"/>
  <c r="E9" i="4"/>
  <c r="D9" i="4"/>
  <c r="C9" i="4"/>
  <c r="AZ8" i="4"/>
  <c r="AZ6" i="4"/>
  <c r="BE17" i="4" s="1"/>
  <c r="C55" i="3"/>
  <c r="D55" i="3" s="1"/>
  <c r="E55" i="3" s="1"/>
  <c r="F55" i="3" s="1"/>
  <c r="G55" i="3" s="1"/>
  <c r="H55" i="3" s="1"/>
  <c r="I55" i="3" s="1"/>
  <c r="J55" i="3" s="1"/>
  <c r="K55" i="3" s="1"/>
  <c r="L55" i="3" s="1"/>
  <c r="M55" i="3" s="1"/>
  <c r="N55" i="3" s="1"/>
  <c r="O55" i="3" s="1"/>
  <c r="P55" i="3" s="1"/>
  <c r="Q55" i="3" s="1"/>
  <c r="R55" i="3" s="1"/>
  <c r="S55" i="3" s="1"/>
  <c r="T55" i="3" s="1"/>
  <c r="U55" i="3" s="1"/>
  <c r="V55" i="3" s="1"/>
  <c r="W55" i="3" s="1"/>
  <c r="X55" i="3" s="1"/>
  <c r="Y55" i="3" s="1"/>
  <c r="Z55" i="3" s="1"/>
  <c r="AA55" i="3" s="1"/>
  <c r="AB55" i="3" s="1"/>
  <c r="AC55" i="3" s="1"/>
  <c r="AD55" i="3" s="1"/>
  <c r="AE55" i="3" s="1"/>
  <c r="AF55" i="3" s="1"/>
  <c r="AG55" i="3" s="1"/>
  <c r="AH55" i="3" s="1"/>
  <c r="AI55" i="3" s="1"/>
  <c r="AJ55" i="3" s="1"/>
  <c r="AK55" i="3" s="1"/>
  <c r="AL55" i="3" s="1"/>
  <c r="AM55" i="3" s="1"/>
  <c r="AN55" i="3" s="1"/>
  <c r="AO55" i="3" s="1"/>
  <c r="AP55" i="3" s="1"/>
  <c r="AQ55" i="3" s="1"/>
  <c r="AR55" i="3" s="1"/>
  <c r="AS55" i="3" s="1"/>
  <c r="AT55" i="3" s="1"/>
  <c r="AU55" i="3" s="1"/>
  <c r="AV55" i="3" s="1"/>
  <c r="AW55" i="3" s="1"/>
  <c r="AX55" i="3" s="1"/>
  <c r="AY55" i="3" s="1"/>
  <c r="AZ55" i="3" s="1"/>
  <c r="BA55" i="3" s="1"/>
  <c r="BB55" i="3" s="1"/>
  <c r="BC55" i="3" s="1"/>
  <c r="BD55" i="3" s="1"/>
  <c r="BE55" i="3" s="1"/>
  <c r="BF55" i="3" s="1"/>
  <c r="BG55" i="3" s="1"/>
  <c r="BH55" i="3" s="1"/>
  <c r="BI55" i="3" s="1"/>
  <c r="BJ55" i="3" s="1"/>
  <c r="BK55" i="3" s="1"/>
  <c r="BL55" i="3" s="1"/>
  <c r="BM55" i="3" s="1"/>
  <c r="BN55" i="3" s="1"/>
  <c r="BO55" i="3" s="1"/>
  <c r="BP55" i="3" s="1"/>
  <c r="BQ55" i="3" s="1"/>
  <c r="BR55" i="3" s="1"/>
  <c r="BS55" i="3" s="1"/>
  <c r="BT55" i="3" s="1"/>
  <c r="BU55" i="3" s="1"/>
  <c r="BV55" i="3" s="1"/>
  <c r="BW55" i="3" s="1"/>
  <c r="BX55" i="3" s="1"/>
  <c r="BX51" i="3"/>
  <c r="AN51" i="3"/>
  <c r="AM51" i="3"/>
  <c r="AG51" i="3"/>
  <c r="AF51" i="3"/>
  <c r="Z51" i="3"/>
  <c r="Y51" i="3"/>
  <c r="S51" i="3"/>
  <c r="R51" i="3"/>
  <c r="M51" i="3"/>
  <c r="L51" i="3"/>
  <c r="K51" i="3"/>
  <c r="J51" i="3"/>
  <c r="BG50" i="3"/>
  <c r="AO50" i="3"/>
  <c r="AN50" i="3"/>
  <c r="AM50" i="3"/>
  <c r="AL50" i="3"/>
  <c r="AH50" i="3"/>
  <c r="AG50" i="3"/>
  <c r="AF50" i="3"/>
  <c r="AE50" i="3"/>
  <c r="AA50" i="3"/>
  <c r="Z50" i="3"/>
  <c r="Y50" i="3"/>
  <c r="X50" i="3"/>
  <c r="T50" i="3"/>
  <c r="S50" i="3"/>
  <c r="R50" i="3"/>
  <c r="Q50" i="3"/>
  <c r="M50" i="3"/>
  <c r="L50" i="3"/>
  <c r="K50" i="3"/>
  <c r="J50" i="3"/>
  <c r="F50" i="3"/>
  <c r="E50" i="3"/>
  <c r="D50" i="3"/>
  <c r="C50" i="3"/>
  <c r="BG49" i="3"/>
  <c r="AO49" i="3"/>
  <c r="AN49" i="3"/>
  <c r="AM49" i="3"/>
  <c r="AL49" i="3"/>
  <c r="AH49" i="3"/>
  <c r="AG49" i="3"/>
  <c r="AF49" i="3"/>
  <c r="AE49" i="3"/>
  <c r="AA49" i="3"/>
  <c r="Z49" i="3"/>
  <c r="Y49" i="3"/>
  <c r="X49" i="3"/>
  <c r="T49" i="3"/>
  <c r="S49" i="3"/>
  <c r="R49" i="3"/>
  <c r="Q49" i="3"/>
  <c r="M49" i="3"/>
  <c r="L49" i="3"/>
  <c r="K49" i="3"/>
  <c r="J49" i="3"/>
  <c r="F49" i="3"/>
  <c r="E49" i="3"/>
  <c r="D49" i="3"/>
  <c r="C49" i="3"/>
  <c r="BG48" i="3"/>
  <c r="BT48" i="3" s="1"/>
  <c r="AO48" i="3"/>
  <c r="AN48" i="3"/>
  <c r="AM48" i="3"/>
  <c r="AL48" i="3"/>
  <c r="AH48" i="3"/>
  <c r="AG48" i="3"/>
  <c r="AF48" i="3"/>
  <c r="AE48" i="3"/>
  <c r="AA48" i="3"/>
  <c r="Z48" i="3"/>
  <c r="Y48" i="3"/>
  <c r="X48" i="3"/>
  <c r="T48" i="3"/>
  <c r="S48" i="3"/>
  <c r="R48" i="3"/>
  <c r="Q48" i="3"/>
  <c r="M48" i="3"/>
  <c r="BL48" i="3" s="1"/>
  <c r="L48" i="3"/>
  <c r="K48" i="3"/>
  <c r="J48" i="3"/>
  <c r="F48" i="3"/>
  <c r="E48" i="3"/>
  <c r="D48" i="3"/>
  <c r="C48" i="3"/>
  <c r="BG47" i="3"/>
  <c r="BT47" i="3" s="1"/>
  <c r="AO47" i="3"/>
  <c r="AN47" i="3"/>
  <c r="AM47" i="3"/>
  <c r="AL47" i="3"/>
  <c r="AH47" i="3"/>
  <c r="AG47" i="3"/>
  <c r="AF47" i="3"/>
  <c r="AE47" i="3"/>
  <c r="AA47" i="3"/>
  <c r="Z47" i="3"/>
  <c r="Y47" i="3"/>
  <c r="X47" i="3"/>
  <c r="T47" i="3"/>
  <c r="S47" i="3"/>
  <c r="R47" i="3"/>
  <c r="Q47" i="3"/>
  <c r="M47" i="3"/>
  <c r="L47" i="3"/>
  <c r="K47" i="3"/>
  <c r="J47" i="3"/>
  <c r="F47" i="3"/>
  <c r="E47" i="3"/>
  <c r="D47" i="3"/>
  <c r="C47" i="3"/>
  <c r="BG46" i="3"/>
  <c r="CE46" i="3" s="1"/>
  <c r="AO46" i="3"/>
  <c r="AN46" i="3"/>
  <c r="AM46" i="3"/>
  <c r="AL46" i="3"/>
  <c r="AH46" i="3"/>
  <c r="AG46" i="3"/>
  <c r="AF46" i="3"/>
  <c r="AE46" i="3"/>
  <c r="AA46" i="3"/>
  <c r="Z46" i="3"/>
  <c r="Y46" i="3"/>
  <c r="X46" i="3"/>
  <c r="T46" i="3"/>
  <c r="S46" i="3"/>
  <c r="R46" i="3"/>
  <c r="Q46" i="3"/>
  <c r="M46" i="3"/>
  <c r="L46" i="3"/>
  <c r="K46" i="3"/>
  <c r="J46" i="3"/>
  <c r="F46" i="3"/>
  <c r="E46" i="3"/>
  <c r="D46" i="3"/>
  <c r="C46" i="3"/>
  <c r="BG45" i="3"/>
  <c r="AO45" i="3"/>
  <c r="AN45" i="3"/>
  <c r="AM45" i="3"/>
  <c r="AL45" i="3"/>
  <c r="AH45" i="3"/>
  <c r="AG45" i="3"/>
  <c r="AF45" i="3"/>
  <c r="AE45" i="3"/>
  <c r="AA45" i="3"/>
  <c r="Z45" i="3"/>
  <c r="Y45" i="3"/>
  <c r="X45" i="3"/>
  <c r="T45" i="3"/>
  <c r="S45" i="3"/>
  <c r="R45" i="3"/>
  <c r="Q45" i="3"/>
  <c r="M45" i="3"/>
  <c r="L45" i="3"/>
  <c r="K45" i="3"/>
  <c r="J45" i="3"/>
  <c r="F45" i="3"/>
  <c r="E45" i="3"/>
  <c r="D45" i="3"/>
  <c r="C45" i="3"/>
  <c r="BG44" i="3"/>
  <c r="BT44" i="3" s="1"/>
  <c r="AO44" i="3"/>
  <c r="AN44" i="3"/>
  <c r="AM44" i="3"/>
  <c r="AL44" i="3"/>
  <c r="AH44" i="3"/>
  <c r="AG44" i="3"/>
  <c r="AF44" i="3"/>
  <c r="AE44" i="3"/>
  <c r="AA44" i="3"/>
  <c r="Z44" i="3"/>
  <c r="Y44" i="3"/>
  <c r="X44" i="3"/>
  <c r="T44" i="3"/>
  <c r="S44" i="3"/>
  <c r="R44" i="3"/>
  <c r="Q44" i="3"/>
  <c r="M44" i="3"/>
  <c r="L44" i="3"/>
  <c r="K44" i="3"/>
  <c r="J44" i="3"/>
  <c r="F44" i="3"/>
  <c r="E44" i="3"/>
  <c r="D44" i="3"/>
  <c r="C44" i="3"/>
  <c r="BG43" i="3"/>
  <c r="AO43" i="3"/>
  <c r="AN43" i="3"/>
  <c r="AM43" i="3"/>
  <c r="AL43" i="3"/>
  <c r="AH43" i="3"/>
  <c r="AG43" i="3"/>
  <c r="AF43" i="3"/>
  <c r="AE43" i="3"/>
  <c r="AA43" i="3"/>
  <c r="Z43" i="3"/>
  <c r="Y43" i="3"/>
  <c r="X43" i="3"/>
  <c r="T43" i="3"/>
  <c r="S43" i="3"/>
  <c r="R43" i="3"/>
  <c r="Q43" i="3"/>
  <c r="M43" i="3"/>
  <c r="L43" i="3"/>
  <c r="K43" i="3"/>
  <c r="J43" i="3"/>
  <c r="F43" i="3"/>
  <c r="E43" i="3"/>
  <c r="D43" i="3"/>
  <c r="C43" i="3"/>
  <c r="BG42" i="3"/>
  <c r="AO42" i="3"/>
  <c r="AN42" i="3"/>
  <c r="AM42" i="3"/>
  <c r="AL42" i="3"/>
  <c r="AH42" i="3"/>
  <c r="AG42" i="3"/>
  <c r="AF42" i="3"/>
  <c r="AE42" i="3"/>
  <c r="AA42" i="3"/>
  <c r="Z42" i="3"/>
  <c r="Y42" i="3"/>
  <c r="X42" i="3"/>
  <c r="T42" i="3"/>
  <c r="S42" i="3"/>
  <c r="R42" i="3"/>
  <c r="Q42" i="3"/>
  <c r="M42" i="3"/>
  <c r="L42" i="3"/>
  <c r="K42" i="3"/>
  <c r="J42" i="3"/>
  <c r="F42" i="3"/>
  <c r="E42" i="3"/>
  <c r="D42" i="3"/>
  <c r="C42" i="3"/>
  <c r="BG41" i="3"/>
  <c r="AO41" i="3"/>
  <c r="AN41" i="3"/>
  <c r="AM41" i="3"/>
  <c r="AL41" i="3"/>
  <c r="AH41" i="3"/>
  <c r="AG41" i="3"/>
  <c r="AF41" i="3"/>
  <c r="AE41" i="3"/>
  <c r="AA41" i="3"/>
  <c r="Z41" i="3"/>
  <c r="Y41" i="3"/>
  <c r="X41" i="3"/>
  <c r="T41" i="3"/>
  <c r="S41" i="3"/>
  <c r="R41" i="3"/>
  <c r="Q41" i="3"/>
  <c r="M41" i="3"/>
  <c r="L41" i="3"/>
  <c r="K41" i="3"/>
  <c r="J41" i="3"/>
  <c r="F41" i="3"/>
  <c r="E41" i="3"/>
  <c r="D41" i="3"/>
  <c r="C41" i="3"/>
  <c r="BG40" i="3"/>
  <c r="BT40" i="3" s="1"/>
  <c r="AO40" i="3"/>
  <c r="AN40" i="3"/>
  <c r="AM40" i="3"/>
  <c r="AL40" i="3"/>
  <c r="AH40" i="3"/>
  <c r="AG40" i="3"/>
  <c r="AF40" i="3"/>
  <c r="AE40" i="3"/>
  <c r="AA40" i="3"/>
  <c r="Z40" i="3"/>
  <c r="Y40" i="3"/>
  <c r="X40" i="3"/>
  <c r="T40" i="3"/>
  <c r="S40" i="3"/>
  <c r="R40" i="3"/>
  <c r="Q40" i="3"/>
  <c r="M40" i="3"/>
  <c r="L40" i="3"/>
  <c r="K40" i="3"/>
  <c r="J40" i="3"/>
  <c r="F40" i="3"/>
  <c r="E40" i="3"/>
  <c r="D40" i="3"/>
  <c r="C40" i="3"/>
  <c r="BG39" i="3"/>
  <c r="AO39" i="3"/>
  <c r="AN39" i="3"/>
  <c r="AM39" i="3"/>
  <c r="AL39" i="3"/>
  <c r="AH39" i="3"/>
  <c r="AG39" i="3"/>
  <c r="AF39" i="3"/>
  <c r="AE39" i="3"/>
  <c r="AA39" i="3"/>
  <c r="Z39" i="3"/>
  <c r="Y39" i="3"/>
  <c r="X39" i="3"/>
  <c r="T39" i="3"/>
  <c r="S39" i="3"/>
  <c r="R39" i="3"/>
  <c r="Q39" i="3"/>
  <c r="M39" i="3"/>
  <c r="L39" i="3"/>
  <c r="K39" i="3"/>
  <c r="J39" i="3"/>
  <c r="F39" i="3"/>
  <c r="E39" i="3"/>
  <c r="D39" i="3"/>
  <c r="C39" i="3"/>
  <c r="BG38" i="3"/>
  <c r="CE38" i="3" s="1"/>
  <c r="AO38" i="3"/>
  <c r="AN38" i="3"/>
  <c r="AM38" i="3"/>
  <c r="AL38" i="3"/>
  <c r="AH38" i="3"/>
  <c r="AG38" i="3"/>
  <c r="AF38" i="3"/>
  <c r="AE38" i="3"/>
  <c r="AA38" i="3"/>
  <c r="Z38" i="3"/>
  <c r="Y38" i="3"/>
  <c r="X38" i="3"/>
  <c r="T38" i="3"/>
  <c r="S38" i="3"/>
  <c r="R38" i="3"/>
  <c r="Q38" i="3"/>
  <c r="M38" i="3"/>
  <c r="L38" i="3"/>
  <c r="K38" i="3"/>
  <c r="J38" i="3"/>
  <c r="F38" i="3"/>
  <c r="E38" i="3"/>
  <c r="D38" i="3"/>
  <c r="C38" i="3"/>
  <c r="BG37" i="3"/>
  <c r="CE37" i="3" s="1"/>
  <c r="AO37" i="3"/>
  <c r="AN37" i="3"/>
  <c r="AM37" i="3"/>
  <c r="AL37" i="3"/>
  <c r="AH37" i="3"/>
  <c r="AG37" i="3"/>
  <c r="AF37" i="3"/>
  <c r="AE37" i="3"/>
  <c r="AA37" i="3"/>
  <c r="Z37" i="3"/>
  <c r="Y37" i="3"/>
  <c r="X37" i="3"/>
  <c r="T37" i="3"/>
  <c r="S37" i="3"/>
  <c r="R37" i="3"/>
  <c r="Q37" i="3"/>
  <c r="M37" i="3"/>
  <c r="L37" i="3"/>
  <c r="K37" i="3"/>
  <c r="J37" i="3"/>
  <c r="F37" i="3"/>
  <c r="E37" i="3"/>
  <c r="D37" i="3"/>
  <c r="C37" i="3"/>
  <c r="CE36" i="3"/>
  <c r="BG36" i="3"/>
  <c r="BT36" i="3" s="1"/>
  <c r="AO36" i="3"/>
  <c r="AN36" i="3"/>
  <c r="AM36" i="3"/>
  <c r="AL36" i="3"/>
  <c r="AH36" i="3"/>
  <c r="AG36" i="3"/>
  <c r="AF36" i="3"/>
  <c r="AE36" i="3"/>
  <c r="AA36" i="3"/>
  <c r="Z36" i="3"/>
  <c r="Y36" i="3"/>
  <c r="X36" i="3"/>
  <c r="T36" i="3"/>
  <c r="S36" i="3"/>
  <c r="R36" i="3"/>
  <c r="Q36" i="3"/>
  <c r="M36" i="3"/>
  <c r="L36" i="3"/>
  <c r="K36" i="3"/>
  <c r="J36" i="3"/>
  <c r="F36" i="3"/>
  <c r="E36" i="3"/>
  <c r="D36" i="3"/>
  <c r="C36" i="3"/>
  <c r="BG35" i="3"/>
  <c r="CE35" i="3" s="1"/>
  <c r="AO35" i="3"/>
  <c r="AN35" i="3"/>
  <c r="AM35" i="3"/>
  <c r="AL35" i="3"/>
  <c r="AH35" i="3"/>
  <c r="AG35" i="3"/>
  <c r="AF35" i="3"/>
  <c r="AE35" i="3"/>
  <c r="AA35" i="3"/>
  <c r="Z35" i="3"/>
  <c r="Y35" i="3"/>
  <c r="X35" i="3"/>
  <c r="T35" i="3"/>
  <c r="S35" i="3"/>
  <c r="R35" i="3"/>
  <c r="Q35" i="3"/>
  <c r="M35" i="3"/>
  <c r="L35" i="3"/>
  <c r="K35" i="3"/>
  <c r="J35" i="3"/>
  <c r="F35" i="3"/>
  <c r="E35" i="3"/>
  <c r="D35" i="3"/>
  <c r="C35" i="3"/>
  <c r="BG34" i="3"/>
  <c r="CE34" i="3" s="1"/>
  <c r="AO34" i="3"/>
  <c r="AN34" i="3"/>
  <c r="AM34" i="3"/>
  <c r="AL34" i="3"/>
  <c r="AH34" i="3"/>
  <c r="AG34" i="3"/>
  <c r="AF34" i="3"/>
  <c r="AE34" i="3"/>
  <c r="AA34" i="3"/>
  <c r="Z34" i="3"/>
  <c r="Y34" i="3"/>
  <c r="X34" i="3"/>
  <c r="T34" i="3"/>
  <c r="S34" i="3"/>
  <c r="R34" i="3"/>
  <c r="Q34" i="3"/>
  <c r="M34" i="3"/>
  <c r="L34" i="3"/>
  <c r="K34" i="3"/>
  <c r="J34" i="3"/>
  <c r="F34" i="3"/>
  <c r="E34" i="3"/>
  <c r="D34" i="3"/>
  <c r="C34" i="3"/>
  <c r="BG33" i="3"/>
  <c r="CE33" i="3" s="1"/>
  <c r="AO33" i="3"/>
  <c r="AN33" i="3"/>
  <c r="AM33" i="3"/>
  <c r="AL33" i="3"/>
  <c r="AH33" i="3"/>
  <c r="AG33" i="3"/>
  <c r="AF33" i="3"/>
  <c r="AE33" i="3"/>
  <c r="AA33" i="3"/>
  <c r="Z33" i="3"/>
  <c r="Y33" i="3"/>
  <c r="X33" i="3"/>
  <c r="T33" i="3"/>
  <c r="S33" i="3"/>
  <c r="R33" i="3"/>
  <c r="Q33" i="3"/>
  <c r="M33" i="3"/>
  <c r="L33" i="3"/>
  <c r="K33" i="3"/>
  <c r="J33" i="3"/>
  <c r="F33" i="3"/>
  <c r="E33" i="3"/>
  <c r="D33" i="3"/>
  <c r="C33" i="3"/>
  <c r="BG32" i="3"/>
  <c r="AO32" i="3"/>
  <c r="AN32" i="3"/>
  <c r="AM32" i="3"/>
  <c r="AL32" i="3"/>
  <c r="AH32" i="3"/>
  <c r="AG32" i="3"/>
  <c r="AF32" i="3"/>
  <c r="AE32" i="3"/>
  <c r="AA32" i="3"/>
  <c r="Z32" i="3"/>
  <c r="Y32" i="3"/>
  <c r="X32" i="3"/>
  <c r="T32" i="3"/>
  <c r="S32" i="3"/>
  <c r="R32" i="3"/>
  <c r="Q32" i="3"/>
  <c r="M32" i="3"/>
  <c r="BL32" i="3" s="1"/>
  <c r="L32" i="3"/>
  <c r="K32" i="3"/>
  <c r="J32" i="3"/>
  <c r="F32" i="3"/>
  <c r="E32" i="3"/>
  <c r="D32" i="3"/>
  <c r="C32" i="3"/>
  <c r="BG31" i="3"/>
  <c r="BT31" i="3" s="1"/>
  <c r="AO31" i="3"/>
  <c r="AN31" i="3"/>
  <c r="AM31" i="3"/>
  <c r="AL31" i="3"/>
  <c r="AH31" i="3"/>
  <c r="AG31" i="3"/>
  <c r="AF31" i="3"/>
  <c r="AE31" i="3"/>
  <c r="AA31" i="3"/>
  <c r="Z31" i="3"/>
  <c r="Y31" i="3"/>
  <c r="X31" i="3"/>
  <c r="T31" i="3"/>
  <c r="S31" i="3"/>
  <c r="R31" i="3"/>
  <c r="Q31" i="3"/>
  <c r="M31" i="3"/>
  <c r="L31" i="3"/>
  <c r="K31" i="3"/>
  <c r="J31" i="3"/>
  <c r="N31" i="3" s="1"/>
  <c r="F31" i="3"/>
  <c r="E31" i="3"/>
  <c r="D31" i="3"/>
  <c r="C31" i="3"/>
  <c r="BG30" i="3"/>
  <c r="BT30" i="3" s="1"/>
  <c r="AO30" i="3"/>
  <c r="AN30" i="3"/>
  <c r="AM30" i="3"/>
  <c r="AL30" i="3"/>
  <c r="AH30" i="3"/>
  <c r="AG30" i="3"/>
  <c r="AF30" i="3"/>
  <c r="AE30" i="3"/>
  <c r="AA30" i="3"/>
  <c r="Z30" i="3"/>
  <c r="Y30" i="3"/>
  <c r="X30" i="3"/>
  <c r="T30" i="3"/>
  <c r="S30" i="3"/>
  <c r="R30" i="3"/>
  <c r="Q30" i="3"/>
  <c r="M30" i="3"/>
  <c r="L30" i="3"/>
  <c r="K30" i="3"/>
  <c r="J30" i="3"/>
  <c r="F30" i="3"/>
  <c r="E30" i="3"/>
  <c r="D30" i="3"/>
  <c r="C30" i="3"/>
  <c r="BG29" i="3"/>
  <c r="AO29" i="3"/>
  <c r="AN29" i="3"/>
  <c r="AM29" i="3"/>
  <c r="AL29" i="3"/>
  <c r="AG29" i="3"/>
  <c r="AF29" i="3"/>
  <c r="AE29" i="3"/>
  <c r="AA29" i="3"/>
  <c r="Z29" i="3"/>
  <c r="Y29" i="3"/>
  <c r="X29" i="3"/>
  <c r="S29" i="3"/>
  <c r="R29" i="3"/>
  <c r="Q29" i="3"/>
  <c r="M29" i="3"/>
  <c r="L29" i="3"/>
  <c r="K29" i="3"/>
  <c r="J29" i="3"/>
  <c r="E29" i="3"/>
  <c r="D29" i="3"/>
  <c r="C29" i="3"/>
  <c r="BG28" i="3"/>
  <c r="CE28" i="3" s="1"/>
  <c r="AO28" i="3"/>
  <c r="AN28" i="3"/>
  <c r="AM28" i="3"/>
  <c r="AL28" i="3"/>
  <c r="AH28" i="3"/>
  <c r="AG28" i="3"/>
  <c r="AF28" i="3"/>
  <c r="AE28" i="3"/>
  <c r="AA28" i="3"/>
  <c r="Z28" i="3"/>
  <c r="Y28" i="3"/>
  <c r="X28" i="3"/>
  <c r="T28" i="3"/>
  <c r="S28" i="3"/>
  <c r="R28" i="3"/>
  <c r="Q28" i="3"/>
  <c r="M28" i="3"/>
  <c r="L28" i="3"/>
  <c r="K28" i="3"/>
  <c r="J28" i="3"/>
  <c r="F28" i="3"/>
  <c r="E28" i="3"/>
  <c r="D28" i="3"/>
  <c r="C28" i="3"/>
  <c r="BG27" i="3"/>
  <c r="CE27" i="3" s="1"/>
  <c r="AO27" i="3"/>
  <c r="AN27" i="3"/>
  <c r="AM27" i="3"/>
  <c r="AL27" i="3"/>
  <c r="AH27" i="3"/>
  <c r="AG27" i="3"/>
  <c r="AF27" i="3"/>
  <c r="AE27" i="3"/>
  <c r="AA27" i="3"/>
  <c r="Z27" i="3"/>
  <c r="Y27" i="3"/>
  <c r="X27" i="3"/>
  <c r="T27" i="3"/>
  <c r="S27" i="3"/>
  <c r="R27" i="3"/>
  <c r="Q27" i="3"/>
  <c r="M27" i="3"/>
  <c r="L27" i="3"/>
  <c r="K27" i="3"/>
  <c r="J27" i="3"/>
  <c r="F27" i="3"/>
  <c r="E27" i="3"/>
  <c r="D27" i="3"/>
  <c r="C27" i="3"/>
  <c r="BG26" i="3"/>
  <c r="AO26" i="3"/>
  <c r="AN26" i="3"/>
  <c r="AM26" i="3"/>
  <c r="AL26" i="3"/>
  <c r="AH26" i="3"/>
  <c r="AG26" i="3"/>
  <c r="AF26" i="3"/>
  <c r="AE26" i="3"/>
  <c r="AA26" i="3"/>
  <c r="Z26" i="3"/>
  <c r="Y26" i="3"/>
  <c r="X26" i="3"/>
  <c r="T26" i="3"/>
  <c r="S26" i="3"/>
  <c r="R26" i="3"/>
  <c r="Q26" i="3"/>
  <c r="M26" i="3"/>
  <c r="L26" i="3"/>
  <c r="K26" i="3"/>
  <c r="J26" i="3"/>
  <c r="F26" i="3"/>
  <c r="E26" i="3"/>
  <c r="D26" i="3"/>
  <c r="C26" i="3"/>
  <c r="BG25" i="3"/>
  <c r="CE25" i="3" s="1"/>
  <c r="AO25" i="3"/>
  <c r="AN25" i="3"/>
  <c r="AM25" i="3"/>
  <c r="AL25" i="3"/>
  <c r="AH25" i="3"/>
  <c r="AG25" i="3"/>
  <c r="AF25" i="3"/>
  <c r="AE25" i="3"/>
  <c r="AA25" i="3"/>
  <c r="Z25" i="3"/>
  <c r="Y25" i="3"/>
  <c r="X25" i="3"/>
  <c r="T25" i="3"/>
  <c r="S25" i="3"/>
  <c r="R25" i="3"/>
  <c r="Q25" i="3"/>
  <c r="M25" i="3"/>
  <c r="L25" i="3"/>
  <c r="K25" i="3"/>
  <c r="J25" i="3"/>
  <c r="F25" i="3"/>
  <c r="E25" i="3"/>
  <c r="D25" i="3"/>
  <c r="C25" i="3"/>
  <c r="BG24" i="3"/>
  <c r="BT24" i="3" s="1"/>
  <c r="AO24" i="3"/>
  <c r="AN24" i="3"/>
  <c r="AM24" i="3"/>
  <c r="AL24" i="3"/>
  <c r="AH24" i="3"/>
  <c r="AG24" i="3"/>
  <c r="AF24" i="3"/>
  <c r="AE24" i="3"/>
  <c r="AA24" i="3"/>
  <c r="Z24" i="3"/>
  <c r="Y24" i="3"/>
  <c r="X24" i="3"/>
  <c r="T24" i="3"/>
  <c r="S24" i="3"/>
  <c r="R24" i="3"/>
  <c r="Q24" i="3"/>
  <c r="M24" i="3"/>
  <c r="L24" i="3"/>
  <c r="K24" i="3"/>
  <c r="J24" i="3"/>
  <c r="F24" i="3"/>
  <c r="E24" i="3"/>
  <c r="D24" i="3"/>
  <c r="C24" i="3"/>
  <c r="BG23" i="3"/>
  <c r="AO23" i="3"/>
  <c r="AN23" i="3"/>
  <c r="AM23" i="3"/>
  <c r="AL23" i="3"/>
  <c r="AH23" i="3"/>
  <c r="AG23" i="3"/>
  <c r="AF23" i="3"/>
  <c r="AE23" i="3"/>
  <c r="AA23" i="3"/>
  <c r="Z23" i="3"/>
  <c r="Y23" i="3"/>
  <c r="X23" i="3"/>
  <c r="T23" i="3"/>
  <c r="S23" i="3"/>
  <c r="R23" i="3"/>
  <c r="Q23" i="3"/>
  <c r="M23" i="3"/>
  <c r="L23" i="3"/>
  <c r="K23" i="3"/>
  <c r="J23" i="3"/>
  <c r="F23" i="3"/>
  <c r="E23" i="3"/>
  <c r="D23" i="3"/>
  <c r="C23" i="3"/>
  <c r="BG22" i="3"/>
  <c r="BT22" i="3" s="1"/>
  <c r="AO22" i="3"/>
  <c r="AN22" i="3"/>
  <c r="AM22" i="3"/>
  <c r="AL22" i="3"/>
  <c r="AH22" i="3"/>
  <c r="AG22" i="3"/>
  <c r="AF22" i="3"/>
  <c r="AE22" i="3"/>
  <c r="AA22" i="3"/>
  <c r="Z22" i="3"/>
  <c r="Y22" i="3"/>
  <c r="X22" i="3"/>
  <c r="T22" i="3"/>
  <c r="S22" i="3"/>
  <c r="R22" i="3"/>
  <c r="Q22" i="3"/>
  <c r="M22" i="3"/>
  <c r="L22" i="3"/>
  <c r="K22" i="3"/>
  <c r="J22" i="3"/>
  <c r="F22" i="3"/>
  <c r="E22" i="3"/>
  <c r="D22" i="3"/>
  <c r="C22" i="3"/>
  <c r="BG21" i="3"/>
  <c r="AO21" i="3"/>
  <c r="AN21" i="3"/>
  <c r="AM21" i="3"/>
  <c r="AL21" i="3"/>
  <c r="AH21" i="3"/>
  <c r="AG21" i="3"/>
  <c r="AF21" i="3"/>
  <c r="AE21" i="3"/>
  <c r="AA21" i="3"/>
  <c r="Z21" i="3"/>
  <c r="Y21" i="3"/>
  <c r="X21" i="3"/>
  <c r="T21" i="3"/>
  <c r="S21" i="3"/>
  <c r="R21" i="3"/>
  <c r="Q21" i="3"/>
  <c r="M21" i="3"/>
  <c r="BL21" i="3" s="1"/>
  <c r="L21" i="3"/>
  <c r="K21" i="3"/>
  <c r="J21" i="3"/>
  <c r="F21" i="3"/>
  <c r="E21" i="3"/>
  <c r="D21" i="3"/>
  <c r="C21" i="3"/>
  <c r="BG20" i="3"/>
  <c r="CE20" i="3" s="1"/>
  <c r="AO20" i="3"/>
  <c r="AN20" i="3"/>
  <c r="AM20" i="3"/>
  <c r="AL20" i="3"/>
  <c r="AH20" i="3"/>
  <c r="AG20" i="3"/>
  <c r="AF20" i="3"/>
  <c r="AE20" i="3"/>
  <c r="AA20" i="3"/>
  <c r="Z20" i="3"/>
  <c r="Y20" i="3"/>
  <c r="X20" i="3"/>
  <c r="T20" i="3"/>
  <c r="S20" i="3"/>
  <c r="R20" i="3"/>
  <c r="Q20" i="3"/>
  <c r="M20" i="3"/>
  <c r="L20" i="3"/>
  <c r="K20" i="3"/>
  <c r="J20" i="3"/>
  <c r="F20" i="3"/>
  <c r="E20" i="3"/>
  <c r="D20" i="3"/>
  <c r="C20" i="3"/>
  <c r="BT19" i="3"/>
  <c r="BG19" i="3"/>
  <c r="CE19" i="3" s="1"/>
  <c r="AO19" i="3"/>
  <c r="AN19" i="3"/>
  <c r="AM19" i="3"/>
  <c r="AL19" i="3"/>
  <c r="AH19" i="3"/>
  <c r="AG19" i="3"/>
  <c r="AF19" i="3"/>
  <c r="AE19" i="3"/>
  <c r="AA19" i="3"/>
  <c r="Z19" i="3"/>
  <c r="Y19" i="3"/>
  <c r="X19" i="3"/>
  <c r="T19" i="3"/>
  <c r="S19" i="3"/>
  <c r="R19" i="3"/>
  <c r="Q19" i="3"/>
  <c r="M19" i="3"/>
  <c r="L19" i="3"/>
  <c r="K19" i="3"/>
  <c r="J19" i="3"/>
  <c r="F19" i="3"/>
  <c r="E19" i="3"/>
  <c r="D19" i="3"/>
  <c r="C19" i="3"/>
  <c r="BG18" i="3"/>
  <c r="AO18" i="3"/>
  <c r="AN18" i="3"/>
  <c r="AM18" i="3"/>
  <c r="AL18" i="3"/>
  <c r="AH18" i="3"/>
  <c r="AG18" i="3"/>
  <c r="AF18" i="3"/>
  <c r="AE18" i="3"/>
  <c r="AA18" i="3"/>
  <c r="Z18" i="3"/>
  <c r="Y18" i="3"/>
  <c r="X18" i="3"/>
  <c r="T18" i="3"/>
  <c r="S18" i="3"/>
  <c r="R18" i="3"/>
  <c r="Q18" i="3"/>
  <c r="M18" i="3"/>
  <c r="BL18" i="3" s="1"/>
  <c r="L18" i="3"/>
  <c r="K18" i="3"/>
  <c r="J18" i="3"/>
  <c r="F18" i="3"/>
  <c r="E18" i="3"/>
  <c r="D18" i="3"/>
  <c r="C18" i="3"/>
  <c r="CG17" i="3"/>
  <c r="CH17" i="3" s="1"/>
  <c r="BT17" i="3"/>
  <c r="BQ17" i="3"/>
  <c r="AY17" i="3"/>
  <c r="CE16" i="3"/>
  <c r="BG16" i="3"/>
  <c r="BT16" i="3" s="1"/>
  <c r="AO16" i="3"/>
  <c r="AN16" i="3"/>
  <c r="AM16" i="3"/>
  <c r="AL16" i="3"/>
  <c r="AH16" i="3"/>
  <c r="AG16" i="3"/>
  <c r="AF16" i="3"/>
  <c r="AE16" i="3"/>
  <c r="AA16" i="3"/>
  <c r="Z16" i="3"/>
  <c r="Y16" i="3"/>
  <c r="X16" i="3"/>
  <c r="T16" i="3"/>
  <c r="S16" i="3"/>
  <c r="R16" i="3"/>
  <c r="Q16" i="3"/>
  <c r="M16" i="3"/>
  <c r="L16" i="3"/>
  <c r="K16" i="3"/>
  <c r="J16" i="3"/>
  <c r="F16" i="3"/>
  <c r="E16" i="3"/>
  <c r="D16" i="3"/>
  <c r="C16" i="3"/>
  <c r="BG15" i="3"/>
  <c r="BT15" i="3" s="1"/>
  <c r="AO15" i="3"/>
  <c r="AN15" i="3"/>
  <c r="AM15" i="3"/>
  <c r="AL15" i="3"/>
  <c r="AH15" i="3"/>
  <c r="AG15" i="3"/>
  <c r="AF15" i="3"/>
  <c r="AE15" i="3"/>
  <c r="AA15" i="3"/>
  <c r="Z15" i="3"/>
  <c r="Y15" i="3"/>
  <c r="X15" i="3"/>
  <c r="T15" i="3"/>
  <c r="S15" i="3"/>
  <c r="R15" i="3"/>
  <c r="Q15" i="3"/>
  <c r="M15" i="3"/>
  <c r="L15" i="3"/>
  <c r="K15" i="3"/>
  <c r="J15" i="3"/>
  <c r="N15" i="3" s="1"/>
  <c r="F15" i="3"/>
  <c r="E15" i="3"/>
  <c r="D15" i="3"/>
  <c r="C15" i="3"/>
  <c r="BG14" i="3"/>
  <c r="BT14" i="3" s="1"/>
  <c r="AO14" i="3"/>
  <c r="AN14" i="3"/>
  <c r="AM14" i="3"/>
  <c r="AL14" i="3"/>
  <c r="AH14" i="3"/>
  <c r="AG14" i="3"/>
  <c r="AF14" i="3"/>
  <c r="AE14" i="3"/>
  <c r="AA14" i="3"/>
  <c r="Z14" i="3"/>
  <c r="Y14" i="3"/>
  <c r="X14" i="3"/>
  <c r="T14" i="3"/>
  <c r="S14" i="3"/>
  <c r="R14" i="3"/>
  <c r="Q14" i="3"/>
  <c r="M14" i="3"/>
  <c r="L14" i="3"/>
  <c r="K14" i="3"/>
  <c r="J14" i="3"/>
  <c r="F14" i="3"/>
  <c r="E14" i="3"/>
  <c r="D14" i="3"/>
  <c r="C14" i="3"/>
  <c r="BG13" i="3"/>
  <c r="BT13" i="3" s="1"/>
  <c r="AO13" i="3"/>
  <c r="AN13" i="3"/>
  <c r="AM13" i="3"/>
  <c r="AL13" i="3"/>
  <c r="AH13" i="3"/>
  <c r="AG13" i="3"/>
  <c r="AF13" i="3"/>
  <c r="AE13" i="3"/>
  <c r="AA13" i="3"/>
  <c r="Z13" i="3"/>
  <c r="Y13" i="3"/>
  <c r="X13" i="3"/>
  <c r="T13" i="3"/>
  <c r="S13" i="3"/>
  <c r="R13" i="3"/>
  <c r="Q13" i="3"/>
  <c r="M13" i="3"/>
  <c r="L13" i="3"/>
  <c r="BL13" i="3" s="1"/>
  <c r="K13" i="3"/>
  <c r="J13" i="3"/>
  <c r="F13" i="3"/>
  <c r="E13" i="3"/>
  <c r="D13" i="3"/>
  <c r="C13" i="3"/>
  <c r="CE12" i="3"/>
  <c r="BG12" i="3"/>
  <c r="BT12" i="3" s="1"/>
  <c r="AO12" i="3"/>
  <c r="AN12" i="3"/>
  <c r="AM12" i="3"/>
  <c r="AL12" i="3"/>
  <c r="AH12" i="3"/>
  <c r="AG12" i="3"/>
  <c r="AF12" i="3"/>
  <c r="AE12" i="3"/>
  <c r="AA12" i="3"/>
  <c r="Z12" i="3"/>
  <c r="Y12" i="3"/>
  <c r="X12" i="3"/>
  <c r="T12" i="3"/>
  <c r="S12" i="3"/>
  <c r="R12" i="3"/>
  <c r="Q12" i="3"/>
  <c r="M12" i="3"/>
  <c r="L12" i="3"/>
  <c r="K12" i="3"/>
  <c r="J12" i="3"/>
  <c r="F12" i="3"/>
  <c r="E12" i="3"/>
  <c r="D12" i="3"/>
  <c r="C12" i="3"/>
  <c r="BG11" i="3"/>
  <c r="CE11" i="3" s="1"/>
  <c r="AO11" i="3"/>
  <c r="AN11" i="3"/>
  <c r="AM11" i="3"/>
  <c r="AL11" i="3"/>
  <c r="AH11" i="3"/>
  <c r="AG11" i="3"/>
  <c r="AF11" i="3"/>
  <c r="AE11" i="3"/>
  <c r="AA11" i="3"/>
  <c r="Z11" i="3"/>
  <c r="Y11" i="3"/>
  <c r="X11" i="3"/>
  <c r="T11" i="3"/>
  <c r="S11" i="3"/>
  <c r="R11" i="3"/>
  <c r="Q11" i="3"/>
  <c r="M11" i="3"/>
  <c r="L11" i="3"/>
  <c r="K11" i="3"/>
  <c r="J11" i="3"/>
  <c r="F11" i="3"/>
  <c r="E11" i="3"/>
  <c r="D11" i="3"/>
  <c r="C11" i="3"/>
  <c r="F9" i="3"/>
  <c r="E9" i="3"/>
  <c r="D9" i="3"/>
  <c r="C9" i="3"/>
  <c r="AZ8" i="3"/>
  <c r="AZ6" i="3"/>
  <c r="C55" i="2"/>
  <c r="D55" i="2" s="1"/>
  <c r="E55" i="2" s="1"/>
  <c r="F55" i="2" s="1"/>
  <c r="G55" i="2" s="1"/>
  <c r="H55" i="2" s="1"/>
  <c r="I55" i="2" s="1"/>
  <c r="J55" i="2" s="1"/>
  <c r="K55" i="2" s="1"/>
  <c r="L55" i="2" s="1"/>
  <c r="M55" i="2" s="1"/>
  <c r="N55" i="2" s="1"/>
  <c r="O55" i="2" s="1"/>
  <c r="P55" i="2" s="1"/>
  <c r="Q55" i="2" s="1"/>
  <c r="R55" i="2" s="1"/>
  <c r="S55" i="2" s="1"/>
  <c r="T55" i="2" s="1"/>
  <c r="U55" i="2" s="1"/>
  <c r="V55" i="2" s="1"/>
  <c r="W55" i="2" s="1"/>
  <c r="X55" i="2" s="1"/>
  <c r="Y55" i="2" s="1"/>
  <c r="Z55" i="2" s="1"/>
  <c r="AA55" i="2" s="1"/>
  <c r="AB55" i="2" s="1"/>
  <c r="AC55" i="2" s="1"/>
  <c r="AD55" i="2" s="1"/>
  <c r="AE55" i="2" s="1"/>
  <c r="AF55" i="2" s="1"/>
  <c r="AG55" i="2" s="1"/>
  <c r="AH55" i="2" s="1"/>
  <c r="AI55" i="2" s="1"/>
  <c r="AJ55" i="2" s="1"/>
  <c r="AK55" i="2" s="1"/>
  <c r="AL55" i="2" s="1"/>
  <c r="AM55" i="2" s="1"/>
  <c r="AN55" i="2" s="1"/>
  <c r="AO55" i="2" s="1"/>
  <c r="AP55" i="2" s="1"/>
  <c r="AQ55" i="2" s="1"/>
  <c r="AR55" i="2" s="1"/>
  <c r="AS55" i="2" s="1"/>
  <c r="AT55" i="2" s="1"/>
  <c r="AU55" i="2" s="1"/>
  <c r="AV55" i="2" s="1"/>
  <c r="AW55" i="2" s="1"/>
  <c r="AX55" i="2" s="1"/>
  <c r="AY55" i="2" s="1"/>
  <c r="AZ55" i="2" s="1"/>
  <c r="BA55" i="2" s="1"/>
  <c r="BB55" i="2" s="1"/>
  <c r="BC55" i="2" s="1"/>
  <c r="BD55" i="2" s="1"/>
  <c r="BE55" i="2" s="1"/>
  <c r="BF55" i="2" s="1"/>
  <c r="BG55" i="2" s="1"/>
  <c r="BH55" i="2" s="1"/>
  <c r="BI55" i="2" s="1"/>
  <c r="BJ55" i="2" s="1"/>
  <c r="BK55" i="2" s="1"/>
  <c r="BL55" i="2" s="1"/>
  <c r="BM55" i="2" s="1"/>
  <c r="BN55" i="2" s="1"/>
  <c r="BO55" i="2" s="1"/>
  <c r="BP55" i="2" s="1"/>
  <c r="BQ55" i="2" s="1"/>
  <c r="BX51" i="2"/>
  <c r="AN51" i="2"/>
  <c r="AM51" i="2"/>
  <c r="AG51" i="2"/>
  <c r="AF51" i="2"/>
  <c r="Z51" i="2"/>
  <c r="Y51" i="2"/>
  <c r="S51" i="2"/>
  <c r="R51" i="2"/>
  <c r="M51" i="2"/>
  <c r="BL37" i="2" s="1"/>
  <c r="L51" i="2"/>
  <c r="K51" i="2"/>
  <c r="J51" i="2"/>
  <c r="CE50" i="2"/>
  <c r="BG50" i="2"/>
  <c r="BT50" i="2" s="1"/>
  <c r="AO50" i="2"/>
  <c r="AN50" i="2"/>
  <c r="AM50" i="2"/>
  <c r="AL50" i="2"/>
  <c r="AH50" i="2"/>
  <c r="AG50" i="2"/>
  <c r="AF50" i="2"/>
  <c r="AE50" i="2"/>
  <c r="AA50" i="2"/>
  <c r="Z50" i="2"/>
  <c r="Y50" i="2"/>
  <c r="X50" i="2"/>
  <c r="T50" i="2"/>
  <c r="S50" i="2"/>
  <c r="R50" i="2"/>
  <c r="Q50" i="2"/>
  <c r="M50" i="2"/>
  <c r="L50" i="2"/>
  <c r="K50" i="2"/>
  <c r="J50" i="2"/>
  <c r="F50" i="2"/>
  <c r="E50" i="2"/>
  <c r="D50" i="2"/>
  <c r="C50" i="2"/>
  <c r="BG49" i="2"/>
  <c r="CE49" i="2" s="1"/>
  <c r="AO49" i="2"/>
  <c r="AN49" i="2"/>
  <c r="AM49" i="2"/>
  <c r="AL49" i="2"/>
  <c r="AH49" i="2"/>
  <c r="AG49" i="2"/>
  <c r="AF49" i="2"/>
  <c r="AE49" i="2"/>
  <c r="AA49" i="2"/>
  <c r="Z49" i="2"/>
  <c r="Y49" i="2"/>
  <c r="X49" i="2"/>
  <c r="T49" i="2"/>
  <c r="S49" i="2"/>
  <c r="R49" i="2"/>
  <c r="Q49" i="2"/>
  <c r="M49" i="2"/>
  <c r="L49" i="2"/>
  <c r="K49" i="2"/>
  <c r="J49" i="2"/>
  <c r="F49" i="2"/>
  <c r="E49" i="2"/>
  <c r="D49" i="2"/>
  <c r="C49" i="2"/>
  <c r="BG48" i="2"/>
  <c r="AO48" i="2"/>
  <c r="AN48" i="2"/>
  <c r="AM48" i="2"/>
  <c r="AL48" i="2"/>
  <c r="AH48" i="2"/>
  <c r="AG48" i="2"/>
  <c r="AF48" i="2"/>
  <c r="AE48" i="2"/>
  <c r="AA48" i="2"/>
  <c r="Z48" i="2"/>
  <c r="Y48" i="2"/>
  <c r="X48" i="2"/>
  <c r="T48" i="2"/>
  <c r="S48" i="2"/>
  <c r="R48" i="2"/>
  <c r="Q48" i="2"/>
  <c r="M48" i="2"/>
  <c r="L48" i="2"/>
  <c r="K48" i="2"/>
  <c r="J48" i="2"/>
  <c r="F48" i="2"/>
  <c r="E48" i="2"/>
  <c r="D48" i="2"/>
  <c r="C48" i="2"/>
  <c r="BG47" i="2"/>
  <c r="CE47" i="2" s="1"/>
  <c r="AO47" i="2"/>
  <c r="AN47" i="2"/>
  <c r="AM47" i="2"/>
  <c r="AL47" i="2"/>
  <c r="AH47" i="2"/>
  <c r="AG47" i="2"/>
  <c r="AF47" i="2"/>
  <c r="AE47" i="2"/>
  <c r="AA47" i="2"/>
  <c r="Z47" i="2"/>
  <c r="Y47" i="2"/>
  <c r="X47" i="2"/>
  <c r="T47" i="2"/>
  <c r="S47" i="2"/>
  <c r="R47" i="2"/>
  <c r="Q47" i="2"/>
  <c r="M47" i="2"/>
  <c r="L47" i="2"/>
  <c r="K47" i="2"/>
  <c r="J47" i="2"/>
  <c r="N47" i="2" s="1"/>
  <c r="F47" i="2"/>
  <c r="E47" i="2"/>
  <c r="D47" i="2"/>
  <c r="C47" i="2"/>
  <c r="BG46" i="2"/>
  <c r="CE46" i="2" s="1"/>
  <c r="AO46" i="2"/>
  <c r="AN46" i="2"/>
  <c r="AM46" i="2"/>
  <c r="AL46" i="2"/>
  <c r="AH46" i="2"/>
  <c r="AG46" i="2"/>
  <c r="AF46" i="2"/>
  <c r="AE46" i="2"/>
  <c r="AA46" i="2"/>
  <c r="Z46" i="2"/>
  <c r="Y46" i="2"/>
  <c r="X46" i="2"/>
  <c r="T46" i="2"/>
  <c r="S46" i="2"/>
  <c r="R46" i="2"/>
  <c r="Q46" i="2"/>
  <c r="M46" i="2"/>
  <c r="L46" i="2"/>
  <c r="K46" i="2"/>
  <c r="J46" i="2"/>
  <c r="F46" i="2"/>
  <c r="E46" i="2"/>
  <c r="D46" i="2"/>
  <c r="C46" i="2"/>
  <c r="BG45" i="2"/>
  <c r="CE45" i="2" s="1"/>
  <c r="AO45" i="2"/>
  <c r="AN45" i="2"/>
  <c r="AM45" i="2"/>
  <c r="AL45" i="2"/>
  <c r="AH45" i="2"/>
  <c r="AG45" i="2"/>
  <c r="AF45" i="2"/>
  <c r="AE45" i="2"/>
  <c r="AA45" i="2"/>
  <c r="Z45" i="2"/>
  <c r="Y45" i="2"/>
  <c r="X45" i="2"/>
  <c r="T45" i="2"/>
  <c r="S45" i="2"/>
  <c r="R45" i="2"/>
  <c r="Q45" i="2"/>
  <c r="M45" i="2"/>
  <c r="L45" i="2"/>
  <c r="K45" i="2"/>
  <c r="J45" i="2"/>
  <c r="F45" i="2"/>
  <c r="E45" i="2"/>
  <c r="D45" i="2"/>
  <c r="C45" i="2"/>
  <c r="BG44" i="2"/>
  <c r="CE44" i="2" s="1"/>
  <c r="AO44" i="2"/>
  <c r="AN44" i="2"/>
  <c r="AM44" i="2"/>
  <c r="AL44" i="2"/>
  <c r="AH44" i="2"/>
  <c r="AG44" i="2"/>
  <c r="AF44" i="2"/>
  <c r="AE44" i="2"/>
  <c r="AA44" i="2"/>
  <c r="Z44" i="2"/>
  <c r="Y44" i="2"/>
  <c r="X44" i="2"/>
  <c r="T44" i="2"/>
  <c r="S44" i="2"/>
  <c r="R44" i="2"/>
  <c r="Q44" i="2"/>
  <c r="M44" i="2"/>
  <c r="L44" i="2"/>
  <c r="K44" i="2"/>
  <c r="J44" i="2"/>
  <c r="F44" i="2"/>
  <c r="E44" i="2"/>
  <c r="D44" i="2"/>
  <c r="C44" i="2"/>
  <c r="BL43" i="2"/>
  <c r="BG43" i="2"/>
  <c r="AO43" i="2"/>
  <c r="AN43" i="2"/>
  <c r="AM43" i="2"/>
  <c r="AL43" i="2"/>
  <c r="AH43" i="2"/>
  <c r="AG43" i="2"/>
  <c r="AF43" i="2"/>
  <c r="AE43" i="2"/>
  <c r="AA43" i="2"/>
  <c r="Z43" i="2"/>
  <c r="Y43" i="2"/>
  <c r="X43" i="2"/>
  <c r="T43" i="2"/>
  <c r="S43" i="2"/>
  <c r="R43" i="2"/>
  <c r="Q43" i="2"/>
  <c r="M43" i="2"/>
  <c r="L43" i="2"/>
  <c r="K43" i="2"/>
  <c r="J43" i="2"/>
  <c r="F43" i="2"/>
  <c r="E43" i="2"/>
  <c r="D43" i="2"/>
  <c r="C43" i="2"/>
  <c r="BG42" i="2"/>
  <c r="BT42" i="2" s="1"/>
  <c r="AO42" i="2"/>
  <c r="AN42" i="2"/>
  <c r="AM42" i="2"/>
  <c r="AL42" i="2"/>
  <c r="AH42" i="2"/>
  <c r="AG42" i="2"/>
  <c r="AF42" i="2"/>
  <c r="AE42" i="2"/>
  <c r="AA42" i="2"/>
  <c r="Z42" i="2"/>
  <c r="Y42" i="2"/>
  <c r="X42" i="2"/>
  <c r="T42" i="2"/>
  <c r="S42" i="2"/>
  <c r="R42" i="2"/>
  <c r="Q42" i="2"/>
  <c r="M42" i="2"/>
  <c r="L42" i="2"/>
  <c r="K42" i="2"/>
  <c r="J42" i="2"/>
  <c r="F42" i="2"/>
  <c r="E42" i="2"/>
  <c r="D42" i="2"/>
  <c r="C42" i="2"/>
  <c r="BG41" i="2"/>
  <c r="AO41" i="2"/>
  <c r="AN41" i="2"/>
  <c r="AM41" i="2"/>
  <c r="AL41" i="2"/>
  <c r="AH41" i="2"/>
  <c r="AG41" i="2"/>
  <c r="AF41" i="2"/>
  <c r="AE41" i="2"/>
  <c r="AA41" i="2"/>
  <c r="Z41" i="2"/>
  <c r="Y41" i="2"/>
  <c r="X41" i="2"/>
  <c r="T41" i="2"/>
  <c r="S41" i="2"/>
  <c r="R41" i="2"/>
  <c r="Q41" i="2"/>
  <c r="M41" i="2"/>
  <c r="L41" i="2"/>
  <c r="K41" i="2"/>
  <c r="J41" i="2"/>
  <c r="F41" i="2"/>
  <c r="E41" i="2"/>
  <c r="D41" i="2"/>
  <c r="C41" i="2"/>
  <c r="BG40" i="2"/>
  <c r="BT40" i="2" s="1"/>
  <c r="AO40" i="2"/>
  <c r="AN40" i="2"/>
  <c r="AM40" i="2"/>
  <c r="AL40" i="2"/>
  <c r="AH40" i="2"/>
  <c r="AG40" i="2"/>
  <c r="AF40" i="2"/>
  <c r="AE40" i="2"/>
  <c r="AA40" i="2"/>
  <c r="Z40" i="2"/>
  <c r="Y40" i="2"/>
  <c r="X40" i="2"/>
  <c r="T40" i="2"/>
  <c r="S40" i="2"/>
  <c r="R40" i="2"/>
  <c r="Q40" i="2"/>
  <c r="M40" i="2"/>
  <c r="L40" i="2"/>
  <c r="K40" i="2"/>
  <c r="J40" i="2"/>
  <c r="F40" i="2"/>
  <c r="E40" i="2"/>
  <c r="D40" i="2"/>
  <c r="C40" i="2"/>
  <c r="BG39" i="2"/>
  <c r="AO39" i="2"/>
  <c r="AN39" i="2"/>
  <c r="AM39" i="2"/>
  <c r="AL39" i="2"/>
  <c r="AH39" i="2"/>
  <c r="AG39" i="2"/>
  <c r="AF39" i="2"/>
  <c r="AE39" i="2"/>
  <c r="AA39" i="2"/>
  <c r="Z39" i="2"/>
  <c r="Y39" i="2"/>
  <c r="X39" i="2"/>
  <c r="T39" i="2"/>
  <c r="S39" i="2"/>
  <c r="R39" i="2"/>
  <c r="Q39" i="2"/>
  <c r="M39" i="2"/>
  <c r="L39" i="2"/>
  <c r="K39" i="2"/>
  <c r="J39" i="2"/>
  <c r="F39" i="2"/>
  <c r="E39" i="2"/>
  <c r="D39" i="2"/>
  <c r="C39" i="2"/>
  <c r="BG38" i="2"/>
  <c r="AO38" i="2"/>
  <c r="AN38" i="2"/>
  <c r="AM38" i="2"/>
  <c r="AL38" i="2"/>
  <c r="AH38" i="2"/>
  <c r="AG38" i="2"/>
  <c r="AF38" i="2"/>
  <c r="AE38" i="2"/>
  <c r="AA38" i="2"/>
  <c r="Z38" i="2"/>
  <c r="Y38" i="2"/>
  <c r="X38" i="2"/>
  <c r="T38" i="2"/>
  <c r="S38" i="2"/>
  <c r="R38" i="2"/>
  <c r="Q38" i="2"/>
  <c r="M38" i="2"/>
  <c r="L38" i="2"/>
  <c r="K38" i="2"/>
  <c r="J38" i="2"/>
  <c r="F38" i="2"/>
  <c r="E38" i="2"/>
  <c r="D38" i="2"/>
  <c r="C38" i="2"/>
  <c r="BG37" i="2"/>
  <c r="AO37" i="2"/>
  <c r="AN37" i="2"/>
  <c r="AM37" i="2"/>
  <c r="AL37" i="2"/>
  <c r="AH37" i="2"/>
  <c r="AG37" i="2"/>
  <c r="AF37" i="2"/>
  <c r="AE37" i="2"/>
  <c r="AA37" i="2"/>
  <c r="Z37" i="2"/>
  <c r="Y37" i="2"/>
  <c r="X37" i="2"/>
  <c r="T37" i="2"/>
  <c r="S37" i="2"/>
  <c r="R37" i="2"/>
  <c r="Q37" i="2"/>
  <c r="M37" i="2"/>
  <c r="L37" i="2"/>
  <c r="K37" i="2"/>
  <c r="J37" i="2"/>
  <c r="F37" i="2"/>
  <c r="E37" i="2"/>
  <c r="D37" i="2"/>
  <c r="C37" i="2"/>
  <c r="BG36" i="2"/>
  <c r="CE36" i="2" s="1"/>
  <c r="AO36" i="2"/>
  <c r="AN36" i="2"/>
  <c r="AM36" i="2"/>
  <c r="AL36" i="2"/>
  <c r="AH36" i="2"/>
  <c r="AG36" i="2"/>
  <c r="AF36" i="2"/>
  <c r="AE36" i="2"/>
  <c r="AA36" i="2"/>
  <c r="Z36" i="2"/>
  <c r="Y36" i="2"/>
  <c r="X36" i="2"/>
  <c r="T36" i="2"/>
  <c r="S36" i="2"/>
  <c r="R36" i="2"/>
  <c r="Q36" i="2"/>
  <c r="M36" i="2"/>
  <c r="L36" i="2"/>
  <c r="K36" i="2"/>
  <c r="J36" i="2"/>
  <c r="F36" i="2"/>
  <c r="E36" i="2"/>
  <c r="D36" i="2"/>
  <c r="C36" i="2"/>
  <c r="BG35" i="2"/>
  <c r="AO35" i="2"/>
  <c r="AN35" i="2"/>
  <c r="AM35" i="2"/>
  <c r="AL35" i="2"/>
  <c r="AH35" i="2"/>
  <c r="AG35" i="2"/>
  <c r="AF35" i="2"/>
  <c r="AE35" i="2"/>
  <c r="AA35" i="2"/>
  <c r="Z35" i="2"/>
  <c r="Y35" i="2"/>
  <c r="X35" i="2"/>
  <c r="T35" i="2"/>
  <c r="S35" i="2"/>
  <c r="R35" i="2"/>
  <c r="Q35" i="2"/>
  <c r="M35" i="2"/>
  <c r="BL35" i="2" s="1"/>
  <c r="L35" i="2"/>
  <c r="K35" i="2"/>
  <c r="J35" i="2"/>
  <c r="F35" i="2"/>
  <c r="E35" i="2"/>
  <c r="D35" i="2"/>
  <c r="C35" i="2"/>
  <c r="BG34" i="2"/>
  <c r="AO34" i="2"/>
  <c r="AN34" i="2"/>
  <c r="AM34" i="2"/>
  <c r="AL34" i="2"/>
  <c r="AH34" i="2"/>
  <c r="AG34" i="2"/>
  <c r="AF34" i="2"/>
  <c r="AE34" i="2"/>
  <c r="AA34" i="2"/>
  <c r="Z34" i="2"/>
  <c r="Y34" i="2"/>
  <c r="X34" i="2"/>
  <c r="T34" i="2"/>
  <c r="S34" i="2"/>
  <c r="R34" i="2"/>
  <c r="Q34" i="2"/>
  <c r="M34" i="2"/>
  <c r="L34" i="2"/>
  <c r="K34" i="2"/>
  <c r="J34" i="2"/>
  <c r="N34" i="2" s="1"/>
  <c r="O34" i="2" s="1"/>
  <c r="H34" i="2"/>
  <c r="G34" i="2"/>
  <c r="F34" i="2"/>
  <c r="E34" i="2"/>
  <c r="D34" i="2"/>
  <c r="C34" i="2"/>
  <c r="BG33" i="2"/>
  <c r="BT33" i="2" s="1"/>
  <c r="AO33" i="2"/>
  <c r="AN33" i="2"/>
  <c r="AM33" i="2"/>
  <c r="AL33" i="2"/>
  <c r="AH33" i="2"/>
  <c r="AG33" i="2"/>
  <c r="AF33" i="2"/>
  <c r="AE33" i="2"/>
  <c r="AA33" i="2"/>
  <c r="Z33" i="2"/>
  <c r="Y33" i="2"/>
  <c r="X33" i="2"/>
  <c r="T33" i="2"/>
  <c r="S33" i="2"/>
  <c r="R33" i="2"/>
  <c r="Q33" i="2"/>
  <c r="M33" i="2"/>
  <c r="L33" i="2"/>
  <c r="K33" i="2"/>
  <c r="J33" i="2"/>
  <c r="F33" i="2"/>
  <c r="E33" i="2"/>
  <c r="D33" i="2"/>
  <c r="C33" i="2"/>
  <c r="BG32" i="2"/>
  <c r="CE32" i="2" s="1"/>
  <c r="AO32" i="2"/>
  <c r="AN32" i="2"/>
  <c r="AM32" i="2"/>
  <c r="AL32" i="2"/>
  <c r="AH32" i="2"/>
  <c r="AG32" i="2"/>
  <c r="AF32" i="2"/>
  <c r="AE32" i="2"/>
  <c r="AA32" i="2"/>
  <c r="Z32" i="2"/>
  <c r="Y32" i="2"/>
  <c r="X32" i="2"/>
  <c r="T32" i="2"/>
  <c r="S32" i="2"/>
  <c r="R32" i="2"/>
  <c r="Q32" i="2"/>
  <c r="M32" i="2"/>
  <c r="L32" i="2"/>
  <c r="K32" i="2"/>
  <c r="J32" i="2"/>
  <c r="F32" i="2"/>
  <c r="E32" i="2"/>
  <c r="D32" i="2"/>
  <c r="C32" i="2"/>
  <c r="BG31" i="2"/>
  <c r="CE31" i="2" s="1"/>
  <c r="AO31" i="2"/>
  <c r="AN31" i="2"/>
  <c r="AM31" i="2"/>
  <c r="AL31" i="2"/>
  <c r="AH31" i="2"/>
  <c r="AG31" i="2"/>
  <c r="AF31" i="2"/>
  <c r="AE31" i="2"/>
  <c r="AA31" i="2"/>
  <c r="Z31" i="2"/>
  <c r="Y31" i="2"/>
  <c r="X31" i="2"/>
  <c r="T31" i="2"/>
  <c r="S31" i="2"/>
  <c r="R31" i="2"/>
  <c r="Q31" i="2"/>
  <c r="M31" i="2"/>
  <c r="L31" i="2"/>
  <c r="K31" i="2"/>
  <c r="J31" i="2"/>
  <c r="F31" i="2"/>
  <c r="E31" i="2"/>
  <c r="D31" i="2"/>
  <c r="C31" i="2"/>
  <c r="BL30" i="2"/>
  <c r="BG30" i="2"/>
  <c r="AO30" i="2"/>
  <c r="AN30" i="2"/>
  <c r="AM30" i="2"/>
  <c r="AL30" i="2"/>
  <c r="AH30" i="2"/>
  <c r="AG30" i="2"/>
  <c r="AF30" i="2"/>
  <c r="AE30" i="2"/>
  <c r="AA30" i="2"/>
  <c r="Z30" i="2"/>
  <c r="Y30" i="2"/>
  <c r="X30" i="2"/>
  <c r="T30" i="2"/>
  <c r="S30" i="2"/>
  <c r="R30" i="2"/>
  <c r="Q30" i="2"/>
  <c r="M30" i="2"/>
  <c r="L30" i="2"/>
  <c r="K30" i="2"/>
  <c r="J30" i="2"/>
  <c r="F30" i="2"/>
  <c r="E30" i="2"/>
  <c r="D30" i="2"/>
  <c r="C30" i="2"/>
  <c r="BG29" i="2"/>
  <c r="BT29" i="2" s="1"/>
  <c r="AO29" i="2"/>
  <c r="AN29" i="2"/>
  <c r="AM29" i="2"/>
  <c r="AL29" i="2"/>
  <c r="AG29" i="2"/>
  <c r="AF29" i="2"/>
  <c r="AE29" i="2"/>
  <c r="AA29" i="2"/>
  <c r="Z29" i="2"/>
  <c r="Y29" i="2"/>
  <c r="X29" i="2"/>
  <c r="T29" i="2"/>
  <c r="S29" i="2"/>
  <c r="R29" i="2"/>
  <c r="Q29" i="2"/>
  <c r="M29" i="2"/>
  <c r="L29" i="2"/>
  <c r="K29" i="2"/>
  <c r="J29" i="2"/>
  <c r="E29" i="2"/>
  <c r="D29" i="2"/>
  <c r="C29" i="2"/>
  <c r="BG28" i="2"/>
  <c r="CE28" i="2" s="1"/>
  <c r="AO28" i="2"/>
  <c r="AN28" i="2"/>
  <c r="AM28" i="2"/>
  <c r="AL28" i="2"/>
  <c r="AH28" i="2"/>
  <c r="AG28" i="2"/>
  <c r="AF28" i="2"/>
  <c r="AE28" i="2"/>
  <c r="AA28" i="2"/>
  <c r="Z28" i="2"/>
  <c r="Y28" i="2"/>
  <c r="X28" i="2"/>
  <c r="T28" i="2"/>
  <c r="S28" i="2"/>
  <c r="R28" i="2"/>
  <c r="Q28" i="2"/>
  <c r="M28" i="2"/>
  <c r="L28" i="2"/>
  <c r="K28" i="2"/>
  <c r="J28" i="2"/>
  <c r="F28" i="2"/>
  <c r="E28" i="2"/>
  <c r="D28" i="2"/>
  <c r="C28" i="2"/>
  <c r="BG27" i="2"/>
  <c r="AO27" i="2"/>
  <c r="AN27" i="2"/>
  <c r="AM27" i="2"/>
  <c r="AL27" i="2"/>
  <c r="AH27" i="2"/>
  <c r="AG27" i="2"/>
  <c r="AF27" i="2"/>
  <c r="AE27" i="2"/>
  <c r="AA27" i="2"/>
  <c r="Z27" i="2"/>
  <c r="Y27" i="2"/>
  <c r="X27" i="2"/>
  <c r="T27" i="2"/>
  <c r="S27" i="2"/>
  <c r="R27" i="2"/>
  <c r="Q27" i="2"/>
  <c r="M27" i="2"/>
  <c r="L27" i="2"/>
  <c r="K27" i="2"/>
  <c r="J27" i="2"/>
  <c r="F27" i="2"/>
  <c r="E27" i="2"/>
  <c r="D27" i="2"/>
  <c r="C27" i="2"/>
  <c r="BG26" i="2"/>
  <c r="AO26" i="2"/>
  <c r="AN26" i="2"/>
  <c r="AM26" i="2"/>
  <c r="AL26" i="2"/>
  <c r="AH26" i="2"/>
  <c r="AG26" i="2"/>
  <c r="AF26" i="2"/>
  <c r="AE26" i="2"/>
  <c r="AA26" i="2"/>
  <c r="Z26" i="2"/>
  <c r="Y26" i="2"/>
  <c r="X26" i="2"/>
  <c r="T26" i="2"/>
  <c r="S26" i="2"/>
  <c r="R26" i="2"/>
  <c r="Q26" i="2"/>
  <c r="M26" i="2"/>
  <c r="L26" i="2"/>
  <c r="K26" i="2"/>
  <c r="J26" i="2"/>
  <c r="F26" i="2"/>
  <c r="E26" i="2"/>
  <c r="D26" i="2"/>
  <c r="C26" i="2"/>
  <c r="BG25" i="2"/>
  <c r="BT25" i="2" s="1"/>
  <c r="AO25" i="2"/>
  <c r="AN25" i="2"/>
  <c r="AM25" i="2"/>
  <c r="AL25" i="2"/>
  <c r="AH25" i="2"/>
  <c r="AG25" i="2"/>
  <c r="AF25" i="2"/>
  <c r="AE25" i="2"/>
  <c r="AA25" i="2"/>
  <c r="Z25" i="2"/>
  <c r="Y25" i="2"/>
  <c r="X25" i="2"/>
  <c r="T25" i="2"/>
  <c r="S25" i="2"/>
  <c r="R25" i="2"/>
  <c r="Q25" i="2"/>
  <c r="M25" i="2"/>
  <c r="L25" i="2"/>
  <c r="K25" i="2"/>
  <c r="J25" i="2"/>
  <c r="F25" i="2"/>
  <c r="E25" i="2"/>
  <c r="D25" i="2"/>
  <c r="C25" i="2"/>
  <c r="BG24" i="2"/>
  <c r="CE24" i="2" s="1"/>
  <c r="AO24" i="2"/>
  <c r="AN24" i="2"/>
  <c r="AM24" i="2"/>
  <c r="AL24" i="2"/>
  <c r="AH24" i="2"/>
  <c r="AG24" i="2"/>
  <c r="AF24" i="2"/>
  <c r="AE24" i="2"/>
  <c r="AA24" i="2"/>
  <c r="Z24" i="2"/>
  <c r="Y24" i="2"/>
  <c r="X24" i="2"/>
  <c r="T24" i="2"/>
  <c r="S24" i="2"/>
  <c r="R24" i="2"/>
  <c r="Q24" i="2"/>
  <c r="M24" i="2"/>
  <c r="BL24" i="2" s="1"/>
  <c r="L24" i="2"/>
  <c r="K24" i="2"/>
  <c r="J24" i="2"/>
  <c r="F24" i="2"/>
  <c r="E24" i="2"/>
  <c r="D24" i="2"/>
  <c r="C24" i="2"/>
  <c r="BG23" i="2"/>
  <c r="AO23" i="2"/>
  <c r="AN23" i="2"/>
  <c r="AM23" i="2"/>
  <c r="AL23" i="2"/>
  <c r="AH23" i="2"/>
  <c r="AG23" i="2"/>
  <c r="AF23" i="2"/>
  <c r="AE23" i="2"/>
  <c r="AA23" i="2"/>
  <c r="Z23" i="2"/>
  <c r="Y23" i="2"/>
  <c r="X23" i="2"/>
  <c r="T23" i="2"/>
  <c r="S23" i="2"/>
  <c r="R23" i="2"/>
  <c r="Q23" i="2"/>
  <c r="M23" i="2"/>
  <c r="L23" i="2"/>
  <c r="K23" i="2"/>
  <c r="J23" i="2"/>
  <c r="F23" i="2"/>
  <c r="E23" i="2"/>
  <c r="D23" i="2"/>
  <c r="C23" i="2"/>
  <c r="BG22" i="2"/>
  <c r="AO22" i="2"/>
  <c r="AN22" i="2"/>
  <c r="AM22" i="2"/>
  <c r="AL22" i="2"/>
  <c r="AH22" i="2"/>
  <c r="AG22" i="2"/>
  <c r="AF22" i="2"/>
  <c r="AE22" i="2"/>
  <c r="AA22" i="2"/>
  <c r="Z22" i="2"/>
  <c r="Y22" i="2"/>
  <c r="X22" i="2"/>
  <c r="T22" i="2"/>
  <c r="S22" i="2"/>
  <c r="R22" i="2"/>
  <c r="Q22" i="2"/>
  <c r="M22" i="2"/>
  <c r="L22" i="2"/>
  <c r="K22" i="2"/>
  <c r="J22" i="2"/>
  <c r="F22" i="2"/>
  <c r="E22" i="2"/>
  <c r="D22" i="2"/>
  <c r="C22" i="2"/>
  <c r="BG21" i="2"/>
  <c r="BT21" i="2" s="1"/>
  <c r="AO21" i="2"/>
  <c r="AN21" i="2"/>
  <c r="AM21" i="2"/>
  <c r="AL21" i="2"/>
  <c r="AH21" i="2"/>
  <c r="AG21" i="2"/>
  <c r="AF21" i="2"/>
  <c r="AE21" i="2"/>
  <c r="AA21" i="2"/>
  <c r="Z21" i="2"/>
  <c r="Y21" i="2"/>
  <c r="X21" i="2"/>
  <c r="T21" i="2"/>
  <c r="S21" i="2"/>
  <c r="R21" i="2"/>
  <c r="Q21" i="2"/>
  <c r="M21" i="2"/>
  <c r="BL21" i="2" s="1"/>
  <c r="L21" i="2"/>
  <c r="K21" i="2"/>
  <c r="J21" i="2"/>
  <c r="F21" i="2"/>
  <c r="E21" i="2"/>
  <c r="D21" i="2"/>
  <c r="C21" i="2"/>
  <c r="BG20" i="2"/>
  <c r="CE20" i="2" s="1"/>
  <c r="AO20" i="2"/>
  <c r="AN20" i="2"/>
  <c r="AM20" i="2"/>
  <c r="AL20" i="2"/>
  <c r="AH20" i="2"/>
  <c r="AG20" i="2"/>
  <c r="AF20" i="2"/>
  <c r="AE20" i="2"/>
  <c r="AA20" i="2"/>
  <c r="Z20" i="2"/>
  <c r="Y20" i="2"/>
  <c r="X20" i="2"/>
  <c r="T20" i="2"/>
  <c r="S20" i="2"/>
  <c r="R20" i="2"/>
  <c r="Q20" i="2"/>
  <c r="M20" i="2"/>
  <c r="BL20" i="2" s="1"/>
  <c r="L20" i="2"/>
  <c r="K20" i="2"/>
  <c r="J20" i="2"/>
  <c r="F20" i="2"/>
  <c r="E20" i="2"/>
  <c r="D20" i="2"/>
  <c r="C20" i="2"/>
  <c r="BG19" i="2"/>
  <c r="CE19" i="2" s="1"/>
  <c r="AO19" i="2"/>
  <c r="AN19" i="2"/>
  <c r="AM19" i="2"/>
  <c r="AL19" i="2"/>
  <c r="AH19" i="2"/>
  <c r="AG19" i="2"/>
  <c r="AF19" i="2"/>
  <c r="AE19" i="2"/>
  <c r="AA19" i="2"/>
  <c r="Z19" i="2"/>
  <c r="Y19" i="2"/>
  <c r="X19" i="2"/>
  <c r="T19" i="2"/>
  <c r="S19" i="2"/>
  <c r="R19" i="2"/>
  <c r="Q19" i="2"/>
  <c r="M19" i="2"/>
  <c r="L19" i="2"/>
  <c r="K19" i="2"/>
  <c r="J19" i="2"/>
  <c r="F19" i="2"/>
  <c r="E19" i="2"/>
  <c r="D19" i="2"/>
  <c r="C19" i="2"/>
  <c r="BG18" i="2"/>
  <c r="AO18" i="2"/>
  <c r="AN18" i="2"/>
  <c r="AM18" i="2"/>
  <c r="AL18" i="2"/>
  <c r="AH18" i="2"/>
  <c r="AG18" i="2"/>
  <c r="AF18" i="2"/>
  <c r="AE18" i="2"/>
  <c r="AA18" i="2"/>
  <c r="Z18" i="2"/>
  <c r="Y18" i="2"/>
  <c r="X18" i="2"/>
  <c r="T18" i="2"/>
  <c r="S18" i="2"/>
  <c r="R18" i="2"/>
  <c r="Q18" i="2"/>
  <c r="M18" i="2"/>
  <c r="L18" i="2"/>
  <c r="K18" i="2"/>
  <c r="J18" i="2"/>
  <c r="F18" i="2"/>
  <c r="E18" i="2"/>
  <c r="D18" i="2"/>
  <c r="C18" i="2"/>
  <c r="CG17" i="2"/>
  <c r="CH17" i="2" s="1"/>
  <c r="BT17" i="2"/>
  <c r="BQ17" i="2"/>
  <c r="AY17" i="2"/>
  <c r="CE16" i="2"/>
  <c r="BG16" i="2"/>
  <c r="BT16" i="2" s="1"/>
  <c r="AO16" i="2"/>
  <c r="AN16" i="2"/>
  <c r="AM16" i="2"/>
  <c r="AL16" i="2"/>
  <c r="AH16" i="2"/>
  <c r="AG16" i="2"/>
  <c r="AF16" i="2"/>
  <c r="AE16" i="2"/>
  <c r="AA16" i="2"/>
  <c r="Z16" i="2"/>
  <c r="Y16" i="2"/>
  <c r="X16" i="2"/>
  <c r="T16" i="2"/>
  <c r="S16" i="2"/>
  <c r="R16" i="2"/>
  <c r="Q16" i="2"/>
  <c r="M16" i="2"/>
  <c r="L16" i="2"/>
  <c r="K16" i="2"/>
  <c r="J16" i="2"/>
  <c r="F16" i="2"/>
  <c r="E16" i="2"/>
  <c r="D16" i="2"/>
  <c r="C16" i="2"/>
  <c r="BG15" i="2"/>
  <c r="CE15" i="2" s="1"/>
  <c r="AO15" i="2"/>
  <c r="AN15" i="2"/>
  <c r="AM15" i="2"/>
  <c r="AL15" i="2"/>
  <c r="AH15" i="2"/>
  <c r="AG15" i="2"/>
  <c r="AF15" i="2"/>
  <c r="AE15" i="2"/>
  <c r="AA15" i="2"/>
  <c r="Z15" i="2"/>
  <c r="Y15" i="2"/>
  <c r="X15" i="2"/>
  <c r="T15" i="2"/>
  <c r="S15" i="2"/>
  <c r="R15" i="2"/>
  <c r="Q15" i="2"/>
  <c r="M15" i="2"/>
  <c r="L15" i="2"/>
  <c r="K15" i="2"/>
  <c r="J15" i="2"/>
  <c r="N15" i="2" s="1"/>
  <c r="F15" i="2"/>
  <c r="E15" i="2"/>
  <c r="D15" i="2"/>
  <c r="C15" i="2"/>
  <c r="BG14" i="2"/>
  <c r="CE14" i="2" s="1"/>
  <c r="AO14" i="2"/>
  <c r="AN14" i="2"/>
  <c r="AM14" i="2"/>
  <c r="AL14" i="2"/>
  <c r="AH14" i="2"/>
  <c r="AG14" i="2"/>
  <c r="AF14" i="2"/>
  <c r="AE14" i="2"/>
  <c r="AA14" i="2"/>
  <c r="Z14" i="2"/>
  <c r="Y14" i="2"/>
  <c r="X14" i="2"/>
  <c r="T14" i="2"/>
  <c r="S14" i="2"/>
  <c r="R14" i="2"/>
  <c r="Q14" i="2"/>
  <c r="M14" i="2"/>
  <c r="L14" i="2"/>
  <c r="K14" i="2"/>
  <c r="J14" i="2"/>
  <c r="F14" i="2"/>
  <c r="E14" i="2"/>
  <c r="D14" i="2"/>
  <c r="C14" i="2"/>
  <c r="BG13" i="2"/>
  <c r="CE13" i="2" s="1"/>
  <c r="AO13" i="2"/>
  <c r="AN13" i="2"/>
  <c r="AM13" i="2"/>
  <c r="AL13" i="2"/>
  <c r="AH13" i="2"/>
  <c r="AG13" i="2"/>
  <c r="AF13" i="2"/>
  <c r="AE13" i="2"/>
  <c r="AA13" i="2"/>
  <c r="Z13" i="2"/>
  <c r="Y13" i="2"/>
  <c r="X13" i="2"/>
  <c r="T13" i="2"/>
  <c r="S13" i="2"/>
  <c r="R13" i="2"/>
  <c r="Q13" i="2"/>
  <c r="M13" i="2"/>
  <c r="L13" i="2"/>
  <c r="K13" i="2"/>
  <c r="J13" i="2"/>
  <c r="F13" i="2"/>
  <c r="E13" i="2"/>
  <c r="D13" i="2"/>
  <c r="C13" i="2"/>
  <c r="BG12" i="2"/>
  <c r="CE12" i="2" s="1"/>
  <c r="AO12" i="2"/>
  <c r="AN12" i="2"/>
  <c r="AM12" i="2"/>
  <c r="AL12" i="2"/>
  <c r="AH12" i="2"/>
  <c r="AG12" i="2"/>
  <c r="AF12" i="2"/>
  <c r="AE12" i="2"/>
  <c r="AA12" i="2"/>
  <c r="Z12" i="2"/>
  <c r="Y12" i="2"/>
  <c r="X12" i="2"/>
  <c r="T12" i="2"/>
  <c r="S12" i="2"/>
  <c r="R12" i="2"/>
  <c r="Q12" i="2"/>
  <c r="M12" i="2"/>
  <c r="L12" i="2"/>
  <c r="K12" i="2"/>
  <c r="J12" i="2"/>
  <c r="F12" i="2"/>
  <c r="E12" i="2"/>
  <c r="D12" i="2"/>
  <c r="C12" i="2"/>
  <c r="BG11" i="2"/>
  <c r="CE11" i="2" s="1"/>
  <c r="AO11" i="2"/>
  <c r="AN11" i="2"/>
  <c r="AM11" i="2"/>
  <c r="AL11" i="2"/>
  <c r="AH11" i="2"/>
  <c r="AG11" i="2"/>
  <c r="AF11" i="2"/>
  <c r="AE11" i="2"/>
  <c r="AA11" i="2"/>
  <c r="Z11" i="2"/>
  <c r="Y11" i="2"/>
  <c r="X11" i="2"/>
  <c r="T11" i="2"/>
  <c r="S11" i="2"/>
  <c r="R11" i="2"/>
  <c r="Q11" i="2"/>
  <c r="M11" i="2"/>
  <c r="L11" i="2"/>
  <c r="K11" i="2"/>
  <c r="J11" i="2"/>
  <c r="F11" i="2"/>
  <c r="E11" i="2"/>
  <c r="D11" i="2"/>
  <c r="C11" i="2"/>
  <c r="F9" i="2"/>
  <c r="E9" i="2"/>
  <c r="D9" i="2"/>
  <c r="C9" i="2"/>
  <c r="AZ8" i="2"/>
  <c r="AZ6" i="2"/>
  <c r="BE17" i="2" s="1"/>
  <c r="BT45" i="2" l="1"/>
  <c r="CE48" i="4"/>
  <c r="BT13" i="5"/>
  <c r="BT23" i="6"/>
  <c r="AO24" i="6"/>
  <c r="CE34" i="6"/>
  <c r="C24" i="6"/>
  <c r="BG24" i="6"/>
  <c r="AL40" i="6"/>
  <c r="CE33" i="4"/>
  <c r="BT42" i="4"/>
  <c r="CE49" i="4"/>
  <c r="CE35" i="5"/>
  <c r="CE50" i="5"/>
  <c r="BT19" i="4"/>
  <c r="CE22" i="5"/>
  <c r="BT44" i="5"/>
  <c r="CE47" i="3"/>
  <c r="AA24" i="6"/>
  <c r="CE39" i="6"/>
  <c r="CE45" i="5"/>
  <c r="X40" i="6"/>
  <c r="BT14" i="2"/>
  <c r="BT20" i="2"/>
  <c r="BT31" i="2"/>
  <c r="BT27" i="4"/>
  <c r="BT23" i="5"/>
  <c r="B44" i="11"/>
  <c r="CE11" i="6"/>
  <c r="E44" i="11"/>
  <c r="CE40" i="3"/>
  <c r="BT28" i="3"/>
  <c r="X40" i="5"/>
  <c r="CE21" i="6"/>
  <c r="BU47" i="14"/>
  <c r="BU30" i="12"/>
  <c r="Z42" i="12"/>
  <c r="CG42" i="12"/>
  <c r="AN51" i="12"/>
  <c r="AG42" i="13"/>
  <c r="Y51" i="13"/>
  <c r="AG13" i="14"/>
  <c r="BU23" i="14"/>
  <c r="AG42" i="15"/>
  <c r="AF51" i="15"/>
  <c r="CG29" i="16"/>
  <c r="Z42" i="16"/>
  <c r="BU40" i="14"/>
  <c r="Z51" i="13"/>
  <c r="Y51" i="14"/>
  <c r="BU48" i="15"/>
  <c r="AG51" i="15"/>
  <c r="BU31" i="13"/>
  <c r="AG13" i="12"/>
  <c r="Z13" i="13"/>
  <c r="CG49" i="13"/>
  <c r="BU48" i="14"/>
  <c r="Z51" i="14"/>
  <c r="AG13" i="15"/>
  <c r="AM51" i="15"/>
  <c r="AN13" i="16"/>
  <c r="E44" i="21"/>
  <c r="AF51" i="13"/>
  <c r="Z42" i="14"/>
  <c r="AN51" i="15"/>
  <c r="CG12" i="16"/>
  <c r="AM51" i="12"/>
  <c r="AG42" i="12"/>
  <c r="BU45" i="12"/>
  <c r="AN42" i="13"/>
  <c r="BU50" i="13"/>
  <c r="AG51" i="13"/>
  <c r="AN13" i="14"/>
  <c r="BU25" i="14"/>
  <c r="AF51" i="14"/>
  <c r="AN42" i="15"/>
  <c r="AG42" i="16"/>
  <c r="AG51" i="16"/>
  <c r="AM51" i="16"/>
  <c r="BU12" i="12"/>
  <c r="AN13" i="12"/>
  <c r="Y51" i="12"/>
  <c r="AG13" i="13"/>
  <c r="CG28" i="13"/>
  <c r="AN51" i="13"/>
  <c r="AM51" i="14"/>
  <c r="AN13" i="15"/>
  <c r="Z13" i="16"/>
  <c r="Z51" i="12"/>
  <c r="AG42" i="14"/>
  <c r="AN51" i="14"/>
  <c r="AN42" i="16"/>
  <c r="AN42" i="12"/>
  <c r="Z42" i="13"/>
  <c r="Z13" i="14"/>
  <c r="AM51" i="13"/>
  <c r="BU13" i="12"/>
  <c r="BU49" i="12"/>
  <c r="CG30" i="13"/>
  <c r="BU13" i="15"/>
  <c r="BG42" i="16"/>
  <c r="BU42" i="16" s="1"/>
  <c r="BL25" i="2"/>
  <c r="BL31" i="2"/>
  <c r="BL39" i="2"/>
  <c r="N13" i="3"/>
  <c r="CE15" i="4"/>
  <c r="N45" i="4"/>
  <c r="BL49" i="4"/>
  <c r="N15" i="5"/>
  <c r="BT16" i="5"/>
  <c r="CE26" i="5"/>
  <c r="CE38" i="5"/>
  <c r="BL47" i="5"/>
  <c r="N26" i="5"/>
  <c r="CE16" i="6"/>
  <c r="BL18" i="6"/>
  <c r="N29" i="6"/>
  <c r="BT15" i="2"/>
  <c r="BL40" i="2"/>
  <c r="BL14" i="3"/>
  <c r="N48" i="3"/>
  <c r="N19" i="4"/>
  <c r="N20" i="5"/>
  <c r="N32" i="5"/>
  <c r="BL48" i="5"/>
  <c r="BL49" i="6"/>
  <c r="BL12" i="2"/>
  <c r="BL32" i="2"/>
  <c r="BL41" i="2"/>
  <c r="BL47" i="2"/>
  <c r="N40" i="3"/>
  <c r="N15" i="4"/>
  <c r="N50" i="5"/>
  <c r="BL27" i="6"/>
  <c r="BL23" i="2"/>
  <c r="BL33" i="2"/>
  <c r="BL48" i="2"/>
  <c r="N23" i="3"/>
  <c r="CE44" i="3"/>
  <c r="N32" i="6"/>
  <c r="BL31" i="6"/>
  <c r="N25" i="2"/>
  <c r="N44" i="2"/>
  <c r="BT46" i="2"/>
  <c r="BL50" i="2"/>
  <c r="BL22" i="3"/>
  <c r="BL49" i="3"/>
  <c r="N21" i="4"/>
  <c r="N11" i="5"/>
  <c r="BT28" i="5"/>
  <c r="CE29" i="5"/>
  <c r="BL18" i="2"/>
  <c r="BT44" i="4"/>
  <c r="BT18" i="6"/>
  <c r="CE26" i="6"/>
  <c r="N43" i="6"/>
  <c r="BL15" i="2"/>
  <c r="N36" i="2"/>
  <c r="N46" i="2"/>
  <c r="N12" i="3"/>
  <c r="CE14" i="3"/>
  <c r="CE30" i="3"/>
  <c r="BL34" i="3"/>
  <c r="BT38" i="3"/>
  <c r="BT23" i="4"/>
  <c r="N36" i="4"/>
  <c r="N23" i="5"/>
  <c r="CE42" i="5"/>
  <c r="BL43" i="6"/>
  <c r="N46" i="6"/>
  <c r="CE13" i="6"/>
  <c r="N47" i="6"/>
  <c r="N21" i="2"/>
  <c r="BL27" i="2"/>
  <c r="N30" i="2"/>
  <c r="CE33" i="2"/>
  <c r="N39" i="2"/>
  <c r="CE42" i="2"/>
  <c r="BL11" i="3"/>
  <c r="CE15" i="3"/>
  <c r="N23" i="4"/>
  <c r="N29" i="4"/>
  <c r="N49" i="4"/>
  <c r="BT15" i="5"/>
  <c r="BT25" i="5"/>
  <c r="N47" i="5"/>
  <c r="BL46" i="6"/>
  <c r="BL16" i="2"/>
  <c r="BT24" i="2"/>
  <c r="BL26" i="3"/>
  <c r="N38" i="3"/>
  <c r="N30" i="5"/>
  <c r="N12" i="6"/>
  <c r="BL36" i="6"/>
  <c r="BL47" i="6"/>
  <c r="BL14" i="6"/>
  <c r="BL22" i="6"/>
  <c r="BT25" i="6"/>
  <c r="N27" i="6"/>
  <c r="BL35" i="6"/>
  <c r="BL37" i="6"/>
  <c r="N24" i="2"/>
  <c r="BT20" i="3"/>
  <c r="BT35" i="3"/>
  <c r="BL41" i="3"/>
  <c r="BT11" i="2"/>
  <c r="N13" i="2"/>
  <c r="BL19" i="2"/>
  <c r="N37" i="2"/>
  <c r="BL46" i="2"/>
  <c r="BL49" i="2"/>
  <c r="CE13" i="3"/>
  <c r="BL19" i="3"/>
  <c r="BL27" i="3"/>
  <c r="N34" i="3"/>
  <c r="N49" i="3"/>
  <c r="N31" i="4"/>
  <c r="CE36" i="4"/>
  <c r="CE43" i="4"/>
  <c r="N46" i="4"/>
  <c r="BT47" i="4"/>
  <c r="BT21" i="5"/>
  <c r="N29" i="5"/>
  <c r="N41" i="5"/>
  <c r="BT12" i="6"/>
  <c r="N16" i="6"/>
  <c r="BT20" i="6"/>
  <c r="N30" i="6"/>
  <c r="N44" i="6"/>
  <c r="N45" i="6"/>
  <c r="N33" i="2"/>
  <c r="N35" i="2"/>
  <c r="BL15" i="3"/>
  <c r="N12" i="4"/>
  <c r="N16" i="4"/>
  <c r="CE21" i="2"/>
  <c r="BL42" i="2"/>
  <c r="BT47" i="2"/>
  <c r="BL12" i="3"/>
  <c r="BL23" i="3"/>
  <c r="BL24" i="3"/>
  <c r="BT25" i="3"/>
  <c r="N44" i="3"/>
  <c r="N45" i="3"/>
  <c r="CE28" i="4"/>
  <c r="N47" i="4"/>
  <c r="N21" i="5"/>
  <c r="BT24" i="5"/>
  <c r="N36" i="5"/>
  <c r="BT36" i="5"/>
  <c r="N19" i="6"/>
  <c r="N39" i="6"/>
  <c r="BL44" i="6"/>
  <c r="BL13" i="2"/>
  <c r="BL26" i="2"/>
  <c r="N43" i="2"/>
  <c r="N16" i="3"/>
  <c r="N29" i="3"/>
  <c r="N50" i="3"/>
  <c r="N13" i="4"/>
  <c r="N39" i="4"/>
  <c r="N43" i="4"/>
  <c r="N39" i="5"/>
  <c r="BL16" i="6"/>
  <c r="BL28" i="6"/>
  <c r="BL29" i="6"/>
  <c r="BL39" i="6"/>
  <c r="N46" i="3"/>
  <c r="D51" i="4"/>
  <c r="N11" i="2"/>
  <c r="N31" i="2"/>
  <c r="BT11" i="3"/>
  <c r="BL39" i="3"/>
  <c r="BL40" i="3"/>
  <c r="N14" i="4"/>
  <c r="N20" i="4"/>
  <c r="N28" i="4"/>
  <c r="N33" i="4"/>
  <c r="N16" i="5"/>
  <c r="N19" i="5"/>
  <c r="N27" i="5"/>
  <c r="N25" i="6"/>
  <c r="N33" i="6"/>
  <c r="CE36" i="6"/>
  <c r="BT12" i="2"/>
  <c r="BT32" i="2"/>
  <c r="BL38" i="2"/>
  <c r="N14" i="3"/>
  <c r="CE22" i="3"/>
  <c r="N32" i="3"/>
  <c r="BL35" i="3"/>
  <c r="N36" i="3"/>
  <c r="N47" i="3"/>
  <c r="CE18" i="4"/>
  <c r="N13" i="5"/>
  <c r="BT31" i="5"/>
  <c r="N33" i="5"/>
  <c r="CE40" i="5"/>
  <c r="N43" i="5"/>
  <c r="CE48" i="5"/>
  <c r="BL20" i="6"/>
  <c r="BT22" i="6"/>
  <c r="BL25" i="6"/>
  <c r="BL32" i="6"/>
  <c r="N40" i="6"/>
  <c r="N42" i="6"/>
  <c r="BT50" i="6"/>
  <c r="N26" i="2"/>
  <c r="BL28" i="2"/>
  <c r="BL29" i="2"/>
  <c r="BL34" i="2"/>
  <c r="BL36" i="2"/>
  <c r="BT49" i="2"/>
  <c r="BT27" i="3"/>
  <c r="BL31" i="3"/>
  <c r="BT33" i="3"/>
  <c r="BL46" i="3"/>
  <c r="N11" i="4"/>
  <c r="BT30" i="4"/>
  <c r="N22" i="5"/>
  <c r="CE34" i="5"/>
  <c r="CE37" i="5"/>
  <c r="BT15" i="6"/>
  <c r="N26" i="6"/>
  <c r="CE27" i="6"/>
  <c r="BT37" i="6"/>
  <c r="CE43" i="6"/>
  <c r="N29" i="2"/>
  <c r="BL11" i="2"/>
  <c r="N12" i="2"/>
  <c r="N22" i="2"/>
  <c r="CE29" i="2"/>
  <c r="N32" i="2"/>
  <c r="N40" i="2"/>
  <c r="BL44" i="2"/>
  <c r="N48" i="2"/>
  <c r="BL36" i="3"/>
  <c r="N34" i="4"/>
  <c r="N41" i="4"/>
  <c r="N48" i="4"/>
  <c r="BT20" i="5"/>
  <c r="N31" i="5"/>
  <c r="N37" i="5"/>
  <c r="N21" i="6"/>
  <c r="N36" i="6"/>
  <c r="N48" i="6"/>
  <c r="N49" i="6"/>
  <c r="N18" i="2"/>
  <c r="N41" i="2"/>
  <c r="N26" i="4"/>
  <c r="N30" i="4"/>
  <c r="N25" i="5"/>
  <c r="N45" i="5"/>
  <c r="N13" i="6"/>
  <c r="N14" i="6"/>
  <c r="N18" i="6"/>
  <c r="N22" i="6"/>
  <c r="BL26" i="6"/>
  <c r="CE38" i="6"/>
  <c r="N16" i="2"/>
  <c r="N19" i="2"/>
  <c r="BL22" i="2"/>
  <c r="N23" i="2"/>
  <c r="N28" i="2"/>
  <c r="BL45" i="2"/>
  <c r="N27" i="3"/>
  <c r="N37" i="3"/>
  <c r="N34" i="5"/>
  <c r="CE19" i="6"/>
  <c r="BL21" i="6"/>
  <c r="BL34" i="6"/>
  <c r="CG44" i="15"/>
  <c r="BU50" i="12"/>
  <c r="BU19" i="14"/>
  <c r="BU45" i="14"/>
  <c r="BL22" i="15"/>
  <c r="BU32" i="12"/>
  <c r="N39" i="12"/>
  <c r="CG19" i="13"/>
  <c r="N36" i="13"/>
  <c r="N45" i="13"/>
  <c r="BL12" i="14"/>
  <c r="CG24" i="14"/>
  <c r="N30" i="14"/>
  <c r="BU31" i="14"/>
  <c r="AJ34" i="14"/>
  <c r="BL35" i="14"/>
  <c r="BL47" i="14"/>
  <c r="BU49" i="14"/>
  <c r="BL12" i="15"/>
  <c r="BU19" i="15"/>
  <c r="BL30" i="15"/>
  <c r="BU49" i="16"/>
  <c r="BU11" i="12"/>
  <c r="BU47" i="13"/>
  <c r="BL19" i="15"/>
  <c r="N15" i="12"/>
  <c r="N25" i="13"/>
  <c r="N33" i="13"/>
  <c r="N13" i="14"/>
  <c r="BL16" i="15"/>
  <c r="BL23" i="15"/>
  <c r="BL31" i="15"/>
  <c r="BL24" i="15"/>
  <c r="BL42" i="15"/>
  <c r="N11" i="13"/>
  <c r="BU21" i="13"/>
  <c r="BL26" i="13"/>
  <c r="BU41" i="13"/>
  <c r="BU20" i="14"/>
  <c r="BL30" i="14"/>
  <c r="BU32" i="14"/>
  <c r="BL37" i="14"/>
  <c r="BL48" i="14"/>
  <c r="BL13" i="15"/>
  <c r="BL17" i="15"/>
  <c r="BL25" i="15"/>
  <c r="BL37" i="13"/>
  <c r="CG11" i="15"/>
  <c r="BL26" i="15"/>
  <c r="BL44" i="15"/>
  <c r="CG37" i="13"/>
  <c r="BL31" i="12"/>
  <c r="CG47" i="12"/>
  <c r="BL50" i="12"/>
  <c r="CG22" i="13"/>
  <c r="N15" i="14"/>
  <c r="BL19" i="14"/>
  <c r="N20" i="14"/>
  <c r="CG21" i="14"/>
  <c r="BU27" i="14"/>
  <c r="BL31" i="14"/>
  <c r="N32" i="14"/>
  <c r="N40" i="14"/>
  <c r="CG42" i="14"/>
  <c r="BL14" i="15"/>
  <c r="CG22" i="15"/>
  <c r="BU39" i="16"/>
  <c r="CG40" i="16"/>
  <c r="BL19" i="13"/>
  <c r="BL15" i="15"/>
  <c r="BL27" i="15"/>
  <c r="BL35" i="15"/>
  <c r="BU18" i="13"/>
  <c r="BL25" i="12"/>
  <c r="N26" i="12"/>
  <c r="BL35" i="12"/>
  <c r="BL44" i="12"/>
  <c r="BU48" i="12"/>
  <c r="BL14" i="13"/>
  <c r="BU23" i="13"/>
  <c r="BU12" i="14"/>
  <c r="BL15" i="14"/>
  <c r="N26" i="14"/>
  <c r="BL39" i="14"/>
  <c r="BL33" i="15"/>
  <c r="BL36" i="15"/>
  <c r="CG21" i="16"/>
  <c r="CG23" i="16"/>
  <c r="N27" i="12"/>
  <c r="BL33" i="12"/>
  <c r="BL45" i="12"/>
  <c r="BL20" i="13"/>
  <c r="BL25" i="14"/>
  <c r="BL40" i="14"/>
  <c r="BU44" i="14"/>
  <c r="BL50" i="14"/>
  <c r="BL20" i="15"/>
  <c r="BL28" i="15"/>
  <c r="BL34" i="15"/>
  <c r="BL37" i="15"/>
  <c r="BU30" i="16"/>
  <c r="BU43" i="16"/>
  <c r="BL13" i="13"/>
  <c r="BL18" i="13"/>
  <c r="N19" i="13"/>
  <c r="BU29" i="13"/>
  <c r="BU35" i="13"/>
  <c r="BU26" i="14"/>
  <c r="BU24" i="16"/>
  <c r="N15" i="13"/>
  <c r="N24" i="13"/>
  <c r="BU42" i="13"/>
  <c r="N50" i="13"/>
  <c r="CG22" i="14"/>
  <c r="BU26" i="15"/>
  <c r="BU31" i="15"/>
  <c r="BU45" i="15"/>
  <c r="BU49" i="15"/>
  <c r="D51" i="16"/>
  <c r="CG11" i="16"/>
  <c r="CG41" i="16"/>
  <c r="BU50" i="16"/>
  <c r="BU36" i="15"/>
  <c r="BL15" i="13"/>
  <c r="BL17" i="13"/>
  <c r="BU25" i="13"/>
  <c r="BL27" i="13"/>
  <c r="BL40" i="13"/>
  <c r="CG45" i="13"/>
  <c r="N31" i="14"/>
  <c r="CG37" i="14"/>
  <c r="BU37" i="15"/>
  <c r="BL39" i="15"/>
  <c r="BU42" i="15"/>
  <c r="CG25" i="16"/>
  <c r="N29" i="13"/>
  <c r="BU12" i="13"/>
  <c r="BL24" i="13"/>
  <c r="BL28" i="13"/>
  <c r="BU43" i="13"/>
  <c r="N11" i="14"/>
  <c r="N21" i="14"/>
  <c r="BU28" i="14"/>
  <c r="N37" i="14"/>
  <c r="BU46" i="15"/>
  <c r="BL48" i="15"/>
  <c r="CG19" i="16"/>
  <c r="CG26" i="16"/>
  <c r="BU35" i="16"/>
  <c r="BL33" i="13"/>
  <c r="N20" i="13"/>
  <c r="BL25" i="13"/>
  <c r="BU26" i="13"/>
  <c r="BL42" i="13"/>
  <c r="N12" i="14"/>
  <c r="N19" i="14"/>
  <c r="N23" i="14"/>
  <c r="BU38" i="14"/>
  <c r="BU15" i="15"/>
  <c r="BU38" i="15"/>
  <c r="BL41" i="15"/>
  <c r="BU43" i="15"/>
  <c r="BU14" i="16"/>
  <c r="CG36" i="16"/>
  <c r="CG45" i="16"/>
  <c r="BU47" i="16"/>
  <c r="N16" i="14"/>
  <c r="CG33" i="14"/>
  <c r="CG23" i="15"/>
  <c r="BL45" i="15"/>
  <c r="BL49" i="15"/>
  <c r="BL11" i="13"/>
  <c r="CG14" i="13"/>
  <c r="N21" i="13"/>
  <c r="N22" i="13"/>
  <c r="N26" i="13"/>
  <c r="BU44" i="13"/>
  <c r="N49" i="14"/>
  <c r="CG39" i="15"/>
  <c r="CG47" i="15"/>
  <c r="CG15" i="16"/>
  <c r="BL30" i="13"/>
  <c r="BU32" i="13"/>
  <c r="N46" i="13"/>
  <c r="N33" i="14"/>
  <c r="CG16" i="15"/>
  <c r="BL50" i="15"/>
  <c r="CG38" i="16"/>
  <c r="CG48" i="16"/>
  <c r="BL12" i="13"/>
  <c r="BU15" i="13"/>
  <c r="CG24" i="13"/>
  <c r="N31" i="13"/>
  <c r="N38" i="13"/>
  <c r="BL43" i="13"/>
  <c r="N44" i="13"/>
  <c r="CG13" i="14"/>
  <c r="F51" i="15"/>
  <c r="BU25" i="15"/>
  <c r="CG33" i="15"/>
  <c r="N11" i="12"/>
  <c r="CG23" i="12"/>
  <c r="CG46" i="12"/>
  <c r="N49" i="12"/>
  <c r="CG29" i="12"/>
  <c r="CG33" i="12"/>
  <c r="N45" i="12"/>
  <c r="BU24" i="12"/>
  <c r="BU36" i="12"/>
  <c r="N33" i="12"/>
  <c r="N28" i="12"/>
  <c r="N32" i="12"/>
  <c r="BL15" i="12"/>
  <c r="N24" i="12"/>
  <c r="N47" i="12"/>
  <c r="N36" i="12"/>
  <c r="N18" i="12"/>
  <c r="BU31" i="12"/>
  <c r="N37" i="12"/>
  <c r="BU38" i="12"/>
  <c r="CG43" i="12"/>
  <c r="N48" i="12"/>
  <c r="N19" i="12"/>
  <c r="BU22" i="12"/>
  <c r="N38" i="12"/>
  <c r="Q51" i="6"/>
  <c r="AE51" i="5"/>
  <c r="Q51" i="3"/>
  <c r="Q51" i="2"/>
  <c r="Q51" i="4"/>
  <c r="AE51" i="3"/>
  <c r="AE51" i="2"/>
  <c r="Q51" i="5"/>
  <c r="AE51" i="4"/>
  <c r="AH29" i="3"/>
  <c r="K43" i="9"/>
  <c r="R29" i="6"/>
  <c r="T35" i="6"/>
  <c r="L43" i="9"/>
  <c r="F29" i="2"/>
  <c r="F51" i="2" s="1"/>
  <c r="F29" i="4"/>
  <c r="F51" i="4" s="1"/>
  <c r="G48" i="4" s="1"/>
  <c r="F29" i="5"/>
  <c r="F43" i="9"/>
  <c r="T29" i="3"/>
  <c r="AH29" i="2"/>
  <c r="AH29" i="5"/>
  <c r="F29" i="6"/>
  <c r="F29" i="3"/>
  <c r="F51" i="3" s="1"/>
  <c r="H33" i="25"/>
  <c r="H25" i="25"/>
  <c r="CG50" i="23"/>
  <c r="H29" i="25"/>
  <c r="AH50" i="23"/>
  <c r="AH50" i="24"/>
  <c r="AA50" i="23"/>
  <c r="AO50" i="25"/>
  <c r="AA50" i="24"/>
  <c r="AO50" i="22"/>
  <c r="AH50" i="25"/>
  <c r="AH50" i="22"/>
  <c r="AA50" i="22"/>
  <c r="AA50" i="25"/>
  <c r="AO50" i="23"/>
  <c r="AO50" i="24"/>
  <c r="H18" i="25"/>
  <c r="CS50" i="23"/>
  <c r="CS50" i="22"/>
  <c r="CG50" i="25"/>
  <c r="BU41" i="26"/>
  <c r="CS41" i="26"/>
  <c r="CG50" i="22"/>
  <c r="AM50" i="23"/>
  <c r="AM50" i="24"/>
  <c r="Y50" i="23"/>
  <c r="Y50" i="24"/>
  <c r="AM50" i="25"/>
  <c r="AM50" i="22"/>
  <c r="Y50" i="25"/>
  <c r="Y50" i="22"/>
  <c r="L50" i="26"/>
  <c r="Z50" i="25"/>
  <c r="L50" i="25"/>
  <c r="Z50" i="24"/>
  <c r="L50" i="24"/>
  <c r="Z50" i="23"/>
  <c r="L50" i="23"/>
  <c r="Z50" i="22"/>
  <c r="L50" i="22"/>
  <c r="H22" i="26"/>
  <c r="H41" i="26"/>
  <c r="H20" i="25"/>
  <c r="H16" i="25"/>
  <c r="H28" i="25"/>
  <c r="H23" i="24"/>
  <c r="H37" i="24"/>
  <c r="H48" i="24"/>
  <c r="H22" i="23"/>
  <c r="H18" i="23"/>
  <c r="H39" i="23"/>
  <c r="H20" i="22"/>
  <c r="H24" i="22"/>
  <c r="H17" i="22"/>
  <c r="H16" i="23"/>
  <c r="H20" i="23"/>
  <c r="H25" i="23"/>
  <c r="AP50" i="26"/>
  <c r="AQ23" i="26" s="1"/>
  <c r="BH50" i="26"/>
  <c r="AI50" i="26"/>
  <c r="AB50" i="26"/>
  <c r="AC12" i="26" s="1"/>
  <c r="BH50" i="25"/>
  <c r="AB50" i="25"/>
  <c r="AI50" i="25"/>
  <c r="AP50" i="25"/>
  <c r="AI50" i="24"/>
  <c r="BH50" i="24"/>
  <c r="AP50" i="24"/>
  <c r="AB50" i="24"/>
  <c r="BH50" i="23"/>
  <c r="AI50" i="23"/>
  <c r="AP50" i="23"/>
  <c r="AI50" i="22"/>
  <c r="AB50" i="23"/>
  <c r="BH50" i="22"/>
  <c r="AB50" i="22"/>
  <c r="AP50" i="22"/>
  <c r="AC35" i="26"/>
  <c r="H20" i="26"/>
  <c r="H35" i="26"/>
  <c r="H40" i="26"/>
  <c r="H27" i="26"/>
  <c r="AQ14" i="26"/>
  <c r="AQ13" i="26"/>
  <c r="AQ32" i="26"/>
  <c r="H27" i="24"/>
  <c r="H38" i="24"/>
  <c r="H25" i="22"/>
  <c r="H32" i="22"/>
  <c r="H30" i="22"/>
  <c r="AQ42" i="26"/>
  <c r="H31" i="26"/>
  <c r="H16" i="26"/>
  <c r="H36" i="26"/>
  <c r="AQ31" i="26"/>
  <c r="H13" i="25"/>
  <c r="H37" i="25"/>
  <c r="H14" i="25"/>
  <c r="H27" i="25"/>
  <c r="H49" i="25"/>
  <c r="CS50" i="24"/>
  <c r="H17" i="24"/>
  <c r="H19" i="24"/>
  <c r="H26" i="24"/>
  <c r="H41" i="24"/>
  <c r="H35" i="22"/>
  <c r="H22" i="22"/>
  <c r="H44" i="22"/>
  <c r="AC41" i="26"/>
  <c r="AC31" i="26"/>
  <c r="AC36" i="26"/>
  <c r="AC14" i="26"/>
  <c r="AC28" i="26"/>
  <c r="AC25" i="26"/>
  <c r="AQ41" i="26"/>
  <c r="AC38" i="26"/>
  <c r="AQ30" i="26"/>
  <c r="H28" i="26"/>
  <c r="H46" i="26"/>
  <c r="AC24" i="26"/>
  <c r="CS50" i="25"/>
  <c r="H22" i="24"/>
  <c r="H28" i="24"/>
  <c r="H39" i="24"/>
  <c r="H18" i="22"/>
  <c r="AQ47" i="26"/>
  <c r="AC46" i="26"/>
  <c r="AQ20" i="26"/>
  <c r="H17" i="26"/>
  <c r="H47" i="26"/>
  <c r="AQ35" i="26"/>
  <c r="H12" i="25"/>
  <c r="H26" i="25"/>
  <c r="H47" i="25"/>
  <c r="H16" i="24"/>
  <c r="H47" i="24"/>
  <c r="H40" i="24"/>
  <c r="H31" i="23"/>
  <c r="H40" i="23"/>
  <c r="H17" i="23"/>
  <c r="H24" i="23"/>
  <c r="H15" i="22"/>
  <c r="I15" i="22" s="1"/>
  <c r="H19" i="22"/>
  <c r="H12" i="22"/>
  <c r="H16" i="22"/>
  <c r="H38" i="22"/>
  <c r="H41" i="22"/>
  <c r="H39" i="22"/>
  <c r="AQ36" i="26"/>
  <c r="AQ38" i="26"/>
  <c r="H32" i="26"/>
  <c r="H38" i="26"/>
  <c r="AC34" i="26"/>
  <c r="H17" i="25"/>
  <c r="H40" i="25"/>
  <c r="H46" i="25"/>
  <c r="H15" i="24"/>
  <c r="H30" i="24"/>
  <c r="H42" i="24"/>
  <c r="H33" i="23"/>
  <c r="H36" i="23"/>
  <c r="H14" i="22"/>
  <c r="H27" i="22"/>
  <c r="AQ24" i="26"/>
  <c r="H45" i="26"/>
  <c r="H22" i="25"/>
  <c r="H24" i="25"/>
  <c r="H44" i="25"/>
  <c r="H24" i="24"/>
  <c r="H31" i="24"/>
  <c r="H36" i="24"/>
  <c r="H38" i="23"/>
  <c r="H32" i="23"/>
  <c r="I32" i="23" s="1"/>
  <c r="H28" i="22"/>
  <c r="H42" i="22"/>
  <c r="AQ39" i="26"/>
  <c r="AC32" i="26"/>
  <c r="H13" i="26"/>
  <c r="H34" i="26"/>
  <c r="H18" i="26"/>
  <c r="H14" i="26"/>
  <c r="H19" i="26"/>
  <c r="H12" i="26"/>
  <c r="H23" i="26"/>
  <c r="H26" i="26"/>
  <c r="H37" i="26"/>
  <c r="H43" i="26"/>
  <c r="H21" i="25"/>
  <c r="H34" i="25"/>
  <c r="H48" i="25"/>
  <c r="H14" i="24"/>
  <c r="I20" i="24" s="1"/>
  <c r="H35" i="24"/>
  <c r="H45" i="24"/>
  <c r="H35" i="23"/>
  <c r="H47" i="23"/>
  <c r="H21" i="22"/>
  <c r="H36" i="22"/>
  <c r="H40" i="22"/>
  <c r="H37" i="22"/>
  <c r="AQ49" i="26"/>
  <c r="AQ48" i="26"/>
  <c r="AQ34" i="26"/>
  <c r="AQ43" i="26"/>
  <c r="AQ26" i="26"/>
  <c r="AQ16" i="26"/>
  <c r="AQ25" i="26"/>
  <c r="AQ19" i="26"/>
  <c r="AQ21" i="26"/>
  <c r="AQ15" i="26"/>
  <c r="AQ12" i="26"/>
  <c r="AQ17" i="26"/>
  <c r="AQ37" i="26"/>
  <c r="AQ33" i="26"/>
  <c r="H30" i="26"/>
  <c r="H49" i="26"/>
  <c r="AQ22" i="26"/>
  <c r="H13" i="24"/>
  <c r="I21" i="24" s="1"/>
  <c r="H33" i="24"/>
  <c r="H46" i="24"/>
  <c r="H42" i="23"/>
  <c r="H43" i="23"/>
  <c r="H43" i="22"/>
  <c r="H48" i="22"/>
  <c r="AQ29" i="26"/>
  <c r="AQ44" i="26"/>
  <c r="H21" i="26"/>
  <c r="H33" i="26"/>
  <c r="H42" i="26"/>
  <c r="I49" i="23"/>
  <c r="H26" i="22"/>
  <c r="H47" i="22"/>
  <c r="AC40" i="26"/>
  <c r="AQ45" i="26"/>
  <c r="AC37" i="26"/>
  <c r="AQ28" i="26"/>
  <c r="AC17" i="26"/>
  <c r="H25" i="26"/>
  <c r="H39" i="26"/>
  <c r="AC13" i="26"/>
  <c r="H15" i="26"/>
  <c r="H19" i="25"/>
  <c r="H42" i="25"/>
  <c r="H29" i="24"/>
  <c r="I29" i="24" s="1"/>
  <c r="H34" i="24"/>
  <c r="H44" i="24"/>
  <c r="H30" i="23"/>
  <c r="H13" i="22"/>
  <c r="H33" i="22"/>
  <c r="H46" i="22"/>
  <c r="H23" i="22"/>
  <c r="R50" i="26"/>
  <c r="AF50" i="26"/>
  <c r="AJ38" i="26" s="1"/>
  <c r="AF50" i="25"/>
  <c r="R50" i="25"/>
  <c r="AF50" i="24"/>
  <c r="R50" i="24"/>
  <c r="AF50" i="23"/>
  <c r="R50" i="23"/>
  <c r="AF50" i="22"/>
  <c r="R50" i="22"/>
  <c r="AC47" i="26"/>
  <c r="CG39" i="26"/>
  <c r="CG50" i="26" s="1"/>
  <c r="CS39" i="26"/>
  <c r="CS50" i="26" s="1"/>
  <c r="BU39" i="26"/>
  <c r="AC39" i="26"/>
  <c r="H24" i="26"/>
  <c r="H29" i="26"/>
  <c r="AJ17" i="26"/>
  <c r="AQ27" i="26"/>
  <c r="H23" i="25"/>
  <c r="H30" i="25"/>
  <c r="H25" i="24"/>
  <c r="H18" i="24"/>
  <c r="I45" i="23"/>
  <c r="I44" i="23"/>
  <c r="H34" i="22"/>
  <c r="H45" i="22"/>
  <c r="H12" i="23"/>
  <c r="I29" i="23" s="1"/>
  <c r="H31" i="22"/>
  <c r="H49" i="22"/>
  <c r="CA58" i="12"/>
  <c r="CB58" i="12" s="1"/>
  <c r="CC58" i="12" s="1"/>
  <c r="CD58" i="12" s="1"/>
  <c r="CE58" i="12" s="1"/>
  <c r="CF58" i="12" s="1"/>
  <c r="CG58" i="12" s="1"/>
  <c r="CH58" i="12" s="1"/>
  <c r="CI58" i="12" s="1"/>
  <c r="CJ58" i="12" s="1"/>
  <c r="CK58" i="12" s="1"/>
  <c r="CL58" i="12" s="1"/>
  <c r="CM58" i="12" s="1"/>
  <c r="CN58" i="12" s="1"/>
  <c r="CO58" i="12" s="1"/>
  <c r="BP58" i="12"/>
  <c r="BQ58" i="12" s="1"/>
  <c r="BU37" i="12"/>
  <c r="CG37" i="12"/>
  <c r="BL35" i="13"/>
  <c r="N35" i="13"/>
  <c r="D51" i="12"/>
  <c r="BU21" i="12"/>
  <c r="N20" i="12"/>
  <c r="BU26" i="12"/>
  <c r="CG35" i="12"/>
  <c r="BU14" i="12"/>
  <c r="BU16" i="12"/>
  <c r="CG16" i="12"/>
  <c r="BU41" i="12"/>
  <c r="CG41" i="12"/>
  <c r="BU15" i="12"/>
  <c r="CG15" i="12"/>
  <c r="N12" i="12"/>
  <c r="AC34" i="12"/>
  <c r="AQ34" i="12"/>
  <c r="AJ34" i="12"/>
  <c r="V34" i="12"/>
  <c r="BE34" i="12"/>
  <c r="O34" i="12"/>
  <c r="N22" i="12"/>
  <c r="C51" i="12"/>
  <c r="BU20" i="12"/>
  <c r="F51" i="13"/>
  <c r="N30" i="12"/>
  <c r="N35" i="12"/>
  <c r="BL22" i="13"/>
  <c r="BL39" i="13"/>
  <c r="N39" i="13"/>
  <c r="BU18" i="12"/>
  <c r="CG18" i="12"/>
  <c r="BU27" i="12"/>
  <c r="N28" i="13"/>
  <c r="CA58" i="13"/>
  <c r="CB58" i="13" s="1"/>
  <c r="CC58" i="13" s="1"/>
  <c r="CD58" i="13" s="1"/>
  <c r="CE58" i="13" s="1"/>
  <c r="CF58" i="13" s="1"/>
  <c r="CG58" i="13" s="1"/>
  <c r="CH58" i="13" s="1"/>
  <c r="CI58" i="13" s="1"/>
  <c r="CJ58" i="13" s="1"/>
  <c r="CK58" i="13" s="1"/>
  <c r="CL58" i="13" s="1"/>
  <c r="CM58" i="13" s="1"/>
  <c r="CN58" i="13" s="1"/>
  <c r="CO58" i="13" s="1"/>
  <c r="BP58" i="13"/>
  <c r="BQ58" i="13" s="1"/>
  <c r="N23" i="12"/>
  <c r="BU16" i="13"/>
  <c r="CG16" i="13"/>
  <c r="BU28" i="12"/>
  <c r="BU39" i="12"/>
  <c r="BU40" i="12"/>
  <c r="N14" i="13"/>
  <c r="F51" i="12"/>
  <c r="N40" i="12"/>
  <c r="N50" i="12"/>
  <c r="N14" i="12"/>
  <c r="N21" i="12"/>
  <c r="N13" i="12"/>
  <c r="N25" i="12"/>
  <c r="BU44" i="12"/>
  <c r="CG44" i="12"/>
  <c r="C51" i="13"/>
  <c r="N43" i="12"/>
  <c r="CG36" i="13"/>
  <c r="BU36" i="13"/>
  <c r="E51" i="12"/>
  <c r="E51" i="13"/>
  <c r="N13" i="13"/>
  <c r="BU39" i="13"/>
  <c r="CG39" i="13"/>
  <c r="N29" i="12"/>
  <c r="N44" i="12"/>
  <c r="BE17" i="13"/>
  <c r="BE34" i="13"/>
  <c r="N12" i="13"/>
  <c r="CG11" i="13"/>
  <c r="BU13" i="13"/>
  <c r="CG13" i="13"/>
  <c r="N16" i="13"/>
  <c r="BL21" i="13"/>
  <c r="N42" i="12"/>
  <c r="N46" i="12"/>
  <c r="N37" i="13"/>
  <c r="BL42" i="12"/>
  <c r="BL36" i="12"/>
  <c r="BU27" i="13"/>
  <c r="D51" i="13"/>
  <c r="CG20" i="13"/>
  <c r="BU20" i="13"/>
  <c r="BU33" i="13"/>
  <c r="N47" i="13"/>
  <c r="BL47" i="13"/>
  <c r="AJ34" i="13"/>
  <c r="AQ34" i="13"/>
  <c r="O34" i="13"/>
  <c r="V34" i="13"/>
  <c r="N23" i="13"/>
  <c r="N27" i="13"/>
  <c r="N30" i="13"/>
  <c r="BL32" i="13"/>
  <c r="BL41" i="13"/>
  <c r="BL29" i="13"/>
  <c r="BL31" i="13"/>
  <c r="CG38" i="13"/>
  <c r="BU38" i="13"/>
  <c r="N18" i="13"/>
  <c r="BL36" i="13"/>
  <c r="N40" i="13"/>
  <c r="BL49" i="13"/>
  <c r="BL48" i="13"/>
  <c r="N41" i="13"/>
  <c r="N14" i="14"/>
  <c r="N42" i="13"/>
  <c r="BL46" i="13"/>
  <c r="BU48" i="13"/>
  <c r="N43" i="13"/>
  <c r="N48" i="13"/>
  <c r="BU11" i="14"/>
  <c r="N22" i="14"/>
  <c r="BL24" i="14"/>
  <c r="N24" i="14"/>
  <c r="N25" i="14"/>
  <c r="N18" i="14"/>
  <c r="BL50" i="13"/>
  <c r="BL38" i="13"/>
  <c r="BL44" i="13"/>
  <c r="E51" i="14"/>
  <c r="BE34" i="14"/>
  <c r="F51" i="14"/>
  <c r="CG15" i="14"/>
  <c r="N27" i="14"/>
  <c r="CA58" i="14"/>
  <c r="CB58" i="14" s="1"/>
  <c r="CC58" i="14" s="1"/>
  <c r="CD58" i="14" s="1"/>
  <c r="CE58" i="14" s="1"/>
  <c r="CF58" i="14" s="1"/>
  <c r="CG58" i="14" s="1"/>
  <c r="CH58" i="14" s="1"/>
  <c r="CI58" i="14" s="1"/>
  <c r="CJ58" i="14" s="1"/>
  <c r="CK58" i="14" s="1"/>
  <c r="CL58" i="14" s="1"/>
  <c r="CM58" i="14" s="1"/>
  <c r="CN58" i="14" s="1"/>
  <c r="CO58" i="14" s="1"/>
  <c r="BP58" i="14"/>
  <c r="BQ58" i="14" s="1"/>
  <c r="N49" i="13"/>
  <c r="N36" i="14"/>
  <c r="N29" i="14"/>
  <c r="CG36" i="14"/>
  <c r="CG29" i="14"/>
  <c r="N35" i="14"/>
  <c r="AC34" i="14"/>
  <c r="V34" i="14"/>
  <c r="AQ34" i="14"/>
  <c r="N45" i="14"/>
  <c r="CG40" i="13"/>
  <c r="CG46" i="13"/>
  <c r="CG14" i="14"/>
  <c r="N28" i="14"/>
  <c r="BU35" i="14"/>
  <c r="N39" i="14"/>
  <c r="N44" i="14"/>
  <c r="C51" i="14"/>
  <c r="G11" i="14" s="1"/>
  <c r="BU39" i="14"/>
  <c r="N41" i="14"/>
  <c r="D51" i="14"/>
  <c r="O34" i="14"/>
  <c r="BU41" i="14"/>
  <c r="N43" i="14"/>
  <c r="N47" i="14"/>
  <c r="N13" i="15"/>
  <c r="BE34" i="15"/>
  <c r="BE17" i="15"/>
  <c r="N48" i="14"/>
  <c r="N42" i="14"/>
  <c r="CG16" i="14"/>
  <c r="N50" i="14"/>
  <c r="AC34" i="15"/>
  <c r="AJ34" i="15"/>
  <c r="V34" i="15"/>
  <c r="O34" i="15"/>
  <c r="AQ34" i="15"/>
  <c r="CG21" i="15"/>
  <c r="CA58" i="15"/>
  <c r="CB58" i="15" s="1"/>
  <c r="CC58" i="15" s="1"/>
  <c r="CD58" i="15" s="1"/>
  <c r="CE58" i="15" s="1"/>
  <c r="CF58" i="15" s="1"/>
  <c r="CG58" i="15" s="1"/>
  <c r="CH58" i="15" s="1"/>
  <c r="CI58" i="15" s="1"/>
  <c r="CJ58" i="15" s="1"/>
  <c r="CK58" i="15" s="1"/>
  <c r="CL58" i="15" s="1"/>
  <c r="CM58" i="15" s="1"/>
  <c r="CN58" i="15" s="1"/>
  <c r="CO58" i="15" s="1"/>
  <c r="BP58" i="15"/>
  <c r="BQ58" i="15" s="1"/>
  <c r="CG43" i="14"/>
  <c r="CG14" i="15"/>
  <c r="CG20" i="15"/>
  <c r="BU35" i="15"/>
  <c r="BU27" i="15"/>
  <c r="BU40" i="15"/>
  <c r="CG50" i="15"/>
  <c r="N48" i="15"/>
  <c r="L51" i="16"/>
  <c r="Z51" i="15"/>
  <c r="L51" i="15"/>
  <c r="N11" i="15" s="1"/>
  <c r="C51" i="15"/>
  <c r="G30" i="15" s="1"/>
  <c r="CG29" i="15"/>
  <c r="D51" i="15"/>
  <c r="E51" i="15"/>
  <c r="N49" i="15"/>
  <c r="BU13" i="16"/>
  <c r="CG13" i="16"/>
  <c r="N46" i="15"/>
  <c r="CG20" i="16"/>
  <c r="BU20" i="16"/>
  <c r="N50" i="15"/>
  <c r="CG16" i="16"/>
  <c r="BU16" i="16"/>
  <c r="CG24" i="15"/>
  <c r="CG30" i="15"/>
  <c r="BL46" i="15"/>
  <c r="BL40" i="15"/>
  <c r="CA58" i="16"/>
  <c r="CB58" i="16" s="1"/>
  <c r="CC58" i="16" s="1"/>
  <c r="CD58" i="16" s="1"/>
  <c r="CE58" i="16" s="1"/>
  <c r="CF58" i="16" s="1"/>
  <c r="CG58" i="16" s="1"/>
  <c r="CH58" i="16" s="1"/>
  <c r="CI58" i="16" s="1"/>
  <c r="CJ58" i="16" s="1"/>
  <c r="CK58" i="16" s="1"/>
  <c r="CL58" i="16" s="1"/>
  <c r="CM58" i="16" s="1"/>
  <c r="CN58" i="16" s="1"/>
  <c r="CO58" i="16" s="1"/>
  <c r="BP58" i="16"/>
  <c r="BQ58" i="16" s="1"/>
  <c r="BU18" i="16"/>
  <c r="CG41" i="15"/>
  <c r="BU33" i="16"/>
  <c r="CG33" i="16"/>
  <c r="E51" i="16"/>
  <c r="BE34" i="16"/>
  <c r="F51" i="16"/>
  <c r="BU27" i="16"/>
  <c r="CG44" i="16"/>
  <c r="BU44" i="16"/>
  <c r="BU31" i="16"/>
  <c r="CG32" i="16"/>
  <c r="BU46" i="16"/>
  <c r="CG46" i="16"/>
  <c r="AA51" i="16"/>
  <c r="M51" i="16"/>
  <c r="BL31" i="16" s="1"/>
  <c r="X47" i="16"/>
  <c r="B44" i="21"/>
  <c r="AL47" i="16"/>
  <c r="AE47" i="16"/>
  <c r="CG22" i="16"/>
  <c r="C51" i="16"/>
  <c r="T35" i="16"/>
  <c r="K43" i="19"/>
  <c r="K51" i="16"/>
  <c r="Y51" i="16"/>
  <c r="AQ34" i="16"/>
  <c r="AC34" i="16"/>
  <c r="CG37" i="16"/>
  <c r="J43" i="18"/>
  <c r="E43" i="19"/>
  <c r="CG42" i="16"/>
  <c r="AN51" i="16"/>
  <c r="Z51" i="16"/>
  <c r="AF51" i="16"/>
  <c r="CE27" i="2"/>
  <c r="BT27" i="2"/>
  <c r="CE39" i="2"/>
  <c r="BT39" i="2"/>
  <c r="BL14" i="2"/>
  <c r="N14" i="2"/>
  <c r="N20" i="2"/>
  <c r="BT13" i="2"/>
  <c r="BT19" i="2"/>
  <c r="C51" i="2"/>
  <c r="BT26" i="2"/>
  <c r="CE26" i="2"/>
  <c r="BT28" i="2"/>
  <c r="D51" i="2"/>
  <c r="N49" i="2"/>
  <c r="N50" i="2"/>
  <c r="E51" i="2"/>
  <c r="CE35" i="2"/>
  <c r="BT35" i="2"/>
  <c r="H34" i="3"/>
  <c r="BE34" i="3" s="1"/>
  <c r="G34" i="3"/>
  <c r="BT22" i="2"/>
  <c r="CE22" i="2"/>
  <c r="CE43" i="2"/>
  <c r="BT43" i="2"/>
  <c r="CE41" i="2"/>
  <c r="BT41" i="2"/>
  <c r="BE34" i="2"/>
  <c r="CE25" i="2"/>
  <c r="N27" i="2"/>
  <c r="CE40" i="2"/>
  <c r="BT34" i="2"/>
  <c r="CE34" i="2"/>
  <c r="BT36" i="2"/>
  <c r="BT44" i="2"/>
  <c r="CE23" i="2"/>
  <c r="BT23" i="2"/>
  <c r="BT38" i="2"/>
  <c r="CE38" i="2"/>
  <c r="BT48" i="2"/>
  <c r="CE48" i="2"/>
  <c r="N24" i="3"/>
  <c r="BT18" i="2"/>
  <c r="CE18" i="2"/>
  <c r="BT30" i="2"/>
  <c r="CE30" i="2"/>
  <c r="N11" i="3"/>
  <c r="BT23" i="3"/>
  <c r="CE23" i="3"/>
  <c r="N42" i="2"/>
  <c r="N38" i="2"/>
  <c r="CE26" i="3"/>
  <c r="BT26" i="3"/>
  <c r="BT43" i="3"/>
  <c r="CE43" i="3"/>
  <c r="N45" i="2"/>
  <c r="BL16" i="3"/>
  <c r="BT18" i="3"/>
  <c r="CE18" i="3"/>
  <c r="CE37" i="2"/>
  <c r="BT37" i="2"/>
  <c r="N20" i="3"/>
  <c r="BT21" i="3"/>
  <c r="CE21" i="3"/>
  <c r="BL20" i="3"/>
  <c r="N28" i="3"/>
  <c r="N35" i="3"/>
  <c r="CE32" i="3"/>
  <c r="BT32" i="3"/>
  <c r="N19" i="3"/>
  <c r="BL28" i="3"/>
  <c r="CE42" i="3"/>
  <c r="BT42" i="3"/>
  <c r="CE50" i="3"/>
  <c r="BT50" i="3"/>
  <c r="BE17" i="3"/>
  <c r="N22" i="3"/>
  <c r="BT34" i="3"/>
  <c r="CE39" i="3"/>
  <c r="BT39" i="3"/>
  <c r="CE24" i="3"/>
  <c r="CE29" i="3"/>
  <c r="BT29" i="3"/>
  <c r="C51" i="3"/>
  <c r="BT39" i="4"/>
  <c r="CE39" i="4"/>
  <c r="N18" i="3"/>
  <c r="N21" i="3"/>
  <c r="N30" i="3"/>
  <c r="N25" i="3"/>
  <c r="N33" i="3"/>
  <c r="D51" i="3"/>
  <c r="BT37" i="3"/>
  <c r="N42" i="3"/>
  <c r="N43" i="3"/>
  <c r="E51" i="3"/>
  <c r="BT49" i="3"/>
  <c r="CE49" i="3"/>
  <c r="BL30" i="3"/>
  <c r="BL38" i="3"/>
  <c r="BL44" i="3"/>
  <c r="BT45" i="3"/>
  <c r="CE45" i="3"/>
  <c r="BL47" i="3"/>
  <c r="G34" i="4"/>
  <c r="H34" i="4"/>
  <c r="BL25" i="3"/>
  <c r="CE31" i="3"/>
  <c r="BL33" i="3"/>
  <c r="BL42" i="3"/>
  <c r="BL43" i="3"/>
  <c r="CE48" i="3"/>
  <c r="BE34" i="4"/>
  <c r="BL45" i="3"/>
  <c r="BL50" i="3"/>
  <c r="BT20" i="4"/>
  <c r="N26" i="3"/>
  <c r="BT14" i="4"/>
  <c r="N39" i="3"/>
  <c r="BT22" i="4"/>
  <c r="CE22" i="4"/>
  <c r="C51" i="4"/>
  <c r="N41" i="3"/>
  <c r="BL29" i="3"/>
  <c r="BL37" i="3"/>
  <c r="BT41" i="3"/>
  <c r="CE41" i="3"/>
  <c r="BT46" i="3"/>
  <c r="CE24" i="4"/>
  <c r="BT29" i="4"/>
  <c r="E51" i="4"/>
  <c r="BT41" i="4"/>
  <c r="CE41" i="4"/>
  <c r="CE16" i="4"/>
  <c r="N22" i="4"/>
  <c r="BT26" i="4"/>
  <c r="CE26" i="4"/>
  <c r="BT34" i="4"/>
  <c r="CE34" i="4"/>
  <c r="BT13" i="4"/>
  <c r="CE13" i="4"/>
  <c r="N25" i="4"/>
  <c r="BT37" i="4"/>
  <c r="N38" i="4"/>
  <c r="N24" i="4"/>
  <c r="BT31" i="4"/>
  <c r="CE31" i="4"/>
  <c r="N18" i="4"/>
  <c r="BT32" i="4"/>
  <c r="BT40" i="4"/>
  <c r="BT45" i="4"/>
  <c r="CE45" i="4"/>
  <c r="N32" i="4"/>
  <c r="N40" i="4"/>
  <c r="CE46" i="4"/>
  <c r="BT46" i="4"/>
  <c r="BT12" i="5"/>
  <c r="CE12" i="5"/>
  <c r="BT39" i="5"/>
  <c r="CE39" i="5"/>
  <c r="N27" i="4"/>
  <c r="N35" i="4"/>
  <c r="BT14" i="5"/>
  <c r="CE18" i="5"/>
  <c r="N24" i="5"/>
  <c r="N14" i="5"/>
  <c r="G34" i="5"/>
  <c r="H34" i="5"/>
  <c r="BE17" i="5"/>
  <c r="BE34" i="5"/>
  <c r="N50" i="4"/>
  <c r="N12" i="5"/>
  <c r="BT30" i="5"/>
  <c r="CE30" i="5"/>
  <c r="N35" i="5"/>
  <c r="CE41" i="5"/>
  <c r="BT41" i="5"/>
  <c r="N38" i="5"/>
  <c r="C51" i="5"/>
  <c r="G32" i="5" s="1"/>
  <c r="F51" i="5"/>
  <c r="N40" i="5"/>
  <c r="BT43" i="5"/>
  <c r="CE49" i="5"/>
  <c r="BT49" i="5"/>
  <c r="N42" i="5"/>
  <c r="CE14" i="6"/>
  <c r="BT14" i="6"/>
  <c r="D51" i="5"/>
  <c r="E51" i="5"/>
  <c r="N48" i="5"/>
  <c r="N46" i="5"/>
  <c r="BT47" i="5"/>
  <c r="N11" i="6"/>
  <c r="N44" i="5"/>
  <c r="BL15" i="6"/>
  <c r="BL13" i="6"/>
  <c r="BT32" i="6"/>
  <c r="N15" i="6"/>
  <c r="BT24" i="6"/>
  <c r="CE24" i="6"/>
  <c r="BL24" i="6"/>
  <c r="CE31" i="6"/>
  <c r="BT31" i="6"/>
  <c r="BE34" i="6"/>
  <c r="N37" i="6"/>
  <c r="BL12" i="6"/>
  <c r="N24" i="6"/>
  <c r="BL19" i="6"/>
  <c r="CE33" i="6"/>
  <c r="BL23" i="6"/>
  <c r="CE35" i="6"/>
  <c r="BT35" i="6"/>
  <c r="CE30" i="6"/>
  <c r="C51" i="6"/>
  <c r="CE28" i="6"/>
  <c r="E51" i="6"/>
  <c r="N41" i="6"/>
  <c r="N31" i="6"/>
  <c r="N34" i="6"/>
  <c r="O34" i="6" s="1"/>
  <c r="N35" i="6"/>
  <c r="BL33" i="6"/>
  <c r="BT47" i="6"/>
  <c r="CE47" i="6"/>
  <c r="F51" i="6"/>
  <c r="N38" i="6"/>
  <c r="BL41" i="6"/>
  <c r="BT41" i="6"/>
  <c r="CE41" i="6"/>
  <c r="BT40" i="6"/>
  <c r="CE40" i="6"/>
  <c r="BL40" i="6"/>
  <c r="BT46" i="6"/>
  <c r="CE44" i="6"/>
  <c r="BT44" i="6"/>
  <c r="BT49" i="6"/>
  <c r="CE49" i="6"/>
  <c r="BT45" i="6"/>
  <c r="CE45" i="6"/>
  <c r="BL50" i="6"/>
  <c r="BL48" i="6"/>
  <c r="AG51" i="6"/>
  <c r="S51" i="6"/>
  <c r="N50" i="6"/>
  <c r="D51" i="6"/>
  <c r="CE48" i="6"/>
  <c r="BT48" i="6"/>
  <c r="AL51" i="6"/>
  <c r="X51" i="6"/>
  <c r="AE51" i="6"/>
  <c r="AH51" i="6"/>
  <c r="BG51" i="6"/>
  <c r="AO51" i="6"/>
  <c r="BN38" i="6" s="1"/>
  <c r="AA51" i="6"/>
  <c r="N25" i="8"/>
  <c r="M21" i="8"/>
  <c r="AI50" i="6" l="1"/>
  <c r="BG51" i="4"/>
  <c r="AO51" i="4"/>
  <c r="BG51" i="5"/>
  <c r="AO51" i="5"/>
  <c r="AA51" i="3"/>
  <c r="AA51" i="2"/>
  <c r="AA51" i="4"/>
  <c r="AA51" i="5"/>
  <c r="BG51" i="3"/>
  <c r="BG51" i="2"/>
  <c r="AO51" i="3"/>
  <c r="AO51" i="2"/>
  <c r="AB46" i="6"/>
  <c r="BN50" i="6"/>
  <c r="AP31" i="6"/>
  <c r="CE51" i="6"/>
  <c r="X51" i="5"/>
  <c r="AL51" i="3"/>
  <c r="AL51" i="2"/>
  <c r="AL51" i="4"/>
  <c r="AL51" i="5"/>
  <c r="X51" i="3"/>
  <c r="X51" i="2"/>
  <c r="X51" i="4"/>
  <c r="BG51" i="14"/>
  <c r="BG51" i="15"/>
  <c r="AO51" i="14"/>
  <c r="BG51" i="13"/>
  <c r="AA51" i="12"/>
  <c r="BG51" i="16"/>
  <c r="AO51" i="13"/>
  <c r="AO51" i="16"/>
  <c r="BN12" i="16" s="1"/>
  <c r="AO51" i="15"/>
  <c r="AA51" i="14"/>
  <c r="AA51" i="13"/>
  <c r="BG51" i="12"/>
  <c r="AA51" i="15"/>
  <c r="AO51" i="12"/>
  <c r="G46" i="16"/>
  <c r="AB41" i="6"/>
  <c r="AB43" i="6"/>
  <c r="BN30" i="6"/>
  <c r="AB18" i="6"/>
  <c r="BN47" i="6"/>
  <c r="BN36" i="6"/>
  <c r="AB42" i="6"/>
  <c r="BN31" i="6"/>
  <c r="AP20" i="6"/>
  <c r="AB45" i="6"/>
  <c r="AP50" i="6"/>
  <c r="BN43" i="6"/>
  <c r="CE51" i="5"/>
  <c r="BN46" i="6"/>
  <c r="BN32" i="6"/>
  <c r="AP18" i="6"/>
  <c r="BN13" i="6"/>
  <c r="BN49" i="6"/>
  <c r="BN27" i="6"/>
  <c r="G19" i="6"/>
  <c r="BN42" i="6"/>
  <c r="G23" i="5"/>
  <c r="G18" i="2"/>
  <c r="G39" i="2"/>
  <c r="G36" i="2"/>
  <c r="G48" i="2"/>
  <c r="G37" i="2"/>
  <c r="AP43" i="6"/>
  <c r="AB35" i="6"/>
  <c r="G30" i="2"/>
  <c r="CE51" i="3"/>
  <c r="AP14" i="6"/>
  <c r="AB19" i="6"/>
  <c r="CE51" i="2"/>
  <c r="CE51" i="4"/>
  <c r="AB33" i="6"/>
  <c r="BN28" i="6"/>
  <c r="BN20" i="6"/>
  <c r="AB32" i="6"/>
  <c r="BN15" i="6"/>
  <c r="G43" i="6"/>
  <c r="G50" i="2"/>
  <c r="BN39" i="16"/>
  <c r="BN48" i="16"/>
  <c r="N41" i="15"/>
  <c r="N27" i="15"/>
  <c r="G36" i="14"/>
  <c r="G33" i="12"/>
  <c r="BN49" i="16"/>
  <c r="BN23" i="16"/>
  <c r="N28" i="15"/>
  <c r="N35" i="15"/>
  <c r="G50" i="13"/>
  <c r="BN28" i="16"/>
  <c r="N21" i="15"/>
  <c r="BN36" i="16"/>
  <c r="N26" i="15"/>
  <c r="N36" i="15"/>
  <c r="BN40" i="16"/>
  <c r="G18" i="12"/>
  <c r="N26" i="16"/>
  <c r="N16" i="15"/>
  <c r="CG51" i="12"/>
  <c r="G35" i="14"/>
  <c r="BN35" i="16"/>
  <c r="BN26" i="16"/>
  <c r="G11" i="16"/>
  <c r="N31" i="15"/>
  <c r="N22" i="15"/>
  <c r="G14" i="15"/>
  <c r="N12" i="15"/>
  <c r="G45" i="14"/>
  <c r="G46" i="14"/>
  <c r="G14" i="16"/>
  <c r="BL46" i="16"/>
  <c r="G23" i="16"/>
  <c r="G15" i="15"/>
  <c r="N25" i="15"/>
  <c r="G39" i="14"/>
  <c r="G26" i="13"/>
  <c r="N12" i="16"/>
  <c r="G15" i="16"/>
  <c r="BL25" i="16"/>
  <c r="G21" i="15"/>
  <c r="G18" i="15"/>
  <c r="G50" i="16"/>
  <c r="N42" i="15"/>
  <c r="G25" i="15"/>
  <c r="N15" i="15"/>
  <c r="G36" i="16"/>
  <c r="G31" i="15"/>
  <c r="G19" i="16"/>
  <c r="BL19" i="16"/>
  <c r="CG51" i="15"/>
  <c r="CG51" i="14"/>
  <c r="BL50" i="16"/>
  <c r="N49" i="16"/>
  <c r="N40" i="15"/>
  <c r="N37" i="15"/>
  <c r="N47" i="15"/>
  <c r="N18" i="15"/>
  <c r="CG51" i="16"/>
  <c r="G40" i="16"/>
  <c r="N46" i="16"/>
  <c r="N44" i="15"/>
  <c r="N38" i="15"/>
  <c r="N24" i="15"/>
  <c r="N20" i="15"/>
  <c r="G33" i="13"/>
  <c r="N50" i="16"/>
  <c r="G42" i="15"/>
  <c r="N41" i="16"/>
  <c r="BN32" i="16"/>
  <c r="BN11" i="16"/>
  <c r="N45" i="15"/>
  <c r="N23" i="15"/>
  <c r="N19" i="15"/>
  <c r="G13" i="14"/>
  <c r="G14" i="12"/>
  <c r="G21" i="12"/>
  <c r="G15" i="12"/>
  <c r="G23" i="12"/>
  <c r="G35" i="12"/>
  <c r="G18" i="3"/>
  <c r="G48" i="3"/>
  <c r="G44" i="3"/>
  <c r="G38" i="3"/>
  <c r="G40" i="3"/>
  <c r="G32" i="3"/>
  <c r="G49" i="3"/>
  <c r="G41" i="3"/>
  <c r="G43" i="3"/>
  <c r="G46" i="3"/>
  <c r="G35" i="3"/>
  <c r="G23" i="3"/>
  <c r="G31" i="3"/>
  <c r="G27" i="3"/>
  <c r="G37" i="3"/>
  <c r="AI28" i="6"/>
  <c r="AI25" i="2"/>
  <c r="G32" i="6"/>
  <c r="G42" i="5"/>
  <c r="G14" i="5"/>
  <c r="G31" i="4"/>
  <c r="G21" i="6"/>
  <c r="G21" i="4"/>
  <c r="G20" i="3"/>
  <c r="G36" i="3"/>
  <c r="AI33" i="2"/>
  <c r="AI42" i="2"/>
  <c r="G14" i="4"/>
  <c r="G30" i="6"/>
  <c r="G40" i="5"/>
  <c r="G38" i="4"/>
  <c r="G37" i="4"/>
  <c r="G24" i="6"/>
  <c r="G39" i="6"/>
  <c r="G30" i="4"/>
  <c r="AI35" i="2"/>
  <c r="G45" i="6"/>
  <c r="G36" i="6"/>
  <c r="G49" i="6"/>
  <c r="U35" i="6"/>
  <c r="G14" i="6"/>
  <c r="G19" i="4"/>
  <c r="T51" i="4"/>
  <c r="AH51" i="3"/>
  <c r="AI49" i="3" s="1"/>
  <c r="AH51" i="2"/>
  <c r="AI48" i="2" s="1"/>
  <c r="AH51" i="4"/>
  <c r="AI32" i="4" s="1"/>
  <c r="T51" i="5"/>
  <c r="U33" i="5" s="1"/>
  <c r="T51" i="6"/>
  <c r="AH51" i="5"/>
  <c r="T51" i="3"/>
  <c r="U24" i="3" s="1"/>
  <c r="T51" i="2"/>
  <c r="U41" i="2" s="1"/>
  <c r="AI41" i="2"/>
  <c r="AJ31" i="26"/>
  <c r="AC23" i="26"/>
  <c r="I36" i="25"/>
  <c r="AC27" i="26"/>
  <c r="AJ26" i="26"/>
  <c r="AC48" i="26"/>
  <c r="AC21" i="26"/>
  <c r="I39" i="25"/>
  <c r="AC15" i="26"/>
  <c r="AC45" i="26"/>
  <c r="AJ34" i="26"/>
  <c r="AC42" i="26"/>
  <c r="I18" i="25"/>
  <c r="AC19" i="26"/>
  <c r="AC26" i="26"/>
  <c r="AC16" i="26"/>
  <c r="AJ37" i="26"/>
  <c r="AC18" i="26"/>
  <c r="I48" i="26"/>
  <c r="BF48" i="26" s="1"/>
  <c r="AC43" i="26"/>
  <c r="I19" i="26"/>
  <c r="I48" i="25"/>
  <c r="AR48" i="26"/>
  <c r="AD48" i="26"/>
  <c r="BF21" i="24"/>
  <c r="BF20" i="24"/>
  <c r="BF36" i="25"/>
  <c r="BF29" i="23"/>
  <c r="W18" i="25"/>
  <c r="BF18" i="25"/>
  <c r="BF29" i="24"/>
  <c r="V48" i="25"/>
  <c r="V46" i="25"/>
  <c r="V44" i="25"/>
  <c r="V49" i="25"/>
  <c r="V34" i="25"/>
  <c r="V36" i="25"/>
  <c r="W36" i="25" s="1"/>
  <c r="V24" i="25"/>
  <c r="V26" i="25"/>
  <c r="V18" i="25"/>
  <c r="V23" i="25"/>
  <c r="V17" i="25"/>
  <c r="V15" i="25"/>
  <c r="V31" i="25"/>
  <c r="V25" i="25"/>
  <c r="V30" i="25"/>
  <c r="V14" i="25"/>
  <c r="V20" i="25"/>
  <c r="V47" i="25"/>
  <c r="V16" i="25"/>
  <c r="V42" i="25"/>
  <c r="V27" i="25"/>
  <c r="V19" i="25"/>
  <c r="V40" i="25"/>
  <c r="V28" i="25"/>
  <c r="V43" i="25"/>
  <c r="V45" i="25"/>
  <c r="V32" i="25"/>
  <c r="V13" i="25"/>
  <c r="V35" i="25"/>
  <c r="V12" i="25"/>
  <c r="V38" i="25"/>
  <c r="V37" i="25"/>
  <c r="V22" i="25"/>
  <c r="V39" i="25"/>
  <c r="V33" i="25"/>
  <c r="V21" i="25"/>
  <c r="V29" i="25"/>
  <c r="V41" i="25"/>
  <c r="I12" i="24"/>
  <c r="I48" i="22"/>
  <c r="I30" i="26"/>
  <c r="I25" i="24"/>
  <c r="AJ35" i="26"/>
  <c r="AJ12" i="26"/>
  <c r="AJ32" i="26"/>
  <c r="AJ49" i="26"/>
  <c r="AJ44" i="26"/>
  <c r="AJ19" i="26"/>
  <c r="AJ27" i="26"/>
  <c r="AJ30" i="26"/>
  <c r="AJ45" i="26"/>
  <c r="I42" i="25"/>
  <c r="H50" i="24"/>
  <c r="I43" i="22"/>
  <c r="I34" i="25"/>
  <c r="I34" i="26"/>
  <c r="I31" i="24"/>
  <c r="I36" i="23"/>
  <c r="AJ25" i="26"/>
  <c r="I40" i="23"/>
  <c r="I17" i="26"/>
  <c r="AJ41" i="26"/>
  <c r="I34" i="23"/>
  <c r="I38" i="24"/>
  <c r="I20" i="23"/>
  <c r="I16" i="25"/>
  <c r="AC48" i="22"/>
  <c r="AC27" i="22"/>
  <c r="AC25" i="22"/>
  <c r="AC39" i="22"/>
  <c r="AC30" i="22"/>
  <c r="AC37" i="22"/>
  <c r="AC31" i="22"/>
  <c r="AC20" i="22"/>
  <c r="AC23" i="22"/>
  <c r="AC12" i="22"/>
  <c r="AC18" i="22"/>
  <c r="AC22" i="22"/>
  <c r="AC13" i="22"/>
  <c r="AC46" i="22"/>
  <c r="AC29" i="22"/>
  <c r="AC49" i="22"/>
  <c r="AC47" i="22"/>
  <c r="AC35" i="22"/>
  <c r="AC40" i="22"/>
  <c r="AC36" i="22"/>
  <c r="AC44" i="22"/>
  <c r="AC38" i="22"/>
  <c r="AC15" i="22"/>
  <c r="AC45" i="22"/>
  <c r="AC34" i="22"/>
  <c r="AC41" i="22"/>
  <c r="AC43" i="22"/>
  <c r="AC24" i="22"/>
  <c r="AC42" i="22"/>
  <c r="AC16" i="22"/>
  <c r="AC19" i="22"/>
  <c r="AC14" i="22"/>
  <c r="AC28" i="22"/>
  <c r="AC17" i="22"/>
  <c r="AC33" i="22"/>
  <c r="AC26" i="22"/>
  <c r="AC32" i="22"/>
  <c r="AC21" i="22"/>
  <c r="I44" i="26"/>
  <c r="V35" i="26"/>
  <c r="V46" i="26"/>
  <c r="V47" i="26"/>
  <c r="V39" i="26"/>
  <c r="V24" i="26"/>
  <c r="V20" i="26"/>
  <c r="V25" i="26"/>
  <c r="V18" i="26"/>
  <c r="V19" i="26"/>
  <c r="V32" i="26"/>
  <c r="V36" i="26"/>
  <c r="V42" i="26"/>
  <c r="V15" i="26"/>
  <c r="V33" i="26"/>
  <c r="V16" i="26"/>
  <c r="V27" i="26"/>
  <c r="V30" i="26"/>
  <c r="V40" i="26"/>
  <c r="V37" i="26"/>
  <c r="V44" i="26"/>
  <c r="V23" i="26"/>
  <c r="V17" i="26"/>
  <c r="V43" i="26"/>
  <c r="V12" i="26"/>
  <c r="V34" i="26"/>
  <c r="V38" i="26"/>
  <c r="V22" i="26"/>
  <c r="V29" i="26"/>
  <c r="V21" i="26"/>
  <c r="V13" i="26"/>
  <c r="V49" i="26"/>
  <c r="V26" i="26"/>
  <c r="V48" i="26"/>
  <c r="W48" i="26" s="1"/>
  <c r="V14" i="26"/>
  <c r="V41" i="26"/>
  <c r="V31" i="26"/>
  <c r="V28" i="26"/>
  <c r="V45" i="26"/>
  <c r="I19" i="25"/>
  <c r="AJ42" i="26"/>
  <c r="I32" i="24"/>
  <c r="I43" i="23"/>
  <c r="I21" i="25"/>
  <c r="I13" i="26"/>
  <c r="I24" i="24"/>
  <c r="I33" i="23"/>
  <c r="I31" i="23"/>
  <c r="I18" i="22"/>
  <c r="I13" i="23"/>
  <c r="I36" i="26"/>
  <c r="I27" i="24"/>
  <c r="I16" i="23"/>
  <c r="I20" i="25"/>
  <c r="O49" i="23"/>
  <c r="O43" i="23"/>
  <c r="O36" i="23"/>
  <c r="O44" i="23"/>
  <c r="O41" i="23"/>
  <c r="O15" i="23"/>
  <c r="O17" i="23"/>
  <c r="O19" i="23"/>
  <c r="O35" i="23"/>
  <c r="O27" i="23"/>
  <c r="O48" i="23"/>
  <c r="O22" i="23"/>
  <c r="O38" i="23"/>
  <c r="O25" i="23"/>
  <c r="O18" i="23"/>
  <c r="O33" i="23"/>
  <c r="O21" i="23"/>
  <c r="O31" i="23"/>
  <c r="O28" i="23"/>
  <c r="O30" i="23"/>
  <c r="O23" i="23"/>
  <c r="O32" i="23"/>
  <c r="O42" i="23"/>
  <c r="O34" i="23"/>
  <c r="O37" i="23"/>
  <c r="O47" i="23"/>
  <c r="O39" i="23"/>
  <c r="O40" i="23"/>
  <c r="O16" i="23"/>
  <c r="O20" i="23"/>
  <c r="O26" i="23"/>
  <c r="O45" i="23"/>
  <c r="P45" i="23" s="1"/>
  <c r="O24" i="23"/>
  <c r="O12" i="23"/>
  <c r="O46" i="23"/>
  <c r="O14" i="23"/>
  <c r="O13" i="23"/>
  <c r="O29" i="23"/>
  <c r="P29" i="23" s="1"/>
  <c r="I41" i="23"/>
  <c r="AD45" i="23"/>
  <c r="BF45" i="23"/>
  <c r="I49" i="26"/>
  <c r="I23" i="22"/>
  <c r="I15" i="26"/>
  <c r="I43" i="24"/>
  <c r="I42" i="23"/>
  <c r="I37" i="22"/>
  <c r="I44" i="25"/>
  <c r="I42" i="24"/>
  <c r="I40" i="24"/>
  <c r="I27" i="23"/>
  <c r="I46" i="26"/>
  <c r="I41" i="24"/>
  <c r="I16" i="26"/>
  <c r="I41" i="25"/>
  <c r="BO41" i="22"/>
  <c r="BO43" i="22"/>
  <c r="BO44" i="22"/>
  <c r="BO49" i="22"/>
  <c r="BO46" i="22"/>
  <c r="BO35" i="22"/>
  <c r="BO28" i="22"/>
  <c r="BO34" i="22"/>
  <c r="BO27" i="22"/>
  <c r="BO37" i="22"/>
  <c r="BO39" i="22"/>
  <c r="BO48" i="22"/>
  <c r="AQ26" i="22"/>
  <c r="BO14" i="22"/>
  <c r="AQ17" i="22"/>
  <c r="AQ34" i="22"/>
  <c r="AQ41" i="22"/>
  <c r="BO21" i="22"/>
  <c r="BO18" i="22"/>
  <c r="BO12" i="22"/>
  <c r="AQ27" i="22"/>
  <c r="BO16" i="22"/>
  <c r="BO20" i="22"/>
  <c r="AQ33" i="22"/>
  <c r="AQ13" i="22"/>
  <c r="AQ32" i="22"/>
  <c r="BO36" i="22"/>
  <c r="AQ22" i="22"/>
  <c r="AQ35" i="22"/>
  <c r="AQ47" i="22"/>
  <c r="BO23" i="22"/>
  <c r="BO19" i="22"/>
  <c r="AQ29" i="22"/>
  <c r="BO47" i="22"/>
  <c r="BO15" i="22"/>
  <c r="AQ44" i="22"/>
  <c r="BO13" i="22"/>
  <c r="AQ30" i="22"/>
  <c r="BO40" i="22"/>
  <c r="BO26" i="22"/>
  <c r="AQ40" i="22"/>
  <c r="AQ20" i="22"/>
  <c r="AQ18" i="22"/>
  <c r="AQ37" i="22"/>
  <c r="AQ19" i="22"/>
  <c r="BO33" i="22"/>
  <c r="AQ48" i="22"/>
  <c r="AQ38" i="22"/>
  <c r="BO29" i="22"/>
  <c r="AQ36" i="22"/>
  <c r="BO31" i="22"/>
  <c r="BO25" i="22"/>
  <c r="AQ21" i="22"/>
  <c r="BO45" i="22"/>
  <c r="AQ42" i="22"/>
  <c r="BO22" i="22"/>
  <c r="AQ31" i="22"/>
  <c r="AQ16" i="22"/>
  <c r="AQ23" i="22"/>
  <c r="AQ12" i="22"/>
  <c r="AQ45" i="22"/>
  <c r="AQ14" i="22"/>
  <c r="AQ39" i="22"/>
  <c r="AQ24" i="22"/>
  <c r="BO42" i="22"/>
  <c r="AQ46" i="22"/>
  <c r="AQ15" i="22"/>
  <c r="BO17" i="22"/>
  <c r="BO32" i="22"/>
  <c r="AQ25" i="22"/>
  <c r="BO24" i="22"/>
  <c r="AQ28" i="22"/>
  <c r="BO30" i="22"/>
  <c r="AQ43" i="22"/>
  <c r="BO38" i="22"/>
  <c r="AQ49" i="22"/>
  <c r="BO43" i="25"/>
  <c r="BO41" i="25"/>
  <c r="AQ41" i="25"/>
  <c r="BO46" i="25"/>
  <c r="BO36" i="25"/>
  <c r="BO32" i="25"/>
  <c r="AQ35" i="25"/>
  <c r="BO34" i="25"/>
  <c r="BO49" i="25"/>
  <c r="BO44" i="25"/>
  <c r="BO31" i="25"/>
  <c r="BO25" i="25"/>
  <c r="AQ23" i="25"/>
  <c r="AQ29" i="25"/>
  <c r="BO15" i="25"/>
  <c r="BO13" i="25"/>
  <c r="BO18" i="25"/>
  <c r="BO17" i="25"/>
  <c r="AQ18" i="25"/>
  <c r="AR18" i="25" s="1"/>
  <c r="BO12" i="25"/>
  <c r="BO28" i="25"/>
  <c r="AQ21" i="25"/>
  <c r="AQ13" i="25"/>
  <c r="BO37" i="25"/>
  <c r="AQ37" i="25"/>
  <c r="AQ43" i="25"/>
  <c r="AQ26" i="25"/>
  <c r="AQ28" i="25"/>
  <c r="BO26" i="25"/>
  <c r="BO35" i="25"/>
  <c r="BO27" i="25"/>
  <c r="AQ38" i="25"/>
  <c r="BO19" i="25"/>
  <c r="BO16" i="25"/>
  <c r="BO33" i="25"/>
  <c r="AQ40" i="25"/>
  <c r="AQ48" i="25"/>
  <c r="AQ33" i="25"/>
  <c r="BO47" i="25"/>
  <c r="BO29" i="25"/>
  <c r="BO42" i="25"/>
  <c r="BO20" i="25"/>
  <c r="BO30" i="25"/>
  <c r="BO24" i="25"/>
  <c r="BO38" i="25"/>
  <c r="AQ30" i="25"/>
  <c r="BO40" i="25"/>
  <c r="AQ14" i="25"/>
  <c r="AQ12" i="25"/>
  <c r="AQ16" i="25"/>
  <c r="BO39" i="25"/>
  <c r="AQ49" i="25"/>
  <c r="AQ42" i="25"/>
  <c r="AQ15" i="25"/>
  <c r="AQ17" i="25"/>
  <c r="BO22" i="25"/>
  <c r="BO23" i="25"/>
  <c r="AQ24" i="25"/>
  <c r="AQ34" i="25"/>
  <c r="BO21" i="25"/>
  <c r="AQ27" i="25"/>
  <c r="AQ32" i="25"/>
  <c r="AQ46" i="25"/>
  <c r="AQ39" i="25"/>
  <c r="AR39" i="25" s="1"/>
  <c r="AQ19" i="25"/>
  <c r="AQ36" i="25"/>
  <c r="AR36" i="25" s="1"/>
  <c r="BO48" i="25"/>
  <c r="AQ44" i="25"/>
  <c r="AQ45" i="25"/>
  <c r="BO14" i="25"/>
  <c r="AQ25" i="25"/>
  <c r="BO45" i="25"/>
  <c r="AQ47" i="25"/>
  <c r="AQ20" i="25"/>
  <c r="AQ22" i="25"/>
  <c r="AQ31" i="25"/>
  <c r="I17" i="22"/>
  <c r="AC49" i="23"/>
  <c r="AD49" i="23" s="1"/>
  <c r="AC45" i="23"/>
  <c r="AC36" i="23"/>
  <c r="AC27" i="23"/>
  <c r="AC35" i="23"/>
  <c r="AC33" i="23"/>
  <c r="AC19" i="23"/>
  <c r="AC24" i="23"/>
  <c r="AC21" i="23"/>
  <c r="AC20" i="23"/>
  <c r="AC12" i="23"/>
  <c r="AC16" i="23"/>
  <c r="AC29" i="23"/>
  <c r="AD29" i="23" s="1"/>
  <c r="AC47" i="23"/>
  <c r="AC13" i="23"/>
  <c r="AC25" i="23"/>
  <c r="AC39" i="23"/>
  <c r="AC42" i="23"/>
  <c r="AC40" i="23"/>
  <c r="AC37" i="23"/>
  <c r="AC17" i="23"/>
  <c r="AC34" i="23"/>
  <c r="AC28" i="23"/>
  <c r="AC44" i="23"/>
  <c r="AC48" i="23"/>
  <c r="AC22" i="23"/>
  <c r="AC32" i="23"/>
  <c r="AC38" i="23"/>
  <c r="AC41" i="23"/>
  <c r="AC46" i="23"/>
  <c r="AC43" i="23"/>
  <c r="AC15" i="23"/>
  <c r="AC18" i="23"/>
  <c r="AC23" i="23"/>
  <c r="AC30" i="23"/>
  <c r="AC14" i="23"/>
  <c r="AC31" i="23"/>
  <c r="AC26" i="23"/>
  <c r="I49" i="22"/>
  <c r="I30" i="25"/>
  <c r="I46" i="22"/>
  <c r="I46" i="24"/>
  <c r="I40" i="22"/>
  <c r="AJ13" i="26"/>
  <c r="AJ48" i="26"/>
  <c r="AK48" i="26" s="1"/>
  <c r="I24" i="25"/>
  <c r="I30" i="24"/>
  <c r="I39" i="22"/>
  <c r="I47" i="24"/>
  <c r="I37" i="23"/>
  <c r="I28" i="26"/>
  <c r="I26" i="24"/>
  <c r="I31" i="26"/>
  <c r="I38" i="25"/>
  <c r="I24" i="22"/>
  <c r="O48" i="24"/>
  <c r="BM44" i="24"/>
  <c r="O41" i="24"/>
  <c r="O34" i="24"/>
  <c r="O36" i="24"/>
  <c r="BM33" i="24"/>
  <c r="O32" i="24"/>
  <c r="O35" i="24"/>
  <c r="O44" i="24"/>
  <c r="O49" i="24"/>
  <c r="O27" i="24"/>
  <c r="O16" i="24"/>
  <c r="O25" i="24"/>
  <c r="BM22" i="24"/>
  <c r="O28" i="24"/>
  <c r="BM14" i="24"/>
  <c r="BM18" i="24"/>
  <c r="O45" i="24"/>
  <c r="BM13" i="24"/>
  <c r="O21" i="24"/>
  <c r="P21" i="24" s="1"/>
  <c r="O33" i="24"/>
  <c r="O23" i="24"/>
  <c r="O14" i="24"/>
  <c r="O22" i="24"/>
  <c r="BM29" i="24"/>
  <c r="O18" i="24"/>
  <c r="BM24" i="24"/>
  <c r="O47" i="24"/>
  <c r="O37" i="24"/>
  <c r="BM38" i="24"/>
  <c r="O30" i="24"/>
  <c r="BM27" i="24"/>
  <c r="BM42" i="24"/>
  <c r="O39" i="24"/>
  <c r="BM17" i="24"/>
  <c r="BM31" i="24"/>
  <c r="O43" i="24"/>
  <c r="BM35" i="24"/>
  <c r="BM41" i="24"/>
  <c r="O42" i="24"/>
  <c r="BM46" i="24"/>
  <c r="O17" i="24"/>
  <c r="BM23" i="24"/>
  <c r="BM34" i="24"/>
  <c r="O46" i="24"/>
  <c r="BM49" i="24"/>
  <c r="O20" i="24"/>
  <c r="P20" i="24" s="1"/>
  <c r="BM26" i="24"/>
  <c r="O40" i="24"/>
  <c r="BM48" i="24"/>
  <c r="O26" i="24"/>
  <c r="O12" i="24"/>
  <c r="BM16" i="24"/>
  <c r="BM36" i="24"/>
  <c r="BM47" i="24"/>
  <c r="BM30" i="24"/>
  <c r="O19" i="24"/>
  <c r="BM15" i="24"/>
  <c r="BM20" i="24"/>
  <c r="BM40" i="24"/>
  <c r="O13" i="24"/>
  <c r="O15" i="24"/>
  <c r="BM12" i="24"/>
  <c r="BM25" i="24"/>
  <c r="BM45" i="24"/>
  <c r="O29" i="24"/>
  <c r="P29" i="24" s="1"/>
  <c r="BM43" i="24"/>
  <c r="O31" i="24"/>
  <c r="BM39" i="24"/>
  <c r="BM19" i="24"/>
  <c r="BM21" i="24"/>
  <c r="BM28" i="24"/>
  <c r="O24" i="24"/>
  <c r="BM32" i="24"/>
  <c r="BM37" i="24"/>
  <c r="O38" i="24"/>
  <c r="I31" i="22"/>
  <c r="I23" i="25"/>
  <c r="V49" i="22"/>
  <c r="V38" i="22"/>
  <c r="V34" i="22"/>
  <c r="V33" i="22"/>
  <c r="V32" i="22"/>
  <c r="V36" i="22"/>
  <c r="V44" i="22"/>
  <c r="V42" i="22"/>
  <c r="V12" i="22"/>
  <c r="V37" i="22"/>
  <c r="V15" i="22"/>
  <c r="V17" i="22"/>
  <c r="V14" i="22"/>
  <c r="V25" i="22"/>
  <c r="V46" i="22"/>
  <c r="V21" i="22"/>
  <c r="V22" i="22"/>
  <c r="V29" i="22"/>
  <c r="V19" i="22"/>
  <c r="V41" i="22"/>
  <c r="V13" i="22"/>
  <c r="V47" i="22"/>
  <c r="V30" i="22"/>
  <c r="V48" i="22"/>
  <c r="V35" i="22"/>
  <c r="V18" i="22"/>
  <c r="V39" i="22"/>
  <c r="V40" i="22"/>
  <c r="V31" i="22"/>
  <c r="V27" i="22"/>
  <c r="V45" i="22"/>
  <c r="V16" i="22"/>
  <c r="V43" i="22"/>
  <c r="V23" i="22"/>
  <c r="V26" i="22"/>
  <c r="V28" i="22"/>
  <c r="V24" i="22"/>
  <c r="V20" i="22"/>
  <c r="I33" i="22"/>
  <c r="AJ23" i="26"/>
  <c r="I43" i="25"/>
  <c r="I33" i="24"/>
  <c r="I36" i="22"/>
  <c r="I43" i="26"/>
  <c r="I22" i="25"/>
  <c r="I15" i="24"/>
  <c r="I41" i="22"/>
  <c r="I16" i="24"/>
  <c r="AJ46" i="26"/>
  <c r="I19" i="24"/>
  <c r="I33" i="25"/>
  <c r="I20" i="22"/>
  <c r="AC43" i="24"/>
  <c r="AC36" i="24"/>
  <c r="AC44" i="24"/>
  <c r="AC37" i="24"/>
  <c r="AC34" i="24"/>
  <c r="AC32" i="24"/>
  <c r="AC46" i="24"/>
  <c r="AC27" i="24"/>
  <c r="AC22" i="24"/>
  <c r="AC25" i="24"/>
  <c r="AC23" i="24"/>
  <c r="AC18" i="24"/>
  <c r="AC26" i="24"/>
  <c r="AC30" i="24"/>
  <c r="AC24" i="24"/>
  <c r="AC16" i="24"/>
  <c r="AC20" i="24"/>
  <c r="AD20" i="24" s="1"/>
  <c r="AC12" i="24"/>
  <c r="AC48" i="24"/>
  <c r="AC19" i="24"/>
  <c r="AC14" i="24"/>
  <c r="AC49" i="24"/>
  <c r="AC17" i="24"/>
  <c r="AC33" i="24"/>
  <c r="AC39" i="24"/>
  <c r="AC21" i="24"/>
  <c r="AD21" i="24" s="1"/>
  <c r="AC28" i="24"/>
  <c r="AC29" i="24"/>
  <c r="AD29" i="24" s="1"/>
  <c r="AC38" i="24"/>
  <c r="AC15" i="24"/>
  <c r="AC42" i="24"/>
  <c r="AC35" i="24"/>
  <c r="AC13" i="24"/>
  <c r="AC41" i="24"/>
  <c r="AC45" i="24"/>
  <c r="AC31" i="24"/>
  <c r="AC40" i="24"/>
  <c r="AC47" i="24"/>
  <c r="I35" i="25"/>
  <c r="I18" i="24"/>
  <c r="I13" i="22"/>
  <c r="AJ18" i="26"/>
  <c r="I47" i="22"/>
  <c r="I13" i="24"/>
  <c r="I21" i="22"/>
  <c r="I37" i="26"/>
  <c r="AJ29" i="26"/>
  <c r="I46" i="25"/>
  <c r="I38" i="22"/>
  <c r="I47" i="25"/>
  <c r="AJ22" i="26"/>
  <c r="I39" i="24"/>
  <c r="I17" i="24"/>
  <c r="AJ47" i="26"/>
  <c r="I39" i="23"/>
  <c r="AJ14" i="26"/>
  <c r="O40" i="25"/>
  <c r="O44" i="25"/>
  <c r="O42" i="25"/>
  <c r="O35" i="25"/>
  <c r="O21" i="25"/>
  <c r="O23" i="25"/>
  <c r="O28" i="25"/>
  <c r="O16" i="25"/>
  <c r="O12" i="25"/>
  <c r="O13" i="25"/>
  <c r="O27" i="25"/>
  <c r="O48" i="25"/>
  <c r="P48" i="25" s="1"/>
  <c r="O36" i="25"/>
  <c r="P36" i="25" s="1"/>
  <c r="O46" i="25"/>
  <c r="O26" i="25"/>
  <c r="O30" i="25"/>
  <c r="O43" i="25"/>
  <c r="O47" i="25"/>
  <c r="O22" i="25"/>
  <c r="O18" i="25"/>
  <c r="P18" i="25" s="1"/>
  <c r="O31" i="25"/>
  <c r="O25" i="25"/>
  <c r="O37" i="25"/>
  <c r="O34" i="25"/>
  <c r="O45" i="25"/>
  <c r="O15" i="25"/>
  <c r="O32" i="25"/>
  <c r="O29" i="25"/>
  <c r="O41" i="25"/>
  <c r="O39" i="25"/>
  <c r="O33" i="25"/>
  <c r="O19" i="25"/>
  <c r="O49" i="25"/>
  <c r="O14" i="25"/>
  <c r="O20" i="25"/>
  <c r="O17" i="25"/>
  <c r="O38" i="25"/>
  <c r="O24" i="25"/>
  <c r="W49" i="23"/>
  <c r="P49" i="23"/>
  <c r="BF49" i="23"/>
  <c r="AJ46" i="25"/>
  <c r="AJ45" i="25"/>
  <c r="AJ43" i="25"/>
  <c r="AJ37" i="25"/>
  <c r="AJ48" i="25"/>
  <c r="AJ32" i="25"/>
  <c r="AJ30" i="25"/>
  <c r="AJ34" i="25"/>
  <c r="AJ28" i="25"/>
  <c r="AJ20" i="25"/>
  <c r="AJ17" i="25"/>
  <c r="AJ21" i="25"/>
  <c r="AJ12" i="25"/>
  <c r="AJ26" i="25"/>
  <c r="AJ35" i="25"/>
  <c r="AJ19" i="25"/>
  <c r="AJ24" i="25"/>
  <c r="AJ33" i="25"/>
  <c r="AJ49" i="25"/>
  <c r="AJ16" i="25"/>
  <c r="AJ15" i="25"/>
  <c r="AJ29" i="25"/>
  <c r="AJ27" i="25"/>
  <c r="AJ44" i="25"/>
  <c r="AJ31" i="25"/>
  <c r="AJ13" i="25"/>
  <c r="AJ14" i="25"/>
  <c r="AJ38" i="25"/>
  <c r="AJ47" i="25"/>
  <c r="AJ23" i="25"/>
  <c r="AJ41" i="25"/>
  <c r="AJ25" i="25"/>
  <c r="AJ42" i="25"/>
  <c r="AJ36" i="25"/>
  <c r="AK36" i="25" s="1"/>
  <c r="AJ22" i="25"/>
  <c r="AJ39" i="25"/>
  <c r="AJ18" i="25"/>
  <c r="AK18" i="25" s="1"/>
  <c r="AJ40" i="25"/>
  <c r="H50" i="23"/>
  <c r="I12" i="23"/>
  <c r="AJ49" i="22"/>
  <c r="AJ38" i="22"/>
  <c r="AJ28" i="22"/>
  <c r="AJ26" i="22"/>
  <c r="AJ46" i="22"/>
  <c r="AJ44" i="22"/>
  <c r="AJ34" i="22"/>
  <c r="AJ18" i="22"/>
  <c r="AJ33" i="22"/>
  <c r="AJ32" i="22"/>
  <c r="AJ25" i="22"/>
  <c r="AJ17" i="22"/>
  <c r="AJ15" i="22"/>
  <c r="AK15" i="22" s="1"/>
  <c r="AJ14" i="22"/>
  <c r="AJ23" i="22"/>
  <c r="AJ35" i="22"/>
  <c r="AJ41" i="22"/>
  <c r="AJ42" i="22"/>
  <c r="AJ21" i="22"/>
  <c r="AJ16" i="22"/>
  <c r="AJ24" i="22"/>
  <c r="AJ20" i="22"/>
  <c r="AJ43" i="22"/>
  <c r="AJ36" i="22"/>
  <c r="AJ39" i="22"/>
  <c r="AJ47" i="22"/>
  <c r="AJ13" i="22"/>
  <c r="AJ22" i="22"/>
  <c r="AJ31" i="22"/>
  <c r="AJ37" i="22"/>
  <c r="AJ12" i="22"/>
  <c r="AJ30" i="22"/>
  <c r="AJ48" i="22"/>
  <c r="AJ40" i="22"/>
  <c r="AJ19" i="22"/>
  <c r="AJ27" i="22"/>
  <c r="AJ29" i="22"/>
  <c r="AJ45" i="22"/>
  <c r="I45" i="22"/>
  <c r="AJ20" i="26"/>
  <c r="V49" i="23"/>
  <c r="V32" i="23"/>
  <c r="V42" i="23"/>
  <c r="V33" i="23"/>
  <c r="V29" i="23"/>
  <c r="W29" i="23" s="1"/>
  <c r="V34" i="23"/>
  <c r="V36" i="23"/>
  <c r="V16" i="23"/>
  <c r="V26" i="23"/>
  <c r="V18" i="23"/>
  <c r="V25" i="23"/>
  <c r="V15" i="23"/>
  <c r="V46" i="23"/>
  <c r="V23" i="23"/>
  <c r="V40" i="23"/>
  <c r="V44" i="23"/>
  <c r="V37" i="23"/>
  <c r="V30" i="23"/>
  <c r="V22" i="23"/>
  <c r="V27" i="23"/>
  <c r="V45" i="23"/>
  <c r="W45" i="23" s="1"/>
  <c r="V31" i="23"/>
  <c r="V21" i="23"/>
  <c r="V38" i="23"/>
  <c r="V24" i="23"/>
  <c r="V13" i="23"/>
  <c r="V35" i="23"/>
  <c r="V43" i="23"/>
  <c r="V39" i="23"/>
  <c r="V12" i="23"/>
  <c r="V41" i="23"/>
  <c r="V17" i="23"/>
  <c r="V14" i="23"/>
  <c r="V28" i="23"/>
  <c r="V47" i="23"/>
  <c r="V19" i="23"/>
  <c r="V20" i="23"/>
  <c r="V48" i="23"/>
  <c r="I30" i="23"/>
  <c r="I39" i="26"/>
  <c r="I26" i="22"/>
  <c r="I42" i="26"/>
  <c r="I47" i="23"/>
  <c r="I26" i="26"/>
  <c r="I45" i="26"/>
  <c r="I40" i="25"/>
  <c r="I16" i="22"/>
  <c r="I26" i="25"/>
  <c r="AJ39" i="26"/>
  <c r="I28" i="24"/>
  <c r="I30" i="22"/>
  <c r="AC33" i="26"/>
  <c r="AC44" i="26"/>
  <c r="I18" i="23"/>
  <c r="I41" i="26"/>
  <c r="AC44" i="25"/>
  <c r="AC33" i="25"/>
  <c r="AC21" i="25"/>
  <c r="AC30" i="25"/>
  <c r="AC32" i="25"/>
  <c r="AC22" i="25"/>
  <c r="AC27" i="25"/>
  <c r="AC29" i="25"/>
  <c r="AC41" i="25"/>
  <c r="AC35" i="25"/>
  <c r="AC12" i="25"/>
  <c r="AC31" i="25"/>
  <c r="AC14" i="25"/>
  <c r="AC15" i="25"/>
  <c r="AC25" i="25"/>
  <c r="AC37" i="25"/>
  <c r="AC19" i="25"/>
  <c r="AC43" i="25"/>
  <c r="AC20" i="25"/>
  <c r="AC16" i="25"/>
  <c r="AC17" i="25"/>
  <c r="AC40" i="25"/>
  <c r="AC42" i="25"/>
  <c r="AC18" i="25"/>
  <c r="AD18" i="25" s="1"/>
  <c r="AC39" i="25"/>
  <c r="AC13" i="25"/>
  <c r="AC48" i="25"/>
  <c r="AC28" i="25"/>
  <c r="AC45" i="25"/>
  <c r="AC24" i="25"/>
  <c r="AC38" i="25"/>
  <c r="AC49" i="25"/>
  <c r="AC46" i="25"/>
  <c r="AC47" i="25"/>
  <c r="AC34" i="25"/>
  <c r="AC26" i="25"/>
  <c r="AC23" i="25"/>
  <c r="AC36" i="25"/>
  <c r="AD36" i="25" s="1"/>
  <c r="AQ46" i="26"/>
  <c r="I34" i="22"/>
  <c r="I25" i="26"/>
  <c r="I23" i="23"/>
  <c r="I33" i="26"/>
  <c r="I29" i="25"/>
  <c r="I35" i="23"/>
  <c r="I42" i="22"/>
  <c r="I17" i="25"/>
  <c r="H50" i="22"/>
  <c r="I12" i="22"/>
  <c r="H50" i="25"/>
  <c r="I12" i="25"/>
  <c r="AJ15" i="26"/>
  <c r="I22" i="24"/>
  <c r="I49" i="25"/>
  <c r="I32" i="22"/>
  <c r="BO41" i="23"/>
  <c r="BO43" i="23"/>
  <c r="BO37" i="23"/>
  <c r="BO49" i="23"/>
  <c r="BO44" i="23"/>
  <c r="BO39" i="23"/>
  <c r="BO31" i="23"/>
  <c r="BO32" i="23"/>
  <c r="AQ29" i="23"/>
  <c r="AR29" i="23" s="1"/>
  <c r="AQ41" i="23"/>
  <c r="BO34" i="23"/>
  <c r="BO33" i="23"/>
  <c r="BO29" i="23"/>
  <c r="BO45" i="23"/>
  <c r="BO35" i="23"/>
  <c r="BO27" i="23"/>
  <c r="BO24" i="23"/>
  <c r="BO23" i="23"/>
  <c r="BO20" i="23"/>
  <c r="BO22" i="23"/>
  <c r="BO15" i="23"/>
  <c r="BO13" i="23"/>
  <c r="BO19" i="23"/>
  <c r="AQ12" i="23"/>
  <c r="AQ28" i="23"/>
  <c r="AQ35" i="23"/>
  <c r="AQ17" i="23"/>
  <c r="AQ21" i="23"/>
  <c r="AQ13" i="23"/>
  <c r="BO16" i="23"/>
  <c r="BO48" i="23"/>
  <c r="AQ14" i="23"/>
  <c r="AQ23" i="23"/>
  <c r="BO17" i="23"/>
  <c r="AQ32" i="23"/>
  <c r="AQ24" i="23"/>
  <c r="BO40" i="23"/>
  <c r="AQ26" i="23"/>
  <c r="BO18" i="23"/>
  <c r="AQ30" i="23"/>
  <c r="AQ15" i="23"/>
  <c r="BO28" i="23"/>
  <c r="AQ40" i="23"/>
  <c r="AQ37" i="23"/>
  <c r="AQ36" i="23"/>
  <c r="AQ31" i="23"/>
  <c r="BO30" i="23"/>
  <c r="BO36" i="23"/>
  <c r="AQ16" i="23"/>
  <c r="AQ34" i="23"/>
  <c r="AQ39" i="23"/>
  <c r="BO46" i="23"/>
  <c r="AQ33" i="23"/>
  <c r="BO47" i="23"/>
  <c r="AQ19" i="23"/>
  <c r="AQ18" i="23"/>
  <c r="AQ45" i="23"/>
  <c r="AR45" i="23" s="1"/>
  <c r="AQ22" i="23"/>
  <c r="AQ25" i="23"/>
  <c r="AQ38" i="23"/>
  <c r="BO38" i="23"/>
  <c r="AQ42" i="23"/>
  <c r="AQ46" i="23"/>
  <c r="AQ44" i="23"/>
  <c r="AR44" i="23" s="1"/>
  <c r="BO26" i="23"/>
  <c r="AQ43" i="23"/>
  <c r="AQ49" i="23"/>
  <c r="AR49" i="23" s="1"/>
  <c r="AQ20" i="23"/>
  <c r="BO14" i="23"/>
  <c r="AQ47" i="23"/>
  <c r="BO42" i="23"/>
  <c r="BO12" i="23"/>
  <c r="BO21" i="23"/>
  <c r="BO25" i="23"/>
  <c r="AQ27" i="23"/>
  <c r="AQ48" i="23"/>
  <c r="I22" i="23"/>
  <c r="I22" i="26"/>
  <c r="BM49" i="26"/>
  <c r="O44" i="26"/>
  <c r="O43" i="26"/>
  <c r="BM41" i="26"/>
  <c r="O49" i="26"/>
  <c r="BM34" i="26"/>
  <c r="O38" i="26"/>
  <c r="O46" i="26"/>
  <c r="BM39" i="26"/>
  <c r="BM30" i="26"/>
  <c r="O34" i="26"/>
  <c r="O48" i="26"/>
  <c r="P48" i="26" s="1"/>
  <c r="O32" i="26"/>
  <c r="O39" i="26"/>
  <c r="O17" i="26"/>
  <c r="O29" i="26"/>
  <c r="O31" i="26"/>
  <c r="BM23" i="26"/>
  <c r="BM21" i="26"/>
  <c r="O27" i="26"/>
  <c r="BM26" i="26"/>
  <c r="O15" i="26"/>
  <c r="O14" i="26"/>
  <c r="O21" i="26"/>
  <c r="O13" i="26"/>
  <c r="O22" i="26"/>
  <c r="BM15" i="26"/>
  <c r="BM31" i="26"/>
  <c r="O26" i="26"/>
  <c r="BM22" i="26"/>
  <c r="BM37" i="26"/>
  <c r="O42" i="26"/>
  <c r="BM17" i="26"/>
  <c r="O30" i="26"/>
  <c r="BM25" i="26"/>
  <c r="O45" i="26"/>
  <c r="BM45" i="26"/>
  <c r="O47" i="26"/>
  <c r="BM38" i="26"/>
  <c r="BM42" i="26"/>
  <c r="BM18" i="26"/>
  <c r="BM47" i="26"/>
  <c r="O16" i="26"/>
  <c r="BM29" i="26"/>
  <c r="O41" i="26"/>
  <c r="O40" i="26"/>
  <c r="O36" i="26"/>
  <c r="O25" i="26"/>
  <c r="BM35" i="26"/>
  <c r="BM28" i="26"/>
  <c r="O20" i="26"/>
  <c r="O18" i="26"/>
  <c r="BM32" i="26"/>
  <c r="BM16" i="26"/>
  <c r="BM33" i="26"/>
  <c r="BM46" i="26"/>
  <c r="BM36" i="26"/>
  <c r="O37" i="26"/>
  <c r="BM48" i="26"/>
  <c r="BM43" i="26"/>
  <c r="O23" i="26"/>
  <c r="BM24" i="26"/>
  <c r="O24" i="26"/>
  <c r="O35" i="26"/>
  <c r="O28" i="26"/>
  <c r="BM40" i="26"/>
  <c r="BM19" i="26"/>
  <c r="O12" i="26"/>
  <c r="BM27" i="26"/>
  <c r="BM44" i="26"/>
  <c r="BM20" i="26"/>
  <c r="BM13" i="26"/>
  <c r="BM12" i="26"/>
  <c r="O19" i="26"/>
  <c r="P19" i="26" s="1"/>
  <c r="BM14" i="26"/>
  <c r="O33" i="26"/>
  <c r="AJ39" i="23"/>
  <c r="AJ45" i="23"/>
  <c r="AK45" i="23" s="1"/>
  <c r="AJ18" i="23"/>
  <c r="AJ36" i="23"/>
  <c r="AJ38" i="23"/>
  <c r="AJ20" i="23"/>
  <c r="AJ22" i="23"/>
  <c r="AJ26" i="23"/>
  <c r="AJ48" i="23"/>
  <c r="AJ30" i="23"/>
  <c r="AJ17" i="23"/>
  <c r="AJ15" i="23"/>
  <c r="AJ24" i="23"/>
  <c r="AJ29" i="23"/>
  <c r="AK29" i="23" s="1"/>
  <c r="AJ33" i="23"/>
  <c r="AJ31" i="23"/>
  <c r="AJ25" i="23"/>
  <c r="AJ19" i="23"/>
  <c r="AJ37" i="23"/>
  <c r="AJ47" i="23"/>
  <c r="AJ23" i="23"/>
  <c r="AJ12" i="23"/>
  <c r="AJ28" i="23"/>
  <c r="AJ21" i="23"/>
  <c r="AJ41" i="23"/>
  <c r="AJ40" i="23"/>
  <c r="AJ35" i="23"/>
  <c r="AJ42" i="23"/>
  <c r="AJ46" i="23"/>
  <c r="AJ16" i="23"/>
  <c r="AJ13" i="23"/>
  <c r="AJ43" i="23"/>
  <c r="AJ27" i="23"/>
  <c r="AJ44" i="23"/>
  <c r="AK44" i="23" s="1"/>
  <c r="AJ49" i="23"/>
  <c r="AK49" i="23" s="1"/>
  <c r="AJ32" i="23"/>
  <c r="AJ14" i="23"/>
  <c r="AJ34" i="23"/>
  <c r="I44" i="24"/>
  <c r="I23" i="26"/>
  <c r="I14" i="23"/>
  <c r="I29" i="26"/>
  <c r="V46" i="24"/>
  <c r="V48" i="24"/>
  <c r="V35" i="24"/>
  <c r="V31" i="24"/>
  <c r="V29" i="24"/>
  <c r="W29" i="24" s="1"/>
  <c r="V34" i="24"/>
  <c r="V25" i="24"/>
  <c r="V16" i="24"/>
  <c r="V24" i="24"/>
  <c r="V30" i="24"/>
  <c r="V13" i="24"/>
  <c r="V32" i="24"/>
  <c r="V19" i="24"/>
  <c r="V37" i="24"/>
  <c r="V42" i="24"/>
  <c r="V33" i="24"/>
  <c r="V44" i="24"/>
  <c r="V49" i="24"/>
  <c r="V45" i="24"/>
  <c r="V27" i="24"/>
  <c r="V43" i="24"/>
  <c r="V15" i="24"/>
  <c r="V38" i="24"/>
  <c r="V47" i="24"/>
  <c r="V40" i="24"/>
  <c r="V22" i="24"/>
  <c r="V21" i="24"/>
  <c r="W21" i="24" s="1"/>
  <c r="V14" i="24"/>
  <c r="V12" i="24"/>
  <c r="V36" i="24"/>
  <c r="V17" i="24"/>
  <c r="V41" i="24"/>
  <c r="V26" i="24"/>
  <c r="V18" i="24"/>
  <c r="V20" i="24"/>
  <c r="W20" i="24" s="1"/>
  <c r="V23" i="24"/>
  <c r="V28" i="24"/>
  <c r="V39" i="24"/>
  <c r="I34" i="24"/>
  <c r="I21" i="23"/>
  <c r="I21" i="26"/>
  <c r="I15" i="25"/>
  <c r="I45" i="24"/>
  <c r="H50" i="26"/>
  <c r="I12" i="26"/>
  <c r="I28" i="22"/>
  <c r="AJ24" i="26"/>
  <c r="AJ16" i="26"/>
  <c r="I19" i="22"/>
  <c r="AJ21" i="26"/>
  <c r="I31" i="25"/>
  <c r="I44" i="22"/>
  <c r="I27" i="25"/>
  <c r="I25" i="22"/>
  <c r="I27" i="26"/>
  <c r="I48" i="24"/>
  <c r="I26" i="23"/>
  <c r="AJ33" i="26"/>
  <c r="W44" i="23"/>
  <c r="P44" i="23"/>
  <c r="AD44" i="23"/>
  <c r="BF44" i="23"/>
  <c r="AJ33" i="24"/>
  <c r="AJ31" i="24"/>
  <c r="AJ32" i="24"/>
  <c r="AJ39" i="24"/>
  <c r="AJ30" i="24"/>
  <c r="AJ18" i="24"/>
  <c r="AJ13" i="24"/>
  <c r="AJ29" i="24"/>
  <c r="AK29" i="24" s="1"/>
  <c r="AJ28" i="24"/>
  <c r="AJ27" i="24"/>
  <c r="AJ22" i="24"/>
  <c r="AJ26" i="24"/>
  <c r="AJ23" i="24"/>
  <c r="AJ15" i="24"/>
  <c r="AJ20" i="24"/>
  <c r="AK20" i="24" s="1"/>
  <c r="AJ48" i="24"/>
  <c r="AJ42" i="24"/>
  <c r="AJ21" i="24"/>
  <c r="AK21" i="24" s="1"/>
  <c r="AJ38" i="24"/>
  <c r="AJ37" i="24"/>
  <c r="AJ34" i="24"/>
  <c r="AJ46" i="24"/>
  <c r="AJ14" i="24"/>
  <c r="AJ35" i="24"/>
  <c r="AJ25" i="24"/>
  <c r="AJ47" i="24"/>
  <c r="AJ43" i="24"/>
  <c r="AJ41" i="24"/>
  <c r="AJ12" i="24"/>
  <c r="AJ44" i="24"/>
  <c r="AJ45" i="24"/>
  <c r="AJ49" i="24"/>
  <c r="AJ17" i="24"/>
  <c r="AJ40" i="24"/>
  <c r="AJ16" i="24"/>
  <c r="AJ36" i="24"/>
  <c r="AJ19" i="24"/>
  <c r="AJ24" i="24"/>
  <c r="I35" i="24"/>
  <c r="AD19" i="26"/>
  <c r="W19" i="26"/>
  <c r="AK19" i="26"/>
  <c r="AR19" i="26"/>
  <c r="BF19" i="26"/>
  <c r="AD32" i="23"/>
  <c r="AR32" i="23"/>
  <c r="P32" i="23"/>
  <c r="W32" i="23"/>
  <c r="AK32" i="23"/>
  <c r="BF32" i="23"/>
  <c r="AR15" i="22"/>
  <c r="AD15" i="22"/>
  <c r="P15" i="22"/>
  <c r="BF15" i="22"/>
  <c r="W15" i="22"/>
  <c r="AD39" i="25"/>
  <c r="P39" i="25"/>
  <c r="W39" i="25"/>
  <c r="AK39" i="25"/>
  <c r="BF39" i="25"/>
  <c r="I22" i="22"/>
  <c r="I14" i="25"/>
  <c r="I48" i="23"/>
  <c r="I40" i="26"/>
  <c r="BO47" i="26"/>
  <c r="BO48" i="26"/>
  <c r="BO43" i="26"/>
  <c r="BO44" i="26"/>
  <c r="BO38" i="26"/>
  <c r="BO37" i="26"/>
  <c r="BO34" i="26"/>
  <c r="BO41" i="26"/>
  <c r="BO27" i="26"/>
  <c r="BO42" i="26"/>
  <c r="BO36" i="26"/>
  <c r="BO23" i="26"/>
  <c r="BO32" i="26"/>
  <c r="BO25" i="26"/>
  <c r="BO29" i="26"/>
  <c r="BO24" i="26"/>
  <c r="BO12" i="26"/>
  <c r="BO19" i="26"/>
  <c r="BO17" i="26"/>
  <c r="BO28" i="26"/>
  <c r="BO31" i="26"/>
  <c r="BO13" i="26"/>
  <c r="BO18" i="26"/>
  <c r="BO33" i="26"/>
  <c r="BO26" i="26"/>
  <c r="BO30" i="26"/>
  <c r="BO40" i="26"/>
  <c r="BO21" i="26"/>
  <c r="BO49" i="26"/>
  <c r="BO22" i="26"/>
  <c r="BO45" i="26"/>
  <c r="BO15" i="26"/>
  <c r="BO20" i="26"/>
  <c r="BO46" i="26"/>
  <c r="BO35" i="26"/>
  <c r="BO14" i="26"/>
  <c r="BO16" i="26"/>
  <c r="BO39" i="26"/>
  <c r="I37" i="24"/>
  <c r="AJ36" i="26"/>
  <c r="I29" i="22"/>
  <c r="I49" i="24"/>
  <c r="I24" i="26"/>
  <c r="I28" i="23"/>
  <c r="I14" i="24"/>
  <c r="I14" i="26"/>
  <c r="I38" i="23"/>
  <c r="I27" i="22"/>
  <c r="I38" i="26"/>
  <c r="I24" i="23"/>
  <c r="AJ28" i="26"/>
  <c r="AJ43" i="26"/>
  <c r="I32" i="25"/>
  <c r="AC30" i="26"/>
  <c r="I35" i="22"/>
  <c r="I37" i="25"/>
  <c r="I19" i="23"/>
  <c r="I35" i="26"/>
  <c r="AC49" i="26"/>
  <c r="I23" i="24"/>
  <c r="AQ40" i="26"/>
  <c r="AC29" i="26"/>
  <c r="I45" i="25"/>
  <c r="AD48" i="25"/>
  <c r="AK48" i="25"/>
  <c r="AR48" i="25"/>
  <c r="W48" i="25"/>
  <c r="BF48" i="25"/>
  <c r="I18" i="26"/>
  <c r="I36" i="24"/>
  <c r="I14" i="22"/>
  <c r="I32" i="26"/>
  <c r="I17" i="23"/>
  <c r="I47" i="26"/>
  <c r="AJ40" i="26"/>
  <c r="I25" i="25"/>
  <c r="AC20" i="26"/>
  <c r="I46" i="23"/>
  <c r="I13" i="25"/>
  <c r="I15" i="23"/>
  <c r="I20" i="26"/>
  <c r="BO35" i="24"/>
  <c r="AQ49" i="24"/>
  <c r="BO46" i="24"/>
  <c r="BO44" i="24"/>
  <c r="AQ40" i="24"/>
  <c r="BO33" i="24"/>
  <c r="BO38" i="24"/>
  <c r="AQ37" i="24"/>
  <c r="BO41" i="24"/>
  <c r="AQ46" i="24"/>
  <c r="BO32" i="24"/>
  <c r="AQ31" i="24"/>
  <c r="BO43" i="24"/>
  <c r="BO39" i="24"/>
  <c r="AQ27" i="24"/>
  <c r="AQ24" i="24"/>
  <c r="AQ22" i="24"/>
  <c r="BO23" i="24"/>
  <c r="AQ19" i="24"/>
  <c r="BO29" i="24"/>
  <c r="BO26" i="24"/>
  <c r="AQ32" i="24"/>
  <c r="BO24" i="24"/>
  <c r="BO21" i="24"/>
  <c r="BO12" i="24"/>
  <c r="BO30" i="24"/>
  <c r="AQ28" i="24"/>
  <c r="BO13" i="24"/>
  <c r="BO16" i="24"/>
  <c r="BO19" i="24"/>
  <c r="AQ25" i="24"/>
  <c r="AQ18" i="24"/>
  <c r="AQ26" i="24"/>
  <c r="BO47" i="24"/>
  <c r="BO27" i="24"/>
  <c r="AQ21" i="24"/>
  <c r="AR21" i="24" s="1"/>
  <c r="AQ41" i="24"/>
  <c r="AQ34" i="24"/>
  <c r="AQ48" i="24"/>
  <c r="BO20" i="24"/>
  <c r="AQ15" i="24"/>
  <c r="AQ36" i="24"/>
  <c r="BO22" i="24"/>
  <c r="BO36" i="24"/>
  <c r="BO37" i="24"/>
  <c r="AQ47" i="24"/>
  <c r="BO48" i="24"/>
  <c r="BO18" i="24"/>
  <c r="AQ14" i="24"/>
  <c r="AQ30" i="24"/>
  <c r="BO25" i="24"/>
  <c r="AQ38" i="24"/>
  <c r="BO14" i="24"/>
  <c r="AQ17" i="24"/>
  <c r="BO31" i="24"/>
  <c r="AQ42" i="24"/>
  <c r="AQ39" i="24"/>
  <c r="BO49" i="24"/>
  <c r="BO17" i="24"/>
  <c r="AQ16" i="24"/>
  <c r="AQ20" i="24"/>
  <c r="AR20" i="24" s="1"/>
  <c r="AQ12" i="24"/>
  <c r="AQ35" i="24"/>
  <c r="AQ43" i="24"/>
  <c r="BO40" i="24"/>
  <c r="AQ44" i="24"/>
  <c r="AQ29" i="24"/>
  <c r="AR29" i="24" s="1"/>
  <c r="BO42" i="24"/>
  <c r="AQ23" i="24"/>
  <c r="BO34" i="24"/>
  <c r="BO28" i="24"/>
  <c r="BO45" i="24"/>
  <c r="BO15" i="24"/>
  <c r="AQ13" i="24"/>
  <c r="AQ33" i="24"/>
  <c r="AQ45" i="24"/>
  <c r="I25" i="23"/>
  <c r="I28" i="25"/>
  <c r="O47" i="22"/>
  <c r="O48" i="22"/>
  <c r="O29" i="22"/>
  <c r="O37" i="22"/>
  <c r="O30" i="22"/>
  <c r="O13" i="22"/>
  <c r="O12" i="22"/>
  <c r="O20" i="22"/>
  <c r="O23" i="22"/>
  <c r="O28" i="22"/>
  <c r="O31" i="22"/>
  <c r="O25" i="22"/>
  <c r="O39" i="22"/>
  <c r="O42" i="22"/>
  <c r="O36" i="22"/>
  <c r="O34" i="22"/>
  <c r="O40" i="22"/>
  <c r="O19" i="22"/>
  <c r="O43" i="22"/>
  <c r="O38" i="22"/>
  <c r="O14" i="22"/>
  <c r="O27" i="22"/>
  <c r="O35" i="22"/>
  <c r="O26" i="22"/>
  <c r="O22" i="22"/>
  <c r="O44" i="22"/>
  <c r="O41" i="22"/>
  <c r="O45" i="22"/>
  <c r="O15" i="22"/>
  <c r="O17" i="22"/>
  <c r="O24" i="22"/>
  <c r="O18" i="22"/>
  <c r="O49" i="22"/>
  <c r="O16" i="22"/>
  <c r="O32" i="22"/>
  <c r="O21" i="22"/>
  <c r="O46" i="22"/>
  <c r="O33" i="22"/>
  <c r="AQ18" i="26"/>
  <c r="AC22" i="26"/>
  <c r="G39" i="16"/>
  <c r="N16" i="16"/>
  <c r="N11" i="16"/>
  <c r="G13" i="15"/>
  <c r="G29" i="15"/>
  <c r="G39" i="15"/>
  <c r="G38" i="14"/>
  <c r="G19" i="14"/>
  <c r="G49" i="14"/>
  <c r="G39" i="13"/>
  <c r="G46" i="13"/>
  <c r="CG51" i="13"/>
  <c r="G25" i="12"/>
  <c r="G22" i="12"/>
  <c r="G41" i="12"/>
  <c r="G48" i="14"/>
  <c r="G40" i="13"/>
  <c r="G41" i="13"/>
  <c r="G12" i="14"/>
  <c r="G13" i="12"/>
  <c r="G28" i="12"/>
  <c r="G39" i="12"/>
  <c r="N33" i="16"/>
  <c r="G25" i="14"/>
  <c r="BL49" i="16"/>
  <c r="BL12" i="16"/>
  <c r="G33" i="16"/>
  <c r="G45" i="16"/>
  <c r="G49" i="16"/>
  <c r="BL11" i="16"/>
  <c r="N23" i="16"/>
  <c r="G26" i="16"/>
  <c r="G41" i="15"/>
  <c r="G28" i="15"/>
  <c r="G48" i="15"/>
  <c r="G15" i="14"/>
  <c r="G13" i="13"/>
  <c r="G47" i="13"/>
  <c r="G36" i="12"/>
  <c r="G45" i="12"/>
  <c r="G40" i="12"/>
  <c r="AE51" i="16"/>
  <c r="AL51" i="16"/>
  <c r="X51" i="16"/>
  <c r="AB43" i="16" s="1"/>
  <c r="AE51" i="15"/>
  <c r="AL51" i="15"/>
  <c r="X51" i="15"/>
  <c r="AE51" i="14"/>
  <c r="X51" i="14"/>
  <c r="AL51" i="14"/>
  <c r="AL51" i="13"/>
  <c r="X51" i="13"/>
  <c r="AE51" i="13"/>
  <c r="AL51" i="12"/>
  <c r="X51" i="12"/>
  <c r="AE51" i="12"/>
  <c r="G24" i="16"/>
  <c r="G32" i="15"/>
  <c r="G16" i="15"/>
  <c r="G43" i="15"/>
  <c r="G16" i="14"/>
  <c r="G37" i="14"/>
  <c r="G41" i="14"/>
  <c r="G36" i="13"/>
  <c r="G25" i="13"/>
  <c r="G27" i="12"/>
  <c r="G11" i="12"/>
  <c r="G24" i="12"/>
  <c r="G50" i="12"/>
  <c r="G32" i="16"/>
  <c r="N34" i="16"/>
  <c r="O34" i="16" s="1"/>
  <c r="G49" i="15"/>
  <c r="G37" i="12"/>
  <c r="G12" i="12"/>
  <c r="G30" i="12"/>
  <c r="G15" i="13"/>
  <c r="BI34" i="12"/>
  <c r="BJ34" i="12" s="1"/>
  <c r="BO34" i="12" s="1"/>
  <c r="G35" i="13"/>
  <c r="BL34" i="16"/>
  <c r="G47" i="16"/>
  <c r="G37" i="16"/>
  <c r="G35" i="15"/>
  <c r="BL35" i="16"/>
  <c r="BL29" i="16"/>
  <c r="G27" i="16"/>
  <c r="N36" i="16"/>
  <c r="N27" i="16"/>
  <c r="N19" i="16"/>
  <c r="G30" i="16"/>
  <c r="G28" i="14"/>
  <c r="G20" i="14"/>
  <c r="G23" i="14"/>
  <c r="T51" i="16"/>
  <c r="U35" i="16" s="1"/>
  <c r="AH51" i="16"/>
  <c r="T51" i="15"/>
  <c r="AH51" i="15"/>
  <c r="AH51" i="14"/>
  <c r="T51" i="14"/>
  <c r="T51" i="13"/>
  <c r="AH51" i="13"/>
  <c r="AH51" i="12"/>
  <c r="T51" i="12"/>
  <c r="BL48" i="16"/>
  <c r="BL20" i="16"/>
  <c r="BN42" i="16"/>
  <c r="N20" i="16"/>
  <c r="BN15" i="16"/>
  <c r="G18" i="16"/>
  <c r="G22" i="16"/>
  <c r="G48" i="16"/>
  <c r="G22" i="15"/>
  <c r="G38" i="15"/>
  <c r="G27" i="15"/>
  <c r="G47" i="14"/>
  <c r="G26" i="14"/>
  <c r="BI34" i="13"/>
  <c r="BJ34" i="13" s="1"/>
  <c r="BO34" i="13" s="1"/>
  <c r="G42" i="12"/>
  <c r="G29" i="12"/>
  <c r="G32" i="12"/>
  <c r="G28" i="13"/>
  <c r="G22" i="13"/>
  <c r="G19" i="13"/>
  <c r="G23" i="13"/>
  <c r="G14" i="13"/>
  <c r="G48" i="13"/>
  <c r="G31" i="13"/>
  <c r="G20" i="13"/>
  <c r="G29" i="13"/>
  <c r="G38" i="13"/>
  <c r="G12" i="13"/>
  <c r="G16" i="13"/>
  <c r="G11" i="13"/>
  <c r="G30" i="14"/>
  <c r="G43" i="13"/>
  <c r="N44" i="16"/>
  <c r="N47" i="16"/>
  <c r="N38" i="16"/>
  <c r="BL24" i="16"/>
  <c r="N24" i="16"/>
  <c r="N32" i="16"/>
  <c r="G37" i="15"/>
  <c r="BL40" i="16"/>
  <c r="BL41" i="16"/>
  <c r="BL37" i="16"/>
  <c r="BL47" i="16"/>
  <c r="BL28" i="16"/>
  <c r="BL30" i="16"/>
  <c r="BL32" i="16"/>
  <c r="BL17" i="16"/>
  <c r="BL16" i="16"/>
  <c r="BL42" i="16"/>
  <c r="BL18" i="16"/>
  <c r="BL38" i="16"/>
  <c r="BL23" i="16"/>
  <c r="BL26" i="16"/>
  <c r="BL21" i="16"/>
  <c r="BL22" i="16"/>
  <c r="BL13" i="16"/>
  <c r="BL15" i="16"/>
  <c r="BL14" i="16"/>
  <c r="G21" i="16"/>
  <c r="G33" i="15"/>
  <c r="G26" i="15"/>
  <c r="G42" i="14"/>
  <c r="G37" i="13"/>
  <c r="BN50" i="16"/>
  <c r="BN27" i="16"/>
  <c r="BN30" i="16"/>
  <c r="BN44" i="16"/>
  <c r="BN29" i="16"/>
  <c r="BN16" i="16"/>
  <c r="BN13" i="16"/>
  <c r="BN47" i="16"/>
  <c r="BL45" i="16"/>
  <c r="BN46" i="16"/>
  <c r="BI34" i="16"/>
  <c r="BJ34" i="16" s="1"/>
  <c r="BO34" i="16" s="1"/>
  <c r="BN19" i="16"/>
  <c r="BN14" i="16"/>
  <c r="N13" i="16"/>
  <c r="G31" i="16"/>
  <c r="G25" i="16"/>
  <c r="G38" i="16"/>
  <c r="BN21" i="16"/>
  <c r="BN20" i="16"/>
  <c r="G40" i="15"/>
  <c r="G46" i="15"/>
  <c r="G50" i="15"/>
  <c r="G22" i="14"/>
  <c r="BJ34" i="14"/>
  <c r="BO34" i="14" s="1"/>
  <c r="BI34" i="14"/>
  <c r="G18" i="14"/>
  <c r="G40" i="14"/>
  <c r="G30" i="13"/>
  <c r="G32" i="13"/>
  <c r="G18" i="13"/>
  <c r="G44" i="12"/>
  <c r="G46" i="12"/>
  <c r="G47" i="12"/>
  <c r="BL44" i="16"/>
  <c r="G28" i="16"/>
  <c r="G24" i="15"/>
  <c r="G47" i="15"/>
  <c r="G45" i="15"/>
  <c r="G24" i="14"/>
  <c r="G21" i="14"/>
  <c r="G43" i="14"/>
  <c r="G49" i="13"/>
  <c r="G42" i="13"/>
  <c r="G24" i="13"/>
  <c r="G31" i="12"/>
  <c r="G49" i="12"/>
  <c r="G20" i="12"/>
  <c r="BM35" i="16"/>
  <c r="G43" i="16"/>
  <c r="G14" i="14"/>
  <c r="N15" i="16"/>
  <c r="N40" i="16"/>
  <c r="N48" i="16"/>
  <c r="N42" i="16"/>
  <c r="N45" i="16"/>
  <c r="N43" i="16"/>
  <c r="N37" i="16"/>
  <c r="N29" i="16"/>
  <c r="N39" i="16"/>
  <c r="N28" i="16"/>
  <c r="N31" i="16"/>
  <c r="N30" i="16"/>
  <c r="N21" i="16"/>
  <c r="N22" i="16"/>
  <c r="N25" i="16"/>
  <c r="N14" i="16"/>
  <c r="G23" i="15"/>
  <c r="G38" i="12"/>
  <c r="G16" i="12"/>
  <c r="G26" i="12"/>
  <c r="G50" i="14"/>
  <c r="G44" i="13"/>
  <c r="G44" i="16"/>
  <c r="AB13" i="16"/>
  <c r="G12" i="16"/>
  <c r="G13" i="16"/>
  <c r="BL36" i="16"/>
  <c r="G16" i="16"/>
  <c r="G41" i="16"/>
  <c r="G35" i="16"/>
  <c r="G20" i="16"/>
  <c r="G11" i="15"/>
  <c r="G12" i="15"/>
  <c r="N18" i="16"/>
  <c r="G44" i="15"/>
  <c r="G33" i="14"/>
  <c r="G27" i="14"/>
  <c r="G44" i="14"/>
  <c r="G21" i="13"/>
  <c r="N35" i="16"/>
  <c r="BL43" i="16"/>
  <c r="BL27" i="16"/>
  <c r="BL33" i="16"/>
  <c r="BL39" i="16"/>
  <c r="G29" i="16"/>
  <c r="G42" i="16"/>
  <c r="N30" i="15"/>
  <c r="N39" i="15"/>
  <c r="N29" i="15"/>
  <c r="N43" i="15"/>
  <c r="N14" i="15"/>
  <c r="N32" i="15"/>
  <c r="N33" i="15"/>
  <c r="G20" i="15"/>
  <c r="G36" i="15"/>
  <c r="G19" i="15"/>
  <c r="BI34" i="15"/>
  <c r="BJ34" i="15" s="1"/>
  <c r="BO34" i="15" s="1"/>
  <c r="G31" i="14"/>
  <c r="G29" i="14"/>
  <c r="G32" i="14"/>
  <c r="G45" i="13"/>
  <c r="G27" i="13"/>
  <c r="G43" i="12"/>
  <c r="G19" i="12"/>
  <c r="G48" i="12"/>
  <c r="AP46" i="6"/>
  <c r="AP45" i="6"/>
  <c r="AP41" i="6"/>
  <c r="AP49" i="6"/>
  <c r="AP47" i="6"/>
  <c r="AP44" i="6"/>
  <c r="AP29" i="6"/>
  <c r="AP27" i="6"/>
  <c r="AP32" i="6"/>
  <c r="AP35" i="6"/>
  <c r="AP37" i="6"/>
  <c r="AP30" i="6"/>
  <c r="AP15" i="6"/>
  <c r="AP12" i="6"/>
  <c r="AP22" i="6"/>
  <c r="AP28" i="6"/>
  <c r="G38" i="6"/>
  <c r="G37" i="6"/>
  <c r="U34" i="6"/>
  <c r="V34" i="6" s="1"/>
  <c r="G22" i="6"/>
  <c r="G47" i="5"/>
  <c r="G21" i="5"/>
  <c r="G33" i="5"/>
  <c r="G13" i="5"/>
  <c r="G28" i="4"/>
  <c r="G32" i="4"/>
  <c r="G42" i="4"/>
  <c r="BM50" i="6"/>
  <c r="BK50" i="6" s="1"/>
  <c r="BM46" i="6"/>
  <c r="U46" i="6"/>
  <c r="BM48" i="6"/>
  <c r="BM47" i="6"/>
  <c r="BM43" i="6"/>
  <c r="U48" i="6"/>
  <c r="BM35" i="6"/>
  <c r="BM33" i="6"/>
  <c r="BM38" i="6"/>
  <c r="BM42" i="6"/>
  <c r="BM29" i="6"/>
  <c r="BM41" i="6"/>
  <c r="BM34" i="6"/>
  <c r="BM28" i="6"/>
  <c r="BM36" i="6"/>
  <c r="U38" i="6"/>
  <c r="U24" i="6"/>
  <c r="BM11" i="6"/>
  <c r="BM32" i="6"/>
  <c r="U19" i="6"/>
  <c r="BM21" i="6"/>
  <c r="U14" i="6"/>
  <c r="BM18" i="6"/>
  <c r="BM45" i="6"/>
  <c r="BI34" i="6"/>
  <c r="BJ34" i="6" s="1"/>
  <c r="BH34" i="6"/>
  <c r="AI47" i="6"/>
  <c r="AI44" i="6"/>
  <c r="AI48" i="6"/>
  <c r="AI14" i="6"/>
  <c r="AI32" i="6"/>
  <c r="AI24" i="6"/>
  <c r="AI19" i="6"/>
  <c r="AI15" i="6"/>
  <c r="AI23" i="6"/>
  <c r="AI22" i="6"/>
  <c r="AI21" i="6"/>
  <c r="AI11" i="6"/>
  <c r="AI13" i="6"/>
  <c r="G35" i="5"/>
  <c r="G48" i="5"/>
  <c r="G16" i="5"/>
  <c r="BM49" i="6"/>
  <c r="BM37" i="6"/>
  <c r="AI43" i="6"/>
  <c r="AP25" i="6"/>
  <c r="U23" i="6"/>
  <c r="U41" i="6"/>
  <c r="BM27" i="6"/>
  <c r="AI20" i="6"/>
  <c r="G42" i="6"/>
  <c r="G46" i="6"/>
  <c r="AP38" i="6"/>
  <c r="AB37" i="6"/>
  <c r="AI27" i="6"/>
  <c r="U12" i="6"/>
  <c r="AI26" i="6"/>
  <c r="BM20" i="6"/>
  <c r="G13" i="6"/>
  <c r="AP19" i="6"/>
  <c r="AP11" i="6"/>
  <c r="AI18" i="6"/>
  <c r="G11" i="6"/>
  <c r="BM13" i="6"/>
  <c r="G26" i="5"/>
  <c r="G41" i="5"/>
  <c r="G23" i="4"/>
  <c r="G40" i="4"/>
  <c r="G45" i="4"/>
  <c r="G19" i="3"/>
  <c r="G22" i="2"/>
  <c r="G38" i="2"/>
  <c r="G49" i="2"/>
  <c r="U13" i="6"/>
  <c r="AB50" i="6"/>
  <c r="U49" i="6"/>
  <c r="AI45" i="6"/>
  <c r="AB47" i="6"/>
  <c r="AP42" i="6"/>
  <c r="U20" i="6"/>
  <c r="G48" i="6"/>
  <c r="G50" i="6"/>
  <c r="AI37" i="6"/>
  <c r="BM26" i="6"/>
  <c r="U26" i="6"/>
  <c r="BM23" i="6"/>
  <c r="AP16" i="6"/>
  <c r="U21" i="6"/>
  <c r="AB11" i="6"/>
  <c r="G36" i="5"/>
  <c r="G28" i="5"/>
  <c r="G39" i="5"/>
  <c r="G11" i="5"/>
  <c r="G24" i="4"/>
  <c r="G27" i="4"/>
  <c r="G46" i="4"/>
  <c r="G12" i="4"/>
  <c r="BH34" i="2"/>
  <c r="BI34" i="2"/>
  <c r="BJ34" i="2" s="1"/>
  <c r="G35" i="2"/>
  <c r="G27" i="2"/>
  <c r="G16" i="2"/>
  <c r="BM40" i="6"/>
  <c r="AI34" i="6"/>
  <c r="AJ34" i="6" s="1"/>
  <c r="AI30" i="6"/>
  <c r="G44" i="6"/>
  <c r="AI33" i="6"/>
  <c r="AB24" i="6"/>
  <c r="AB20" i="6"/>
  <c r="G12" i="6"/>
  <c r="AI12" i="6"/>
  <c r="G31" i="5"/>
  <c r="O34" i="5"/>
  <c r="G18" i="4"/>
  <c r="G35" i="4"/>
  <c r="G50" i="4"/>
  <c r="G43" i="2"/>
  <c r="G11" i="2"/>
  <c r="G26" i="2"/>
  <c r="BM39" i="6"/>
  <c r="AI38" i="6"/>
  <c r="G15" i="6"/>
  <c r="G27" i="6"/>
  <c r="AI29" i="6"/>
  <c r="G35" i="6"/>
  <c r="G47" i="6"/>
  <c r="AB34" i="6"/>
  <c r="AC34" i="6" s="1"/>
  <c r="U28" i="6"/>
  <c r="AB23" i="6"/>
  <c r="AP23" i="6"/>
  <c r="AI25" i="6"/>
  <c r="U30" i="6"/>
  <c r="AB38" i="6"/>
  <c r="G12" i="5"/>
  <c r="G30" i="5"/>
  <c r="G20" i="5"/>
  <c r="G29" i="5"/>
  <c r="G44" i="5"/>
  <c r="G15" i="4"/>
  <c r="G49" i="4"/>
  <c r="G44" i="4"/>
  <c r="G29" i="3"/>
  <c r="G11" i="3"/>
  <c r="G21" i="3"/>
  <c r="G13" i="3"/>
  <c r="G50" i="3"/>
  <c r="G42" i="3"/>
  <c r="G25" i="3"/>
  <c r="G22" i="3"/>
  <c r="G15" i="3"/>
  <c r="G16" i="3"/>
  <c r="G14" i="3"/>
  <c r="G30" i="3"/>
  <c r="G12" i="3"/>
  <c r="G19" i="2"/>
  <c r="G24" i="2"/>
  <c r="G14" i="2"/>
  <c r="G42" i="2"/>
  <c r="AI42" i="6"/>
  <c r="AB48" i="6"/>
  <c r="AP40" i="6"/>
  <c r="BM16" i="6"/>
  <c r="AB14" i="6"/>
  <c r="G25" i="5"/>
  <c r="G50" i="5"/>
  <c r="G11" i="4"/>
  <c r="G13" i="4"/>
  <c r="G29" i="4"/>
  <c r="G28" i="2"/>
  <c r="G20" i="2"/>
  <c r="G46" i="2"/>
  <c r="U33" i="6"/>
  <c r="U36" i="6"/>
  <c r="BM12" i="6"/>
  <c r="G37" i="5"/>
  <c r="AI40" i="6"/>
  <c r="AI16" i="6"/>
  <c r="U47" i="6"/>
  <c r="AP48" i="6"/>
  <c r="AB36" i="6"/>
  <c r="U44" i="6"/>
  <c r="AP21" i="6"/>
  <c r="U29" i="6"/>
  <c r="G40" i="6"/>
  <c r="AB22" i="6"/>
  <c r="U27" i="6"/>
  <c r="AB21" i="6"/>
  <c r="BM14" i="6"/>
  <c r="BM30" i="6"/>
  <c r="U11" i="6"/>
  <c r="G22" i="5"/>
  <c r="BN40" i="6"/>
  <c r="BK40" i="6" s="1"/>
  <c r="BN37" i="6"/>
  <c r="BN48" i="6"/>
  <c r="BN34" i="6"/>
  <c r="BN44" i="6"/>
  <c r="BN39" i="6"/>
  <c r="BN24" i="6"/>
  <c r="BN18" i="6"/>
  <c r="BN25" i="6"/>
  <c r="BN33" i="6"/>
  <c r="BN21" i="6"/>
  <c r="BN22" i="6"/>
  <c r="BN35" i="6"/>
  <c r="BN26" i="6"/>
  <c r="BN16" i="6"/>
  <c r="BN23" i="6"/>
  <c r="BK23" i="6" s="1"/>
  <c r="BN12" i="6"/>
  <c r="BN14" i="6"/>
  <c r="BN11" i="6"/>
  <c r="AB49" i="6"/>
  <c r="U50" i="6"/>
  <c r="U43" i="6"/>
  <c r="U45" i="6"/>
  <c r="U40" i="6"/>
  <c r="AP39" i="6"/>
  <c r="U37" i="6"/>
  <c r="BN41" i="6"/>
  <c r="BK41" i="6" s="1"/>
  <c r="AP26" i="6"/>
  <c r="G41" i="6"/>
  <c r="BM22" i="6"/>
  <c r="U22" i="6"/>
  <c r="BN19" i="6"/>
  <c r="BM44" i="6"/>
  <c r="G16" i="6"/>
  <c r="BM25" i="6"/>
  <c r="G24" i="5"/>
  <c r="G38" i="5"/>
  <c r="G16" i="4"/>
  <c r="G20" i="4"/>
  <c r="G33" i="4"/>
  <c r="G39" i="3"/>
  <c r="G45" i="3"/>
  <c r="G31" i="2"/>
  <c r="G23" i="2"/>
  <c r="G44" i="2"/>
  <c r="AI46" i="6"/>
  <c r="AI31" i="6"/>
  <c r="AI39" i="6"/>
  <c r="BM19" i="6"/>
  <c r="U32" i="6"/>
  <c r="BM15" i="6"/>
  <c r="BK15" i="6" s="1"/>
  <c r="U16" i="6"/>
  <c r="G43" i="5"/>
  <c r="BH34" i="5"/>
  <c r="BI34" i="5"/>
  <c r="BJ34" i="5" s="1"/>
  <c r="BO34" i="5" s="1"/>
  <c r="BI34" i="4"/>
  <c r="BJ34" i="4" s="1"/>
  <c r="BH34" i="4"/>
  <c r="BI34" i="3"/>
  <c r="BJ34" i="3" s="1"/>
  <c r="BH34" i="3"/>
  <c r="AI49" i="6"/>
  <c r="BN45" i="6"/>
  <c r="U25" i="6"/>
  <c r="AP33" i="6"/>
  <c r="AP36" i="6"/>
  <c r="G26" i="6"/>
  <c r="U31" i="6"/>
  <c r="U42" i="6"/>
  <c r="U18" i="6"/>
  <c r="BN29" i="6"/>
  <c r="BM24" i="6"/>
  <c r="BK13" i="6"/>
  <c r="G19" i="5"/>
  <c r="G18" i="5"/>
  <c r="G27" i="5"/>
  <c r="G46" i="5"/>
  <c r="G22" i="4"/>
  <c r="G39" i="4"/>
  <c r="G41" i="4"/>
  <c r="G47" i="3"/>
  <c r="O34" i="3"/>
  <c r="G41" i="2"/>
  <c r="G29" i="2"/>
  <c r="G47" i="2"/>
  <c r="G15" i="5"/>
  <c r="G43" i="4"/>
  <c r="G47" i="4"/>
  <c r="G26" i="4"/>
  <c r="O34" i="4"/>
  <c r="G12" i="2"/>
  <c r="G33" i="2"/>
  <c r="G40" i="2"/>
  <c r="G26" i="3"/>
  <c r="G24" i="3"/>
  <c r="G33" i="3"/>
  <c r="G32" i="2"/>
  <c r="G15" i="2"/>
  <c r="G25" i="2"/>
  <c r="G45" i="2"/>
  <c r="AB40" i="6"/>
  <c r="AB39" i="6"/>
  <c r="AB28" i="6"/>
  <c r="AB44" i="6"/>
  <c r="AB25" i="6"/>
  <c r="AB16" i="6"/>
  <c r="AB29" i="6"/>
  <c r="AB31" i="6"/>
  <c r="AB27" i="6"/>
  <c r="AB12" i="6"/>
  <c r="U39" i="6"/>
  <c r="AI41" i="6"/>
  <c r="G29" i="6"/>
  <c r="G18" i="6"/>
  <c r="G31" i="6"/>
  <c r="G20" i="6"/>
  <c r="G23" i="6"/>
  <c r="G28" i="6"/>
  <c r="BM31" i="6"/>
  <c r="AB26" i="6"/>
  <c r="G25" i="6"/>
  <c r="G33" i="6"/>
  <c r="AP13" i="6"/>
  <c r="AP34" i="6"/>
  <c r="AQ34" i="6" s="1"/>
  <c r="AB30" i="6"/>
  <c r="AI36" i="6"/>
  <c r="AI35" i="6"/>
  <c r="AP24" i="6"/>
  <c r="U15" i="6"/>
  <c r="AB15" i="6"/>
  <c r="AB13" i="6"/>
  <c r="G49" i="5"/>
  <c r="G45" i="5"/>
  <c r="G36" i="4"/>
  <c r="G25" i="4"/>
  <c r="G28" i="3"/>
  <c r="G13" i="2"/>
  <c r="G21" i="2"/>
  <c r="AB15" i="2" l="1"/>
  <c r="AB16" i="2"/>
  <c r="AB38" i="2"/>
  <c r="AB12" i="2"/>
  <c r="AB41" i="2"/>
  <c r="AB35" i="2"/>
  <c r="AB39" i="2"/>
  <c r="AB47" i="2"/>
  <c r="AB29" i="2"/>
  <c r="AB23" i="2"/>
  <c r="AB18" i="2"/>
  <c r="AB11" i="2"/>
  <c r="AB24" i="2"/>
  <c r="AB49" i="2"/>
  <c r="AB48" i="2"/>
  <c r="AB20" i="2"/>
  <c r="AB19" i="2"/>
  <c r="AB13" i="2"/>
  <c r="AB43" i="2"/>
  <c r="AB34" i="2"/>
  <c r="AC34" i="2" s="1"/>
  <c r="AB25" i="2"/>
  <c r="AB28" i="2"/>
  <c r="AB22" i="2"/>
  <c r="AB37" i="2"/>
  <c r="AB30" i="2"/>
  <c r="AB27" i="2"/>
  <c r="AB50" i="2"/>
  <c r="AB45" i="2"/>
  <c r="AB21" i="2"/>
  <c r="AB14" i="2"/>
  <c r="AB36" i="2"/>
  <c r="AB31" i="2"/>
  <c r="AB33" i="2"/>
  <c r="AB32" i="2"/>
  <c r="AB26" i="2"/>
  <c r="AB40" i="2"/>
  <c r="AB46" i="2"/>
  <c r="AB44" i="2"/>
  <c r="AB42" i="2"/>
  <c r="BN12" i="3"/>
  <c r="BN49" i="3"/>
  <c r="BN14" i="3"/>
  <c r="BN32" i="3"/>
  <c r="BN33" i="3"/>
  <c r="BN22" i="3"/>
  <c r="BN19" i="3"/>
  <c r="BN41" i="3"/>
  <c r="BN30" i="3"/>
  <c r="BN25" i="3"/>
  <c r="BN18" i="3"/>
  <c r="BN20" i="3"/>
  <c r="BN35" i="3"/>
  <c r="BN45" i="3"/>
  <c r="BN27" i="3"/>
  <c r="BN39" i="3"/>
  <c r="BN43" i="3"/>
  <c r="BN16" i="3"/>
  <c r="BN13" i="3"/>
  <c r="BN40" i="3"/>
  <c r="BN36" i="3"/>
  <c r="BN15" i="3"/>
  <c r="BN23" i="3"/>
  <c r="BN31" i="3"/>
  <c r="BN44" i="3"/>
  <c r="BN26" i="3"/>
  <c r="BN48" i="3"/>
  <c r="BN29" i="3"/>
  <c r="BN21" i="3"/>
  <c r="BN42" i="3"/>
  <c r="BN37" i="3"/>
  <c r="BN28" i="3"/>
  <c r="BN46" i="3"/>
  <c r="BN11" i="3"/>
  <c r="BN24" i="3"/>
  <c r="BN47" i="3"/>
  <c r="BN34" i="3"/>
  <c r="BN50" i="3"/>
  <c r="BN38" i="3"/>
  <c r="AB14" i="3"/>
  <c r="AB41" i="3"/>
  <c r="AB28" i="3"/>
  <c r="AB49" i="3"/>
  <c r="AB44" i="3"/>
  <c r="AB22" i="3"/>
  <c r="AB32" i="3"/>
  <c r="AB18" i="3"/>
  <c r="AB12" i="3"/>
  <c r="AB36" i="3"/>
  <c r="AB33" i="3"/>
  <c r="AB43" i="3"/>
  <c r="AB45" i="3"/>
  <c r="AB15" i="3"/>
  <c r="AB50" i="3"/>
  <c r="AB46" i="3"/>
  <c r="AB48" i="3"/>
  <c r="AB35" i="3"/>
  <c r="AB25" i="3"/>
  <c r="AB37" i="3"/>
  <c r="AB38" i="3"/>
  <c r="AB34" i="3"/>
  <c r="AC34" i="3" s="1"/>
  <c r="AB47" i="3"/>
  <c r="AB21" i="3"/>
  <c r="AB29" i="3"/>
  <c r="AB11" i="3"/>
  <c r="AB26" i="3"/>
  <c r="AB30" i="3"/>
  <c r="AB13" i="3"/>
  <c r="AB27" i="3"/>
  <c r="AB42" i="3"/>
  <c r="AB20" i="3"/>
  <c r="AB16" i="3"/>
  <c r="AB40" i="3"/>
  <c r="AB31" i="3"/>
  <c r="AB23" i="3"/>
  <c r="AB19" i="3"/>
  <c r="AB24" i="3"/>
  <c r="AB39" i="3"/>
  <c r="AP38" i="5"/>
  <c r="AP34" i="5"/>
  <c r="AQ34" i="5" s="1"/>
  <c r="AP30" i="5"/>
  <c r="AP32" i="5"/>
  <c r="AP22" i="5"/>
  <c r="AP14" i="5"/>
  <c r="AP21" i="5"/>
  <c r="AP40" i="5"/>
  <c r="AP44" i="5"/>
  <c r="AP33" i="5"/>
  <c r="AP20" i="5"/>
  <c r="AP35" i="5"/>
  <c r="AP41" i="5"/>
  <c r="AP50" i="5"/>
  <c r="AP29" i="5"/>
  <c r="AP31" i="5"/>
  <c r="AP25" i="5"/>
  <c r="AP24" i="5"/>
  <c r="AP39" i="5"/>
  <c r="AP49" i="5"/>
  <c r="AP12" i="5"/>
  <c r="AP19" i="5"/>
  <c r="AP16" i="5"/>
  <c r="AP36" i="5"/>
  <c r="AP13" i="5"/>
  <c r="AP46" i="5"/>
  <c r="AP15" i="5"/>
  <c r="AP23" i="5"/>
  <c r="AP18" i="5"/>
  <c r="AP27" i="5"/>
  <c r="AP45" i="5"/>
  <c r="AP11" i="5"/>
  <c r="AP42" i="5"/>
  <c r="AP37" i="5"/>
  <c r="AP43" i="5"/>
  <c r="AP26" i="5"/>
  <c r="AP28" i="5"/>
  <c r="AP48" i="5"/>
  <c r="AP47" i="5"/>
  <c r="AP14" i="4"/>
  <c r="AP35" i="4"/>
  <c r="AP20" i="4"/>
  <c r="AP38" i="4"/>
  <c r="AP44" i="4"/>
  <c r="AP22" i="4"/>
  <c r="AP29" i="4"/>
  <c r="AP13" i="4"/>
  <c r="AP28" i="4"/>
  <c r="AP18" i="4"/>
  <c r="AP25" i="4"/>
  <c r="AP42" i="4"/>
  <c r="AP33" i="4"/>
  <c r="AP37" i="4"/>
  <c r="AP21" i="4"/>
  <c r="AP48" i="4"/>
  <c r="AP26" i="4"/>
  <c r="AP39" i="4"/>
  <c r="AP45" i="4"/>
  <c r="AP12" i="4"/>
  <c r="AP32" i="4"/>
  <c r="AP27" i="4"/>
  <c r="AP30" i="4"/>
  <c r="AP50" i="4"/>
  <c r="AP23" i="4"/>
  <c r="AP24" i="4"/>
  <c r="AP19" i="4"/>
  <c r="AP49" i="4"/>
  <c r="AP31" i="4"/>
  <c r="AP47" i="4"/>
  <c r="AP40" i="4"/>
  <c r="AP15" i="4"/>
  <c r="AP41" i="4"/>
  <c r="AP46" i="4"/>
  <c r="AP11" i="4"/>
  <c r="AP16" i="4"/>
  <c r="AP43" i="4"/>
  <c r="AP34" i="4"/>
  <c r="AQ34" i="4" s="1"/>
  <c r="AP36" i="4"/>
  <c r="AP37" i="2"/>
  <c r="AP48" i="2"/>
  <c r="AP20" i="2"/>
  <c r="AP41" i="2"/>
  <c r="AP22" i="2"/>
  <c r="AP50" i="2"/>
  <c r="AP36" i="2"/>
  <c r="AP23" i="2"/>
  <c r="AP38" i="2"/>
  <c r="AP44" i="2"/>
  <c r="AP12" i="2"/>
  <c r="AP45" i="2"/>
  <c r="AP40" i="2"/>
  <c r="AP27" i="2"/>
  <c r="AP46" i="2"/>
  <c r="AP47" i="2"/>
  <c r="AP34" i="2"/>
  <c r="AQ34" i="2" s="1"/>
  <c r="AP15" i="2"/>
  <c r="AP21" i="2"/>
  <c r="AP49" i="2"/>
  <c r="AP28" i="2"/>
  <c r="AP13" i="2"/>
  <c r="AP16" i="2"/>
  <c r="AP18" i="2"/>
  <c r="AP19" i="2"/>
  <c r="AP24" i="2"/>
  <c r="AP25" i="2"/>
  <c r="AP33" i="2"/>
  <c r="AP11" i="2"/>
  <c r="AP30" i="2"/>
  <c r="AP32" i="2"/>
  <c r="AP29" i="2"/>
  <c r="AP31" i="2"/>
  <c r="AP35" i="2"/>
  <c r="AP14" i="2"/>
  <c r="AP39" i="2"/>
  <c r="AP43" i="2"/>
  <c r="AP26" i="2"/>
  <c r="AP42" i="2"/>
  <c r="AP26" i="3"/>
  <c r="AP47" i="3"/>
  <c r="AP39" i="3"/>
  <c r="AP46" i="3"/>
  <c r="AP19" i="3"/>
  <c r="AP13" i="3"/>
  <c r="AP20" i="3"/>
  <c r="AP16" i="3"/>
  <c r="AP37" i="3"/>
  <c r="AP21" i="3"/>
  <c r="AP12" i="3"/>
  <c r="AP40" i="3"/>
  <c r="AP18" i="3"/>
  <c r="AP27" i="3"/>
  <c r="AP50" i="3"/>
  <c r="AP35" i="3"/>
  <c r="AP43" i="3"/>
  <c r="AP22" i="3"/>
  <c r="AP42" i="3"/>
  <c r="AP36" i="3"/>
  <c r="AP32" i="3"/>
  <c r="AP49" i="3"/>
  <c r="AP14" i="3"/>
  <c r="AP31" i="3"/>
  <c r="AP38" i="3"/>
  <c r="AP33" i="3"/>
  <c r="AP34" i="3"/>
  <c r="AQ34" i="3" s="1"/>
  <c r="AP28" i="3"/>
  <c r="AP29" i="3"/>
  <c r="AP24" i="3"/>
  <c r="AP45" i="3"/>
  <c r="AP23" i="3"/>
  <c r="AP30" i="3"/>
  <c r="AP25" i="3"/>
  <c r="AP41" i="3"/>
  <c r="AP15" i="3"/>
  <c r="AP11" i="3"/>
  <c r="AP44" i="3"/>
  <c r="AP48" i="3"/>
  <c r="AB14" i="5"/>
  <c r="AB38" i="5"/>
  <c r="AB18" i="5"/>
  <c r="AB21" i="5"/>
  <c r="AB19" i="5"/>
  <c r="AB42" i="5"/>
  <c r="AB12" i="5"/>
  <c r="AB20" i="5"/>
  <c r="AB32" i="5"/>
  <c r="AB50" i="5"/>
  <c r="AB37" i="5"/>
  <c r="AB44" i="5"/>
  <c r="AB36" i="5"/>
  <c r="AB15" i="5"/>
  <c r="AB47" i="5"/>
  <c r="AB45" i="5"/>
  <c r="AB33" i="5"/>
  <c r="AB25" i="5"/>
  <c r="AB49" i="5"/>
  <c r="AB29" i="5"/>
  <c r="AB34" i="5"/>
  <c r="AC34" i="5" s="1"/>
  <c r="AB24" i="5"/>
  <c r="AB43" i="5"/>
  <c r="AB31" i="5"/>
  <c r="AB40" i="5"/>
  <c r="AB22" i="5"/>
  <c r="AB30" i="5"/>
  <c r="AB48" i="5"/>
  <c r="AB11" i="5"/>
  <c r="AB23" i="5"/>
  <c r="AB13" i="5"/>
  <c r="AB39" i="5"/>
  <c r="AB35" i="5"/>
  <c r="AB46" i="5"/>
  <c r="AB16" i="5"/>
  <c r="AB28" i="5"/>
  <c r="AB26" i="5"/>
  <c r="AB41" i="5"/>
  <c r="AB27" i="5"/>
  <c r="BN40" i="5"/>
  <c r="BN31" i="5"/>
  <c r="BN23" i="5"/>
  <c r="BN22" i="5"/>
  <c r="BN44" i="5"/>
  <c r="BN41" i="5"/>
  <c r="BN49" i="5"/>
  <c r="BN38" i="5"/>
  <c r="BN21" i="5"/>
  <c r="BN36" i="5"/>
  <c r="BN37" i="5"/>
  <c r="BN29" i="5"/>
  <c r="BN50" i="5"/>
  <c r="BN27" i="5"/>
  <c r="BN14" i="5"/>
  <c r="BN13" i="5"/>
  <c r="BN47" i="5"/>
  <c r="BN34" i="5"/>
  <c r="BN35" i="5"/>
  <c r="BN20" i="5"/>
  <c r="BN25" i="5"/>
  <c r="BN42" i="5"/>
  <c r="BN32" i="5"/>
  <c r="BN43" i="5"/>
  <c r="BN12" i="5"/>
  <c r="BN46" i="5"/>
  <c r="BN18" i="5"/>
  <c r="BN19" i="5"/>
  <c r="BN26" i="5"/>
  <c r="BN48" i="5"/>
  <c r="BN45" i="5"/>
  <c r="BN24" i="5"/>
  <c r="BN33" i="5"/>
  <c r="BN16" i="5"/>
  <c r="BN39" i="5"/>
  <c r="BN28" i="5"/>
  <c r="BN11" i="5"/>
  <c r="BN30" i="5"/>
  <c r="BN15" i="5"/>
  <c r="BN18" i="4"/>
  <c r="BN27" i="4"/>
  <c r="BN48" i="4"/>
  <c r="BN31" i="4"/>
  <c r="BN49" i="4"/>
  <c r="BN20" i="4"/>
  <c r="BN36" i="4"/>
  <c r="BN34" i="4"/>
  <c r="BN30" i="4"/>
  <c r="BN14" i="4"/>
  <c r="BN24" i="4"/>
  <c r="BN44" i="4"/>
  <c r="BN41" i="4"/>
  <c r="BN26" i="4"/>
  <c r="BN11" i="4"/>
  <c r="BN37" i="4"/>
  <c r="BN21" i="4"/>
  <c r="BN22" i="4"/>
  <c r="BN23" i="4"/>
  <c r="BN35" i="4"/>
  <c r="BN43" i="4"/>
  <c r="BN39" i="4"/>
  <c r="BN40" i="4"/>
  <c r="BN16" i="4"/>
  <c r="BN46" i="4"/>
  <c r="BN47" i="4"/>
  <c r="BN12" i="4"/>
  <c r="BN50" i="4"/>
  <c r="BN29" i="4"/>
  <c r="BN45" i="4"/>
  <c r="BN25" i="4"/>
  <c r="BN33" i="4"/>
  <c r="BN38" i="4"/>
  <c r="BN32" i="4"/>
  <c r="BN42" i="4"/>
  <c r="BN19" i="4"/>
  <c r="BN13" i="4"/>
  <c r="BN28" i="4"/>
  <c r="BN15" i="4"/>
  <c r="AI34" i="2"/>
  <c r="AJ34" i="2" s="1"/>
  <c r="AB20" i="4"/>
  <c r="AB21" i="4"/>
  <c r="AB25" i="4"/>
  <c r="AB34" i="4"/>
  <c r="AC34" i="4" s="1"/>
  <c r="AB33" i="4"/>
  <c r="AB46" i="4"/>
  <c r="AB26" i="4"/>
  <c r="AB47" i="4"/>
  <c r="AB50" i="4"/>
  <c r="AB15" i="4"/>
  <c r="AB28" i="4"/>
  <c r="AB44" i="4"/>
  <c r="AB27" i="4"/>
  <c r="AB12" i="4"/>
  <c r="AB39" i="4"/>
  <c r="AB16" i="4"/>
  <c r="AB19" i="4"/>
  <c r="AB23" i="4"/>
  <c r="AB22" i="4"/>
  <c r="AB48" i="4"/>
  <c r="AB42" i="4"/>
  <c r="AB36" i="4"/>
  <c r="AB45" i="4"/>
  <c r="AB14" i="4"/>
  <c r="AB38" i="4"/>
  <c r="AB30" i="4"/>
  <c r="AB49" i="4"/>
  <c r="AB24" i="4"/>
  <c r="AB31" i="4"/>
  <c r="AB41" i="4"/>
  <c r="AB43" i="4"/>
  <c r="AB29" i="4"/>
  <c r="AB11" i="4"/>
  <c r="AB35" i="4"/>
  <c r="AB18" i="4"/>
  <c r="AB40" i="4"/>
  <c r="AB13" i="4"/>
  <c r="AB32" i="4"/>
  <c r="AB37" i="4"/>
  <c r="BN50" i="2"/>
  <c r="BN22" i="2"/>
  <c r="BN40" i="2"/>
  <c r="BN45" i="2"/>
  <c r="BN42" i="2"/>
  <c r="BN13" i="2"/>
  <c r="BN25" i="2"/>
  <c r="BN36" i="2"/>
  <c r="BN37" i="2"/>
  <c r="BN14" i="2"/>
  <c r="BN15" i="2"/>
  <c r="BN44" i="2"/>
  <c r="BN12" i="2"/>
  <c r="BN49" i="2"/>
  <c r="BN46" i="2"/>
  <c r="BN30" i="2"/>
  <c r="BN19" i="2"/>
  <c r="BN39" i="2"/>
  <c r="BN16" i="2"/>
  <c r="BN21" i="2"/>
  <c r="BN47" i="2"/>
  <c r="BN20" i="2"/>
  <c r="BN38" i="2"/>
  <c r="BN43" i="2"/>
  <c r="BN27" i="2"/>
  <c r="BN32" i="2"/>
  <c r="BN33" i="2"/>
  <c r="BN26" i="2"/>
  <c r="BN35" i="2"/>
  <c r="BN23" i="2"/>
  <c r="BN18" i="2"/>
  <c r="BN24" i="2"/>
  <c r="BN31" i="2"/>
  <c r="BN11" i="2"/>
  <c r="BN28" i="2"/>
  <c r="BN34" i="2"/>
  <c r="BN48" i="2"/>
  <c r="BN29" i="2"/>
  <c r="BN41" i="2"/>
  <c r="AB37" i="16"/>
  <c r="AB30" i="16"/>
  <c r="BN26" i="15"/>
  <c r="BN22" i="15"/>
  <c r="BN15" i="15"/>
  <c r="BN45" i="15"/>
  <c r="BN46" i="15"/>
  <c r="BN38" i="15"/>
  <c r="BN43" i="15"/>
  <c r="BN33" i="15"/>
  <c r="BN13" i="15"/>
  <c r="BN14" i="15"/>
  <c r="BN37" i="15"/>
  <c r="BN21" i="15"/>
  <c r="BN23" i="15"/>
  <c r="BN32" i="15"/>
  <c r="BN19" i="15"/>
  <c r="BN31" i="15"/>
  <c r="BN39" i="15"/>
  <c r="BN24" i="15"/>
  <c r="BN49" i="15"/>
  <c r="BN18" i="15"/>
  <c r="BN29" i="15"/>
  <c r="BN25" i="15"/>
  <c r="BN35" i="15"/>
  <c r="BN27" i="15"/>
  <c r="BN28" i="15"/>
  <c r="BN42" i="15"/>
  <c r="BN20" i="15"/>
  <c r="BN12" i="15"/>
  <c r="BN47" i="15"/>
  <c r="BN36" i="15"/>
  <c r="BN30" i="15"/>
  <c r="BN48" i="15"/>
  <c r="BN40" i="15"/>
  <c r="BN41" i="15"/>
  <c r="BN16" i="15"/>
  <c r="BN50" i="15"/>
  <c r="BN11" i="15"/>
  <c r="BN44" i="15"/>
  <c r="BN33" i="16"/>
  <c r="BN25" i="16"/>
  <c r="BN12" i="13"/>
  <c r="BN49" i="13"/>
  <c r="BN41" i="13"/>
  <c r="BN37" i="13"/>
  <c r="BN32" i="13"/>
  <c r="BN44" i="13"/>
  <c r="BN50" i="13"/>
  <c r="BN39" i="13"/>
  <c r="BN36" i="13"/>
  <c r="BN42" i="13"/>
  <c r="BN25" i="13"/>
  <c r="BN19" i="13"/>
  <c r="BN28" i="13"/>
  <c r="BN35" i="13"/>
  <c r="BN20" i="13"/>
  <c r="BN47" i="13"/>
  <c r="BN23" i="13"/>
  <c r="BN24" i="13"/>
  <c r="BN46" i="13"/>
  <c r="BN14" i="13"/>
  <c r="BN43" i="13"/>
  <c r="BN21" i="13"/>
  <c r="BN13" i="13"/>
  <c r="BN30" i="13"/>
  <c r="BN22" i="13"/>
  <c r="BN45" i="13"/>
  <c r="BN27" i="13"/>
  <c r="BN33" i="13"/>
  <c r="BN40" i="13"/>
  <c r="BN11" i="13"/>
  <c r="BN26" i="13"/>
  <c r="BN31" i="13"/>
  <c r="BN16" i="13"/>
  <c r="BN18" i="13"/>
  <c r="BN38" i="13"/>
  <c r="BN15" i="13"/>
  <c r="BN29" i="13"/>
  <c r="BN48" i="13"/>
  <c r="AB48" i="16"/>
  <c r="BN38" i="16"/>
  <c r="BN37" i="16"/>
  <c r="AB21" i="16"/>
  <c r="AI18" i="16"/>
  <c r="BN24" i="16"/>
  <c r="BN45" i="16"/>
  <c r="BN31" i="16"/>
  <c r="BN22" i="16"/>
  <c r="BN45" i="14"/>
  <c r="BN29" i="14"/>
  <c r="BN22" i="14"/>
  <c r="BN21" i="14"/>
  <c r="BN38" i="14"/>
  <c r="BN35" i="14"/>
  <c r="BN47" i="14"/>
  <c r="BN27" i="14"/>
  <c r="BN48" i="14"/>
  <c r="BN24" i="14"/>
  <c r="BN44" i="14"/>
  <c r="BN11" i="14"/>
  <c r="BN32" i="14"/>
  <c r="BN37" i="14"/>
  <c r="BN43" i="14"/>
  <c r="BN18" i="14"/>
  <c r="BN31" i="14"/>
  <c r="BN23" i="14"/>
  <c r="BN30" i="14"/>
  <c r="BN49" i="14"/>
  <c r="BN36" i="14"/>
  <c r="BN28" i="14"/>
  <c r="BN33" i="14"/>
  <c r="BN13" i="14"/>
  <c r="BN19" i="14"/>
  <c r="BN40" i="14"/>
  <c r="BN12" i="14"/>
  <c r="BN46" i="14"/>
  <c r="BN42" i="14"/>
  <c r="BN50" i="14"/>
  <c r="BN26" i="14"/>
  <c r="BN20" i="14"/>
  <c r="BN15" i="14"/>
  <c r="BN41" i="14"/>
  <c r="BN14" i="14"/>
  <c r="BN39" i="14"/>
  <c r="BN16" i="14"/>
  <c r="BN25" i="14"/>
  <c r="BN41" i="16"/>
  <c r="BN18" i="16"/>
  <c r="BN43" i="16"/>
  <c r="BN44" i="12"/>
  <c r="BN11" i="12"/>
  <c r="BN38" i="12"/>
  <c r="BN40" i="12"/>
  <c r="BN50" i="12"/>
  <c r="BN24" i="12"/>
  <c r="BN36" i="12"/>
  <c r="BN22" i="12"/>
  <c r="BN23" i="12"/>
  <c r="BN42" i="12"/>
  <c r="BN39" i="12"/>
  <c r="BN16" i="12"/>
  <c r="BN26" i="12"/>
  <c r="BN18" i="12"/>
  <c r="BN47" i="12"/>
  <c r="BN21" i="12"/>
  <c r="BN30" i="12"/>
  <c r="BN37" i="12"/>
  <c r="BN31" i="12"/>
  <c r="BN15" i="12"/>
  <c r="BN29" i="12"/>
  <c r="BN41" i="12"/>
  <c r="BN28" i="12"/>
  <c r="BN20" i="12"/>
  <c r="BN46" i="12"/>
  <c r="BN45" i="12"/>
  <c r="BN27" i="12"/>
  <c r="BN43" i="12"/>
  <c r="BN49" i="12"/>
  <c r="BN25" i="12"/>
  <c r="BN48" i="12"/>
  <c r="BN13" i="12"/>
  <c r="BN33" i="12"/>
  <c r="BN35" i="12"/>
  <c r="BN12" i="12"/>
  <c r="BN19" i="12"/>
  <c r="BN14" i="12"/>
  <c r="BN32" i="12"/>
  <c r="AB28" i="16"/>
  <c r="AB36" i="16"/>
  <c r="AB25" i="16"/>
  <c r="AB41" i="16"/>
  <c r="AB38" i="16"/>
  <c r="AI13" i="4"/>
  <c r="BO34" i="2"/>
  <c r="AI29" i="2"/>
  <c r="BO34" i="6"/>
  <c r="AI44" i="4"/>
  <c r="U40" i="5"/>
  <c r="AI18" i="2"/>
  <c r="BO34" i="4"/>
  <c r="U19" i="2"/>
  <c r="U25" i="2"/>
  <c r="BK24" i="6"/>
  <c r="BO34" i="3"/>
  <c r="U40" i="2"/>
  <c r="U48" i="5"/>
  <c r="AI41" i="3"/>
  <c r="AI14" i="2"/>
  <c r="BK12" i="6"/>
  <c r="H49" i="3"/>
  <c r="BE49" i="3" s="1"/>
  <c r="BK33" i="6"/>
  <c r="AI35" i="4"/>
  <c r="U45" i="5"/>
  <c r="AB44" i="16"/>
  <c r="AB42" i="16"/>
  <c r="AB12" i="16"/>
  <c r="AB49" i="16"/>
  <c r="AI20" i="16"/>
  <c r="AI15" i="16"/>
  <c r="AB47" i="16"/>
  <c r="H35" i="12"/>
  <c r="AB14" i="16"/>
  <c r="AB20" i="16"/>
  <c r="AB50" i="16"/>
  <c r="AB16" i="16"/>
  <c r="AB22" i="16"/>
  <c r="AB11" i="16"/>
  <c r="AB23" i="16"/>
  <c r="AB26" i="16"/>
  <c r="AB29" i="16"/>
  <c r="AB18" i="16"/>
  <c r="AB46" i="16"/>
  <c r="H30" i="15"/>
  <c r="AI46" i="16"/>
  <c r="AI31" i="16"/>
  <c r="H36" i="14"/>
  <c r="AI48" i="16"/>
  <c r="H16" i="16"/>
  <c r="AI35" i="16"/>
  <c r="AI30" i="16"/>
  <c r="AI38" i="16"/>
  <c r="AI36" i="16"/>
  <c r="AI19" i="16"/>
  <c r="AI29" i="16"/>
  <c r="H18" i="13"/>
  <c r="AI22" i="16"/>
  <c r="AI49" i="16"/>
  <c r="AB31" i="16"/>
  <c r="H18" i="15"/>
  <c r="BE18" i="15" s="1"/>
  <c r="H42" i="16"/>
  <c r="AI13" i="16"/>
  <c r="H50" i="14"/>
  <c r="O50" i="14" s="1"/>
  <c r="H24" i="15"/>
  <c r="AI50" i="16"/>
  <c r="H36" i="16"/>
  <c r="O36" i="16" s="1"/>
  <c r="H11" i="14"/>
  <c r="AB24" i="16"/>
  <c r="H15" i="12"/>
  <c r="O15" i="12" s="1"/>
  <c r="H22" i="12"/>
  <c r="H38" i="12"/>
  <c r="U50" i="3"/>
  <c r="U30" i="3"/>
  <c r="U20" i="3"/>
  <c r="BK48" i="6"/>
  <c r="AI20" i="5"/>
  <c r="AI43" i="5"/>
  <c r="AI31" i="5"/>
  <c r="AI18" i="5"/>
  <c r="AI41" i="5"/>
  <c r="AI50" i="5"/>
  <c r="AI33" i="5"/>
  <c r="AI46" i="5"/>
  <c r="AI12" i="5"/>
  <c r="AI25" i="5"/>
  <c r="AI28" i="5"/>
  <c r="AI39" i="5"/>
  <c r="AI44" i="5"/>
  <c r="AI48" i="5"/>
  <c r="AI34" i="5"/>
  <c r="AJ34" i="5" s="1"/>
  <c r="AI23" i="5"/>
  <c r="AI37" i="5"/>
  <c r="AI36" i="5"/>
  <c r="AI49" i="5"/>
  <c r="AI42" i="5"/>
  <c r="AI38" i="5"/>
  <c r="AI29" i="5"/>
  <c r="AI21" i="5"/>
  <c r="AI11" i="5"/>
  <c r="AI14" i="5"/>
  <c r="AI45" i="5"/>
  <c r="U40" i="3"/>
  <c r="U36" i="3"/>
  <c r="U29" i="3"/>
  <c r="U37" i="3"/>
  <c r="U49" i="3"/>
  <c r="AI40" i="5"/>
  <c r="U28" i="3"/>
  <c r="U41" i="3"/>
  <c r="AI24" i="5"/>
  <c r="BM18" i="5"/>
  <c r="BK18" i="5" s="1"/>
  <c r="BM35" i="5"/>
  <c r="BK35" i="5" s="1"/>
  <c r="BM50" i="5"/>
  <c r="BK50" i="5" s="1"/>
  <c r="BM42" i="5"/>
  <c r="BK42" i="5" s="1"/>
  <c r="BM44" i="5"/>
  <c r="BK44" i="5" s="1"/>
  <c r="BM46" i="5"/>
  <c r="BK46" i="5" s="1"/>
  <c r="BM22" i="5"/>
  <c r="BK22" i="5" s="1"/>
  <c r="BM28" i="5"/>
  <c r="BK28" i="5" s="1"/>
  <c r="BM39" i="5"/>
  <c r="U46" i="5"/>
  <c r="BM29" i="5"/>
  <c r="BM49" i="5"/>
  <c r="BK49" i="5" s="1"/>
  <c r="U13" i="5"/>
  <c r="BM14" i="5"/>
  <c r="BK14" i="5" s="1"/>
  <c r="BM15" i="5"/>
  <c r="BK15" i="5" s="1"/>
  <c r="BM26" i="5"/>
  <c r="BK26" i="5" s="1"/>
  <c r="BM32" i="5"/>
  <c r="BK32" i="5" s="1"/>
  <c r="BM19" i="5"/>
  <c r="BK19" i="5" s="1"/>
  <c r="U44" i="5"/>
  <c r="BM37" i="5"/>
  <c r="BK37" i="5" s="1"/>
  <c r="BM38" i="5"/>
  <c r="U19" i="5"/>
  <c r="U22" i="5"/>
  <c r="U41" i="5"/>
  <c r="U21" i="5"/>
  <c r="U32" i="5"/>
  <c r="U20" i="5"/>
  <c r="BM40" i="5"/>
  <c r="BK40" i="5" s="1"/>
  <c r="BM34" i="5"/>
  <c r="BM21" i="5"/>
  <c r="BK21" i="5" s="1"/>
  <c r="U35" i="5"/>
  <c r="U50" i="5"/>
  <c r="BM47" i="5"/>
  <c r="BM31" i="5"/>
  <c r="BK31" i="5" s="1"/>
  <c r="U31" i="5"/>
  <c r="U14" i="5"/>
  <c r="U39" i="5"/>
  <c r="BM16" i="5"/>
  <c r="U37" i="5"/>
  <c r="BM20" i="5"/>
  <c r="BK20" i="5" s="1"/>
  <c r="U16" i="5"/>
  <c r="BM23" i="5"/>
  <c r="BK23" i="5" s="1"/>
  <c r="BM11" i="5"/>
  <c r="BK11" i="5" s="1"/>
  <c r="U25" i="5"/>
  <c r="U42" i="5"/>
  <c r="U28" i="5"/>
  <c r="U24" i="5"/>
  <c r="BM27" i="5"/>
  <c r="BK27" i="5" s="1"/>
  <c r="U26" i="5"/>
  <c r="BM33" i="5"/>
  <c r="U18" i="5"/>
  <c r="U27" i="5"/>
  <c r="BM36" i="5"/>
  <c r="BK36" i="5" s="1"/>
  <c r="U23" i="5"/>
  <c r="U49" i="5"/>
  <c r="BM25" i="5"/>
  <c r="BM41" i="5"/>
  <c r="BM48" i="5"/>
  <c r="BM24" i="5"/>
  <c r="U47" i="5"/>
  <c r="BM45" i="5"/>
  <c r="BK45" i="5" s="1"/>
  <c r="BM13" i="5"/>
  <c r="BK13" i="5" s="1"/>
  <c r="BM30" i="5"/>
  <c r="BK30" i="5" s="1"/>
  <c r="BM43" i="5"/>
  <c r="BK43" i="5" s="1"/>
  <c r="U43" i="5"/>
  <c r="BM12" i="5"/>
  <c r="BK12" i="5" s="1"/>
  <c r="U38" i="5"/>
  <c r="U15" i="5"/>
  <c r="U29" i="5"/>
  <c r="U42" i="3"/>
  <c r="AI47" i="5"/>
  <c r="U45" i="3"/>
  <c r="U31" i="3"/>
  <c r="U13" i="3"/>
  <c r="U44" i="3"/>
  <c r="H48" i="2"/>
  <c r="BE48" i="2" s="1"/>
  <c r="AI12" i="4"/>
  <c r="AI40" i="4"/>
  <c r="AI29" i="4"/>
  <c r="AI34" i="4"/>
  <c r="AJ34" i="4" s="1"/>
  <c r="AI42" i="4"/>
  <c r="AI39" i="4"/>
  <c r="AI16" i="4"/>
  <c r="AI48" i="4"/>
  <c r="AI14" i="4"/>
  <c r="AI37" i="4"/>
  <c r="AI49" i="4"/>
  <c r="AI36" i="4"/>
  <c r="AI15" i="4"/>
  <c r="AI20" i="4"/>
  <c r="AI46" i="4"/>
  <c r="AI18" i="4"/>
  <c r="AI28" i="4"/>
  <c r="AI24" i="4"/>
  <c r="AI43" i="4"/>
  <c r="AI11" i="4"/>
  <c r="AI41" i="4"/>
  <c r="AI33" i="4"/>
  <c r="AI21" i="4"/>
  <c r="AI25" i="4"/>
  <c r="AI19" i="4"/>
  <c r="AI45" i="4"/>
  <c r="AI50" i="4"/>
  <c r="AI47" i="4"/>
  <c r="AI31" i="4"/>
  <c r="AI38" i="4"/>
  <c r="AI27" i="4"/>
  <c r="AI26" i="4"/>
  <c r="AI35" i="5"/>
  <c r="AI30" i="5"/>
  <c r="AI23" i="4"/>
  <c r="AI22" i="4"/>
  <c r="BM12" i="3"/>
  <c r="BK12" i="3" s="1"/>
  <c r="BM41" i="3"/>
  <c r="BK41" i="3" s="1"/>
  <c r="BM31" i="3"/>
  <c r="BK31" i="3" s="1"/>
  <c r="BM28" i="3"/>
  <c r="BK28" i="3" s="1"/>
  <c r="BM25" i="3"/>
  <c r="BK25" i="3" s="1"/>
  <c r="BM29" i="3"/>
  <c r="BK29" i="3" s="1"/>
  <c r="U14" i="3"/>
  <c r="BM21" i="3"/>
  <c r="BK21" i="3" s="1"/>
  <c r="U32" i="3"/>
  <c r="BM40" i="3"/>
  <c r="BK40" i="3" s="1"/>
  <c r="BM45" i="3"/>
  <c r="BK45" i="3" s="1"/>
  <c r="BM36" i="3"/>
  <c r="BK36" i="3" s="1"/>
  <c r="BM48" i="3"/>
  <c r="BK48" i="3" s="1"/>
  <c r="BM27" i="3"/>
  <c r="BK27" i="3" s="1"/>
  <c r="BM32" i="3"/>
  <c r="BK32" i="3" s="1"/>
  <c r="BM38" i="3"/>
  <c r="BK38" i="3" s="1"/>
  <c r="BM18" i="3"/>
  <c r="BK18" i="3" s="1"/>
  <c r="BM16" i="3"/>
  <c r="BK16" i="3" s="1"/>
  <c r="BM20" i="3"/>
  <c r="BK20" i="3" s="1"/>
  <c r="BM35" i="3"/>
  <c r="BK35" i="3" s="1"/>
  <c r="BM22" i="3"/>
  <c r="BK22" i="3" s="1"/>
  <c r="U16" i="3"/>
  <c r="BM23" i="3"/>
  <c r="BK23" i="3" s="1"/>
  <c r="U47" i="3"/>
  <c r="BM37" i="3"/>
  <c r="BK37" i="3" s="1"/>
  <c r="U34" i="3"/>
  <c r="V34" i="3" s="1"/>
  <c r="U38" i="3"/>
  <c r="BM19" i="3"/>
  <c r="BK19" i="3" s="1"/>
  <c r="BM46" i="3"/>
  <c r="BK46" i="3" s="1"/>
  <c r="U27" i="3"/>
  <c r="U11" i="3"/>
  <c r="BM39" i="3"/>
  <c r="BK39" i="3" s="1"/>
  <c r="U48" i="3"/>
  <c r="BM44" i="3"/>
  <c r="BK44" i="3" s="1"/>
  <c r="BM26" i="3"/>
  <c r="BK26" i="3" s="1"/>
  <c r="BM43" i="3"/>
  <c r="BK43" i="3" s="1"/>
  <c r="BM33" i="3"/>
  <c r="BK33" i="3" s="1"/>
  <c r="U23" i="3"/>
  <c r="BM15" i="3"/>
  <c r="BK15" i="3" s="1"/>
  <c r="BM30" i="3"/>
  <c r="BK30" i="3" s="1"/>
  <c r="BM50" i="3"/>
  <c r="BK50" i="3" s="1"/>
  <c r="BM34" i="3"/>
  <c r="BM13" i="3"/>
  <c r="BK13" i="3" s="1"/>
  <c r="U15" i="3"/>
  <c r="BM42" i="3"/>
  <c r="BK42" i="3" s="1"/>
  <c r="BM24" i="3"/>
  <c r="BK24" i="3" s="1"/>
  <c r="U19" i="3"/>
  <c r="BM14" i="3"/>
  <c r="BK14" i="3" s="1"/>
  <c r="BM47" i="3"/>
  <c r="BK47" i="3" s="1"/>
  <c r="BM49" i="3"/>
  <c r="BK49" i="3" s="1"/>
  <c r="BM11" i="3"/>
  <c r="BK11" i="3" s="1"/>
  <c r="U12" i="3"/>
  <c r="U26" i="3"/>
  <c r="H23" i="5"/>
  <c r="AI31" i="2"/>
  <c r="AI36" i="2"/>
  <c r="AI49" i="2"/>
  <c r="AI40" i="2"/>
  <c r="AI37" i="2"/>
  <c r="AI12" i="2"/>
  <c r="AI44" i="2"/>
  <c r="AI50" i="2"/>
  <c r="AI20" i="2"/>
  <c r="AI27" i="2"/>
  <c r="AI23" i="2"/>
  <c r="AI19" i="2"/>
  <c r="AI45" i="2"/>
  <c r="AI24" i="2"/>
  <c r="AI26" i="2"/>
  <c r="AI32" i="2"/>
  <c r="AI47" i="2"/>
  <c r="AI43" i="2"/>
  <c r="AI13" i="2"/>
  <c r="AI28" i="2"/>
  <c r="AI22" i="2"/>
  <c r="AI46" i="2"/>
  <c r="AI21" i="2"/>
  <c r="AI11" i="2"/>
  <c r="AI15" i="2"/>
  <c r="AI30" i="2"/>
  <c r="AI16" i="2"/>
  <c r="AI38" i="2"/>
  <c r="AI16" i="5"/>
  <c r="AI22" i="5"/>
  <c r="U25" i="3"/>
  <c r="AI32" i="5"/>
  <c r="U11" i="5"/>
  <c r="H14" i="6"/>
  <c r="AJ14" i="6" s="1"/>
  <c r="AI25" i="3"/>
  <c r="AI11" i="3"/>
  <c r="AI34" i="3"/>
  <c r="AJ34" i="3" s="1"/>
  <c r="AI27" i="3"/>
  <c r="AI30" i="3"/>
  <c r="AI45" i="3"/>
  <c r="AI42" i="3"/>
  <c r="AI44" i="3"/>
  <c r="AI46" i="3"/>
  <c r="AI43" i="3"/>
  <c r="AI16" i="3"/>
  <c r="AI24" i="3"/>
  <c r="AI21" i="3"/>
  <c r="AI22" i="3"/>
  <c r="AI20" i="3"/>
  <c r="AI31" i="3"/>
  <c r="AI48" i="3"/>
  <c r="AI50" i="3"/>
  <c r="AI14" i="3"/>
  <c r="AI35" i="3"/>
  <c r="AI18" i="3"/>
  <c r="AI28" i="3"/>
  <c r="AI37" i="3"/>
  <c r="AI32" i="3"/>
  <c r="AI23" i="3"/>
  <c r="AI47" i="3"/>
  <c r="AI12" i="3"/>
  <c r="AI38" i="3"/>
  <c r="AI26" i="3"/>
  <c r="AI15" i="3"/>
  <c r="AI19" i="3"/>
  <c r="AI36" i="3"/>
  <c r="AI40" i="3"/>
  <c r="AI33" i="3"/>
  <c r="AI13" i="3"/>
  <c r="AI39" i="3"/>
  <c r="AI26" i="5"/>
  <c r="AI13" i="5"/>
  <c r="U35" i="3"/>
  <c r="H33" i="6"/>
  <c r="H21" i="2"/>
  <c r="H41" i="3"/>
  <c r="BM48" i="4"/>
  <c r="BK48" i="4" s="1"/>
  <c r="BM16" i="4"/>
  <c r="BK16" i="4" s="1"/>
  <c r="BM13" i="4"/>
  <c r="BK13" i="4" s="1"/>
  <c r="BM41" i="4"/>
  <c r="BK41" i="4" s="1"/>
  <c r="BM38" i="4"/>
  <c r="BK38" i="4" s="1"/>
  <c r="BM33" i="4"/>
  <c r="BK33" i="4" s="1"/>
  <c r="BM30" i="4"/>
  <c r="BM25" i="4"/>
  <c r="BM21" i="4"/>
  <c r="BM18" i="4"/>
  <c r="BK18" i="4" s="1"/>
  <c r="BM32" i="4"/>
  <c r="BK32" i="4" s="1"/>
  <c r="BM42" i="4"/>
  <c r="BK42" i="4" s="1"/>
  <c r="BM34" i="4"/>
  <c r="BM28" i="4"/>
  <c r="BK28" i="4" s="1"/>
  <c r="BM29" i="4"/>
  <c r="BK29" i="4" s="1"/>
  <c r="U40" i="4"/>
  <c r="BM23" i="4"/>
  <c r="BK23" i="4" s="1"/>
  <c r="U27" i="4"/>
  <c r="U19" i="4"/>
  <c r="U35" i="4"/>
  <c r="U30" i="4"/>
  <c r="U24" i="4"/>
  <c r="BM47" i="4"/>
  <c r="BK47" i="4" s="1"/>
  <c r="BM50" i="4"/>
  <c r="BK50" i="4" s="1"/>
  <c r="U41" i="4"/>
  <c r="BM37" i="4"/>
  <c r="BK37" i="4" s="1"/>
  <c r="BM40" i="4"/>
  <c r="BK40" i="4" s="1"/>
  <c r="BM43" i="4"/>
  <c r="BK43" i="4" s="1"/>
  <c r="U42" i="4"/>
  <c r="U33" i="4"/>
  <c r="BM44" i="4"/>
  <c r="BK44" i="4" s="1"/>
  <c r="U12" i="4"/>
  <c r="U48" i="4"/>
  <c r="BM45" i="4"/>
  <c r="U36" i="4"/>
  <c r="U20" i="4"/>
  <c r="BM24" i="4"/>
  <c r="BK24" i="4" s="1"/>
  <c r="BM14" i="4"/>
  <c r="BK14" i="4" s="1"/>
  <c r="U44" i="4"/>
  <c r="BM11" i="4"/>
  <c r="BK11" i="4" s="1"/>
  <c r="BM35" i="4"/>
  <c r="BK35" i="4" s="1"/>
  <c r="U23" i="4"/>
  <c r="BM27" i="4"/>
  <c r="U13" i="4"/>
  <c r="BM12" i="4"/>
  <c r="U14" i="4"/>
  <c r="BM19" i="4"/>
  <c r="BK19" i="4" s="1"/>
  <c r="U29" i="4"/>
  <c r="U15" i="4"/>
  <c r="U16" i="4"/>
  <c r="U38" i="4"/>
  <c r="BM26" i="4"/>
  <c r="BK26" i="4" s="1"/>
  <c r="BM31" i="4"/>
  <c r="BK31" i="4" s="1"/>
  <c r="U46" i="4"/>
  <c r="BM46" i="4"/>
  <c r="BK46" i="4" s="1"/>
  <c r="U28" i="4"/>
  <c r="U31" i="4"/>
  <c r="U32" i="4"/>
  <c r="BM22" i="4"/>
  <c r="BK22" i="4" s="1"/>
  <c r="U22" i="4"/>
  <c r="U11" i="4"/>
  <c r="BM20" i="4"/>
  <c r="BK20" i="4" s="1"/>
  <c r="U49" i="4"/>
  <c r="U47" i="4"/>
  <c r="BM36" i="4"/>
  <c r="BK36" i="4" s="1"/>
  <c r="U43" i="4"/>
  <c r="U26" i="4"/>
  <c r="U21" i="4"/>
  <c r="BM15" i="4"/>
  <c r="U25" i="4"/>
  <c r="U34" i="4"/>
  <c r="V34" i="4" s="1"/>
  <c r="U39" i="4"/>
  <c r="U45" i="4"/>
  <c r="U37" i="4"/>
  <c r="BM39" i="4"/>
  <c r="BK39" i="4" s="1"/>
  <c r="U18" i="4"/>
  <c r="BM49" i="4"/>
  <c r="BK49" i="4" s="1"/>
  <c r="U46" i="3"/>
  <c r="U50" i="4"/>
  <c r="U36" i="5"/>
  <c r="H33" i="3"/>
  <c r="AC33" i="3" s="1"/>
  <c r="H48" i="4"/>
  <c r="H18" i="3"/>
  <c r="AJ18" i="3" s="1"/>
  <c r="U18" i="3"/>
  <c r="U33" i="3"/>
  <c r="AI29" i="3"/>
  <c r="U22" i="3"/>
  <c r="H14" i="4"/>
  <c r="AI19" i="5"/>
  <c r="U43" i="3"/>
  <c r="AI27" i="5"/>
  <c r="AI30" i="4"/>
  <c r="AI39" i="2"/>
  <c r="AI15" i="5"/>
  <c r="H36" i="4"/>
  <c r="AQ36" i="4" s="1"/>
  <c r="H19" i="5"/>
  <c r="O19" i="5" s="1"/>
  <c r="H44" i="3"/>
  <c r="AC44" i="3" s="1"/>
  <c r="H24" i="6"/>
  <c r="BP24" i="6" s="1"/>
  <c r="BM24" i="2"/>
  <c r="BK24" i="2" s="1"/>
  <c r="BM39" i="2"/>
  <c r="BK39" i="2" s="1"/>
  <c r="BM26" i="2"/>
  <c r="BK26" i="2" s="1"/>
  <c r="BM25" i="2"/>
  <c r="BK25" i="2" s="1"/>
  <c r="BM18" i="2"/>
  <c r="BM37" i="2"/>
  <c r="BK37" i="2" s="1"/>
  <c r="BM31" i="2"/>
  <c r="BM40" i="2"/>
  <c r="BK40" i="2" s="1"/>
  <c r="BM44" i="2"/>
  <c r="BK44" i="2" s="1"/>
  <c r="U47" i="2"/>
  <c r="U32" i="2"/>
  <c r="U34" i="2"/>
  <c r="V34" i="2" s="1"/>
  <c r="U22" i="2"/>
  <c r="BM49" i="2"/>
  <c r="BK49" i="2" s="1"/>
  <c r="BM32" i="2"/>
  <c r="BK32" i="2" s="1"/>
  <c r="U12" i="2"/>
  <c r="BM36" i="2"/>
  <c r="BM12" i="2"/>
  <c r="U21" i="2"/>
  <c r="BM43" i="2"/>
  <c r="BK43" i="2" s="1"/>
  <c r="U18" i="2"/>
  <c r="BM30" i="2"/>
  <c r="BK30" i="2" s="1"/>
  <c r="U48" i="2"/>
  <c r="BM38" i="2"/>
  <c r="BK38" i="2" s="1"/>
  <c r="U27" i="2"/>
  <c r="U28" i="2"/>
  <c r="U50" i="2"/>
  <c r="U45" i="2"/>
  <c r="U39" i="2"/>
  <c r="BM14" i="2"/>
  <c r="BM33" i="2"/>
  <c r="U14" i="2"/>
  <c r="BM35" i="2"/>
  <c r="BK35" i="2" s="1"/>
  <c r="BM27" i="2"/>
  <c r="BK27" i="2" s="1"/>
  <c r="BM48" i="2"/>
  <c r="BK48" i="2" s="1"/>
  <c r="BM11" i="2"/>
  <c r="BK11" i="2" s="1"/>
  <c r="BM42" i="2"/>
  <c r="BK42" i="2" s="1"/>
  <c r="U11" i="2"/>
  <c r="U35" i="2"/>
  <c r="BM47" i="2"/>
  <c r="BK47" i="2" s="1"/>
  <c r="U26" i="2"/>
  <c r="U43" i="2"/>
  <c r="U37" i="2"/>
  <c r="BM29" i="2"/>
  <c r="BK29" i="2" s="1"/>
  <c r="BM34" i="2"/>
  <c r="BM23" i="2"/>
  <c r="BK23" i="2" s="1"/>
  <c r="U38" i="2"/>
  <c r="U30" i="2"/>
  <c r="BM46" i="2"/>
  <c r="BK46" i="2" s="1"/>
  <c r="BM28" i="2"/>
  <c r="BK28" i="2" s="1"/>
  <c r="U46" i="2"/>
  <c r="U33" i="2"/>
  <c r="BM13" i="2"/>
  <c r="BK13" i="2" s="1"/>
  <c r="U29" i="2"/>
  <c r="U13" i="2"/>
  <c r="U15" i="2"/>
  <c r="U20" i="2"/>
  <c r="BM16" i="2"/>
  <c r="BK16" i="2" s="1"/>
  <c r="BM20" i="2"/>
  <c r="BK20" i="2" s="1"/>
  <c r="U16" i="2"/>
  <c r="U44" i="2"/>
  <c r="U49" i="2"/>
  <c r="U42" i="2"/>
  <c r="BM45" i="2"/>
  <c r="BK45" i="2" s="1"/>
  <c r="BM41" i="2"/>
  <c r="BM22" i="2"/>
  <c r="BM15" i="2"/>
  <c r="BM19" i="2"/>
  <c r="BK19" i="2" s="1"/>
  <c r="BM50" i="2"/>
  <c r="BK50" i="2" s="1"/>
  <c r="U23" i="2"/>
  <c r="U24" i="2"/>
  <c r="U36" i="2"/>
  <c r="BM21" i="2"/>
  <c r="BK21" i="2" s="1"/>
  <c r="U31" i="2"/>
  <c r="U39" i="3"/>
  <c r="U21" i="3"/>
  <c r="U30" i="5"/>
  <c r="U34" i="5"/>
  <c r="V34" i="5" s="1"/>
  <c r="U12" i="5"/>
  <c r="AD14" i="23"/>
  <c r="P14" i="23"/>
  <c r="AK14" i="23"/>
  <c r="W14" i="23"/>
  <c r="BF14" i="23"/>
  <c r="AR14" i="23"/>
  <c r="BL27" i="26"/>
  <c r="BQ27" i="26"/>
  <c r="BQ17" i="26"/>
  <c r="BL17" i="26"/>
  <c r="BL26" i="26"/>
  <c r="BQ26" i="26"/>
  <c r="BQ39" i="26"/>
  <c r="BL39" i="26"/>
  <c r="BQ37" i="23"/>
  <c r="BL37" i="23"/>
  <c r="AD42" i="22"/>
  <c r="P42" i="22"/>
  <c r="AK42" i="22"/>
  <c r="W42" i="22"/>
  <c r="AR42" i="22"/>
  <c r="BF42" i="22"/>
  <c r="W26" i="22"/>
  <c r="AR26" i="22"/>
  <c r="AD26" i="22"/>
  <c r="P26" i="22"/>
  <c r="AK26" i="22"/>
  <c r="BF26" i="22"/>
  <c r="AK15" i="24"/>
  <c r="W15" i="24"/>
  <c r="AR15" i="24"/>
  <c r="AD15" i="24"/>
  <c r="P15" i="24"/>
  <c r="BF15" i="24"/>
  <c r="BL25" i="24"/>
  <c r="BQ25" i="24"/>
  <c r="BL14" i="24"/>
  <c r="BQ14" i="24"/>
  <c r="AR30" i="24"/>
  <c r="AD30" i="24"/>
  <c r="P30" i="24"/>
  <c r="W30" i="24"/>
  <c r="AK30" i="24"/>
  <c r="BF30" i="24"/>
  <c r="BQ29" i="25"/>
  <c r="BL29" i="25"/>
  <c r="BQ13" i="25"/>
  <c r="BL13" i="25"/>
  <c r="BL46" i="25"/>
  <c r="BQ46" i="25"/>
  <c r="BQ17" i="22"/>
  <c r="BL17" i="22"/>
  <c r="BQ22" i="22"/>
  <c r="BL22" i="22"/>
  <c r="BQ19" i="22"/>
  <c r="BL19" i="22"/>
  <c r="BQ12" i="22"/>
  <c r="BL12" i="22"/>
  <c r="BQ34" i="22"/>
  <c r="BL34" i="22"/>
  <c r="P27" i="23"/>
  <c r="AK27" i="23"/>
  <c r="AR27" i="23"/>
  <c r="W27" i="23"/>
  <c r="AD27" i="23"/>
  <c r="BF27" i="23"/>
  <c r="P13" i="23"/>
  <c r="W13" i="23"/>
  <c r="AR13" i="23"/>
  <c r="AD13" i="23"/>
  <c r="AK13" i="23"/>
  <c r="BF13" i="23"/>
  <c r="AK36" i="23"/>
  <c r="W36" i="23"/>
  <c r="AR36" i="23"/>
  <c r="P36" i="23"/>
  <c r="AD36" i="23"/>
  <c r="BF36" i="23"/>
  <c r="AK48" i="23"/>
  <c r="W48" i="23"/>
  <c r="AD48" i="23"/>
  <c r="P48" i="23"/>
  <c r="AR48" i="23"/>
  <c r="BF48" i="23"/>
  <c r="BL18" i="23"/>
  <c r="BQ18" i="23"/>
  <c r="AR25" i="25"/>
  <c r="AD25" i="25"/>
  <c r="P25" i="25"/>
  <c r="AK25" i="25"/>
  <c r="W25" i="25"/>
  <c r="BF25" i="25"/>
  <c r="P49" i="24"/>
  <c r="AK49" i="24"/>
  <c r="W49" i="24"/>
  <c r="AD49" i="24"/>
  <c r="AR49" i="24"/>
  <c r="BF49" i="24"/>
  <c r="BJ32" i="23"/>
  <c r="BK32" i="23" s="1"/>
  <c r="BP32" i="23" s="1"/>
  <c r="BI32" i="23"/>
  <c r="W28" i="22"/>
  <c r="P28" i="22"/>
  <c r="AK28" i="22"/>
  <c r="AD28" i="22"/>
  <c r="AR28" i="22"/>
  <c r="BF28" i="22"/>
  <c r="AD23" i="26"/>
  <c r="AR23" i="26"/>
  <c r="AK23" i="26"/>
  <c r="W23" i="26"/>
  <c r="P23" i="26"/>
  <c r="BF23" i="26"/>
  <c r="BL46" i="26"/>
  <c r="BQ46" i="26"/>
  <c r="BQ29" i="26"/>
  <c r="BL29" i="26"/>
  <c r="BQ25" i="23"/>
  <c r="BL25" i="23"/>
  <c r="BQ45" i="23"/>
  <c r="BL45" i="23"/>
  <c r="BQ43" i="23"/>
  <c r="BL43" i="23"/>
  <c r="AK35" i="23"/>
  <c r="AR35" i="23"/>
  <c r="W35" i="23"/>
  <c r="AD35" i="23"/>
  <c r="P35" i="23"/>
  <c r="BF35" i="23"/>
  <c r="P39" i="26"/>
  <c r="AK39" i="26"/>
  <c r="W39" i="26"/>
  <c r="AR39" i="26"/>
  <c r="AD39" i="26"/>
  <c r="BF39" i="26"/>
  <c r="BJ49" i="23"/>
  <c r="BK49" i="23" s="1"/>
  <c r="BI49" i="23"/>
  <c r="AR17" i="24"/>
  <c r="P17" i="24"/>
  <c r="AK17" i="24"/>
  <c r="W17" i="24"/>
  <c r="AD17" i="24"/>
  <c r="BF17" i="24"/>
  <c r="AK13" i="22"/>
  <c r="W13" i="22"/>
  <c r="P13" i="22"/>
  <c r="AR13" i="22"/>
  <c r="AD13" i="22"/>
  <c r="BF13" i="22"/>
  <c r="AR22" i="25"/>
  <c r="AD22" i="25"/>
  <c r="P22" i="25"/>
  <c r="W22" i="25"/>
  <c r="AK22" i="25"/>
  <c r="BF22" i="25"/>
  <c r="BL37" i="24"/>
  <c r="BQ37" i="24"/>
  <c r="BQ12" i="24"/>
  <c r="BL12" i="24"/>
  <c r="BL41" i="24"/>
  <c r="BQ41" i="24"/>
  <c r="BQ24" i="24"/>
  <c r="BL24" i="24"/>
  <c r="AD24" i="25"/>
  <c r="AK24" i="25"/>
  <c r="P24" i="25"/>
  <c r="AR24" i="25"/>
  <c r="W24" i="25"/>
  <c r="BF24" i="25"/>
  <c r="BQ39" i="25"/>
  <c r="BL39" i="25"/>
  <c r="BL47" i="25"/>
  <c r="BQ47" i="25"/>
  <c r="BQ15" i="25"/>
  <c r="BL15" i="25"/>
  <c r="BL23" i="22"/>
  <c r="BQ23" i="22"/>
  <c r="BQ18" i="22"/>
  <c r="BL18" i="22"/>
  <c r="BQ28" i="22"/>
  <c r="BL28" i="22"/>
  <c r="AK40" i="24"/>
  <c r="W40" i="24"/>
  <c r="AR40" i="24"/>
  <c r="AD40" i="24"/>
  <c r="P40" i="24"/>
  <c r="BF40" i="24"/>
  <c r="W18" i="22"/>
  <c r="AR18" i="22"/>
  <c r="P18" i="22"/>
  <c r="AK18" i="22"/>
  <c r="AD18" i="22"/>
  <c r="BF18" i="22"/>
  <c r="AR44" i="26"/>
  <c r="AD44" i="26"/>
  <c r="AK44" i="26"/>
  <c r="P44" i="26"/>
  <c r="W44" i="26"/>
  <c r="BF44" i="26"/>
  <c r="AR31" i="24"/>
  <c r="AK31" i="24"/>
  <c r="W31" i="24"/>
  <c r="AD31" i="24"/>
  <c r="P31" i="24"/>
  <c r="BF31" i="24"/>
  <c r="BI29" i="23"/>
  <c r="BJ29" i="23"/>
  <c r="BK29" i="23" s="1"/>
  <c r="BP29" i="23" s="1"/>
  <c r="AK28" i="25"/>
  <c r="W28" i="25"/>
  <c r="AR28" i="25"/>
  <c r="AD28" i="25"/>
  <c r="P28" i="25"/>
  <c r="BF28" i="25"/>
  <c r="AR29" i="22"/>
  <c r="AD29" i="22"/>
  <c r="P29" i="22"/>
  <c r="AK29" i="22"/>
  <c r="W29" i="22"/>
  <c r="BF29" i="22"/>
  <c r="AK26" i="23"/>
  <c r="AD26" i="23"/>
  <c r="AR26" i="23"/>
  <c r="P26" i="23"/>
  <c r="W26" i="23"/>
  <c r="BF26" i="23"/>
  <c r="I50" i="26"/>
  <c r="W12" i="26"/>
  <c r="BF12" i="26"/>
  <c r="AR12" i="26"/>
  <c r="AD12" i="26"/>
  <c r="AK12" i="26"/>
  <c r="P12" i="26"/>
  <c r="P44" i="24"/>
  <c r="AK44" i="24"/>
  <c r="W44" i="24"/>
  <c r="AR44" i="24"/>
  <c r="AD44" i="24"/>
  <c r="BF44" i="24"/>
  <c r="BL19" i="26"/>
  <c r="BQ19" i="26"/>
  <c r="BQ33" i="26"/>
  <c r="BL33" i="26"/>
  <c r="BQ37" i="26"/>
  <c r="BL37" i="26"/>
  <c r="BQ21" i="26"/>
  <c r="BL21" i="26"/>
  <c r="BQ21" i="23"/>
  <c r="BL21" i="23"/>
  <c r="BQ38" i="23"/>
  <c r="BL38" i="23"/>
  <c r="BQ40" i="23"/>
  <c r="BL40" i="23"/>
  <c r="BL29" i="23"/>
  <c r="BQ29" i="23"/>
  <c r="BL41" i="23"/>
  <c r="BQ41" i="23"/>
  <c r="AR29" i="25"/>
  <c r="AD29" i="25"/>
  <c r="P29" i="25"/>
  <c r="AK29" i="25"/>
  <c r="W29" i="25"/>
  <c r="BF29" i="25"/>
  <c r="AK30" i="22"/>
  <c r="W30" i="22"/>
  <c r="AR30" i="22"/>
  <c r="AD30" i="22"/>
  <c r="P30" i="22"/>
  <c r="BF30" i="22"/>
  <c r="P30" i="23"/>
  <c r="AK30" i="23"/>
  <c r="W30" i="23"/>
  <c r="AD30" i="23"/>
  <c r="AR30" i="23"/>
  <c r="BF30" i="23"/>
  <c r="P39" i="24"/>
  <c r="W39" i="24"/>
  <c r="AR39" i="24"/>
  <c r="AD39" i="24"/>
  <c r="AK39" i="24"/>
  <c r="BF39" i="24"/>
  <c r="W18" i="24"/>
  <c r="AR18" i="24"/>
  <c r="AD18" i="24"/>
  <c r="AK18" i="24"/>
  <c r="P18" i="24"/>
  <c r="BF18" i="24"/>
  <c r="W43" i="26"/>
  <c r="AR43" i="26"/>
  <c r="AD43" i="26"/>
  <c r="P43" i="26"/>
  <c r="AK43" i="26"/>
  <c r="BF43" i="26"/>
  <c r="BQ32" i="24"/>
  <c r="BL32" i="24"/>
  <c r="BQ48" i="24"/>
  <c r="BL48" i="24"/>
  <c r="BQ35" i="24"/>
  <c r="BL35" i="24"/>
  <c r="BQ22" i="24"/>
  <c r="BL22" i="24"/>
  <c r="BL44" i="24"/>
  <c r="BQ44" i="24"/>
  <c r="BQ41" i="25"/>
  <c r="BL41" i="25"/>
  <c r="BQ45" i="22"/>
  <c r="BL45" i="22"/>
  <c r="BQ21" i="22"/>
  <c r="BL21" i="22"/>
  <c r="BL35" i="22"/>
  <c r="BQ35" i="22"/>
  <c r="AK42" i="24"/>
  <c r="W42" i="24"/>
  <c r="AR42" i="24"/>
  <c r="AD42" i="24"/>
  <c r="P42" i="24"/>
  <c r="BF42" i="24"/>
  <c r="AR31" i="23"/>
  <c r="AD31" i="23"/>
  <c r="P31" i="23"/>
  <c r="AK31" i="23"/>
  <c r="W31" i="23"/>
  <c r="BF31" i="23"/>
  <c r="P34" i="26"/>
  <c r="AK34" i="26"/>
  <c r="AR34" i="26"/>
  <c r="AD34" i="26"/>
  <c r="W34" i="26"/>
  <c r="BF34" i="26"/>
  <c r="W18" i="26"/>
  <c r="AR18" i="26"/>
  <c r="P18" i="26"/>
  <c r="AD18" i="26"/>
  <c r="BF18" i="26"/>
  <c r="AK18" i="26"/>
  <c r="P35" i="22"/>
  <c r="AR35" i="22"/>
  <c r="AD35" i="22"/>
  <c r="AK35" i="22"/>
  <c r="W35" i="22"/>
  <c r="BF35" i="22"/>
  <c r="W24" i="26"/>
  <c r="AR24" i="26"/>
  <c r="AK24" i="26"/>
  <c r="P24" i="26"/>
  <c r="AD24" i="26"/>
  <c r="BF24" i="26"/>
  <c r="P32" i="25"/>
  <c r="W32" i="25"/>
  <c r="AK32" i="25"/>
  <c r="AR32" i="25"/>
  <c r="AD32" i="25"/>
  <c r="BF32" i="25"/>
  <c r="P25" i="23"/>
  <c r="AD25" i="23"/>
  <c r="AR25" i="23"/>
  <c r="W25" i="23"/>
  <c r="AK25" i="23"/>
  <c r="BF25" i="23"/>
  <c r="AD47" i="26"/>
  <c r="P47" i="26"/>
  <c r="AK47" i="26"/>
  <c r="W47" i="26"/>
  <c r="AR47" i="26"/>
  <c r="BF47" i="26"/>
  <c r="AK35" i="24"/>
  <c r="W35" i="24"/>
  <c r="AR35" i="24"/>
  <c r="P35" i="24"/>
  <c r="AD35" i="24"/>
  <c r="BF35" i="24"/>
  <c r="W48" i="24"/>
  <c r="AR48" i="24"/>
  <c r="AD48" i="24"/>
  <c r="P48" i="24"/>
  <c r="AK48" i="24"/>
  <c r="BF48" i="24"/>
  <c r="BQ40" i="26"/>
  <c r="BL40" i="26"/>
  <c r="BL16" i="26"/>
  <c r="BQ16" i="26"/>
  <c r="BL47" i="26"/>
  <c r="BQ47" i="26"/>
  <c r="BQ22" i="26"/>
  <c r="BL22" i="26"/>
  <c r="BQ23" i="26"/>
  <c r="BL23" i="26"/>
  <c r="BQ34" i="26"/>
  <c r="BL34" i="26"/>
  <c r="BL12" i="23"/>
  <c r="BQ12" i="23"/>
  <c r="BL36" i="23"/>
  <c r="BQ36" i="23"/>
  <c r="BQ33" i="23"/>
  <c r="BL33" i="23"/>
  <c r="W32" i="22"/>
  <c r="AK32" i="22"/>
  <c r="AR32" i="22"/>
  <c r="P32" i="22"/>
  <c r="AD32" i="22"/>
  <c r="BF32" i="22"/>
  <c r="AK33" i="26"/>
  <c r="W33" i="26"/>
  <c r="P33" i="26"/>
  <c r="AD33" i="26"/>
  <c r="AR33" i="26"/>
  <c r="BF33" i="26"/>
  <c r="AK28" i="24"/>
  <c r="AR28" i="24"/>
  <c r="W28" i="24"/>
  <c r="P28" i="24"/>
  <c r="AD28" i="24"/>
  <c r="BF28" i="24"/>
  <c r="AK35" i="25"/>
  <c r="P35" i="25"/>
  <c r="AR35" i="25"/>
  <c r="AD35" i="25"/>
  <c r="W35" i="25"/>
  <c r="BF35" i="25"/>
  <c r="AK36" i="22"/>
  <c r="AD36" i="22"/>
  <c r="P36" i="22"/>
  <c r="W36" i="22"/>
  <c r="AR36" i="22"/>
  <c r="BF36" i="22"/>
  <c r="BQ29" i="24"/>
  <c r="BL29" i="24"/>
  <c r="BQ43" i="25"/>
  <c r="BL43" i="25"/>
  <c r="BQ42" i="22"/>
  <c r="BL42" i="22"/>
  <c r="BQ46" i="22"/>
  <c r="BL46" i="22"/>
  <c r="AD44" i="25"/>
  <c r="P44" i="25"/>
  <c r="AR44" i="25"/>
  <c r="W44" i="25"/>
  <c r="AK44" i="25"/>
  <c r="BF44" i="25"/>
  <c r="AD33" i="23"/>
  <c r="AK33" i="23"/>
  <c r="W33" i="23"/>
  <c r="P33" i="23"/>
  <c r="AR33" i="23"/>
  <c r="BF33" i="23"/>
  <c r="P34" i="25"/>
  <c r="AD34" i="25"/>
  <c r="AK34" i="25"/>
  <c r="W34" i="25"/>
  <c r="AR34" i="25"/>
  <c r="BF34" i="25"/>
  <c r="BI20" i="24"/>
  <c r="BJ20" i="24"/>
  <c r="BK20" i="24" s="1"/>
  <c r="P20" i="26"/>
  <c r="W20" i="26"/>
  <c r="AR20" i="26"/>
  <c r="AD20" i="26"/>
  <c r="BF20" i="26"/>
  <c r="AK20" i="26"/>
  <c r="AR17" i="23"/>
  <c r="AK17" i="23"/>
  <c r="W17" i="23"/>
  <c r="AD17" i="23"/>
  <c r="P17" i="23"/>
  <c r="BF17" i="23"/>
  <c r="AR45" i="25"/>
  <c r="AK45" i="25"/>
  <c r="W45" i="25"/>
  <c r="P45" i="25"/>
  <c r="AD45" i="25"/>
  <c r="BF45" i="25"/>
  <c r="P37" i="24"/>
  <c r="AR37" i="24"/>
  <c r="AD37" i="24"/>
  <c r="W37" i="24"/>
  <c r="AK37" i="24"/>
  <c r="BF37" i="24"/>
  <c r="AD27" i="26"/>
  <c r="AR27" i="26"/>
  <c r="AK27" i="26"/>
  <c r="W27" i="26"/>
  <c r="P27" i="26"/>
  <c r="BF27" i="26"/>
  <c r="AK45" i="24"/>
  <c r="W45" i="24"/>
  <c r="AR45" i="24"/>
  <c r="P45" i="24"/>
  <c r="AD45" i="24"/>
  <c r="BF45" i="24"/>
  <c r="BL32" i="26"/>
  <c r="BQ32" i="26"/>
  <c r="BL18" i="26"/>
  <c r="BQ18" i="26"/>
  <c r="BQ42" i="23"/>
  <c r="BL42" i="23"/>
  <c r="BQ30" i="23"/>
  <c r="BL30" i="23"/>
  <c r="BQ19" i="23"/>
  <c r="BL19" i="23"/>
  <c r="BQ34" i="23"/>
  <c r="BL34" i="23"/>
  <c r="AR49" i="25"/>
  <c r="AD49" i="25"/>
  <c r="P49" i="25"/>
  <c r="W49" i="25"/>
  <c r="AK49" i="25"/>
  <c r="BF49" i="25"/>
  <c r="AK23" i="23"/>
  <c r="AD23" i="23"/>
  <c r="P23" i="23"/>
  <c r="W23" i="23"/>
  <c r="BF23" i="23"/>
  <c r="AR23" i="23"/>
  <c r="W47" i="25"/>
  <c r="AK47" i="25"/>
  <c r="AD47" i="25"/>
  <c r="P47" i="25"/>
  <c r="AR47" i="25"/>
  <c r="BF47" i="25"/>
  <c r="AD33" i="24"/>
  <c r="AK33" i="24"/>
  <c r="W33" i="24"/>
  <c r="AR33" i="24"/>
  <c r="P33" i="24"/>
  <c r="BF33" i="24"/>
  <c r="BL28" i="24"/>
  <c r="BQ28" i="24"/>
  <c r="BL40" i="24"/>
  <c r="BQ40" i="24"/>
  <c r="BL26" i="24"/>
  <c r="BQ26" i="24"/>
  <c r="BQ31" i="24"/>
  <c r="BL31" i="24"/>
  <c r="AR24" i="22"/>
  <c r="AD24" i="22"/>
  <c r="P24" i="22"/>
  <c r="W24" i="22"/>
  <c r="AK24" i="22"/>
  <c r="BF24" i="22"/>
  <c r="P40" i="22"/>
  <c r="AK40" i="22"/>
  <c r="W40" i="22"/>
  <c r="AD40" i="22"/>
  <c r="AR40" i="22"/>
  <c r="BF40" i="22"/>
  <c r="BQ45" i="25"/>
  <c r="BL45" i="25"/>
  <c r="BL21" i="25"/>
  <c r="BQ21" i="25"/>
  <c r="BL37" i="25"/>
  <c r="BQ37" i="25"/>
  <c r="BL25" i="25"/>
  <c r="BQ25" i="25"/>
  <c r="BQ25" i="22"/>
  <c r="BL25" i="22"/>
  <c r="BQ26" i="22"/>
  <c r="BL26" i="22"/>
  <c r="BQ49" i="22"/>
  <c r="BL49" i="22"/>
  <c r="AD37" i="22"/>
  <c r="P37" i="22"/>
  <c r="W37" i="22"/>
  <c r="AR37" i="22"/>
  <c r="AK37" i="22"/>
  <c r="BF37" i="22"/>
  <c r="AD24" i="24"/>
  <c r="P24" i="24"/>
  <c r="AK24" i="24"/>
  <c r="W24" i="24"/>
  <c r="AR24" i="24"/>
  <c r="BF24" i="24"/>
  <c r="AK16" i="25"/>
  <c r="W16" i="25"/>
  <c r="AR16" i="25"/>
  <c r="P16" i="25"/>
  <c r="AD16" i="25"/>
  <c r="BF16" i="25"/>
  <c r="AR43" i="22"/>
  <c r="AD43" i="22"/>
  <c r="P43" i="22"/>
  <c r="AK43" i="22"/>
  <c r="W43" i="22"/>
  <c r="BF43" i="22"/>
  <c r="P25" i="24"/>
  <c r="AK25" i="24"/>
  <c r="AR25" i="24"/>
  <c r="AD25" i="24"/>
  <c r="W25" i="24"/>
  <c r="BF25" i="24"/>
  <c r="BL36" i="26"/>
  <c r="BQ36" i="26"/>
  <c r="BQ35" i="23"/>
  <c r="BL35" i="23"/>
  <c r="W32" i="26"/>
  <c r="AD32" i="26"/>
  <c r="P32" i="26"/>
  <c r="AK32" i="26"/>
  <c r="AR32" i="26"/>
  <c r="BF32" i="26"/>
  <c r="AK24" i="23"/>
  <c r="AD24" i="23"/>
  <c r="P24" i="23"/>
  <c r="W24" i="23"/>
  <c r="AR24" i="23"/>
  <c r="BF24" i="23"/>
  <c r="P25" i="22"/>
  <c r="AR25" i="22"/>
  <c r="AK25" i="22"/>
  <c r="W25" i="22"/>
  <c r="AD25" i="22"/>
  <c r="BF25" i="22"/>
  <c r="AD15" i="25"/>
  <c r="P15" i="25"/>
  <c r="W15" i="25"/>
  <c r="AR15" i="25"/>
  <c r="AK15" i="25"/>
  <c r="BF15" i="25"/>
  <c r="BQ42" i="26"/>
  <c r="BL42" i="26"/>
  <c r="BQ31" i="26"/>
  <c r="BL31" i="26"/>
  <c r="BL41" i="26"/>
  <c r="BQ41" i="26"/>
  <c r="BL17" i="23"/>
  <c r="BQ17" i="23"/>
  <c r="BL13" i="23"/>
  <c r="BQ13" i="23"/>
  <c r="AK22" i="24"/>
  <c r="AD22" i="24"/>
  <c r="P22" i="24"/>
  <c r="W22" i="24"/>
  <c r="AR22" i="24"/>
  <c r="BF22" i="24"/>
  <c r="AR25" i="26"/>
  <c r="P25" i="26"/>
  <c r="AK25" i="26"/>
  <c r="W25" i="26"/>
  <c r="AD25" i="26"/>
  <c r="BF25" i="26"/>
  <c r="W26" i="25"/>
  <c r="AR26" i="25"/>
  <c r="AD26" i="25"/>
  <c r="P26" i="25"/>
  <c r="AK26" i="25"/>
  <c r="BF26" i="25"/>
  <c r="AK38" i="22"/>
  <c r="AR38" i="22"/>
  <c r="W38" i="22"/>
  <c r="P38" i="22"/>
  <c r="AD38" i="22"/>
  <c r="BF38" i="22"/>
  <c r="AR43" i="25"/>
  <c r="AD43" i="25"/>
  <c r="AK43" i="25"/>
  <c r="W43" i="25"/>
  <c r="P43" i="25"/>
  <c r="BF43" i="25"/>
  <c r="BQ21" i="24"/>
  <c r="BL21" i="24"/>
  <c r="BL20" i="24"/>
  <c r="BQ20" i="24"/>
  <c r="BQ17" i="24"/>
  <c r="BL17" i="24"/>
  <c r="AR38" i="25"/>
  <c r="W38" i="25"/>
  <c r="AK38" i="25"/>
  <c r="AD38" i="25"/>
  <c r="P38" i="25"/>
  <c r="BF38" i="25"/>
  <c r="AD46" i="24"/>
  <c r="P46" i="24"/>
  <c r="AK46" i="24"/>
  <c r="W46" i="24"/>
  <c r="AR46" i="24"/>
  <c r="BF46" i="24"/>
  <c r="BL40" i="25"/>
  <c r="BQ40" i="25"/>
  <c r="BL33" i="25"/>
  <c r="BQ33" i="25"/>
  <c r="BL31" i="25"/>
  <c r="BQ31" i="25"/>
  <c r="BL38" i="22"/>
  <c r="BQ38" i="22"/>
  <c r="BL31" i="22"/>
  <c r="BQ31" i="22"/>
  <c r="BL40" i="22"/>
  <c r="BQ40" i="22"/>
  <c r="BQ36" i="22"/>
  <c r="BL36" i="22"/>
  <c r="BQ44" i="22"/>
  <c r="BL44" i="22"/>
  <c r="AR42" i="23"/>
  <c r="AD42" i="23"/>
  <c r="P42" i="23"/>
  <c r="AK42" i="23"/>
  <c r="W42" i="23"/>
  <c r="BF42" i="23"/>
  <c r="P41" i="23"/>
  <c r="AK41" i="23"/>
  <c r="W41" i="23"/>
  <c r="AR41" i="23"/>
  <c r="AD41" i="23"/>
  <c r="BF41" i="23"/>
  <c r="BF13" i="26"/>
  <c r="AR13" i="26"/>
  <c r="AD13" i="26"/>
  <c r="P13" i="26"/>
  <c r="W13" i="26"/>
  <c r="AK13" i="26"/>
  <c r="AR20" i="23"/>
  <c r="AD20" i="23"/>
  <c r="P20" i="23"/>
  <c r="Q20" i="23" s="1"/>
  <c r="AU20" i="23" s="1"/>
  <c r="BA20" i="23" s="1"/>
  <c r="AK20" i="23"/>
  <c r="W20" i="23"/>
  <c r="BF20" i="23"/>
  <c r="AD30" i="26"/>
  <c r="W30" i="26"/>
  <c r="AK30" i="26"/>
  <c r="AR30" i="26"/>
  <c r="P30" i="26"/>
  <c r="BF30" i="26"/>
  <c r="BI18" i="25"/>
  <c r="BJ18" i="25"/>
  <c r="BK18" i="25" s="1"/>
  <c r="BI48" i="26"/>
  <c r="BJ48" i="26"/>
  <c r="BK48" i="26" s="1"/>
  <c r="BP48" i="26" s="1"/>
  <c r="AR38" i="23"/>
  <c r="AD38" i="23"/>
  <c r="P38" i="23"/>
  <c r="AK38" i="23"/>
  <c r="W38" i="23"/>
  <c r="BF38" i="23"/>
  <c r="AD14" i="22"/>
  <c r="AR14" i="22"/>
  <c r="W14" i="22"/>
  <c r="P14" i="22"/>
  <c r="AK14" i="22"/>
  <c r="BF14" i="22"/>
  <c r="P38" i="26"/>
  <c r="W38" i="26"/>
  <c r="AD38" i="26"/>
  <c r="AR38" i="26"/>
  <c r="AK38" i="26"/>
  <c r="BF38" i="26"/>
  <c r="BJ44" i="23"/>
  <c r="BK44" i="23" s="1"/>
  <c r="BP44" i="23" s="1"/>
  <c r="BI44" i="23"/>
  <c r="W34" i="22"/>
  <c r="AK34" i="22"/>
  <c r="AR34" i="22"/>
  <c r="P34" i="22"/>
  <c r="AD34" i="22"/>
  <c r="BF34" i="22"/>
  <c r="AR16" i="22"/>
  <c r="AD16" i="22"/>
  <c r="P16" i="22"/>
  <c r="AK16" i="22"/>
  <c r="W16" i="22"/>
  <c r="BF16" i="22"/>
  <c r="AR45" i="22"/>
  <c r="AD45" i="22"/>
  <c r="P45" i="22"/>
  <c r="W45" i="22"/>
  <c r="AK45" i="22"/>
  <c r="BF45" i="22"/>
  <c r="W46" i="25"/>
  <c r="AR46" i="25"/>
  <c r="AD46" i="25"/>
  <c r="P46" i="25"/>
  <c r="AK46" i="25"/>
  <c r="BF46" i="25"/>
  <c r="W20" i="22"/>
  <c r="AK20" i="22"/>
  <c r="AR20" i="22"/>
  <c r="AD20" i="22"/>
  <c r="P20" i="22"/>
  <c r="BF20" i="22"/>
  <c r="BQ19" i="24"/>
  <c r="BL19" i="24"/>
  <c r="BL15" i="24"/>
  <c r="BQ15" i="24"/>
  <c r="BL49" i="24"/>
  <c r="BQ49" i="24"/>
  <c r="AK31" i="26"/>
  <c r="P31" i="26"/>
  <c r="AD31" i="26"/>
  <c r="AR31" i="26"/>
  <c r="W31" i="26"/>
  <c r="BF31" i="26"/>
  <c r="W46" i="22"/>
  <c r="AR46" i="22"/>
  <c r="AD46" i="22"/>
  <c r="P46" i="22"/>
  <c r="AK46" i="22"/>
  <c r="BF46" i="22"/>
  <c r="BL14" i="25"/>
  <c r="BQ14" i="25"/>
  <c r="BQ16" i="25"/>
  <c r="BL16" i="25"/>
  <c r="BQ44" i="25"/>
  <c r="BL44" i="25"/>
  <c r="BL14" i="22"/>
  <c r="BQ14" i="22"/>
  <c r="BQ43" i="22"/>
  <c r="BL43" i="22"/>
  <c r="AK43" i="24"/>
  <c r="W43" i="24"/>
  <c r="AR43" i="24"/>
  <c r="AD43" i="24"/>
  <c r="P43" i="24"/>
  <c r="BF43" i="24"/>
  <c r="W21" i="25"/>
  <c r="AR21" i="25"/>
  <c r="AD21" i="25"/>
  <c r="P21" i="25"/>
  <c r="AK21" i="25"/>
  <c r="BF21" i="25"/>
  <c r="W38" i="24"/>
  <c r="AR38" i="24"/>
  <c r="AK38" i="24"/>
  <c r="P38" i="24"/>
  <c r="AD38" i="24"/>
  <c r="BF38" i="24"/>
  <c r="P42" i="25"/>
  <c r="AD42" i="25"/>
  <c r="AR42" i="25"/>
  <c r="W42" i="25"/>
  <c r="AK42" i="25"/>
  <c r="BF42" i="25"/>
  <c r="AD48" i="22"/>
  <c r="AK48" i="22"/>
  <c r="W48" i="22"/>
  <c r="AR48" i="22"/>
  <c r="P48" i="22"/>
  <c r="BF48" i="22"/>
  <c r="AR27" i="25"/>
  <c r="AD27" i="25"/>
  <c r="W27" i="25"/>
  <c r="AK27" i="25"/>
  <c r="P27" i="25"/>
  <c r="BF27" i="25"/>
  <c r="AR21" i="26"/>
  <c r="P21" i="26"/>
  <c r="AK21" i="26"/>
  <c r="W21" i="26"/>
  <c r="AD21" i="26"/>
  <c r="BF21" i="26"/>
  <c r="BQ14" i="26"/>
  <c r="BL14" i="26"/>
  <c r="BL38" i="26"/>
  <c r="BQ38" i="26"/>
  <c r="BL15" i="26"/>
  <c r="BQ15" i="26"/>
  <c r="BL14" i="23"/>
  <c r="BQ14" i="23"/>
  <c r="BL15" i="23"/>
  <c r="BQ15" i="23"/>
  <c r="AK36" i="24"/>
  <c r="AR36" i="24"/>
  <c r="AD36" i="24"/>
  <c r="P36" i="24"/>
  <c r="W36" i="24"/>
  <c r="BF36" i="24"/>
  <c r="W23" i="24"/>
  <c r="AR23" i="24"/>
  <c r="AD23" i="24"/>
  <c r="P23" i="24"/>
  <c r="AK23" i="24"/>
  <c r="BF23" i="24"/>
  <c r="AD27" i="22"/>
  <c r="AR27" i="22"/>
  <c r="P27" i="22"/>
  <c r="W27" i="22"/>
  <c r="AK27" i="22"/>
  <c r="BF27" i="22"/>
  <c r="AR40" i="26"/>
  <c r="AD40" i="26"/>
  <c r="W40" i="26"/>
  <c r="AK40" i="26"/>
  <c r="P40" i="26"/>
  <c r="BF40" i="26"/>
  <c r="BJ15" i="22"/>
  <c r="BK15" i="22" s="1"/>
  <c r="BP15" i="22" s="1"/>
  <c r="BI15" i="22"/>
  <c r="AR44" i="22"/>
  <c r="AD44" i="22"/>
  <c r="P44" i="22"/>
  <c r="AK44" i="22"/>
  <c r="W44" i="22"/>
  <c r="BF44" i="22"/>
  <c r="W21" i="23"/>
  <c r="AK21" i="23"/>
  <c r="AR21" i="23"/>
  <c r="AD21" i="23"/>
  <c r="P21" i="23"/>
  <c r="BF21" i="23"/>
  <c r="BQ24" i="26"/>
  <c r="BL24" i="26"/>
  <c r="BQ28" i="26"/>
  <c r="BL28" i="26"/>
  <c r="BL22" i="23"/>
  <c r="BQ22" i="23"/>
  <c r="BL32" i="23"/>
  <c r="BQ32" i="23"/>
  <c r="I50" i="25"/>
  <c r="AK12" i="25"/>
  <c r="W12" i="25"/>
  <c r="AR12" i="25"/>
  <c r="AD12" i="25"/>
  <c r="P12" i="25"/>
  <c r="BF12" i="25"/>
  <c r="AR40" i="25"/>
  <c r="W40" i="25"/>
  <c r="P40" i="25"/>
  <c r="AD40" i="25"/>
  <c r="AK40" i="25"/>
  <c r="BF40" i="25"/>
  <c r="P33" i="25"/>
  <c r="AD33" i="25"/>
  <c r="AK33" i="25"/>
  <c r="W33" i="25"/>
  <c r="AR33" i="25"/>
  <c r="BF33" i="25"/>
  <c r="W33" i="22"/>
  <c r="AK33" i="22"/>
  <c r="AR33" i="22"/>
  <c r="P33" i="22"/>
  <c r="AD33" i="22"/>
  <c r="BF33" i="22"/>
  <c r="BL39" i="24"/>
  <c r="BQ39" i="24"/>
  <c r="BQ42" i="24"/>
  <c r="BL42" i="24"/>
  <c r="AR26" i="24"/>
  <c r="AD26" i="24"/>
  <c r="P26" i="24"/>
  <c r="Q26" i="24" s="1"/>
  <c r="AU26" i="24" s="1"/>
  <c r="BA26" i="24" s="1"/>
  <c r="AK26" i="24"/>
  <c r="W26" i="24"/>
  <c r="BF26" i="24"/>
  <c r="AD30" i="25"/>
  <c r="AK30" i="25"/>
  <c r="W30" i="25"/>
  <c r="P30" i="25"/>
  <c r="AR30" i="25"/>
  <c r="BF30" i="25"/>
  <c r="BQ23" i="25"/>
  <c r="BL23" i="25"/>
  <c r="BQ38" i="25"/>
  <c r="BL38" i="25"/>
  <c r="BL19" i="25"/>
  <c r="BQ19" i="25"/>
  <c r="BL28" i="25"/>
  <c r="BQ28" i="25"/>
  <c r="BQ49" i="25"/>
  <c r="BL49" i="25"/>
  <c r="BL30" i="22"/>
  <c r="BQ30" i="22"/>
  <c r="BQ29" i="22"/>
  <c r="BL29" i="22"/>
  <c r="BQ13" i="22"/>
  <c r="BL13" i="22"/>
  <c r="BQ41" i="22"/>
  <c r="BL41" i="22"/>
  <c r="AR15" i="26"/>
  <c r="P15" i="26"/>
  <c r="AK15" i="26"/>
  <c r="W15" i="26"/>
  <c r="AD15" i="26"/>
  <c r="BF15" i="26"/>
  <c r="AD43" i="23"/>
  <c r="AK43" i="23"/>
  <c r="W43" i="23"/>
  <c r="AR43" i="23"/>
  <c r="P43" i="23"/>
  <c r="BF43" i="23"/>
  <c r="AD34" i="23"/>
  <c r="AK34" i="23"/>
  <c r="P34" i="23"/>
  <c r="AR34" i="23"/>
  <c r="W34" i="23"/>
  <c r="BF34" i="23"/>
  <c r="I50" i="24"/>
  <c r="W12" i="24"/>
  <c r="AR12" i="24"/>
  <c r="AD12" i="24"/>
  <c r="AK12" i="24"/>
  <c r="P12" i="24"/>
  <c r="BF12" i="24"/>
  <c r="AK45" i="26"/>
  <c r="W45" i="26"/>
  <c r="AD45" i="26"/>
  <c r="P45" i="26"/>
  <c r="AR45" i="26"/>
  <c r="BF45" i="26"/>
  <c r="W37" i="26"/>
  <c r="AD37" i="26"/>
  <c r="P37" i="26"/>
  <c r="AR37" i="26"/>
  <c r="AK37" i="26"/>
  <c r="BF37" i="26"/>
  <c r="AR19" i="24"/>
  <c r="AD19" i="24"/>
  <c r="P19" i="24"/>
  <c r="AK19" i="24"/>
  <c r="W19" i="24"/>
  <c r="BF19" i="24"/>
  <c r="BQ30" i="24"/>
  <c r="BL30" i="24"/>
  <c r="BL34" i="24"/>
  <c r="BQ34" i="24"/>
  <c r="BL27" i="24"/>
  <c r="BQ27" i="24"/>
  <c r="AK28" i="26"/>
  <c r="W28" i="26"/>
  <c r="P28" i="26"/>
  <c r="AR28" i="26"/>
  <c r="BF28" i="26"/>
  <c r="AD28" i="26"/>
  <c r="AR49" i="22"/>
  <c r="AD49" i="22"/>
  <c r="P49" i="22"/>
  <c r="AK49" i="22"/>
  <c r="W49" i="22"/>
  <c r="BF49" i="22"/>
  <c r="BL22" i="25"/>
  <c r="BQ22" i="25"/>
  <c r="BQ24" i="25"/>
  <c r="BL24" i="25"/>
  <c r="BL12" i="25"/>
  <c r="BQ12" i="25"/>
  <c r="BQ34" i="25"/>
  <c r="BL34" i="25"/>
  <c r="BL48" i="22"/>
  <c r="BQ48" i="22"/>
  <c r="AD41" i="25"/>
  <c r="P41" i="25"/>
  <c r="AK41" i="25"/>
  <c r="W41" i="25"/>
  <c r="AR41" i="25"/>
  <c r="BF41" i="25"/>
  <c r="AD23" i="22"/>
  <c r="P23" i="22"/>
  <c r="W23" i="22"/>
  <c r="AR23" i="22"/>
  <c r="AK23" i="22"/>
  <c r="BF23" i="22"/>
  <c r="AR20" i="25"/>
  <c r="AD20" i="25"/>
  <c r="P20" i="25"/>
  <c r="W20" i="25"/>
  <c r="AK20" i="25"/>
  <c r="BF20" i="25"/>
  <c r="AR32" i="24"/>
  <c r="AD32" i="24"/>
  <c r="P32" i="24"/>
  <c r="AK32" i="24"/>
  <c r="W32" i="24"/>
  <c r="BF32" i="24"/>
  <c r="BI36" i="25"/>
  <c r="BJ36" i="25"/>
  <c r="BK36" i="25" s="1"/>
  <c r="BJ19" i="26"/>
  <c r="BK19" i="26" s="1"/>
  <c r="BP19" i="26" s="1"/>
  <c r="BI19" i="26"/>
  <c r="W34" i="24"/>
  <c r="AD34" i="24"/>
  <c r="P34" i="24"/>
  <c r="AK34" i="24"/>
  <c r="AR34" i="24"/>
  <c r="BF34" i="24"/>
  <c r="BL12" i="26"/>
  <c r="BQ12" i="26"/>
  <c r="BL35" i="26"/>
  <c r="BQ35" i="26"/>
  <c r="BQ45" i="26"/>
  <c r="BL45" i="26"/>
  <c r="BL49" i="26"/>
  <c r="BQ49" i="26"/>
  <c r="BQ48" i="23"/>
  <c r="BL48" i="23"/>
  <c r="BQ20" i="23"/>
  <c r="BL20" i="23"/>
  <c r="BQ31" i="23"/>
  <c r="BL31" i="23"/>
  <c r="AD15" i="23"/>
  <c r="AK15" i="23"/>
  <c r="W15" i="23"/>
  <c r="AR15" i="23"/>
  <c r="P15" i="23"/>
  <c r="BF15" i="23"/>
  <c r="BI48" i="25"/>
  <c r="BJ48" i="25"/>
  <c r="BK48" i="25" s="1"/>
  <c r="BP48" i="25" s="1"/>
  <c r="AR35" i="26"/>
  <c r="AD35" i="26"/>
  <c r="P35" i="26"/>
  <c r="AK35" i="26"/>
  <c r="W35" i="26"/>
  <c r="BF35" i="26"/>
  <c r="AK14" i="26"/>
  <c r="AR14" i="26"/>
  <c r="AD14" i="26"/>
  <c r="P14" i="26"/>
  <c r="W14" i="26"/>
  <c r="BF14" i="26"/>
  <c r="AK14" i="25"/>
  <c r="W14" i="25"/>
  <c r="AR14" i="25"/>
  <c r="AD14" i="25"/>
  <c r="P14" i="25"/>
  <c r="BF14" i="25"/>
  <c r="BL13" i="26"/>
  <c r="BQ13" i="26"/>
  <c r="BL43" i="26"/>
  <c r="BQ43" i="26"/>
  <c r="AD22" i="26"/>
  <c r="AK22" i="26"/>
  <c r="W22" i="26"/>
  <c r="P22" i="26"/>
  <c r="AR22" i="26"/>
  <c r="BF22" i="26"/>
  <c r="BQ47" i="23"/>
  <c r="BL47" i="23"/>
  <c r="BL28" i="23"/>
  <c r="BQ28" i="23"/>
  <c r="BL16" i="23"/>
  <c r="BQ16" i="23"/>
  <c r="BQ23" i="23"/>
  <c r="BL23" i="23"/>
  <c r="BQ39" i="23"/>
  <c r="BL39" i="23"/>
  <c r="P12" i="22"/>
  <c r="Q15" i="22" s="1"/>
  <c r="AU15" i="22" s="1"/>
  <c r="I50" i="22"/>
  <c r="AD12" i="22"/>
  <c r="AK12" i="22"/>
  <c r="W12" i="22"/>
  <c r="AR12" i="22"/>
  <c r="BF12" i="22"/>
  <c r="AK26" i="26"/>
  <c r="W26" i="26"/>
  <c r="AR26" i="26"/>
  <c r="AD26" i="26"/>
  <c r="P26" i="26"/>
  <c r="BF26" i="26"/>
  <c r="I50" i="23"/>
  <c r="P12" i="23"/>
  <c r="Q49" i="23" s="1"/>
  <c r="AU49" i="23" s="1"/>
  <c r="AK12" i="23"/>
  <c r="W12" i="23"/>
  <c r="X45" i="23" s="1"/>
  <c r="AV45" i="23" s="1"/>
  <c r="BB45" i="23" s="1"/>
  <c r="BF12" i="23"/>
  <c r="AR12" i="23"/>
  <c r="AD12" i="23"/>
  <c r="AD21" i="22"/>
  <c r="P21" i="22"/>
  <c r="W21" i="22"/>
  <c r="AK21" i="22"/>
  <c r="AR21" i="22"/>
  <c r="BF21" i="22"/>
  <c r="BL43" i="24"/>
  <c r="BQ43" i="24"/>
  <c r="BQ47" i="24"/>
  <c r="BL47" i="24"/>
  <c r="BL23" i="24"/>
  <c r="BQ23" i="24"/>
  <c r="BQ13" i="24"/>
  <c r="BL13" i="24"/>
  <c r="AD37" i="23"/>
  <c r="W37" i="23"/>
  <c r="AK37" i="23"/>
  <c r="P37" i="23"/>
  <c r="AR37" i="23"/>
  <c r="BF37" i="23"/>
  <c r="BL48" i="25"/>
  <c r="BQ48" i="25"/>
  <c r="BQ30" i="25"/>
  <c r="BL30" i="25"/>
  <c r="BL27" i="25"/>
  <c r="BQ27" i="25"/>
  <c r="BQ24" i="22"/>
  <c r="BL24" i="22"/>
  <c r="BQ15" i="22"/>
  <c r="BL15" i="22"/>
  <c r="BQ20" i="22"/>
  <c r="BL20" i="22"/>
  <c r="BQ39" i="22"/>
  <c r="BL39" i="22"/>
  <c r="AR16" i="26"/>
  <c r="AD16" i="26"/>
  <c r="P16" i="26"/>
  <c r="W16" i="26"/>
  <c r="AK16" i="26"/>
  <c r="BF16" i="26"/>
  <c r="AR49" i="26"/>
  <c r="W49" i="26"/>
  <c r="AK49" i="26"/>
  <c r="AD49" i="26"/>
  <c r="P49" i="26"/>
  <c r="BF49" i="26"/>
  <c r="AR16" i="23"/>
  <c r="AD16" i="23"/>
  <c r="P16" i="23"/>
  <c r="AK16" i="23"/>
  <c r="W16" i="23"/>
  <c r="BF16" i="23"/>
  <c r="P17" i="26"/>
  <c r="AR17" i="26"/>
  <c r="AD17" i="26"/>
  <c r="W17" i="26"/>
  <c r="AK17" i="26"/>
  <c r="BF17" i="26"/>
  <c r="P31" i="25"/>
  <c r="AR31" i="25"/>
  <c r="AD31" i="25"/>
  <c r="W31" i="25"/>
  <c r="AK31" i="25"/>
  <c r="BF31" i="25"/>
  <c r="AK19" i="23"/>
  <c r="W19" i="23"/>
  <c r="AR19" i="23"/>
  <c r="AD19" i="23"/>
  <c r="P19" i="23"/>
  <c r="BF19" i="23"/>
  <c r="AK13" i="24"/>
  <c r="W13" i="24"/>
  <c r="AR13" i="24"/>
  <c r="AD13" i="24"/>
  <c r="P13" i="24"/>
  <c r="BF13" i="24"/>
  <c r="P16" i="24"/>
  <c r="W16" i="24"/>
  <c r="AD16" i="24"/>
  <c r="AR16" i="24"/>
  <c r="AK16" i="24"/>
  <c r="BF16" i="24"/>
  <c r="AR23" i="25"/>
  <c r="P23" i="25"/>
  <c r="AK23" i="25"/>
  <c r="W23" i="25"/>
  <c r="AD23" i="25"/>
  <c r="BF23" i="25"/>
  <c r="BQ36" i="24"/>
  <c r="BL36" i="24"/>
  <c r="BL38" i="24"/>
  <c r="BQ38" i="24"/>
  <c r="BQ33" i="24"/>
  <c r="BL33" i="24"/>
  <c r="P47" i="24"/>
  <c r="AK47" i="24"/>
  <c r="AR47" i="24"/>
  <c r="W47" i="24"/>
  <c r="X47" i="24" s="1"/>
  <c r="AV47" i="24" s="1"/>
  <c r="BB47" i="24" s="1"/>
  <c r="AD47" i="24"/>
  <c r="BF47" i="24"/>
  <c r="BL20" i="25"/>
  <c r="BQ20" i="25"/>
  <c r="BL35" i="25"/>
  <c r="BQ35" i="25"/>
  <c r="BL17" i="25"/>
  <c r="BQ17" i="25"/>
  <c r="BL32" i="25"/>
  <c r="BQ32" i="25"/>
  <c r="BQ33" i="22"/>
  <c r="BL33" i="22"/>
  <c r="BL47" i="22"/>
  <c r="BQ47" i="22"/>
  <c r="BL16" i="22"/>
  <c r="BQ16" i="22"/>
  <c r="BQ37" i="22"/>
  <c r="BL37" i="22"/>
  <c r="AD41" i="24"/>
  <c r="P41" i="24"/>
  <c r="AK41" i="24"/>
  <c r="W41" i="24"/>
  <c r="AR41" i="24"/>
  <c r="BF41" i="24"/>
  <c r="BI45" i="23"/>
  <c r="BJ45" i="23"/>
  <c r="BK45" i="23" s="1"/>
  <c r="P27" i="24"/>
  <c r="W27" i="24"/>
  <c r="AD27" i="24"/>
  <c r="AK27" i="24"/>
  <c r="AR27" i="24"/>
  <c r="BF27" i="24"/>
  <c r="P19" i="25"/>
  <c r="AK19" i="25"/>
  <c r="AD19" i="25"/>
  <c r="AR19" i="25"/>
  <c r="W19" i="25"/>
  <c r="BF19" i="25"/>
  <c r="AR40" i="23"/>
  <c r="AD40" i="23"/>
  <c r="P40" i="23"/>
  <c r="AK40" i="23"/>
  <c r="W40" i="23"/>
  <c r="BF40" i="23"/>
  <c r="BJ29" i="24"/>
  <c r="BK29" i="24" s="1"/>
  <c r="BI29" i="24"/>
  <c r="BJ21" i="24"/>
  <c r="BI21" i="24"/>
  <c r="BK21" i="24"/>
  <c r="BP21" i="24" s="1"/>
  <c r="P13" i="25"/>
  <c r="AR13" i="25"/>
  <c r="AD13" i="25"/>
  <c r="AK13" i="25"/>
  <c r="W13" i="25"/>
  <c r="BF13" i="25"/>
  <c r="AK14" i="24"/>
  <c r="AR14" i="24"/>
  <c r="P14" i="24"/>
  <c r="AD14" i="24"/>
  <c r="W14" i="24"/>
  <c r="BF14" i="24"/>
  <c r="AK22" i="22"/>
  <c r="W22" i="22"/>
  <c r="AD22" i="22"/>
  <c r="P22" i="22"/>
  <c r="AR22" i="22"/>
  <c r="BF22" i="22"/>
  <c r="P19" i="22"/>
  <c r="AK19" i="22"/>
  <c r="W19" i="22"/>
  <c r="AR19" i="22"/>
  <c r="AD19" i="22"/>
  <c r="BF19" i="22"/>
  <c r="BQ20" i="26"/>
  <c r="BL20" i="26"/>
  <c r="BQ48" i="26"/>
  <c r="BL48" i="26"/>
  <c r="BQ25" i="26"/>
  <c r="BL25" i="26"/>
  <c r="AR22" i="23"/>
  <c r="AD22" i="23"/>
  <c r="P22" i="23"/>
  <c r="W22" i="23"/>
  <c r="AK22" i="23"/>
  <c r="BF22" i="23"/>
  <c r="BL26" i="23"/>
  <c r="BQ26" i="23"/>
  <c r="BL24" i="23"/>
  <c r="BQ24" i="23"/>
  <c r="BQ44" i="23"/>
  <c r="BL44" i="23"/>
  <c r="AD41" i="26"/>
  <c r="AK41" i="26"/>
  <c r="W41" i="26"/>
  <c r="P41" i="26"/>
  <c r="AR41" i="26"/>
  <c r="BF41" i="26"/>
  <c r="P47" i="23"/>
  <c r="AR47" i="23"/>
  <c r="AD47" i="23"/>
  <c r="W47" i="23"/>
  <c r="AK47" i="23"/>
  <c r="BF47" i="23"/>
  <c r="P46" i="23"/>
  <c r="AK46" i="23"/>
  <c r="W46" i="23"/>
  <c r="X46" i="23" s="1"/>
  <c r="AV46" i="23" s="1"/>
  <c r="BB46" i="23" s="1"/>
  <c r="AR46" i="23"/>
  <c r="AD46" i="23"/>
  <c r="BF46" i="23"/>
  <c r="AK37" i="25"/>
  <c r="P37" i="25"/>
  <c r="AD37" i="25"/>
  <c r="AR37" i="25"/>
  <c r="W37" i="25"/>
  <c r="BF37" i="25"/>
  <c r="AK28" i="23"/>
  <c r="W28" i="23"/>
  <c r="AR28" i="23"/>
  <c r="P28" i="23"/>
  <c r="AD28" i="23"/>
  <c r="BF28" i="23"/>
  <c r="BJ39" i="25"/>
  <c r="BK39" i="25" s="1"/>
  <c r="BP39" i="25" s="1"/>
  <c r="BI39" i="25"/>
  <c r="W29" i="26"/>
  <c r="AK29" i="26"/>
  <c r="P29" i="26"/>
  <c r="Q29" i="26" s="1"/>
  <c r="AU29" i="26" s="1"/>
  <c r="BA29" i="26" s="1"/>
  <c r="AD29" i="26"/>
  <c r="AR29" i="26"/>
  <c r="BF29" i="26"/>
  <c r="BL44" i="26"/>
  <c r="BQ44" i="26"/>
  <c r="BL30" i="26"/>
  <c r="BQ30" i="26"/>
  <c r="BQ46" i="23"/>
  <c r="BL46" i="23"/>
  <c r="BQ27" i="23"/>
  <c r="BL27" i="23"/>
  <c r="BL49" i="23"/>
  <c r="BQ49" i="23"/>
  <c r="AR17" i="25"/>
  <c r="AD17" i="25"/>
  <c r="P17" i="25"/>
  <c r="W17" i="25"/>
  <c r="AK17" i="25"/>
  <c r="BF17" i="25"/>
  <c r="AR18" i="23"/>
  <c r="AD18" i="23"/>
  <c r="P18" i="23"/>
  <c r="AK18" i="23"/>
  <c r="W18" i="23"/>
  <c r="BF18" i="23"/>
  <c r="AK42" i="26"/>
  <c r="AD42" i="26"/>
  <c r="W42" i="26"/>
  <c r="P42" i="26"/>
  <c r="AR42" i="26"/>
  <c r="BF42" i="26"/>
  <c r="W39" i="23"/>
  <c r="AR39" i="23"/>
  <c r="AD39" i="23"/>
  <c r="P39" i="23"/>
  <c r="AK39" i="23"/>
  <c r="BF39" i="23"/>
  <c r="W47" i="22"/>
  <c r="AR47" i="22"/>
  <c r="AD47" i="22"/>
  <c r="P47" i="22"/>
  <c r="AK47" i="22"/>
  <c r="BF47" i="22"/>
  <c r="AD41" i="22"/>
  <c r="P41" i="22"/>
  <c r="AK41" i="22"/>
  <c r="AR41" i="22"/>
  <c r="W41" i="22"/>
  <c r="BF41" i="22"/>
  <c r="AK31" i="22"/>
  <c r="AR31" i="22"/>
  <c r="AD31" i="22"/>
  <c r="P31" i="22"/>
  <c r="W31" i="22"/>
  <c r="BF31" i="22"/>
  <c r="BL45" i="24"/>
  <c r="BQ45" i="24"/>
  <c r="BL16" i="24"/>
  <c r="BQ16" i="24"/>
  <c r="BL46" i="24"/>
  <c r="BQ46" i="24"/>
  <c r="BL18" i="24"/>
  <c r="BQ18" i="24"/>
  <c r="P39" i="22"/>
  <c r="AK39" i="22"/>
  <c r="AR39" i="22"/>
  <c r="AD39" i="22"/>
  <c r="W39" i="22"/>
  <c r="BF39" i="22"/>
  <c r="AR17" i="22"/>
  <c r="AD17" i="22"/>
  <c r="P17" i="22"/>
  <c r="Q17" i="22" s="1"/>
  <c r="AU17" i="22" s="1"/>
  <c r="BA17" i="22" s="1"/>
  <c r="AK17" i="22"/>
  <c r="W17" i="22"/>
  <c r="BF17" i="22"/>
  <c r="BQ42" i="25"/>
  <c r="BL42" i="25"/>
  <c r="BQ26" i="25"/>
  <c r="BL26" i="25"/>
  <c r="BQ18" i="25"/>
  <c r="BL18" i="25"/>
  <c r="BL36" i="25"/>
  <c r="BQ36" i="25"/>
  <c r="BL32" i="22"/>
  <c r="BQ32" i="22"/>
  <c r="BQ27" i="22"/>
  <c r="BL27" i="22"/>
  <c r="W46" i="26"/>
  <c r="AK46" i="26"/>
  <c r="AD46" i="26"/>
  <c r="P46" i="26"/>
  <c r="AR46" i="26"/>
  <c r="BF46" i="26"/>
  <c r="AD36" i="26"/>
  <c r="P36" i="26"/>
  <c r="AK36" i="26"/>
  <c r="AL36" i="26" s="1"/>
  <c r="AX36" i="26" s="1"/>
  <c r="BD36" i="26" s="1"/>
  <c r="W36" i="26"/>
  <c r="AR36" i="26"/>
  <c r="BF36" i="26"/>
  <c r="O30" i="15"/>
  <c r="BE30" i="15"/>
  <c r="BR34" i="12"/>
  <c r="BR34" i="13"/>
  <c r="BE15" i="12"/>
  <c r="O36" i="14"/>
  <c r="BE36" i="14"/>
  <c r="O18" i="15"/>
  <c r="H31" i="14"/>
  <c r="H35" i="16"/>
  <c r="O38" i="12"/>
  <c r="BE38" i="12"/>
  <c r="H14" i="14"/>
  <c r="H45" i="15"/>
  <c r="H46" i="12"/>
  <c r="BR34" i="14"/>
  <c r="H37" i="13"/>
  <c r="H43" i="13"/>
  <c r="H29" i="13"/>
  <c r="H32" i="12"/>
  <c r="H38" i="15"/>
  <c r="H27" i="16"/>
  <c r="H49" i="15"/>
  <c r="H27" i="12"/>
  <c r="AB49" i="14"/>
  <c r="AB23" i="14"/>
  <c r="AB42" i="14"/>
  <c r="AB32" i="14"/>
  <c r="AB36" i="14"/>
  <c r="AC36" i="14" s="1"/>
  <c r="AB12" i="14"/>
  <c r="AB20" i="14"/>
  <c r="AB15" i="14"/>
  <c r="AB14" i="14"/>
  <c r="AB13" i="14"/>
  <c r="AB11" i="14"/>
  <c r="AB33" i="14"/>
  <c r="AB35" i="14"/>
  <c r="AB43" i="14"/>
  <c r="AB19" i="14"/>
  <c r="AB22" i="14"/>
  <c r="AB16" i="14"/>
  <c r="AB18" i="14"/>
  <c r="AB21" i="14"/>
  <c r="AB24" i="14"/>
  <c r="AB40" i="14"/>
  <c r="AB45" i="14"/>
  <c r="AB30" i="14"/>
  <c r="AB26" i="14"/>
  <c r="AB25" i="14"/>
  <c r="AB50" i="14"/>
  <c r="AB38" i="14"/>
  <c r="AB44" i="14"/>
  <c r="AB28" i="14"/>
  <c r="AB31" i="14"/>
  <c r="AB47" i="14"/>
  <c r="AB46" i="14"/>
  <c r="AB41" i="14"/>
  <c r="AB27" i="14"/>
  <c r="AB29" i="14"/>
  <c r="AB37" i="14"/>
  <c r="AB39" i="14"/>
  <c r="AB48" i="14"/>
  <c r="H40" i="12"/>
  <c r="H40" i="13"/>
  <c r="H38" i="14"/>
  <c r="H21" i="13"/>
  <c r="H41" i="16"/>
  <c r="H44" i="13"/>
  <c r="H43" i="16"/>
  <c r="H47" i="15"/>
  <c r="H44" i="12"/>
  <c r="H22" i="14"/>
  <c r="H42" i="14"/>
  <c r="AI45" i="16"/>
  <c r="H30" i="14"/>
  <c r="H20" i="13"/>
  <c r="H29" i="12"/>
  <c r="H22" i="15"/>
  <c r="BM34" i="12"/>
  <c r="BM39" i="12"/>
  <c r="BM46" i="12"/>
  <c r="BM32" i="12"/>
  <c r="BM24" i="12"/>
  <c r="U18" i="12"/>
  <c r="BM30" i="12"/>
  <c r="BM47" i="12"/>
  <c r="BM18" i="12"/>
  <c r="BM26" i="12"/>
  <c r="BM20" i="12"/>
  <c r="BM19" i="12"/>
  <c r="U40" i="12"/>
  <c r="BM29" i="12"/>
  <c r="BM40" i="12"/>
  <c r="BM17" i="12"/>
  <c r="BM50" i="12"/>
  <c r="BM43" i="12"/>
  <c r="U33" i="12"/>
  <c r="BM31" i="12"/>
  <c r="BM22" i="12"/>
  <c r="BM15" i="12"/>
  <c r="U26" i="12"/>
  <c r="U45" i="12"/>
  <c r="BM13" i="12"/>
  <c r="BM21" i="12"/>
  <c r="U22" i="12"/>
  <c r="V22" i="12" s="1"/>
  <c r="U13" i="12"/>
  <c r="U36" i="12"/>
  <c r="U47" i="12"/>
  <c r="BM35" i="12"/>
  <c r="U41" i="12"/>
  <c r="U27" i="12"/>
  <c r="BM38" i="12"/>
  <c r="U19" i="12"/>
  <c r="U23" i="12"/>
  <c r="U46" i="12"/>
  <c r="U48" i="12"/>
  <c r="U49" i="12"/>
  <c r="U21" i="12"/>
  <c r="BM41" i="12"/>
  <c r="U25" i="12"/>
  <c r="U12" i="12"/>
  <c r="BM12" i="12"/>
  <c r="U20" i="12"/>
  <c r="U24" i="12"/>
  <c r="U31" i="12"/>
  <c r="BM27" i="12"/>
  <c r="U37" i="12"/>
  <c r="U39" i="12"/>
  <c r="U30" i="12"/>
  <c r="BM48" i="12"/>
  <c r="BM28" i="12"/>
  <c r="U16" i="12"/>
  <c r="BM11" i="12"/>
  <c r="U43" i="12"/>
  <c r="U42" i="12"/>
  <c r="U50" i="12"/>
  <c r="BM42" i="12"/>
  <c r="BM23" i="12"/>
  <c r="U35" i="12"/>
  <c r="V35" i="12" s="1"/>
  <c r="U44" i="12"/>
  <c r="U15" i="12"/>
  <c r="BM25" i="12"/>
  <c r="U14" i="12"/>
  <c r="BM36" i="12"/>
  <c r="BM49" i="12"/>
  <c r="U38" i="12"/>
  <c r="BM33" i="12"/>
  <c r="U32" i="12"/>
  <c r="U28" i="12"/>
  <c r="BM16" i="12"/>
  <c r="U11" i="12"/>
  <c r="U29" i="12"/>
  <c r="BM37" i="12"/>
  <c r="BM45" i="12"/>
  <c r="BM14" i="12"/>
  <c r="BM44" i="12"/>
  <c r="AB19" i="16"/>
  <c r="AI45" i="14"/>
  <c r="AI39" i="14"/>
  <c r="AI32" i="14"/>
  <c r="AI49" i="14"/>
  <c r="AI48" i="14"/>
  <c r="AI33" i="14"/>
  <c r="AI36" i="14"/>
  <c r="AJ36" i="14" s="1"/>
  <c r="AI44" i="14"/>
  <c r="AI38" i="14"/>
  <c r="AI31" i="14"/>
  <c r="AI26" i="14"/>
  <c r="AI18" i="14"/>
  <c r="AI22" i="14"/>
  <c r="AI12" i="14"/>
  <c r="AI19" i="14"/>
  <c r="AI14" i="14"/>
  <c r="AI41" i="14"/>
  <c r="AI11" i="14"/>
  <c r="AI23" i="14"/>
  <c r="AI43" i="14"/>
  <c r="AI20" i="14"/>
  <c r="AI47" i="14"/>
  <c r="AI42" i="14"/>
  <c r="AI21" i="14"/>
  <c r="AI24" i="14"/>
  <c r="AI25" i="14"/>
  <c r="AI28" i="14"/>
  <c r="AI13" i="14"/>
  <c r="AI29" i="14"/>
  <c r="AI50" i="14"/>
  <c r="AI15" i="14"/>
  <c r="AI30" i="14"/>
  <c r="AI35" i="14"/>
  <c r="AI40" i="14"/>
  <c r="AI27" i="14"/>
  <c r="AI37" i="14"/>
  <c r="AI46" i="14"/>
  <c r="AI16" i="14"/>
  <c r="H45" i="12"/>
  <c r="H49" i="16"/>
  <c r="H48" i="14"/>
  <c r="H39" i="15"/>
  <c r="BR34" i="15"/>
  <c r="O35" i="12"/>
  <c r="BE35" i="12"/>
  <c r="BE18" i="13"/>
  <c r="H50" i="15"/>
  <c r="H26" i="15"/>
  <c r="H31" i="13"/>
  <c r="H42" i="12"/>
  <c r="H20" i="14"/>
  <c r="BK35" i="16"/>
  <c r="BP35" i="16"/>
  <c r="BQ35" i="16" s="1"/>
  <c r="H15" i="13"/>
  <c r="H32" i="16"/>
  <c r="H24" i="16"/>
  <c r="AB41" i="15"/>
  <c r="AB47" i="15"/>
  <c r="AB23" i="15"/>
  <c r="AB46" i="15"/>
  <c r="AB29" i="15"/>
  <c r="AB28" i="15"/>
  <c r="AB32" i="15"/>
  <c r="AB13" i="15"/>
  <c r="AB16" i="15"/>
  <c r="AB20" i="15"/>
  <c r="AB25" i="15"/>
  <c r="AB26" i="15"/>
  <c r="AB36" i="15"/>
  <c r="AB39" i="15"/>
  <c r="AB14" i="15"/>
  <c r="AB18" i="15"/>
  <c r="AB37" i="15"/>
  <c r="AB12" i="15"/>
  <c r="AB24" i="15"/>
  <c r="AB38" i="15"/>
  <c r="AB43" i="15"/>
  <c r="AB49" i="15"/>
  <c r="AB35" i="15"/>
  <c r="AB30" i="15"/>
  <c r="AC30" i="15" s="1"/>
  <c r="AB11" i="15"/>
  <c r="AB40" i="15"/>
  <c r="AB33" i="15"/>
  <c r="AB42" i="15"/>
  <c r="AB27" i="15"/>
  <c r="AB15" i="15"/>
  <c r="AB44" i="15"/>
  <c r="AB45" i="15"/>
  <c r="AB22" i="15"/>
  <c r="AB50" i="15"/>
  <c r="AB19" i="15"/>
  <c r="AB31" i="15"/>
  <c r="AB48" i="15"/>
  <c r="AB21" i="15"/>
  <c r="H36" i="12"/>
  <c r="H45" i="16"/>
  <c r="H25" i="14"/>
  <c r="H41" i="12"/>
  <c r="H29" i="15"/>
  <c r="H46" i="16"/>
  <c r="O42" i="16"/>
  <c r="AC42" i="16"/>
  <c r="BE42" i="16"/>
  <c r="H46" i="15"/>
  <c r="H37" i="15"/>
  <c r="H19" i="15"/>
  <c r="H50" i="13"/>
  <c r="H15" i="15"/>
  <c r="H40" i="15"/>
  <c r="H31" i="15"/>
  <c r="H14" i="13"/>
  <c r="H35" i="15"/>
  <c r="H13" i="13"/>
  <c r="H25" i="12"/>
  <c r="H45" i="14"/>
  <c r="G51" i="14"/>
  <c r="AP40" i="15"/>
  <c r="AP45" i="15"/>
  <c r="AP41" i="15"/>
  <c r="AP36" i="15"/>
  <c r="AP22" i="15"/>
  <c r="AP46" i="15"/>
  <c r="AP28" i="15"/>
  <c r="AP47" i="15"/>
  <c r="AP29" i="15"/>
  <c r="AP37" i="15"/>
  <c r="AP12" i="15"/>
  <c r="AP14" i="15"/>
  <c r="AP15" i="15"/>
  <c r="AP21" i="15"/>
  <c r="AP38" i="15"/>
  <c r="AP39" i="15"/>
  <c r="AP18" i="15"/>
  <c r="AP16" i="15"/>
  <c r="AP44" i="15"/>
  <c r="AP43" i="15"/>
  <c r="AP42" i="15"/>
  <c r="AP25" i="15"/>
  <c r="AP33" i="15"/>
  <c r="AP24" i="15"/>
  <c r="AQ24" i="15" s="1"/>
  <c r="AP20" i="15"/>
  <c r="AP50" i="15"/>
  <c r="AP30" i="15"/>
  <c r="AQ30" i="15" s="1"/>
  <c r="AP13" i="15"/>
  <c r="AP35" i="15"/>
  <c r="AP48" i="15"/>
  <c r="AP26" i="15"/>
  <c r="AP49" i="15"/>
  <c r="AP19" i="15"/>
  <c r="AP27" i="15"/>
  <c r="AP32" i="15"/>
  <c r="AP23" i="15"/>
  <c r="AP11" i="15"/>
  <c r="AP31" i="15"/>
  <c r="H48" i="12"/>
  <c r="H44" i="14"/>
  <c r="H49" i="13"/>
  <c r="H22" i="16"/>
  <c r="BM46" i="13"/>
  <c r="BM35" i="13"/>
  <c r="BM47" i="13"/>
  <c r="BM45" i="13"/>
  <c r="BM34" i="13"/>
  <c r="BM41" i="13"/>
  <c r="BM27" i="13"/>
  <c r="BM32" i="13"/>
  <c r="BM18" i="13"/>
  <c r="BM13" i="13"/>
  <c r="U44" i="13"/>
  <c r="BM30" i="13"/>
  <c r="BM26" i="13"/>
  <c r="BM20" i="13"/>
  <c r="BM12" i="13"/>
  <c r="BM37" i="13"/>
  <c r="BM14" i="13"/>
  <c r="U27" i="13"/>
  <c r="BM24" i="13"/>
  <c r="U20" i="13"/>
  <c r="U42" i="13"/>
  <c r="BM33" i="13"/>
  <c r="U13" i="13"/>
  <c r="BM11" i="13"/>
  <c r="BM17" i="13"/>
  <c r="BM21" i="13"/>
  <c r="U11" i="13"/>
  <c r="BM15" i="13"/>
  <c r="U15" i="13"/>
  <c r="BM19" i="13"/>
  <c r="U38" i="13"/>
  <c r="U49" i="13"/>
  <c r="U47" i="13"/>
  <c r="U28" i="13"/>
  <c r="U32" i="13"/>
  <c r="BM16" i="13"/>
  <c r="U36" i="13"/>
  <c r="U12" i="13"/>
  <c r="U25" i="13"/>
  <c r="U14" i="13"/>
  <c r="U30" i="13"/>
  <c r="BM48" i="13"/>
  <c r="BM23" i="13"/>
  <c r="BM50" i="13"/>
  <c r="U43" i="13"/>
  <c r="U41" i="13"/>
  <c r="U31" i="13"/>
  <c r="BM38" i="13"/>
  <c r="U35" i="13"/>
  <c r="U33" i="13"/>
  <c r="BM25" i="13"/>
  <c r="U18" i="13"/>
  <c r="BM49" i="13"/>
  <c r="U50" i="13"/>
  <c r="U16" i="13"/>
  <c r="U48" i="13"/>
  <c r="BM43" i="13"/>
  <c r="U37" i="13"/>
  <c r="U26" i="13"/>
  <c r="BM29" i="13"/>
  <c r="U19" i="13"/>
  <c r="BM40" i="13"/>
  <c r="U29" i="13"/>
  <c r="U39" i="13"/>
  <c r="U45" i="13"/>
  <c r="BM42" i="13"/>
  <c r="BM31" i="13"/>
  <c r="U22" i="13"/>
  <c r="BM22" i="13"/>
  <c r="BM39" i="13"/>
  <c r="BM28" i="13"/>
  <c r="U40" i="13"/>
  <c r="BM36" i="13"/>
  <c r="U46" i="13"/>
  <c r="U23" i="13"/>
  <c r="BM44" i="13"/>
  <c r="U24" i="13"/>
  <c r="U21" i="13"/>
  <c r="H30" i="16"/>
  <c r="H25" i="13"/>
  <c r="AI43" i="15"/>
  <c r="AI46" i="15"/>
  <c r="AI49" i="15"/>
  <c r="AI45" i="15"/>
  <c r="AI26" i="15"/>
  <c r="AI25" i="15"/>
  <c r="AI31" i="15"/>
  <c r="AI38" i="15"/>
  <c r="AI22" i="15"/>
  <c r="AI19" i="15"/>
  <c r="AI13" i="15"/>
  <c r="AI16" i="15"/>
  <c r="AI11" i="15"/>
  <c r="AI18" i="15"/>
  <c r="AI27" i="15"/>
  <c r="AI23" i="15"/>
  <c r="AI50" i="15"/>
  <c r="AI24" i="15"/>
  <c r="AJ24" i="15" s="1"/>
  <c r="AI21" i="15"/>
  <c r="AI39" i="15"/>
  <c r="AI42" i="15"/>
  <c r="AI14" i="15"/>
  <c r="AI32" i="15"/>
  <c r="AI44" i="15"/>
  <c r="AI29" i="15"/>
  <c r="AI30" i="15"/>
  <c r="AJ30" i="15" s="1"/>
  <c r="AI12" i="15"/>
  <c r="AI36" i="15"/>
  <c r="AI47" i="15"/>
  <c r="AI20" i="15"/>
  <c r="AI40" i="15"/>
  <c r="AI37" i="15"/>
  <c r="AI33" i="15"/>
  <c r="AI15" i="15"/>
  <c r="AI28" i="15"/>
  <c r="AI41" i="15"/>
  <c r="AI35" i="15"/>
  <c r="AI48" i="15"/>
  <c r="H18" i="12"/>
  <c r="H19" i="12"/>
  <c r="H36" i="15"/>
  <c r="H27" i="14"/>
  <c r="H13" i="16"/>
  <c r="H13" i="14"/>
  <c r="H50" i="16"/>
  <c r="H43" i="14"/>
  <c r="H32" i="13"/>
  <c r="H21" i="16"/>
  <c r="AI44" i="16"/>
  <c r="H23" i="13"/>
  <c r="H18" i="16"/>
  <c r="BM48" i="14"/>
  <c r="U45" i="14"/>
  <c r="BM39" i="14"/>
  <c r="BM32" i="14"/>
  <c r="U49" i="14"/>
  <c r="BM45" i="14"/>
  <c r="BM49" i="14"/>
  <c r="U48" i="14"/>
  <c r="BM26" i="14"/>
  <c r="BM25" i="14"/>
  <c r="BM20" i="14"/>
  <c r="BM33" i="14"/>
  <c r="BM44" i="14"/>
  <c r="BM31" i="14"/>
  <c r="BM42" i="14"/>
  <c r="U33" i="14"/>
  <c r="BM43" i="14"/>
  <c r="U18" i="14"/>
  <c r="BM17" i="14"/>
  <c r="U23" i="14"/>
  <c r="BM14" i="14"/>
  <c r="BM19" i="14"/>
  <c r="BM23" i="14"/>
  <c r="BM21" i="14"/>
  <c r="U19" i="14"/>
  <c r="BM22" i="14"/>
  <c r="BM18" i="14"/>
  <c r="BM16" i="14"/>
  <c r="BM13" i="14"/>
  <c r="U11" i="14"/>
  <c r="U14" i="14"/>
  <c r="U30" i="14"/>
  <c r="U21" i="14"/>
  <c r="U35" i="14"/>
  <c r="U46" i="14"/>
  <c r="BM46" i="14"/>
  <c r="U15" i="14"/>
  <c r="BM35" i="14"/>
  <c r="U24" i="14"/>
  <c r="U13" i="14"/>
  <c r="BM40" i="14"/>
  <c r="BM36" i="14"/>
  <c r="U22" i="14"/>
  <c r="BM12" i="14"/>
  <c r="U50" i="14"/>
  <c r="BM47" i="14"/>
  <c r="U32" i="14"/>
  <c r="BM37" i="14"/>
  <c r="BM27" i="14"/>
  <c r="BM11" i="14"/>
  <c r="BM50" i="14"/>
  <c r="BM41" i="14"/>
  <c r="U31" i="14"/>
  <c r="BM15" i="14"/>
  <c r="U40" i="14"/>
  <c r="U47" i="14"/>
  <c r="U27" i="14"/>
  <c r="U37" i="14"/>
  <c r="U26" i="14"/>
  <c r="U44" i="14"/>
  <c r="U20" i="14"/>
  <c r="U42" i="14"/>
  <c r="U12" i="14"/>
  <c r="U29" i="14"/>
  <c r="BM28" i="14"/>
  <c r="BM24" i="14"/>
  <c r="BM38" i="14"/>
  <c r="BM29" i="14"/>
  <c r="U16" i="14"/>
  <c r="U25" i="14"/>
  <c r="U41" i="14"/>
  <c r="BM30" i="14"/>
  <c r="U28" i="14"/>
  <c r="U39" i="14"/>
  <c r="BM34" i="14"/>
  <c r="U43" i="14"/>
  <c r="U38" i="14"/>
  <c r="U36" i="14"/>
  <c r="V36" i="14" s="1"/>
  <c r="H37" i="16"/>
  <c r="H21" i="12"/>
  <c r="H36" i="13"/>
  <c r="AI39" i="12"/>
  <c r="AI41" i="12"/>
  <c r="AI40" i="12"/>
  <c r="AI33" i="12"/>
  <c r="AI42" i="12"/>
  <c r="AI30" i="12"/>
  <c r="AI44" i="12"/>
  <c r="AI24" i="12"/>
  <c r="AI27" i="12"/>
  <c r="AI20" i="12"/>
  <c r="AI46" i="12"/>
  <c r="AI32" i="12"/>
  <c r="AI12" i="12"/>
  <c r="AI16" i="12"/>
  <c r="AI49" i="12"/>
  <c r="AI37" i="12"/>
  <c r="AI35" i="12"/>
  <c r="AJ35" i="12" s="1"/>
  <c r="AI11" i="12"/>
  <c r="AI45" i="12"/>
  <c r="AI15" i="12"/>
  <c r="AI25" i="12"/>
  <c r="AI36" i="12"/>
  <c r="AI48" i="12"/>
  <c r="AI21" i="12"/>
  <c r="AI31" i="12"/>
  <c r="AI43" i="12"/>
  <c r="AI38" i="12"/>
  <c r="AJ38" i="12" s="1"/>
  <c r="AI14" i="12"/>
  <c r="AI19" i="12"/>
  <c r="AI23" i="12"/>
  <c r="AI22" i="12"/>
  <c r="AJ22" i="12" s="1"/>
  <c r="AI26" i="12"/>
  <c r="AI47" i="12"/>
  <c r="AI18" i="12"/>
  <c r="AI13" i="12"/>
  <c r="AI50" i="12"/>
  <c r="AI28" i="12"/>
  <c r="AI29" i="12"/>
  <c r="AB27" i="16"/>
  <c r="AB32" i="16"/>
  <c r="AB35" i="16"/>
  <c r="AB45" i="16"/>
  <c r="H15" i="14"/>
  <c r="H39" i="12"/>
  <c r="H39" i="14"/>
  <c r="H33" i="15"/>
  <c r="H48" i="13"/>
  <c r="H20" i="15"/>
  <c r="H12" i="16"/>
  <c r="H21" i="14"/>
  <c r="BR34" i="16"/>
  <c r="H41" i="14"/>
  <c r="AP41" i="16"/>
  <c r="AP40" i="16"/>
  <c r="AP45" i="16"/>
  <c r="AP46" i="16"/>
  <c r="AP33" i="16"/>
  <c r="AP35" i="16"/>
  <c r="AP20" i="16"/>
  <c r="AP29" i="16"/>
  <c r="AP32" i="16"/>
  <c r="AP27" i="16"/>
  <c r="AP13" i="16"/>
  <c r="AP26" i="16"/>
  <c r="AP30" i="16"/>
  <c r="AP42" i="16"/>
  <c r="AQ42" i="16" s="1"/>
  <c r="AP48" i="16"/>
  <c r="AP21" i="16"/>
  <c r="AP28" i="16"/>
  <c r="AP39" i="16"/>
  <c r="AP44" i="16"/>
  <c r="AP19" i="16"/>
  <c r="AP12" i="16"/>
  <c r="AP31" i="16"/>
  <c r="AP43" i="16"/>
  <c r="AP24" i="16"/>
  <c r="AP37" i="16"/>
  <c r="AP49" i="16"/>
  <c r="AP23" i="16"/>
  <c r="AP16" i="16"/>
  <c r="AQ16" i="16" s="1"/>
  <c r="AP25" i="16"/>
  <c r="AP36" i="16"/>
  <c r="AQ36" i="16" s="1"/>
  <c r="AP11" i="16"/>
  <c r="AP38" i="16"/>
  <c r="AP15" i="16"/>
  <c r="AP22" i="16"/>
  <c r="AP18" i="16"/>
  <c r="AP50" i="16"/>
  <c r="AP14" i="16"/>
  <c r="H28" i="12"/>
  <c r="H39" i="16"/>
  <c r="H28" i="14"/>
  <c r="H33" i="16"/>
  <c r="H26" i="14"/>
  <c r="AI12" i="16"/>
  <c r="AI16" i="16"/>
  <c r="AJ16" i="16" s="1"/>
  <c r="AI37" i="16"/>
  <c r="AI39" i="16"/>
  <c r="AI33" i="16"/>
  <c r="AI40" i="16"/>
  <c r="AI14" i="16"/>
  <c r="AI21" i="16"/>
  <c r="AI27" i="16"/>
  <c r="AI25" i="16"/>
  <c r="AI28" i="16"/>
  <c r="AI24" i="16"/>
  <c r="AI11" i="16"/>
  <c r="O24" i="15"/>
  <c r="AC24" i="15"/>
  <c r="BE24" i="15"/>
  <c r="H29" i="16"/>
  <c r="H47" i="13"/>
  <c r="H43" i="12"/>
  <c r="BK39" i="16"/>
  <c r="H47" i="16"/>
  <c r="H14" i="15"/>
  <c r="H20" i="12"/>
  <c r="H22" i="13"/>
  <c r="H35" i="14"/>
  <c r="H27" i="13"/>
  <c r="G51" i="16"/>
  <c r="H49" i="12"/>
  <c r="H18" i="14"/>
  <c r="H38" i="16"/>
  <c r="AI41" i="16"/>
  <c r="AI23" i="16"/>
  <c r="G51" i="13"/>
  <c r="H11" i="13"/>
  <c r="H28" i="13"/>
  <c r="H47" i="14"/>
  <c r="BM49" i="15"/>
  <c r="BM42" i="15"/>
  <c r="BM17" i="15"/>
  <c r="BM34" i="15"/>
  <c r="BM48" i="15"/>
  <c r="BM50" i="15"/>
  <c r="BM43" i="15"/>
  <c r="U43" i="15"/>
  <c r="U35" i="15"/>
  <c r="U26" i="15"/>
  <c r="BM25" i="15"/>
  <c r="BM29" i="15"/>
  <c r="U46" i="15"/>
  <c r="U45" i="15"/>
  <c r="BM41" i="15"/>
  <c r="BM31" i="15"/>
  <c r="BM30" i="15"/>
  <c r="U50" i="15"/>
  <c r="BM37" i="15"/>
  <c r="BM19" i="15"/>
  <c r="BM13" i="15"/>
  <c r="BM14" i="15"/>
  <c r="BM15" i="15"/>
  <c r="U23" i="15"/>
  <c r="BM20" i="15"/>
  <c r="BM16" i="15"/>
  <c r="BM11" i="15"/>
  <c r="U18" i="15"/>
  <c r="V18" i="15" s="1"/>
  <c r="U38" i="15"/>
  <c r="BM28" i="15"/>
  <c r="BM35" i="15"/>
  <c r="BM44" i="15"/>
  <c r="U11" i="15"/>
  <c r="U12" i="15"/>
  <c r="BM46" i="15"/>
  <c r="BM32" i="15"/>
  <c r="U28" i="15"/>
  <c r="BM23" i="15"/>
  <c r="BM47" i="15"/>
  <c r="U40" i="15"/>
  <c r="U49" i="15"/>
  <c r="BM39" i="15"/>
  <c r="BM21" i="15"/>
  <c r="U22" i="15"/>
  <c r="U33" i="15"/>
  <c r="U24" i="15"/>
  <c r="V24" i="15" s="1"/>
  <c r="U39" i="15"/>
  <c r="BM12" i="15"/>
  <c r="U30" i="15"/>
  <c r="V30" i="15" s="1"/>
  <c r="BM18" i="15"/>
  <c r="U21" i="15"/>
  <c r="U27" i="15"/>
  <c r="U20" i="15"/>
  <c r="U25" i="15"/>
  <c r="U48" i="15"/>
  <c r="BM27" i="15"/>
  <c r="BM26" i="15"/>
  <c r="BM45" i="15"/>
  <c r="U41" i="15"/>
  <c r="BM36" i="15"/>
  <c r="U47" i="15"/>
  <c r="U36" i="15"/>
  <c r="U15" i="15"/>
  <c r="U32" i="15"/>
  <c r="BM33" i="15"/>
  <c r="BM38" i="15"/>
  <c r="U31" i="15"/>
  <c r="U16" i="15"/>
  <c r="U19" i="15"/>
  <c r="U29" i="15"/>
  <c r="U44" i="15"/>
  <c r="U14" i="15"/>
  <c r="U37" i="15"/>
  <c r="U13" i="15"/>
  <c r="BM24" i="15"/>
  <c r="BM40" i="15"/>
  <c r="BM22" i="15"/>
  <c r="U42" i="15"/>
  <c r="H35" i="13"/>
  <c r="H14" i="16"/>
  <c r="H16" i="14"/>
  <c r="AI32" i="13"/>
  <c r="AI41" i="13"/>
  <c r="AI13" i="13"/>
  <c r="AI31" i="13"/>
  <c r="AI20" i="13"/>
  <c r="AI27" i="13"/>
  <c r="AI29" i="13"/>
  <c r="AI44" i="13"/>
  <c r="AI19" i="13"/>
  <c r="AI21" i="13"/>
  <c r="AI15" i="13"/>
  <c r="AI18" i="13"/>
  <c r="AI33" i="13"/>
  <c r="AI45" i="13"/>
  <c r="AI46" i="13"/>
  <c r="AI42" i="13"/>
  <c r="AI11" i="13"/>
  <c r="AI25" i="13"/>
  <c r="AI24" i="13"/>
  <c r="AI35" i="13"/>
  <c r="AI12" i="13"/>
  <c r="AI14" i="13"/>
  <c r="AI28" i="13"/>
  <c r="AI40" i="13"/>
  <c r="AI16" i="13"/>
  <c r="AI22" i="13"/>
  <c r="AI37" i="13"/>
  <c r="AI39" i="13"/>
  <c r="AI43" i="13"/>
  <c r="AI36" i="13"/>
  <c r="AI49" i="13"/>
  <c r="AI23" i="13"/>
  <c r="AI30" i="13"/>
  <c r="AI50" i="13"/>
  <c r="AI38" i="13"/>
  <c r="AI47" i="13"/>
  <c r="AI26" i="13"/>
  <c r="AI48" i="13"/>
  <c r="H19" i="16"/>
  <c r="H28" i="15"/>
  <c r="BK12" i="16"/>
  <c r="H46" i="13"/>
  <c r="H33" i="12"/>
  <c r="H13" i="15"/>
  <c r="H44" i="16"/>
  <c r="H23" i="15"/>
  <c r="H28" i="16"/>
  <c r="H30" i="13"/>
  <c r="H19" i="13"/>
  <c r="H25" i="15"/>
  <c r="AB32" i="12"/>
  <c r="AB14" i="12"/>
  <c r="AB21" i="12"/>
  <c r="AB31" i="12"/>
  <c r="AB29" i="12"/>
  <c r="AB30" i="12"/>
  <c r="AB38" i="12"/>
  <c r="AC38" i="12" s="1"/>
  <c r="AB13" i="12"/>
  <c r="AB36" i="12"/>
  <c r="AB25" i="12"/>
  <c r="AB47" i="12"/>
  <c r="AB48" i="12"/>
  <c r="AB27" i="12"/>
  <c r="AB19" i="12"/>
  <c r="AB50" i="12"/>
  <c r="AB44" i="12"/>
  <c r="AB18" i="12"/>
  <c r="AB26" i="12"/>
  <c r="AB15" i="12"/>
  <c r="AC15" i="12" s="1"/>
  <c r="AB49" i="12"/>
  <c r="AB16" i="12"/>
  <c r="AB11" i="12"/>
  <c r="AB41" i="12"/>
  <c r="AB43" i="12"/>
  <c r="AB20" i="12"/>
  <c r="AB22" i="12"/>
  <c r="AB12" i="12"/>
  <c r="AB39" i="12"/>
  <c r="AB40" i="12"/>
  <c r="AB42" i="12"/>
  <c r="AB37" i="12"/>
  <c r="AB45" i="12"/>
  <c r="AB35" i="12"/>
  <c r="AC35" i="12" s="1"/>
  <c r="AB33" i="12"/>
  <c r="AB23" i="12"/>
  <c r="AB24" i="12"/>
  <c r="AB28" i="12"/>
  <c r="AB46" i="12"/>
  <c r="H44" i="15"/>
  <c r="H11" i="16"/>
  <c r="H40" i="14"/>
  <c r="BP32" i="16"/>
  <c r="BQ32" i="16" s="1"/>
  <c r="H37" i="14"/>
  <c r="AP38" i="12"/>
  <c r="AQ38" i="12" s="1"/>
  <c r="AP43" i="12"/>
  <c r="AP37" i="12"/>
  <c r="AP48" i="12"/>
  <c r="AP32" i="12"/>
  <c r="AP28" i="12"/>
  <c r="AP22" i="12"/>
  <c r="AP47" i="12"/>
  <c r="AP16" i="12"/>
  <c r="AP23" i="12"/>
  <c r="AP20" i="12"/>
  <c r="AP13" i="12"/>
  <c r="AP35" i="12"/>
  <c r="AQ35" i="12" s="1"/>
  <c r="AP45" i="12"/>
  <c r="AP24" i="12"/>
  <c r="AP46" i="12"/>
  <c r="AP14" i="12"/>
  <c r="AP50" i="12"/>
  <c r="AP15" i="12"/>
  <c r="AQ15" i="12" s="1"/>
  <c r="AP44" i="12"/>
  <c r="AP31" i="12"/>
  <c r="AP39" i="12"/>
  <c r="AP21" i="12"/>
  <c r="AP40" i="12"/>
  <c r="AP33" i="12"/>
  <c r="AP49" i="12"/>
  <c r="AP12" i="12"/>
  <c r="AP29" i="12"/>
  <c r="AP42" i="12"/>
  <c r="AP26" i="12"/>
  <c r="AP27" i="12"/>
  <c r="AP36" i="12"/>
  <c r="AP25" i="12"/>
  <c r="AP19" i="12"/>
  <c r="AP11" i="12"/>
  <c r="AP30" i="12"/>
  <c r="AP41" i="12"/>
  <c r="AP18" i="12"/>
  <c r="H13" i="12"/>
  <c r="H21" i="15"/>
  <c r="H45" i="13"/>
  <c r="H12" i="15"/>
  <c r="H31" i="12"/>
  <c r="H25" i="16"/>
  <c r="AI32" i="16"/>
  <c r="H16" i="13"/>
  <c r="H15" i="16"/>
  <c r="H30" i="12"/>
  <c r="H50" i="12"/>
  <c r="H43" i="15"/>
  <c r="AB50" i="13"/>
  <c r="AB47" i="13"/>
  <c r="AB45" i="13"/>
  <c r="AB42" i="13"/>
  <c r="AB39" i="13"/>
  <c r="AB36" i="13"/>
  <c r="AB25" i="13"/>
  <c r="AB24" i="13"/>
  <c r="AB35" i="13"/>
  <c r="AB33" i="13"/>
  <c r="AB18" i="13"/>
  <c r="AC18" i="13" s="1"/>
  <c r="AB31" i="13"/>
  <c r="AB21" i="13"/>
  <c r="AB15" i="13"/>
  <c r="AB19" i="13"/>
  <c r="AB14" i="13"/>
  <c r="AB43" i="13"/>
  <c r="AB28" i="13"/>
  <c r="AB41" i="13"/>
  <c r="AB30" i="13"/>
  <c r="AB38" i="13"/>
  <c r="AB16" i="13"/>
  <c r="AB46" i="13"/>
  <c r="AB13" i="13"/>
  <c r="AB20" i="13"/>
  <c r="AB22" i="13"/>
  <c r="AB26" i="13"/>
  <c r="AB44" i="13"/>
  <c r="AB29" i="13"/>
  <c r="AB11" i="13"/>
  <c r="AB27" i="13"/>
  <c r="AB23" i="13"/>
  <c r="AB37" i="13"/>
  <c r="AB48" i="13"/>
  <c r="AB32" i="13"/>
  <c r="AB12" i="13"/>
  <c r="AB40" i="13"/>
  <c r="AB49" i="13"/>
  <c r="H41" i="15"/>
  <c r="AB33" i="16"/>
  <c r="H12" i="14"/>
  <c r="H39" i="13"/>
  <c r="H23" i="16"/>
  <c r="AC16" i="16"/>
  <c r="O16" i="16"/>
  <c r="BE16" i="16"/>
  <c r="BK18" i="16"/>
  <c r="H48" i="16"/>
  <c r="H33" i="14"/>
  <c r="H33" i="13"/>
  <c r="AQ22" i="12"/>
  <c r="O22" i="12"/>
  <c r="AC22" i="12"/>
  <c r="BE22" i="12"/>
  <c r="H48" i="15"/>
  <c r="H32" i="14"/>
  <c r="G51" i="15"/>
  <c r="H11" i="15"/>
  <c r="H26" i="12"/>
  <c r="H24" i="13"/>
  <c r="H31" i="16"/>
  <c r="AI26" i="16"/>
  <c r="AP47" i="16"/>
  <c r="H12" i="13"/>
  <c r="BM49" i="16"/>
  <c r="BK49" i="16" s="1"/>
  <c r="BM47" i="16"/>
  <c r="BK47" i="16" s="1"/>
  <c r="BM43" i="16"/>
  <c r="BP43" i="16" s="1"/>
  <c r="BQ43" i="16" s="1"/>
  <c r="U45" i="16"/>
  <c r="BM24" i="16"/>
  <c r="BP24" i="16" s="1"/>
  <c r="BM30" i="16"/>
  <c r="BP30" i="16" s="1"/>
  <c r="BQ30" i="16" s="1"/>
  <c r="BM32" i="16"/>
  <c r="BK32" i="16" s="1"/>
  <c r="BM38" i="16"/>
  <c r="BK38" i="16" s="1"/>
  <c r="U41" i="16"/>
  <c r="U32" i="16"/>
  <c r="U26" i="16"/>
  <c r="BM17" i="16"/>
  <c r="BP17" i="16" s="1"/>
  <c r="BQ17" i="16" s="1"/>
  <c r="U44" i="16"/>
  <c r="BM22" i="16"/>
  <c r="BP22" i="16" s="1"/>
  <c r="BQ22" i="16" s="1"/>
  <c r="BM21" i="16"/>
  <c r="BK21" i="16" s="1"/>
  <c r="BM23" i="16"/>
  <c r="BK23" i="16" s="1"/>
  <c r="U42" i="16"/>
  <c r="V42" i="16" s="1"/>
  <c r="U36" i="16"/>
  <c r="V36" i="16" s="1"/>
  <c r="U34" i="16"/>
  <c r="V34" i="16" s="1"/>
  <c r="BM26" i="16"/>
  <c r="BP26" i="16" s="1"/>
  <c r="BM15" i="16"/>
  <c r="BP15" i="16" s="1"/>
  <c r="BM16" i="16"/>
  <c r="BP16" i="16" s="1"/>
  <c r="BQ16" i="16" s="1"/>
  <c r="U15" i="16"/>
  <c r="U13" i="16"/>
  <c r="BM18" i="16"/>
  <c r="BP18" i="16" s="1"/>
  <c r="BQ18" i="16" s="1"/>
  <c r="BM12" i="16"/>
  <c r="BP12" i="16" s="1"/>
  <c r="U33" i="16"/>
  <c r="U31" i="16"/>
  <c r="U40" i="16"/>
  <c r="BM41" i="16"/>
  <c r="BK41" i="16" s="1"/>
  <c r="U11" i="16"/>
  <c r="U29" i="16"/>
  <c r="BM20" i="16"/>
  <c r="BK20" i="16" s="1"/>
  <c r="BM33" i="16"/>
  <c r="BM45" i="16"/>
  <c r="BK45" i="16" s="1"/>
  <c r="BM39" i="16"/>
  <c r="BP39" i="16" s="1"/>
  <c r="U24" i="16"/>
  <c r="U46" i="16"/>
  <c r="BM25" i="16"/>
  <c r="BM29" i="16"/>
  <c r="BK29" i="16" s="1"/>
  <c r="BM40" i="16"/>
  <c r="BK40" i="16" s="1"/>
  <c r="U21" i="16"/>
  <c r="U28" i="16"/>
  <c r="U14" i="16"/>
  <c r="BM42" i="16"/>
  <c r="BP42" i="16" s="1"/>
  <c r="BQ42" i="16" s="1"/>
  <c r="BM11" i="16"/>
  <c r="BK11" i="16" s="1"/>
  <c r="U48" i="16"/>
  <c r="U18" i="16"/>
  <c r="U16" i="16"/>
  <c r="V16" i="16" s="1"/>
  <c r="BM34" i="16"/>
  <c r="BP34" i="16" s="1"/>
  <c r="BQ34" i="16" s="1"/>
  <c r="U49" i="16"/>
  <c r="U12" i="16"/>
  <c r="U39" i="16"/>
  <c r="U27" i="16"/>
  <c r="U25" i="16"/>
  <c r="U30" i="16"/>
  <c r="U50" i="16"/>
  <c r="U47" i="16"/>
  <c r="BM14" i="16"/>
  <c r="BK14" i="16" s="1"/>
  <c r="U22" i="16"/>
  <c r="BM48" i="16"/>
  <c r="BK48" i="16" s="1"/>
  <c r="U23" i="16"/>
  <c r="U38" i="16"/>
  <c r="BM44" i="16"/>
  <c r="BP44" i="16" s="1"/>
  <c r="BQ44" i="16" s="1"/>
  <c r="BM13" i="16"/>
  <c r="BK13" i="16" s="1"/>
  <c r="U37" i="16"/>
  <c r="BM28" i="16"/>
  <c r="BK28" i="16" s="1"/>
  <c r="BM46" i="16"/>
  <c r="BM50" i="16"/>
  <c r="BM31" i="16"/>
  <c r="BM19" i="16"/>
  <c r="U19" i="16"/>
  <c r="BM36" i="16"/>
  <c r="BP36" i="16" s="1"/>
  <c r="BQ36" i="16" s="1"/>
  <c r="BM37" i="16"/>
  <c r="BP37" i="16" s="1"/>
  <c r="U20" i="16"/>
  <c r="BM27" i="16"/>
  <c r="BK27" i="16" s="1"/>
  <c r="U43" i="16"/>
  <c r="AI47" i="16"/>
  <c r="H12" i="12"/>
  <c r="H24" i="12"/>
  <c r="H16" i="15"/>
  <c r="AP38" i="13"/>
  <c r="AP50" i="13"/>
  <c r="AP41" i="13"/>
  <c r="AP40" i="13"/>
  <c r="AP44" i="13"/>
  <c r="AP49" i="13"/>
  <c r="AP45" i="13"/>
  <c r="AP37" i="13"/>
  <c r="AP15" i="13"/>
  <c r="AP24" i="13"/>
  <c r="AP26" i="13"/>
  <c r="AP25" i="13"/>
  <c r="AP32" i="13"/>
  <c r="AP14" i="13"/>
  <c r="AP31" i="13"/>
  <c r="AP29" i="13"/>
  <c r="AP19" i="13"/>
  <c r="AP20" i="13"/>
  <c r="AP16" i="13"/>
  <c r="AP35" i="13"/>
  <c r="AP28" i="13"/>
  <c r="AP18" i="13"/>
  <c r="AP42" i="13"/>
  <c r="AP13" i="13"/>
  <c r="AP27" i="13"/>
  <c r="AP30" i="13"/>
  <c r="AP22" i="13"/>
  <c r="AP47" i="13"/>
  <c r="AP33" i="13"/>
  <c r="AP11" i="13"/>
  <c r="AP21" i="13"/>
  <c r="AP36" i="13"/>
  <c r="AP39" i="13"/>
  <c r="AP23" i="13"/>
  <c r="AP48" i="13"/>
  <c r="AP43" i="13"/>
  <c r="AP12" i="13"/>
  <c r="AP46" i="13"/>
  <c r="H26" i="16"/>
  <c r="H49" i="14"/>
  <c r="H26" i="13"/>
  <c r="H40" i="16"/>
  <c r="H29" i="14"/>
  <c r="AB39" i="16"/>
  <c r="H20" i="16"/>
  <c r="AB15" i="16"/>
  <c r="H16" i="12"/>
  <c r="H42" i="13"/>
  <c r="H24" i="14"/>
  <c r="H47" i="12"/>
  <c r="AB40" i="16"/>
  <c r="AI43" i="16"/>
  <c r="BK37" i="16"/>
  <c r="H23" i="12"/>
  <c r="H38" i="13"/>
  <c r="H46" i="14"/>
  <c r="H27" i="15"/>
  <c r="H23" i="14"/>
  <c r="AI42" i="16"/>
  <c r="AJ42" i="16" s="1"/>
  <c r="H14" i="12"/>
  <c r="H37" i="12"/>
  <c r="G51" i="12"/>
  <c r="H11" i="12"/>
  <c r="H32" i="15"/>
  <c r="AP47" i="14"/>
  <c r="AP41" i="14"/>
  <c r="AP38" i="14"/>
  <c r="AP35" i="14"/>
  <c r="AP29" i="14"/>
  <c r="AP28" i="14"/>
  <c r="AP30" i="14"/>
  <c r="AP12" i="14"/>
  <c r="AP11" i="14"/>
  <c r="AQ11" i="14" s="1"/>
  <c r="AP15" i="14"/>
  <c r="AP24" i="14"/>
  <c r="AP44" i="14"/>
  <c r="AP18" i="14"/>
  <c r="AP42" i="14"/>
  <c r="AP45" i="14"/>
  <c r="AP46" i="14"/>
  <c r="AP43" i="14"/>
  <c r="AP32" i="14"/>
  <c r="AP23" i="14"/>
  <c r="AP48" i="14"/>
  <c r="AP20" i="14"/>
  <c r="AP36" i="14"/>
  <c r="AQ36" i="14" s="1"/>
  <c r="AP26" i="14"/>
  <c r="AP22" i="14"/>
  <c r="AP40" i="14"/>
  <c r="AP39" i="14"/>
  <c r="AP21" i="14"/>
  <c r="AP27" i="14"/>
  <c r="AP33" i="14"/>
  <c r="AP37" i="14"/>
  <c r="AP25" i="14"/>
  <c r="AP50" i="14"/>
  <c r="AP16" i="14"/>
  <c r="AP14" i="14"/>
  <c r="AP13" i="14"/>
  <c r="AP31" i="14"/>
  <c r="AP49" i="14"/>
  <c r="AP19" i="14"/>
  <c r="BP49" i="16"/>
  <c r="BQ49" i="16" s="1"/>
  <c r="H41" i="13"/>
  <c r="H19" i="14"/>
  <c r="H42" i="15"/>
  <c r="BE44" i="3"/>
  <c r="BP44" i="3"/>
  <c r="AJ24" i="6"/>
  <c r="AQ23" i="5"/>
  <c r="AC23" i="5"/>
  <c r="O23" i="5"/>
  <c r="AJ23" i="5"/>
  <c r="V23" i="5"/>
  <c r="BE23" i="5"/>
  <c r="BP23" i="5"/>
  <c r="V48" i="2"/>
  <c r="BP48" i="2"/>
  <c r="AQ14" i="6"/>
  <c r="O14" i="6"/>
  <c r="V14" i="6"/>
  <c r="V41" i="3"/>
  <c r="AQ41" i="3"/>
  <c r="AC41" i="3"/>
  <c r="AJ41" i="3"/>
  <c r="O41" i="3"/>
  <c r="BE41" i="3"/>
  <c r="BP41" i="3"/>
  <c r="O48" i="4"/>
  <c r="AQ48" i="4"/>
  <c r="AJ48" i="4"/>
  <c r="V48" i="4"/>
  <c r="AC48" i="4"/>
  <c r="BE48" i="4"/>
  <c r="H23" i="6"/>
  <c r="BP23" i="6" s="1"/>
  <c r="H14" i="5"/>
  <c r="H45" i="3"/>
  <c r="H50" i="5"/>
  <c r="H29" i="3"/>
  <c r="H30" i="5"/>
  <c r="H27" i="6"/>
  <c r="H31" i="5"/>
  <c r="H46" i="4"/>
  <c r="BK26" i="6"/>
  <c r="G51" i="6"/>
  <c r="H11" i="6"/>
  <c r="H42" i="6"/>
  <c r="BK28" i="6"/>
  <c r="H32" i="4"/>
  <c r="O36" i="4"/>
  <c r="AQ19" i="5"/>
  <c r="AJ19" i="5"/>
  <c r="AC19" i="5"/>
  <c r="V19" i="5"/>
  <c r="H37" i="3"/>
  <c r="H39" i="4"/>
  <c r="H31" i="4"/>
  <c r="H45" i="6"/>
  <c r="BP45" i="6" s="1"/>
  <c r="BK44" i="6"/>
  <c r="BK14" i="6"/>
  <c r="BP14" i="6"/>
  <c r="H28" i="3"/>
  <c r="H20" i="6"/>
  <c r="H45" i="2"/>
  <c r="H22" i="4"/>
  <c r="H19" i="4"/>
  <c r="H21" i="6"/>
  <c r="H39" i="3"/>
  <c r="H25" i="5"/>
  <c r="H30" i="3"/>
  <c r="H12" i="5"/>
  <c r="H16" i="2"/>
  <c r="H27" i="4"/>
  <c r="BK19" i="6"/>
  <c r="BK37" i="6"/>
  <c r="H36" i="6"/>
  <c r="BP36" i="6" s="1"/>
  <c r="BK34" i="6"/>
  <c r="BP34" i="6"/>
  <c r="BK46" i="6"/>
  <c r="H28" i="4"/>
  <c r="H47" i="4"/>
  <c r="H25" i="2"/>
  <c r="H14" i="3"/>
  <c r="H27" i="3"/>
  <c r="H12" i="6"/>
  <c r="BP12" i="6" s="1"/>
  <c r="H27" i="2"/>
  <c r="H24" i="4"/>
  <c r="H50" i="6"/>
  <c r="H49" i="2"/>
  <c r="BK49" i="6"/>
  <c r="BK45" i="6"/>
  <c r="H13" i="5"/>
  <c r="AQ33" i="3"/>
  <c r="O33" i="3"/>
  <c r="AJ33" i="3"/>
  <c r="V33" i="3"/>
  <c r="BE33" i="3"/>
  <c r="H40" i="2"/>
  <c r="H33" i="2"/>
  <c r="H27" i="5"/>
  <c r="H26" i="6"/>
  <c r="BK22" i="6"/>
  <c r="H37" i="5"/>
  <c r="BK16" i="6"/>
  <c r="H16" i="3"/>
  <c r="H48" i="3"/>
  <c r="H15" i="6"/>
  <c r="H50" i="4"/>
  <c r="H35" i="2"/>
  <c r="G51" i="5"/>
  <c r="H11" i="5"/>
  <c r="H48" i="6"/>
  <c r="H38" i="2"/>
  <c r="BK18" i="6"/>
  <c r="BK29" i="6"/>
  <c r="H21" i="4"/>
  <c r="AC33" i="6"/>
  <c r="AJ33" i="6"/>
  <c r="V33" i="6"/>
  <c r="O33" i="6"/>
  <c r="AQ33" i="6"/>
  <c r="BE33" i="6"/>
  <c r="H31" i="6"/>
  <c r="H46" i="5"/>
  <c r="H18" i="6"/>
  <c r="H15" i="2"/>
  <c r="H25" i="4"/>
  <c r="H29" i="6"/>
  <c r="H32" i="2"/>
  <c r="H12" i="2"/>
  <c r="H26" i="4"/>
  <c r="H18" i="5"/>
  <c r="H33" i="4"/>
  <c r="H41" i="6"/>
  <c r="BP41" i="6" s="1"/>
  <c r="H40" i="6"/>
  <c r="H35" i="3"/>
  <c r="H15" i="3"/>
  <c r="H31" i="3"/>
  <c r="H35" i="4"/>
  <c r="H39" i="5"/>
  <c r="H22" i="2"/>
  <c r="H13" i="6"/>
  <c r="BK27" i="6"/>
  <c r="BP42" i="6"/>
  <c r="BK42" i="6"/>
  <c r="H30" i="2"/>
  <c r="H33" i="5"/>
  <c r="H32" i="5"/>
  <c r="H30" i="6"/>
  <c r="BP30" i="6" s="1"/>
  <c r="H20" i="4"/>
  <c r="H22" i="3"/>
  <c r="H46" i="3"/>
  <c r="BK39" i="6"/>
  <c r="H18" i="4"/>
  <c r="H28" i="5"/>
  <c r="H19" i="3"/>
  <c r="BK20" i="6"/>
  <c r="H16" i="5"/>
  <c r="BK21" i="6"/>
  <c r="BP21" i="6"/>
  <c r="BK38" i="6"/>
  <c r="H18" i="2"/>
  <c r="H21" i="5"/>
  <c r="H43" i="6"/>
  <c r="BP43" i="6" s="1"/>
  <c r="H38" i="4"/>
  <c r="V49" i="3"/>
  <c r="AQ49" i="3"/>
  <c r="AC49" i="3"/>
  <c r="O49" i="3"/>
  <c r="AJ49" i="3"/>
  <c r="H43" i="4"/>
  <c r="H47" i="3"/>
  <c r="H43" i="3"/>
  <c r="H43" i="5"/>
  <c r="H39" i="2"/>
  <c r="H16" i="4"/>
  <c r="H25" i="3"/>
  <c r="H44" i="4"/>
  <c r="H36" i="5"/>
  <c r="H45" i="4"/>
  <c r="H48" i="5"/>
  <c r="H47" i="5"/>
  <c r="H40" i="5"/>
  <c r="H26" i="2"/>
  <c r="H12" i="4"/>
  <c r="H40" i="4"/>
  <c r="H35" i="5"/>
  <c r="BK32" i="6"/>
  <c r="BK35" i="6"/>
  <c r="H22" i="6"/>
  <c r="H36" i="3"/>
  <c r="H23" i="2"/>
  <c r="H38" i="5"/>
  <c r="H14" i="2"/>
  <c r="H50" i="3"/>
  <c r="H15" i="4"/>
  <c r="G51" i="2"/>
  <c r="H11" i="2"/>
  <c r="H44" i="6"/>
  <c r="BP44" i="6" s="1"/>
  <c r="H23" i="4"/>
  <c r="BK11" i="6"/>
  <c r="H20" i="3"/>
  <c r="V21" i="2"/>
  <c r="AC21" i="2"/>
  <c r="O21" i="2"/>
  <c r="AJ21" i="2"/>
  <c r="AQ21" i="2"/>
  <c r="BE21" i="2"/>
  <c r="H44" i="2"/>
  <c r="H42" i="2"/>
  <c r="H42" i="3"/>
  <c r="H49" i="4"/>
  <c r="H13" i="2"/>
  <c r="H45" i="5"/>
  <c r="H25" i="6"/>
  <c r="H15" i="5"/>
  <c r="BP33" i="3"/>
  <c r="H49" i="5"/>
  <c r="H47" i="2"/>
  <c r="H36" i="2"/>
  <c r="H31" i="2"/>
  <c r="H24" i="5"/>
  <c r="H22" i="5"/>
  <c r="H46" i="2"/>
  <c r="H29" i="4"/>
  <c r="H24" i="2"/>
  <c r="H13" i="3"/>
  <c r="H44" i="5"/>
  <c r="H47" i="6"/>
  <c r="H43" i="2"/>
  <c r="H41" i="5"/>
  <c r="H49" i="6"/>
  <c r="BP49" i="6" s="1"/>
  <c r="BK43" i="6"/>
  <c r="H32" i="3"/>
  <c r="H37" i="6"/>
  <c r="H40" i="3"/>
  <c r="H26" i="5"/>
  <c r="BP33" i="6"/>
  <c r="BK47" i="6"/>
  <c r="H38" i="6"/>
  <c r="BP38" i="6" s="1"/>
  <c r="H42" i="5"/>
  <c r="H38" i="3"/>
  <c r="BK31" i="6"/>
  <c r="BP31" i="6"/>
  <c r="H24" i="3"/>
  <c r="H29" i="2"/>
  <c r="H37" i="2"/>
  <c r="BP49" i="3"/>
  <c r="BK25" i="6"/>
  <c r="H20" i="2"/>
  <c r="H13" i="4"/>
  <c r="H19" i="2"/>
  <c r="H21" i="3"/>
  <c r="H29" i="5"/>
  <c r="H35" i="6"/>
  <c r="BP35" i="6" s="1"/>
  <c r="H28" i="6"/>
  <c r="BP28" i="6" s="1"/>
  <c r="H39" i="6"/>
  <c r="H26" i="3"/>
  <c r="H41" i="2"/>
  <c r="H41" i="4"/>
  <c r="H37" i="4"/>
  <c r="H19" i="6"/>
  <c r="H16" i="6"/>
  <c r="BK30" i="6"/>
  <c r="H30" i="4"/>
  <c r="H28" i="2"/>
  <c r="G51" i="4"/>
  <c r="H11" i="4"/>
  <c r="H12" i="3"/>
  <c r="G51" i="3"/>
  <c r="H11" i="3"/>
  <c r="H20" i="5"/>
  <c r="H23" i="3"/>
  <c r="H46" i="6"/>
  <c r="BP46" i="6" s="1"/>
  <c r="BK36" i="6"/>
  <c r="H42" i="4"/>
  <c r="H32" i="6"/>
  <c r="BP32" i="6" s="1"/>
  <c r="H50" i="2"/>
  <c r="BK33" i="5" l="1"/>
  <c r="BK16" i="5"/>
  <c r="BK45" i="4"/>
  <c r="BE19" i="5"/>
  <c r="BE14" i="6"/>
  <c r="BK15" i="2"/>
  <c r="BK33" i="2"/>
  <c r="BK31" i="2"/>
  <c r="BK15" i="4"/>
  <c r="BK12" i="4"/>
  <c r="BK21" i="4"/>
  <c r="BK24" i="5"/>
  <c r="BK29" i="5"/>
  <c r="BP19" i="5"/>
  <c r="AC14" i="6"/>
  <c r="BK22" i="2"/>
  <c r="BK14" i="2"/>
  <c r="BK12" i="2"/>
  <c r="BK25" i="4"/>
  <c r="BK48" i="5"/>
  <c r="BK41" i="2"/>
  <c r="BK36" i="2"/>
  <c r="BK18" i="2"/>
  <c r="BK27" i="4"/>
  <c r="BK30" i="4"/>
  <c r="BK41" i="5"/>
  <c r="BK47" i="5"/>
  <c r="BK38" i="5"/>
  <c r="BK39" i="5"/>
  <c r="BK25" i="5"/>
  <c r="AC11" i="14"/>
  <c r="BP33" i="16"/>
  <c r="BQ33" i="16" s="1"/>
  <c r="AQ50" i="14"/>
  <c r="BE50" i="14"/>
  <c r="V38" i="12"/>
  <c r="BP18" i="3"/>
  <c r="BE18" i="3"/>
  <c r="O18" i="3"/>
  <c r="AC18" i="3"/>
  <c r="V14" i="4"/>
  <c r="BE36" i="4"/>
  <c r="AQ18" i="3"/>
  <c r="V36" i="4"/>
  <c r="V18" i="3"/>
  <c r="AJ44" i="3"/>
  <c r="AJ36" i="4"/>
  <c r="AC36" i="4"/>
  <c r="AQ48" i="2"/>
  <c r="BE24" i="6"/>
  <c r="BI24" i="6" s="1"/>
  <c r="BJ24" i="6" s="1"/>
  <c r="V44" i="3"/>
  <c r="AC48" i="2"/>
  <c r="O24" i="6"/>
  <c r="AC24" i="6"/>
  <c r="BP48" i="4"/>
  <c r="AJ48" i="2"/>
  <c r="V24" i="6"/>
  <c r="O48" i="2"/>
  <c r="AQ24" i="6"/>
  <c r="AQ44" i="3"/>
  <c r="O44" i="3"/>
  <c r="BP21" i="16"/>
  <c r="BQ21" i="16" s="1"/>
  <c r="BQ37" i="16"/>
  <c r="BQ12" i="16"/>
  <c r="BQ39" i="16"/>
  <c r="AQ18" i="15"/>
  <c r="AQ18" i="13"/>
  <c r="AJ18" i="15"/>
  <c r="AC18" i="15"/>
  <c r="AC50" i="14"/>
  <c r="BQ15" i="16"/>
  <c r="V50" i="14"/>
  <c r="BP48" i="16"/>
  <c r="AJ50" i="14"/>
  <c r="V15" i="12"/>
  <c r="BQ24" i="16"/>
  <c r="AJ15" i="12"/>
  <c r="BP27" i="16"/>
  <c r="BQ27" i="16" s="1"/>
  <c r="V11" i="14"/>
  <c r="O18" i="13"/>
  <c r="BE36" i="16"/>
  <c r="V18" i="13"/>
  <c r="BP45" i="16"/>
  <c r="BQ45" i="16" s="1"/>
  <c r="AC36" i="16"/>
  <c r="BK17" i="16"/>
  <c r="AJ36" i="16"/>
  <c r="BP28" i="16"/>
  <c r="BQ28" i="16" s="1"/>
  <c r="BK34" i="16"/>
  <c r="AJ18" i="13"/>
  <c r="BP14" i="16"/>
  <c r="BQ14" i="16" s="1"/>
  <c r="BP47" i="16"/>
  <c r="BQ47" i="16" s="1"/>
  <c r="BP13" i="16"/>
  <c r="BQ13" i="16" s="1"/>
  <c r="BK30" i="16"/>
  <c r="AJ11" i="14"/>
  <c r="BE11" i="14"/>
  <c r="BH11" i="14" s="1"/>
  <c r="BQ48" i="16"/>
  <c r="H51" i="14"/>
  <c r="BQ26" i="16"/>
  <c r="BK22" i="16"/>
  <c r="O11" i="14"/>
  <c r="BK24" i="16"/>
  <c r="BP40" i="16"/>
  <c r="AJ14" i="4"/>
  <c r="AQ14" i="4"/>
  <c r="BK34" i="5"/>
  <c r="BP34" i="5"/>
  <c r="BQ34" i="5" s="1"/>
  <c r="BP34" i="2"/>
  <c r="BQ34" i="2" s="1"/>
  <c r="BK34" i="2"/>
  <c r="BP34" i="4"/>
  <c r="BQ34" i="4" s="1"/>
  <c r="BK34" i="4"/>
  <c r="BP36" i="4"/>
  <c r="BP14" i="4"/>
  <c r="AC14" i="4"/>
  <c r="BE14" i="4"/>
  <c r="BI14" i="4" s="1"/>
  <c r="BJ14" i="4" s="1"/>
  <c r="O14" i="4"/>
  <c r="BK34" i="3"/>
  <c r="BP34" i="3"/>
  <c r="BQ34" i="3" s="1"/>
  <c r="BP21" i="2"/>
  <c r="AL37" i="23"/>
  <c r="AX37" i="23" s="1"/>
  <c r="BD37" i="23" s="1"/>
  <c r="AL32" i="23"/>
  <c r="AX32" i="23" s="1"/>
  <c r="BD32" i="23" s="1"/>
  <c r="AS29" i="24"/>
  <c r="AY29" i="24" s="1"/>
  <c r="BE29" i="24" s="1"/>
  <c r="X19" i="26"/>
  <c r="AV19" i="26" s="1"/>
  <c r="BB19" i="26" s="1"/>
  <c r="X48" i="26"/>
  <c r="AV48" i="26" s="1"/>
  <c r="BB48" i="26" s="1"/>
  <c r="X46" i="26"/>
  <c r="AV46" i="26" s="1"/>
  <c r="BB46" i="26" s="1"/>
  <c r="AE39" i="25"/>
  <c r="AW39" i="25" s="1"/>
  <c r="BC39" i="25" s="1"/>
  <c r="AS31" i="22"/>
  <c r="AY31" i="22" s="1"/>
  <c r="BE31" i="22" s="1"/>
  <c r="Q48" i="25"/>
  <c r="AU48" i="25" s="1"/>
  <c r="AE42" i="25"/>
  <c r="AW42" i="25" s="1"/>
  <c r="BC42" i="25" s="1"/>
  <c r="AS17" i="25"/>
  <c r="AY17" i="25" s="1"/>
  <c r="BE17" i="25" s="1"/>
  <c r="AL14" i="24"/>
  <c r="AX14" i="24" s="1"/>
  <c r="BD14" i="24" s="1"/>
  <c r="Q31" i="25"/>
  <c r="AU31" i="25" s="1"/>
  <c r="BA31" i="25" s="1"/>
  <c r="AS29" i="23"/>
  <c r="AY29" i="23" s="1"/>
  <c r="BE29" i="23" s="1"/>
  <c r="AS32" i="24"/>
  <c r="AY32" i="24" s="1"/>
  <c r="BE32" i="24" s="1"/>
  <c r="BP20" i="24"/>
  <c r="BR20" i="24" s="1"/>
  <c r="AL17" i="22"/>
  <c r="AX17" i="22" s="1"/>
  <c r="BD17" i="22" s="1"/>
  <c r="AS48" i="25"/>
  <c r="AY48" i="25" s="1"/>
  <c r="BE48" i="25" s="1"/>
  <c r="X39" i="25"/>
  <c r="AV39" i="25" s="1"/>
  <c r="BB39" i="25" s="1"/>
  <c r="AL49" i="23"/>
  <c r="AX49" i="23" s="1"/>
  <c r="BD49" i="23" s="1"/>
  <c r="AL48" i="25"/>
  <c r="AX48" i="25" s="1"/>
  <c r="BD48" i="25" s="1"/>
  <c r="X13" i="25"/>
  <c r="AV13" i="25" s="1"/>
  <c r="BB13" i="25" s="1"/>
  <c r="AS41" i="23"/>
  <c r="AY41" i="23" s="1"/>
  <c r="BE41" i="23" s="1"/>
  <c r="AE15" i="23"/>
  <c r="AW15" i="23" s="1"/>
  <c r="BC15" i="23" s="1"/>
  <c r="BP36" i="25"/>
  <c r="BP45" i="23"/>
  <c r="BR45" i="23" s="1"/>
  <c r="AE35" i="26"/>
  <c r="AW35" i="26" s="1"/>
  <c r="BC35" i="26" s="1"/>
  <c r="AL29" i="24"/>
  <c r="AX29" i="24" s="1"/>
  <c r="BD29" i="24" s="1"/>
  <c r="AE47" i="24"/>
  <c r="AW47" i="24" s="1"/>
  <c r="BC47" i="24" s="1"/>
  <c r="AS40" i="26"/>
  <c r="AY40" i="26" s="1"/>
  <c r="BE40" i="26" s="1"/>
  <c r="AE46" i="22"/>
  <c r="AW46" i="22" s="1"/>
  <c r="BC46" i="22" s="1"/>
  <c r="BA49" i="23"/>
  <c r="BR36" i="25"/>
  <c r="BR15" i="22"/>
  <c r="BR39" i="25"/>
  <c r="BA15" i="22"/>
  <c r="BR29" i="23"/>
  <c r="BA48" i="25"/>
  <c r="Q49" i="22"/>
  <c r="AU49" i="22" s="1"/>
  <c r="BI43" i="25"/>
  <c r="BJ43" i="25"/>
  <c r="BK43" i="25" s="1"/>
  <c r="BP43" i="25" s="1"/>
  <c r="Q36" i="26"/>
  <c r="AU36" i="26" s="1"/>
  <c r="AL13" i="25"/>
  <c r="AX13" i="25" s="1"/>
  <c r="BD13" i="25" s="1"/>
  <c r="AL16" i="26"/>
  <c r="AX16" i="26" s="1"/>
  <c r="BD16" i="26" s="1"/>
  <c r="BQ50" i="26"/>
  <c r="BJ20" i="25"/>
  <c r="BK20" i="25" s="1"/>
  <c r="BI20" i="25"/>
  <c r="AE49" i="22"/>
  <c r="AW49" i="22" s="1"/>
  <c r="BC49" i="22" s="1"/>
  <c r="AS37" i="26"/>
  <c r="AY37" i="26" s="1"/>
  <c r="BE37" i="26" s="1"/>
  <c r="AE44" i="23"/>
  <c r="AW44" i="23" s="1"/>
  <c r="BC44" i="23" s="1"/>
  <c r="Q46" i="26"/>
  <c r="AU46" i="26" s="1"/>
  <c r="X39" i="22"/>
  <c r="AV39" i="22" s="1"/>
  <c r="BB39" i="22" s="1"/>
  <c r="AL41" i="22"/>
  <c r="AX41" i="22" s="1"/>
  <c r="BD41" i="22" s="1"/>
  <c r="AL39" i="23"/>
  <c r="AX39" i="23" s="1"/>
  <c r="BD39" i="23" s="1"/>
  <c r="Q37" i="25"/>
  <c r="AU37" i="25" s="1"/>
  <c r="X47" i="23"/>
  <c r="AV47" i="23" s="1"/>
  <c r="BB47" i="23" s="1"/>
  <c r="AS22" i="23"/>
  <c r="AY22" i="23" s="1"/>
  <c r="BE22" i="23" s="1"/>
  <c r="AE14" i="24"/>
  <c r="AW14" i="24" s="1"/>
  <c r="BC14" i="24" s="1"/>
  <c r="BR21" i="24"/>
  <c r="X27" i="24"/>
  <c r="AV27" i="24" s="1"/>
  <c r="BB27" i="24" s="1"/>
  <c r="AE41" i="24"/>
  <c r="AW41" i="24" s="1"/>
  <c r="BC41" i="24" s="1"/>
  <c r="AS23" i="25"/>
  <c r="AY23" i="25" s="1"/>
  <c r="BE23" i="25" s="1"/>
  <c r="AS13" i="24"/>
  <c r="AY13" i="24" s="1"/>
  <c r="BE13" i="24" s="1"/>
  <c r="AE21" i="22"/>
  <c r="AW21" i="22" s="1"/>
  <c r="BC21" i="22" s="1"/>
  <c r="AE26" i="26"/>
  <c r="AW26" i="26" s="1"/>
  <c r="BC26" i="26" s="1"/>
  <c r="Q22" i="26"/>
  <c r="AU22" i="26" s="1"/>
  <c r="BJ14" i="25"/>
  <c r="BK14" i="25" s="1"/>
  <c r="BP14" i="25" s="1"/>
  <c r="BI14" i="25"/>
  <c r="AS14" i="26"/>
  <c r="AY14" i="26" s="1"/>
  <c r="BE14" i="26" s="1"/>
  <c r="BJ15" i="23"/>
  <c r="BK15" i="23" s="1"/>
  <c r="BP15" i="23" s="1"/>
  <c r="BI15" i="23"/>
  <c r="AL34" i="24"/>
  <c r="AX34" i="24" s="1"/>
  <c r="BD34" i="24" s="1"/>
  <c r="BJ32" i="24"/>
  <c r="BK32" i="24" s="1"/>
  <c r="BP32" i="24" s="1"/>
  <c r="BI32" i="24"/>
  <c r="AE20" i="25"/>
  <c r="AW20" i="25" s="1"/>
  <c r="BC20" i="25" s="1"/>
  <c r="X41" i="25"/>
  <c r="AV41" i="25" s="1"/>
  <c r="BB41" i="25" s="1"/>
  <c r="AS28" i="26"/>
  <c r="AY28" i="26" s="1"/>
  <c r="BE28" i="26" s="1"/>
  <c r="AL19" i="24"/>
  <c r="AX19" i="24" s="1"/>
  <c r="BD19" i="24" s="1"/>
  <c r="BI45" i="26"/>
  <c r="BJ45" i="26"/>
  <c r="BK45" i="26" s="1"/>
  <c r="AD50" i="24"/>
  <c r="AE12" i="24"/>
  <c r="BJ43" i="23"/>
  <c r="BK43" i="23" s="1"/>
  <c r="BP43" i="23" s="1"/>
  <c r="BI43" i="23"/>
  <c r="Q15" i="26"/>
  <c r="AU15" i="26" s="1"/>
  <c r="X30" i="25"/>
  <c r="AV30" i="25" s="1"/>
  <c r="BB30" i="25" s="1"/>
  <c r="X33" i="25"/>
  <c r="AV33" i="25" s="1"/>
  <c r="BB33" i="25" s="1"/>
  <c r="AS40" i="25"/>
  <c r="AY40" i="25" s="1"/>
  <c r="BE40" i="25" s="1"/>
  <c r="BI44" i="22"/>
  <c r="BJ44" i="22"/>
  <c r="BK44" i="22" s="1"/>
  <c r="BP44" i="22" s="1"/>
  <c r="BJ40" i="26"/>
  <c r="BK40" i="26" s="1"/>
  <c r="BI40" i="26"/>
  <c r="AS27" i="22"/>
  <c r="AY27" i="22" s="1"/>
  <c r="BE27" i="22" s="1"/>
  <c r="Q36" i="24"/>
  <c r="AU36" i="24" s="1"/>
  <c r="X27" i="25"/>
  <c r="AV27" i="25" s="1"/>
  <c r="BB27" i="25" s="1"/>
  <c r="AE48" i="22"/>
  <c r="AW48" i="22" s="1"/>
  <c r="BC48" i="22" s="1"/>
  <c r="AS38" i="24"/>
  <c r="AY38" i="24" s="1"/>
  <c r="BE38" i="24" s="1"/>
  <c r="Q43" i="24"/>
  <c r="AU43" i="24" s="1"/>
  <c r="AS31" i="26"/>
  <c r="AY31" i="26" s="1"/>
  <c r="BE31" i="26" s="1"/>
  <c r="Q20" i="22"/>
  <c r="AU20" i="22" s="1"/>
  <c r="X46" i="25"/>
  <c r="AV46" i="25" s="1"/>
  <c r="BB46" i="25" s="1"/>
  <c r="AL16" i="22"/>
  <c r="AX16" i="22" s="1"/>
  <c r="BD16" i="22" s="1"/>
  <c r="AS38" i="23"/>
  <c r="AY38" i="23" s="1"/>
  <c r="BE38" i="23" s="1"/>
  <c r="X30" i="26"/>
  <c r="AV30" i="26" s="1"/>
  <c r="BB30" i="26" s="1"/>
  <c r="AE13" i="26"/>
  <c r="AW13" i="26" s="1"/>
  <c r="BC13" i="26" s="1"/>
  <c r="X42" i="23"/>
  <c r="AV42" i="23" s="1"/>
  <c r="BB42" i="23" s="1"/>
  <c r="X46" i="24"/>
  <c r="AV46" i="24" s="1"/>
  <c r="BB46" i="24" s="1"/>
  <c r="AS43" i="25"/>
  <c r="AY43" i="25" s="1"/>
  <c r="BE43" i="25" s="1"/>
  <c r="AE26" i="25"/>
  <c r="AW26" i="25" s="1"/>
  <c r="BC26" i="25" s="1"/>
  <c r="X22" i="24"/>
  <c r="AV22" i="24" s="1"/>
  <c r="BB22" i="24" s="1"/>
  <c r="X25" i="22"/>
  <c r="AV25" i="22" s="1"/>
  <c r="BB25" i="22" s="1"/>
  <c r="AE24" i="23"/>
  <c r="AW24" i="23" s="1"/>
  <c r="BC24" i="23" s="1"/>
  <c r="AS24" i="24"/>
  <c r="AY24" i="24" s="1"/>
  <c r="BE24" i="24" s="1"/>
  <c r="AE37" i="22"/>
  <c r="AW37" i="22" s="1"/>
  <c r="BC37" i="22" s="1"/>
  <c r="X24" i="22"/>
  <c r="AV24" i="22" s="1"/>
  <c r="BB24" i="22" s="1"/>
  <c r="AL47" i="25"/>
  <c r="AX47" i="25" s="1"/>
  <c r="BD47" i="25" s="1"/>
  <c r="X49" i="25"/>
  <c r="AV49" i="25" s="1"/>
  <c r="BB49" i="25" s="1"/>
  <c r="BI27" i="26"/>
  <c r="BJ27" i="26"/>
  <c r="BK27" i="26"/>
  <c r="BP27" i="26" s="1"/>
  <c r="AE37" i="24"/>
  <c r="AW37" i="24" s="1"/>
  <c r="BC37" i="24" s="1"/>
  <c r="Q17" i="23"/>
  <c r="AU17" i="23" s="1"/>
  <c r="Q20" i="26"/>
  <c r="AU20" i="26" s="1"/>
  <c r="BJ33" i="23"/>
  <c r="BK33" i="23" s="1"/>
  <c r="BI33" i="23"/>
  <c r="AS44" i="25"/>
  <c r="AY44" i="25" s="1"/>
  <c r="BE44" i="25" s="1"/>
  <c r="AS36" i="22"/>
  <c r="AY36" i="22" s="1"/>
  <c r="BE36" i="22" s="1"/>
  <c r="AL35" i="25"/>
  <c r="AX35" i="25" s="1"/>
  <c r="BD35" i="25" s="1"/>
  <c r="X33" i="26"/>
  <c r="AV33" i="26" s="1"/>
  <c r="BB33" i="26" s="1"/>
  <c r="AE35" i="24"/>
  <c r="AW35" i="24" s="1"/>
  <c r="BC35" i="24" s="1"/>
  <c r="Q47" i="26"/>
  <c r="AU47" i="26" s="1"/>
  <c r="AS32" i="25"/>
  <c r="AY32" i="25" s="1"/>
  <c r="BE32" i="25" s="1"/>
  <c r="X24" i="26"/>
  <c r="AV24" i="26" s="1"/>
  <c r="BB24" i="26" s="1"/>
  <c r="AS18" i="26"/>
  <c r="AY18" i="26" s="1"/>
  <c r="BE18" i="26" s="1"/>
  <c r="AL31" i="23"/>
  <c r="AX31" i="23" s="1"/>
  <c r="BD31" i="23" s="1"/>
  <c r="AL42" i="24"/>
  <c r="AX42" i="24" s="1"/>
  <c r="BD42" i="24" s="1"/>
  <c r="AS43" i="26"/>
  <c r="AY43" i="26" s="1"/>
  <c r="BE43" i="26" s="1"/>
  <c r="AE39" i="24"/>
  <c r="AW39" i="24" s="1"/>
  <c r="BC39" i="24" s="1"/>
  <c r="BK30" i="22"/>
  <c r="BJ30" i="22"/>
  <c r="BI30" i="22"/>
  <c r="AE29" i="25"/>
  <c r="AW29" i="25" s="1"/>
  <c r="BC29" i="25" s="1"/>
  <c r="X44" i="24"/>
  <c r="AV44" i="24" s="1"/>
  <c r="BB44" i="24" s="1"/>
  <c r="X26" i="23"/>
  <c r="AV26" i="23" s="1"/>
  <c r="BB26" i="23" s="1"/>
  <c r="Q44" i="26"/>
  <c r="AU44" i="26" s="1"/>
  <c r="X18" i="22"/>
  <c r="AV18" i="22" s="1"/>
  <c r="BB18" i="22" s="1"/>
  <c r="AL24" i="25"/>
  <c r="AX24" i="25" s="1"/>
  <c r="BD24" i="25" s="1"/>
  <c r="AL22" i="25"/>
  <c r="AX22" i="25" s="1"/>
  <c r="BD22" i="25" s="1"/>
  <c r="AL13" i="22"/>
  <c r="AX13" i="22" s="1"/>
  <c r="BD13" i="22" s="1"/>
  <c r="AE39" i="26"/>
  <c r="AW39" i="26" s="1"/>
  <c r="BC39" i="26" s="1"/>
  <c r="AL35" i="23"/>
  <c r="AX35" i="23" s="1"/>
  <c r="BD35" i="23" s="1"/>
  <c r="Q23" i="26"/>
  <c r="AU23" i="26" s="1"/>
  <c r="BK25" i="25"/>
  <c r="BJ25" i="25"/>
  <c r="BI25" i="25"/>
  <c r="Q48" i="23"/>
  <c r="AU48" i="23" s="1"/>
  <c r="AL36" i="23"/>
  <c r="AX36" i="23" s="1"/>
  <c r="BD36" i="23" s="1"/>
  <c r="X27" i="23"/>
  <c r="AV27" i="23" s="1"/>
  <c r="BB27" i="23" s="1"/>
  <c r="Q30" i="24"/>
  <c r="AU30" i="24" s="1"/>
  <c r="AL15" i="24"/>
  <c r="AX15" i="24" s="1"/>
  <c r="BD15" i="24" s="1"/>
  <c r="AL42" i="22"/>
  <c r="AX42" i="22" s="1"/>
  <c r="BD42" i="22" s="1"/>
  <c r="AE21" i="24"/>
  <c r="AW21" i="24" s="1"/>
  <c r="BC21" i="24" s="1"/>
  <c r="AE25" i="23"/>
  <c r="AW25" i="23" s="1"/>
  <c r="BC25" i="23" s="1"/>
  <c r="Q35" i="22"/>
  <c r="AU35" i="22" s="1"/>
  <c r="AE30" i="23"/>
  <c r="AW30" i="23" s="1"/>
  <c r="BC30" i="23" s="1"/>
  <c r="Q28" i="25"/>
  <c r="AU28" i="25" s="1"/>
  <c r="AE46" i="26"/>
  <c r="AW46" i="26" s="1"/>
  <c r="BC46" i="26" s="1"/>
  <c r="AE39" i="22"/>
  <c r="AW39" i="22" s="1"/>
  <c r="BC39" i="22" s="1"/>
  <c r="Q39" i="23"/>
  <c r="AU39" i="23" s="1"/>
  <c r="BK18" i="23"/>
  <c r="BJ18" i="23"/>
  <c r="BI18" i="23"/>
  <c r="Q17" i="25"/>
  <c r="AU17" i="25" s="1"/>
  <c r="BJ28" i="23"/>
  <c r="BK28" i="23" s="1"/>
  <c r="BP28" i="23" s="1"/>
  <c r="BI28" i="23"/>
  <c r="AL37" i="25"/>
  <c r="AX37" i="25" s="1"/>
  <c r="BD37" i="25" s="1"/>
  <c r="Q19" i="22"/>
  <c r="AU19" i="22" s="1"/>
  <c r="Q14" i="24"/>
  <c r="AU14" i="24" s="1"/>
  <c r="BJ19" i="25"/>
  <c r="BI19" i="25"/>
  <c r="BK19" i="25"/>
  <c r="BJ16" i="24"/>
  <c r="BK16" i="24" s="1"/>
  <c r="BP16" i="24" s="1"/>
  <c r="BI16" i="24"/>
  <c r="X13" i="24"/>
  <c r="AV13" i="24" s="1"/>
  <c r="BB13" i="24" s="1"/>
  <c r="BK31" i="25"/>
  <c r="BI31" i="25"/>
  <c r="BJ31" i="25"/>
  <c r="AE17" i="26"/>
  <c r="AW17" i="26" s="1"/>
  <c r="BC17" i="26" s="1"/>
  <c r="Q49" i="26"/>
  <c r="AU49" i="26" s="1"/>
  <c r="AD50" i="23"/>
  <c r="AE12" i="23"/>
  <c r="AS26" i="26"/>
  <c r="AY26" i="26" s="1"/>
  <c r="BE26" i="26" s="1"/>
  <c r="X22" i="26"/>
  <c r="AV22" i="26" s="1"/>
  <c r="BB22" i="26" s="1"/>
  <c r="Q14" i="25"/>
  <c r="AU14" i="25" s="1"/>
  <c r="AL14" i="26"/>
  <c r="AX14" i="26" s="1"/>
  <c r="BD14" i="26" s="1"/>
  <c r="Q34" i="24"/>
  <c r="AU34" i="24" s="1"/>
  <c r="X32" i="24"/>
  <c r="AV32" i="24" s="1"/>
  <c r="BB32" i="24" s="1"/>
  <c r="AS20" i="25"/>
  <c r="AY20" i="25" s="1"/>
  <c r="BE20" i="25" s="1"/>
  <c r="AL41" i="25"/>
  <c r="AX41" i="25" s="1"/>
  <c r="BD41" i="25" s="1"/>
  <c r="Q28" i="26"/>
  <c r="AU28" i="26" s="1"/>
  <c r="AR50" i="24"/>
  <c r="AS12" i="24"/>
  <c r="Q43" i="23"/>
  <c r="AU43" i="23" s="1"/>
  <c r="AS15" i="26"/>
  <c r="AY15" i="26" s="1"/>
  <c r="BE15" i="26" s="1"/>
  <c r="AL30" i="25"/>
  <c r="AX30" i="25" s="1"/>
  <c r="BD30" i="25" s="1"/>
  <c r="BJ12" i="25"/>
  <c r="BK12" i="25" s="1"/>
  <c r="BI12" i="25"/>
  <c r="X44" i="22"/>
  <c r="AV44" i="22" s="1"/>
  <c r="BB44" i="22" s="1"/>
  <c r="Q40" i="26"/>
  <c r="AU40" i="26" s="1"/>
  <c r="AE27" i="22"/>
  <c r="AW27" i="22" s="1"/>
  <c r="BC27" i="22" s="1"/>
  <c r="AE36" i="24"/>
  <c r="AW36" i="24" s="1"/>
  <c r="BC36" i="24" s="1"/>
  <c r="BJ42" i="25"/>
  <c r="BK42" i="25" s="1"/>
  <c r="BP42" i="25" s="1"/>
  <c r="BI42" i="25"/>
  <c r="X38" i="24"/>
  <c r="AV38" i="24" s="1"/>
  <c r="BB38" i="24" s="1"/>
  <c r="AE43" i="24"/>
  <c r="AW43" i="24" s="1"/>
  <c r="BC43" i="24" s="1"/>
  <c r="AE20" i="22"/>
  <c r="AW20" i="22" s="1"/>
  <c r="BC20" i="22" s="1"/>
  <c r="X49" i="23"/>
  <c r="AV49" i="23" s="1"/>
  <c r="BB49" i="23" s="1"/>
  <c r="Q16" i="22"/>
  <c r="AU16" i="22" s="1"/>
  <c r="AL14" i="22"/>
  <c r="AX14" i="22" s="1"/>
  <c r="BD14" i="22" s="1"/>
  <c r="AE30" i="26"/>
  <c r="AW30" i="26" s="1"/>
  <c r="BC30" i="26" s="1"/>
  <c r="AS13" i="26"/>
  <c r="AY13" i="26" s="1"/>
  <c r="BE13" i="26" s="1"/>
  <c r="AL42" i="23"/>
  <c r="AX42" i="23" s="1"/>
  <c r="BD42" i="23" s="1"/>
  <c r="AL46" i="24"/>
  <c r="AX46" i="24" s="1"/>
  <c r="BD46" i="24" s="1"/>
  <c r="BK38" i="22"/>
  <c r="BJ38" i="22"/>
  <c r="BI38" i="22"/>
  <c r="AS26" i="25"/>
  <c r="AY26" i="25" s="1"/>
  <c r="BE26" i="25" s="1"/>
  <c r="AL25" i="22"/>
  <c r="AX25" i="22" s="1"/>
  <c r="BD25" i="22" s="1"/>
  <c r="AL24" i="23"/>
  <c r="AX24" i="23" s="1"/>
  <c r="BD24" i="23" s="1"/>
  <c r="Q43" i="22"/>
  <c r="AU43" i="22" s="1"/>
  <c r="X24" i="24"/>
  <c r="AV24" i="24" s="1"/>
  <c r="BB24" i="24" s="1"/>
  <c r="Q24" i="22"/>
  <c r="AU24" i="22" s="1"/>
  <c r="BK33" i="24"/>
  <c r="BJ33" i="24"/>
  <c r="BI33" i="24"/>
  <c r="X47" i="25"/>
  <c r="AV47" i="25" s="1"/>
  <c r="BB47" i="25" s="1"/>
  <c r="Q49" i="25"/>
  <c r="AU49" i="25" s="1"/>
  <c r="Q27" i="26"/>
  <c r="AU27" i="26" s="1"/>
  <c r="AS37" i="24"/>
  <c r="AY37" i="24" s="1"/>
  <c r="BE37" i="24" s="1"/>
  <c r="AE17" i="23"/>
  <c r="AW17" i="23" s="1"/>
  <c r="BC17" i="23" s="1"/>
  <c r="AS33" i="23"/>
  <c r="AY33" i="23" s="1"/>
  <c r="BE33" i="23" s="1"/>
  <c r="Q44" i="25"/>
  <c r="AU44" i="25" s="1"/>
  <c r="X36" i="22"/>
  <c r="AV36" i="22" s="1"/>
  <c r="BB36" i="22" s="1"/>
  <c r="BJ28" i="24"/>
  <c r="BK28" i="24" s="1"/>
  <c r="BI28" i="24"/>
  <c r="AL33" i="26"/>
  <c r="AX33" i="26" s="1"/>
  <c r="BD33" i="26" s="1"/>
  <c r="AE47" i="26"/>
  <c r="AW47" i="26" s="1"/>
  <c r="BC47" i="26" s="1"/>
  <c r="AL32" i="25"/>
  <c r="AX32" i="25" s="1"/>
  <c r="BD32" i="25" s="1"/>
  <c r="BJ35" i="22"/>
  <c r="BI35" i="22"/>
  <c r="BK35" i="22"/>
  <c r="BP35" i="22" s="1"/>
  <c r="X43" i="26"/>
  <c r="AV43" i="26" s="1"/>
  <c r="BB43" i="26" s="1"/>
  <c r="AS39" i="24"/>
  <c r="AY39" i="24" s="1"/>
  <c r="BE39" i="24" s="1"/>
  <c r="Q30" i="22"/>
  <c r="AU30" i="22" s="1"/>
  <c r="AS29" i="25"/>
  <c r="AY29" i="25" s="1"/>
  <c r="BE29" i="25" s="1"/>
  <c r="AL44" i="24"/>
  <c r="AX44" i="24" s="1"/>
  <c r="BD44" i="24" s="1"/>
  <c r="Q26" i="23"/>
  <c r="AU26" i="23" s="1"/>
  <c r="Q29" i="22"/>
  <c r="AU29" i="22" s="1"/>
  <c r="AL44" i="26"/>
  <c r="AX44" i="26" s="1"/>
  <c r="BD44" i="26" s="1"/>
  <c r="BJ40" i="24"/>
  <c r="BK40" i="24" s="1"/>
  <c r="BP40" i="24" s="1"/>
  <c r="BI40" i="24"/>
  <c r="X22" i="25"/>
  <c r="AV22" i="25" s="1"/>
  <c r="BB22" i="25" s="1"/>
  <c r="BJ17" i="24"/>
  <c r="BK17" i="24" s="1"/>
  <c r="BP17" i="24" s="1"/>
  <c r="BI17" i="24"/>
  <c r="X23" i="26"/>
  <c r="AV23" i="26" s="1"/>
  <c r="BB23" i="26" s="1"/>
  <c r="X25" i="25"/>
  <c r="AV25" i="25" s="1"/>
  <c r="BB25" i="25" s="1"/>
  <c r="BJ13" i="23"/>
  <c r="BK13" i="23" s="1"/>
  <c r="BP13" i="23" s="1"/>
  <c r="BI13" i="23"/>
  <c r="AS27" i="23"/>
  <c r="AY27" i="23" s="1"/>
  <c r="BE27" i="23" s="1"/>
  <c r="AE30" i="24"/>
  <c r="AW30" i="24" s="1"/>
  <c r="BC30" i="24" s="1"/>
  <c r="AL18" i="25"/>
  <c r="AX18" i="25" s="1"/>
  <c r="BD18" i="25" s="1"/>
  <c r="X36" i="25"/>
  <c r="AV36" i="25" s="1"/>
  <c r="BB36" i="25" s="1"/>
  <c r="Q38" i="25"/>
  <c r="AU38" i="25" s="1"/>
  <c r="AE18" i="23"/>
  <c r="AW18" i="23" s="1"/>
  <c r="BC18" i="23" s="1"/>
  <c r="AL22" i="23"/>
  <c r="AX22" i="23" s="1"/>
  <c r="BD22" i="23" s="1"/>
  <c r="Q19" i="23"/>
  <c r="AU19" i="23" s="1"/>
  <c r="AS35" i="26"/>
  <c r="AY35" i="26" s="1"/>
  <c r="BE35" i="26" s="1"/>
  <c r="AE45" i="22"/>
  <c r="AW45" i="22" s="1"/>
  <c r="BC45" i="22" s="1"/>
  <c r="BJ30" i="26"/>
  <c r="BK30" i="26" s="1"/>
  <c r="BI30" i="26"/>
  <c r="BJ24" i="23"/>
  <c r="BK24" i="23" s="1"/>
  <c r="BP24" i="23" s="1"/>
  <c r="BI24" i="23"/>
  <c r="AL25" i="24"/>
  <c r="AX25" i="24" s="1"/>
  <c r="BD25" i="24" s="1"/>
  <c r="AE33" i="24"/>
  <c r="AW33" i="24" s="1"/>
  <c r="BC33" i="24" s="1"/>
  <c r="AE33" i="23"/>
  <c r="AW33" i="23" s="1"/>
  <c r="BC33" i="23" s="1"/>
  <c r="AL28" i="24"/>
  <c r="AX28" i="24" s="1"/>
  <c r="BD28" i="24" s="1"/>
  <c r="AL32" i="22"/>
  <c r="AX32" i="22" s="1"/>
  <c r="BD32" i="22" s="1"/>
  <c r="BJ36" i="26"/>
  <c r="BK36" i="26" s="1"/>
  <c r="BP36" i="26" s="1"/>
  <c r="BI36" i="26"/>
  <c r="AL46" i="26"/>
  <c r="AX46" i="26" s="1"/>
  <c r="BD46" i="26" s="1"/>
  <c r="AS39" i="22"/>
  <c r="AY39" i="22" s="1"/>
  <c r="BE39" i="22" s="1"/>
  <c r="BJ31" i="22"/>
  <c r="BK31" i="22" s="1"/>
  <c r="BP31" i="22" s="1"/>
  <c r="BI31" i="22"/>
  <c r="Q41" i="22"/>
  <c r="AU41" i="22" s="1"/>
  <c r="AE17" i="25"/>
  <c r="AW17" i="25" s="1"/>
  <c r="BC17" i="25" s="1"/>
  <c r="BI29" i="26"/>
  <c r="BJ29" i="26"/>
  <c r="BK29" i="26" s="1"/>
  <c r="AE28" i="23"/>
  <c r="AW28" i="23" s="1"/>
  <c r="BC28" i="23" s="1"/>
  <c r="AE47" i="23"/>
  <c r="AW47" i="23" s="1"/>
  <c r="BC47" i="23" s="1"/>
  <c r="BI22" i="22"/>
  <c r="BJ22" i="22"/>
  <c r="BK22" i="22" s="1"/>
  <c r="AS14" i="24"/>
  <c r="AY14" i="24" s="1"/>
  <c r="BE14" i="24" s="1"/>
  <c r="X19" i="25"/>
  <c r="AV19" i="25" s="1"/>
  <c r="BB19" i="25" s="1"/>
  <c r="Q27" i="24"/>
  <c r="AU27" i="24" s="1"/>
  <c r="AL16" i="24"/>
  <c r="AX16" i="24" s="1"/>
  <c r="BD16" i="24" s="1"/>
  <c r="AL13" i="24"/>
  <c r="AX13" i="24" s="1"/>
  <c r="BD13" i="24" s="1"/>
  <c r="AL31" i="25"/>
  <c r="AX31" i="25" s="1"/>
  <c r="BD31" i="25" s="1"/>
  <c r="AS17" i="26"/>
  <c r="AY17" i="26" s="1"/>
  <c r="BE17" i="26" s="1"/>
  <c r="AE49" i="26"/>
  <c r="AW49" i="26" s="1"/>
  <c r="BC49" i="26" s="1"/>
  <c r="AR50" i="23"/>
  <c r="AS12" i="23"/>
  <c r="X26" i="26"/>
  <c r="AV26" i="26" s="1"/>
  <c r="BB26" i="26" s="1"/>
  <c r="AE14" i="25"/>
  <c r="AW14" i="25" s="1"/>
  <c r="BC14" i="25" s="1"/>
  <c r="BJ35" i="26"/>
  <c r="BI35" i="26"/>
  <c r="BK35" i="26"/>
  <c r="BP35" i="26" s="1"/>
  <c r="Q15" i="23"/>
  <c r="AU15" i="23" s="1"/>
  <c r="AE34" i="24"/>
  <c r="AW34" i="24" s="1"/>
  <c r="BC34" i="24" s="1"/>
  <c r="BJ23" i="22"/>
  <c r="BK23" i="22" s="1"/>
  <c r="BP23" i="22" s="1"/>
  <c r="BI23" i="22"/>
  <c r="Q41" i="25"/>
  <c r="AU41" i="25" s="1"/>
  <c r="BI49" i="22"/>
  <c r="BJ49" i="22"/>
  <c r="BK49" i="22" s="1"/>
  <c r="X28" i="26"/>
  <c r="AV28" i="26" s="1"/>
  <c r="BB28" i="26" s="1"/>
  <c r="Q19" i="24"/>
  <c r="AU19" i="24" s="1"/>
  <c r="AS45" i="26"/>
  <c r="AY45" i="26" s="1"/>
  <c r="BE45" i="26" s="1"/>
  <c r="W50" i="24"/>
  <c r="X12" i="24"/>
  <c r="AS43" i="23"/>
  <c r="AY43" i="23" s="1"/>
  <c r="BE43" i="23" s="1"/>
  <c r="AE30" i="25"/>
  <c r="AW30" i="25" s="1"/>
  <c r="BC30" i="25" s="1"/>
  <c r="BI33" i="22"/>
  <c r="BJ33" i="22"/>
  <c r="BK33" i="22" s="1"/>
  <c r="AL33" i="25"/>
  <c r="AX33" i="25" s="1"/>
  <c r="BD33" i="25" s="1"/>
  <c r="P50" i="25"/>
  <c r="Q12" i="25"/>
  <c r="AL44" i="22"/>
  <c r="AX44" i="22" s="1"/>
  <c r="BD44" i="22" s="1"/>
  <c r="AL40" i="26"/>
  <c r="AX40" i="26" s="1"/>
  <c r="BD40" i="26" s="1"/>
  <c r="BJ23" i="24"/>
  <c r="BK23" i="24" s="1"/>
  <c r="BI23" i="24"/>
  <c r="AS36" i="24"/>
  <c r="AY36" i="24" s="1"/>
  <c r="BE36" i="24" s="1"/>
  <c r="BK21" i="26"/>
  <c r="BJ21" i="26"/>
  <c r="BI21" i="26"/>
  <c r="AE27" i="25"/>
  <c r="AW27" i="25" s="1"/>
  <c r="BC27" i="25" s="1"/>
  <c r="AS43" i="24"/>
  <c r="AY43" i="24" s="1"/>
  <c r="BE43" i="24" s="1"/>
  <c r="AE31" i="26"/>
  <c r="AW31" i="26" s="1"/>
  <c r="BC31" i="26" s="1"/>
  <c r="AS20" i="22"/>
  <c r="AY20" i="22" s="1"/>
  <c r="BE20" i="22" s="1"/>
  <c r="BJ45" i="22"/>
  <c r="BK45" i="22" s="1"/>
  <c r="BP45" i="22" s="1"/>
  <c r="BI45" i="22"/>
  <c r="AE16" i="22"/>
  <c r="AW16" i="22" s="1"/>
  <c r="BC16" i="22" s="1"/>
  <c r="BR44" i="23"/>
  <c r="Q14" i="22"/>
  <c r="AU14" i="22" s="1"/>
  <c r="BI20" i="23"/>
  <c r="BJ20" i="23"/>
  <c r="BK20" i="23" s="1"/>
  <c r="BJ13" i="26"/>
  <c r="BK13" i="26" s="1"/>
  <c r="BP13" i="26" s="1"/>
  <c r="BI13" i="26"/>
  <c r="AE38" i="22"/>
  <c r="AW38" i="22" s="1"/>
  <c r="BC38" i="22" s="1"/>
  <c r="X26" i="25"/>
  <c r="AV26" i="25" s="1"/>
  <c r="BB26" i="25" s="1"/>
  <c r="Q22" i="24"/>
  <c r="AU22" i="24" s="1"/>
  <c r="BI32" i="26"/>
  <c r="BK32" i="26"/>
  <c r="BJ32" i="26"/>
  <c r="BJ25" i="24"/>
  <c r="BK25" i="24" s="1"/>
  <c r="BI25" i="24"/>
  <c r="AE43" i="22"/>
  <c r="AW43" i="22" s="1"/>
  <c r="BC43" i="22" s="1"/>
  <c r="AL24" i="24"/>
  <c r="AX24" i="24" s="1"/>
  <c r="BD24" i="24" s="1"/>
  <c r="AE24" i="22"/>
  <c r="AW24" i="22" s="1"/>
  <c r="BC24" i="22" s="1"/>
  <c r="Q33" i="24"/>
  <c r="AU33" i="24" s="1"/>
  <c r="AE49" i="25"/>
  <c r="AW49" i="25" s="1"/>
  <c r="BC49" i="25" s="1"/>
  <c r="X27" i="26"/>
  <c r="AV27" i="26" s="1"/>
  <c r="BB27" i="26" s="1"/>
  <c r="Q37" i="24"/>
  <c r="AU37" i="24" s="1"/>
  <c r="X17" i="23"/>
  <c r="AV17" i="23" s="1"/>
  <c r="BB17" i="23" s="1"/>
  <c r="Q33" i="23"/>
  <c r="AU33" i="23" s="1"/>
  <c r="AE44" i="25"/>
  <c r="AW44" i="25" s="1"/>
  <c r="BC44" i="25" s="1"/>
  <c r="Q36" i="22"/>
  <c r="AU36" i="22" s="1"/>
  <c r="AE28" i="24"/>
  <c r="AW28" i="24" s="1"/>
  <c r="BC28" i="24" s="1"/>
  <c r="BQ50" i="23"/>
  <c r="Q35" i="24"/>
  <c r="AU35" i="24" s="1"/>
  <c r="X18" i="26"/>
  <c r="AV18" i="26" s="1"/>
  <c r="BB18" i="26" s="1"/>
  <c r="Q31" i="23"/>
  <c r="AU31" i="23" s="1"/>
  <c r="BK18" i="24"/>
  <c r="BJ18" i="24"/>
  <c r="BI18" i="24"/>
  <c r="X39" i="24"/>
  <c r="AV39" i="24" s="1"/>
  <c r="BB39" i="24" s="1"/>
  <c r="AE30" i="22"/>
  <c r="AW30" i="22" s="1"/>
  <c r="BC30" i="22" s="1"/>
  <c r="Q44" i="24"/>
  <c r="AU44" i="24" s="1"/>
  <c r="AS26" i="23"/>
  <c r="AY26" i="23" s="1"/>
  <c r="BE26" i="23" s="1"/>
  <c r="AE29" i="22"/>
  <c r="AW29" i="22" s="1"/>
  <c r="BC29" i="22" s="1"/>
  <c r="AE44" i="26"/>
  <c r="AW44" i="26" s="1"/>
  <c r="BC44" i="26" s="1"/>
  <c r="Q40" i="24"/>
  <c r="AU40" i="24" s="1"/>
  <c r="AE24" i="25"/>
  <c r="AW24" i="25" s="1"/>
  <c r="BC24" i="25" s="1"/>
  <c r="Q22" i="25"/>
  <c r="AU22" i="25" s="1"/>
  <c r="AE17" i="24"/>
  <c r="AW17" i="24" s="1"/>
  <c r="BC17" i="24" s="1"/>
  <c r="AS39" i="26"/>
  <c r="AY39" i="26" s="1"/>
  <c r="BE39" i="26" s="1"/>
  <c r="AL23" i="26"/>
  <c r="AX23" i="26" s="1"/>
  <c r="BD23" i="26" s="1"/>
  <c r="AL25" i="25"/>
  <c r="AX25" i="25" s="1"/>
  <c r="BD25" i="25" s="1"/>
  <c r="AE48" i="23"/>
  <c r="AW48" i="23" s="1"/>
  <c r="BC48" i="23" s="1"/>
  <c r="AL13" i="23"/>
  <c r="AX13" i="23" s="1"/>
  <c r="BD13" i="23" s="1"/>
  <c r="AL27" i="23"/>
  <c r="AX27" i="23" s="1"/>
  <c r="BD27" i="23" s="1"/>
  <c r="AS30" i="24"/>
  <c r="AY30" i="24" s="1"/>
  <c r="BE30" i="24" s="1"/>
  <c r="BJ26" i="22"/>
  <c r="BK26" i="22" s="1"/>
  <c r="BP26" i="22" s="1"/>
  <c r="BI26" i="22"/>
  <c r="Q42" i="22"/>
  <c r="AU42" i="22" s="1"/>
  <c r="AS14" i="23"/>
  <c r="AY14" i="23" s="1"/>
  <c r="BE14" i="23" s="1"/>
  <c r="X29" i="23"/>
  <c r="AV29" i="23" s="1"/>
  <c r="BB29" i="23" s="1"/>
  <c r="AS45" i="23"/>
  <c r="AY45" i="23" s="1"/>
  <c r="BE45" i="23" s="1"/>
  <c r="BI42" i="26"/>
  <c r="BJ42" i="26"/>
  <c r="BK42" i="26"/>
  <c r="W50" i="22"/>
  <c r="X12" i="22"/>
  <c r="X31" i="22"/>
  <c r="AV31" i="22" s="1"/>
  <c r="BB31" i="22" s="1"/>
  <c r="X18" i="23"/>
  <c r="AV18" i="23" s="1"/>
  <c r="BB18" i="23" s="1"/>
  <c r="AS16" i="24"/>
  <c r="AY16" i="24" s="1"/>
  <c r="BE16" i="24" s="1"/>
  <c r="Q17" i="26"/>
  <c r="AU17" i="26" s="1"/>
  <c r="AL32" i="24"/>
  <c r="AX32" i="24" s="1"/>
  <c r="BD32" i="24" s="1"/>
  <c r="BJ26" i="24"/>
  <c r="BK26" i="24" s="1"/>
  <c r="BP26" i="24" s="1"/>
  <c r="BI26" i="24"/>
  <c r="AD50" i="25"/>
  <c r="AE12" i="25"/>
  <c r="X40" i="26"/>
  <c r="AV40" i="26" s="1"/>
  <c r="BB40" i="26" s="1"/>
  <c r="AL23" i="24"/>
  <c r="AX23" i="24" s="1"/>
  <c r="BD23" i="24" s="1"/>
  <c r="AL36" i="24"/>
  <c r="AX36" i="24" s="1"/>
  <c r="BD36" i="24" s="1"/>
  <c r="AE21" i="26"/>
  <c r="AW21" i="26" s="1"/>
  <c r="BC21" i="26" s="1"/>
  <c r="AS27" i="25"/>
  <c r="AY27" i="25" s="1"/>
  <c r="BE27" i="25" s="1"/>
  <c r="AL42" i="25"/>
  <c r="AX42" i="25" s="1"/>
  <c r="BD42" i="25" s="1"/>
  <c r="BI21" i="25"/>
  <c r="BJ21" i="25"/>
  <c r="BK21" i="25" s="1"/>
  <c r="BP21" i="25" s="1"/>
  <c r="X43" i="24"/>
  <c r="AV43" i="24" s="1"/>
  <c r="BB43" i="24" s="1"/>
  <c r="BI46" i="22"/>
  <c r="BJ46" i="22"/>
  <c r="BK46" i="22" s="1"/>
  <c r="Q31" i="26"/>
  <c r="AU31" i="26" s="1"/>
  <c r="AS16" i="22"/>
  <c r="AY16" i="22" s="1"/>
  <c r="BE16" i="22" s="1"/>
  <c r="X15" i="22"/>
  <c r="AV15" i="22" s="1"/>
  <c r="BB15" i="22" s="1"/>
  <c r="X14" i="22"/>
  <c r="AV14" i="22" s="1"/>
  <c r="BB14" i="22" s="1"/>
  <c r="BR48" i="26"/>
  <c r="X20" i="23"/>
  <c r="AV20" i="23" s="1"/>
  <c r="BB20" i="23" s="1"/>
  <c r="Q42" i="23"/>
  <c r="AU42" i="23" s="1"/>
  <c r="Q46" i="24"/>
  <c r="AU46" i="24" s="1"/>
  <c r="Q38" i="22"/>
  <c r="AU38" i="22" s="1"/>
  <c r="BJ25" i="26"/>
  <c r="BK25" i="26" s="1"/>
  <c r="BI25" i="26"/>
  <c r="AE22" i="24"/>
  <c r="AW22" i="24" s="1"/>
  <c r="BC22" i="24" s="1"/>
  <c r="BJ15" i="25"/>
  <c r="BK15" i="25" s="1"/>
  <c r="BP15" i="25" s="1"/>
  <c r="BI15" i="25"/>
  <c r="AS25" i="22"/>
  <c r="AY25" i="22" s="1"/>
  <c r="BE25" i="22" s="1"/>
  <c r="X25" i="24"/>
  <c r="AV25" i="24" s="1"/>
  <c r="BB25" i="24" s="1"/>
  <c r="AS43" i="22"/>
  <c r="AY43" i="22" s="1"/>
  <c r="BE43" i="22" s="1"/>
  <c r="Q24" i="24"/>
  <c r="AU24" i="24" s="1"/>
  <c r="BJ40" i="22"/>
  <c r="BK40" i="22" s="1"/>
  <c r="BP40" i="22" s="1"/>
  <c r="BI40" i="22"/>
  <c r="AS24" i="22"/>
  <c r="AY24" i="22" s="1"/>
  <c r="BE24" i="22" s="1"/>
  <c r="AS33" i="24"/>
  <c r="AY33" i="24" s="1"/>
  <c r="BE33" i="24" s="1"/>
  <c r="AS23" i="23"/>
  <c r="AY23" i="23" s="1"/>
  <c r="BE23" i="23" s="1"/>
  <c r="AS49" i="25"/>
  <c r="AY49" i="25" s="1"/>
  <c r="BE49" i="25" s="1"/>
  <c r="BJ45" i="25"/>
  <c r="BK45" i="25" s="1"/>
  <c r="BP45" i="25" s="1"/>
  <c r="BI45" i="25"/>
  <c r="AL17" i="23"/>
  <c r="AX17" i="23" s="1"/>
  <c r="BD17" i="23" s="1"/>
  <c r="AE36" i="22"/>
  <c r="AW36" i="22" s="1"/>
  <c r="BC36" i="22" s="1"/>
  <c r="Q28" i="24"/>
  <c r="AU28" i="24" s="1"/>
  <c r="BI32" i="22"/>
  <c r="BJ32" i="22"/>
  <c r="BK32" i="22" s="1"/>
  <c r="BP32" i="22" s="1"/>
  <c r="BL51" i="23"/>
  <c r="AS35" i="24"/>
  <c r="AY35" i="24" s="1"/>
  <c r="BE35" i="24" s="1"/>
  <c r="BJ25" i="23"/>
  <c r="BK25" i="23" s="1"/>
  <c r="BI25" i="23"/>
  <c r="X32" i="25"/>
  <c r="AV32" i="25" s="1"/>
  <c r="BB32" i="25" s="1"/>
  <c r="X35" i="22"/>
  <c r="AV35" i="22" s="1"/>
  <c r="BB35" i="22" s="1"/>
  <c r="BJ34" i="26"/>
  <c r="BK34" i="26" s="1"/>
  <c r="BP34" i="26" s="1"/>
  <c r="BI34" i="26"/>
  <c r="AE31" i="23"/>
  <c r="AW31" i="23" s="1"/>
  <c r="BC31" i="23" s="1"/>
  <c r="Q18" i="24"/>
  <c r="AU18" i="24" s="1"/>
  <c r="Q39" i="24"/>
  <c r="AU39" i="24" s="1"/>
  <c r="AS30" i="22"/>
  <c r="AY30" i="22" s="1"/>
  <c r="BE30" i="22" s="1"/>
  <c r="P50" i="26"/>
  <c r="Q12" i="26"/>
  <c r="AE26" i="23"/>
  <c r="AW26" i="23" s="1"/>
  <c r="BC26" i="23" s="1"/>
  <c r="AS29" i="22"/>
  <c r="AY29" i="22" s="1"/>
  <c r="BE29" i="22" s="1"/>
  <c r="BK31" i="24"/>
  <c r="BP31" i="24" s="1"/>
  <c r="BJ31" i="24"/>
  <c r="BI31" i="24"/>
  <c r="AS44" i="26"/>
  <c r="AY44" i="26" s="1"/>
  <c r="BE44" i="26" s="1"/>
  <c r="AE40" i="24"/>
  <c r="AW40" i="24" s="1"/>
  <c r="BC40" i="24" s="1"/>
  <c r="AE22" i="25"/>
  <c r="AW22" i="25" s="1"/>
  <c r="BC22" i="25" s="1"/>
  <c r="X17" i="24"/>
  <c r="AV17" i="24" s="1"/>
  <c r="BB17" i="24" s="1"/>
  <c r="X39" i="26"/>
  <c r="AV39" i="26" s="1"/>
  <c r="BB39" i="26" s="1"/>
  <c r="AS23" i="26"/>
  <c r="AY23" i="26" s="1"/>
  <c r="BE23" i="26" s="1"/>
  <c r="BR32" i="23"/>
  <c r="X48" i="23"/>
  <c r="AV48" i="23" s="1"/>
  <c r="BB48" i="23" s="1"/>
  <c r="Q27" i="23"/>
  <c r="AU27" i="23" s="1"/>
  <c r="AL26" i="22"/>
  <c r="AX26" i="22" s="1"/>
  <c r="BD26" i="22" s="1"/>
  <c r="AE42" i="22"/>
  <c r="AW42" i="22" s="1"/>
  <c r="BC42" i="22" s="1"/>
  <c r="BJ14" i="23"/>
  <c r="BK14" i="23" s="1"/>
  <c r="BI14" i="23"/>
  <c r="X20" i="24"/>
  <c r="AV20" i="24" s="1"/>
  <c r="BB20" i="24" s="1"/>
  <c r="AE41" i="22"/>
  <c r="AW41" i="22" s="1"/>
  <c r="BC41" i="22" s="1"/>
  <c r="BK46" i="23"/>
  <c r="BP46" i="23" s="1"/>
  <c r="BJ46" i="23"/>
  <c r="BI46" i="23"/>
  <c r="AS22" i="22"/>
  <c r="AY22" i="22" s="1"/>
  <c r="BE22" i="22" s="1"/>
  <c r="X44" i="23"/>
  <c r="AV44" i="23" s="1"/>
  <c r="BB44" i="23" s="1"/>
  <c r="X31" i="25"/>
  <c r="AV31" i="25" s="1"/>
  <c r="BB31" i="25" s="1"/>
  <c r="AL26" i="26"/>
  <c r="AX26" i="26" s="1"/>
  <c r="BD26" i="26" s="1"/>
  <c r="AS14" i="25"/>
  <c r="AY14" i="25" s="1"/>
  <c r="BE14" i="25" s="1"/>
  <c r="X35" i="26"/>
  <c r="AV35" i="26" s="1"/>
  <c r="BB35" i="26" s="1"/>
  <c r="AE41" i="25"/>
  <c r="AW41" i="25" s="1"/>
  <c r="BC41" i="25" s="1"/>
  <c r="AL28" i="26"/>
  <c r="AX28" i="26" s="1"/>
  <c r="BD28" i="26" s="1"/>
  <c r="Q45" i="26"/>
  <c r="AU45" i="26" s="1"/>
  <c r="AE33" i="22"/>
  <c r="AW33" i="22" s="1"/>
  <c r="BC33" i="22" s="1"/>
  <c r="AS36" i="26"/>
  <c r="AY36" i="26" s="1"/>
  <c r="BE36" i="26" s="1"/>
  <c r="BK17" i="22"/>
  <c r="BJ17" i="22"/>
  <c r="BI17" i="22"/>
  <c r="Q31" i="22"/>
  <c r="AU31" i="22" s="1"/>
  <c r="BJ47" i="22"/>
  <c r="BI47" i="22"/>
  <c r="BK47" i="22"/>
  <c r="BP47" i="22" s="1"/>
  <c r="AS39" i="23"/>
  <c r="AY39" i="23" s="1"/>
  <c r="BE39" i="23" s="1"/>
  <c r="AL18" i="23"/>
  <c r="AX18" i="23" s="1"/>
  <c r="BD18" i="23" s="1"/>
  <c r="AE29" i="26"/>
  <c r="AW29" i="26" s="1"/>
  <c r="BC29" i="26" s="1"/>
  <c r="AS28" i="23"/>
  <c r="AY28" i="23" s="1"/>
  <c r="BE28" i="23" s="1"/>
  <c r="AE46" i="23"/>
  <c r="AW46" i="23" s="1"/>
  <c r="BC46" i="23" s="1"/>
  <c r="Q47" i="23"/>
  <c r="AU47" i="23" s="1"/>
  <c r="Q22" i="22"/>
  <c r="AU22" i="22" s="1"/>
  <c r="X48" i="25"/>
  <c r="AV48" i="25" s="1"/>
  <c r="BB48" i="25" s="1"/>
  <c r="AE19" i="25"/>
  <c r="AW19" i="25" s="1"/>
  <c r="BC19" i="25" s="1"/>
  <c r="AE16" i="24"/>
  <c r="AW16" i="24" s="1"/>
  <c r="BC16" i="24" s="1"/>
  <c r="AL19" i="26"/>
  <c r="AX19" i="26" s="1"/>
  <c r="BD19" i="26" s="1"/>
  <c r="AE31" i="25"/>
  <c r="AW31" i="25" s="1"/>
  <c r="BC31" i="25" s="1"/>
  <c r="BJ16" i="23"/>
  <c r="BK16" i="23" s="1"/>
  <c r="BI16" i="23"/>
  <c r="X49" i="26"/>
  <c r="AV49" i="26" s="1"/>
  <c r="BB49" i="26" s="1"/>
  <c r="AS37" i="23"/>
  <c r="AY37" i="23" s="1"/>
  <c r="BE37" i="23" s="1"/>
  <c r="W50" i="23"/>
  <c r="X12" i="23"/>
  <c r="BJ12" i="22"/>
  <c r="BI12" i="22"/>
  <c r="AE22" i="26"/>
  <c r="AW22" i="26" s="1"/>
  <c r="BC22" i="26" s="1"/>
  <c r="X14" i="25"/>
  <c r="AV14" i="25" s="1"/>
  <c r="BB14" i="25" s="1"/>
  <c r="AL35" i="26"/>
  <c r="AX35" i="26" s="1"/>
  <c r="BD35" i="26" s="1"/>
  <c r="X15" i="23"/>
  <c r="AV15" i="23" s="1"/>
  <c r="BB15" i="23" s="1"/>
  <c r="Q44" i="23"/>
  <c r="AU44" i="23" s="1"/>
  <c r="Q32" i="24"/>
  <c r="AU32" i="24" s="1"/>
  <c r="AS23" i="22"/>
  <c r="AY23" i="22" s="1"/>
  <c r="BE23" i="22" s="1"/>
  <c r="AL49" i="22"/>
  <c r="AX49" i="22" s="1"/>
  <c r="BD49" i="22" s="1"/>
  <c r="AS19" i="24"/>
  <c r="AY19" i="24" s="1"/>
  <c r="BE19" i="24" s="1"/>
  <c r="AE45" i="26"/>
  <c r="AW45" i="26" s="1"/>
  <c r="BC45" i="26" s="1"/>
  <c r="BJ34" i="23"/>
  <c r="BK34" i="23" s="1"/>
  <c r="BI34" i="23"/>
  <c r="AL43" i="23"/>
  <c r="AX43" i="23" s="1"/>
  <c r="BD43" i="23" s="1"/>
  <c r="X26" i="24"/>
  <c r="AV26" i="24" s="1"/>
  <c r="BB26" i="24" s="1"/>
  <c r="AE33" i="25"/>
  <c r="AW33" i="25" s="1"/>
  <c r="BC33" i="25" s="1"/>
  <c r="AR50" i="25"/>
  <c r="AS12" i="25"/>
  <c r="Q44" i="22"/>
  <c r="AU44" i="22" s="1"/>
  <c r="AE40" i="26"/>
  <c r="AW40" i="26" s="1"/>
  <c r="BC40" i="26" s="1"/>
  <c r="Q23" i="24"/>
  <c r="AU23" i="24" s="1"/>
  <c r="X21" i="26"/>
  <c r="AV21" i="26" s="1"/>
  <c r="BB21" i="26" s="1"/>
  <c r="AS32" i="23"/>
  <c r="AY32" i="23" s="1"/>
  <c r="BE32" i="23" s="1"/>
  <c r="X42" i="25"/>
  <c r="AV42" i="25" s="1"/>
  <c r="BB42" i="25" s="1"/>
  <c r="AL21" i="25"/>
  <c r="AX21" i="25" s="1"/>
  <c r="BD21" i="25" s="1"/>
  <c r="AL43" i="24"/>
  <c r="AX43" i="24" s="1"/>
  <c r="BD43" i="24" s="1"/>
  <c r="AL46" i="22"/>
  <c r="AX46" i="22" s="1"/>
  <c r="BD46" i="22" s="1"/>
  <c r="AL31" i="26"/>
  <c r="AX31" i="26" s="1"/>
  <c r="BD31" i="26" s="1"/>
  <c r="AL20" i="22"/>
  <c r="AX20" i="22" s="1"/>
  <c r="BD20" i="22" s="1"/>
  <c r="X45" i="22"/>
  <c r="AV45" i="22" s="1"/>
  <c r="BB45" i="22" s="1"/>
  <c r="BI34" i="22"/>
  <c r="BJ34" i="22"/>
  <c r="BK34" i="22" s="1"/>
  <c r="BP34" i="22" s="1"/>
  <c r="BI38" i="26"/>
  <c r="BJ38" i="26"/>
  <c r="BK38" i="26" s="1"/>
  <c r="BP38" i="26" s="1"/>
  <c r="AS14" i="22"/>
  <c r="AY14" i="22" s="1"/>
  <c r="BE14" i="22" s="1"/>
  <c r="AL20" i="23"/>
  <c r="AX20" i="23" s="1"/>
  <c r="BD20" i="23" s="1"/>
  <c r="BJ41" i="23"/>
  <c r="BK41" i="23" s="1"/>
  <c r="BI41" i="23"/>
  <c r="AE42" i="23"/>
  <c r="AW42" i="23" s="1"/>
  <c r="BC42" i="23" s="1"/>
  <c r="AE46" i="24"/>
  <c r="AW46" i="24" s="1"/>
  <c r="BC46" i="24" s="1"/>
  <c r="X38" i="22"/>
  <c r="AV38" i="22" s="1"/>
  <c r="BB38" i="22" s="1"/>
  <c r="AE25" i="26"/>
  <c r="AW25" i="26" s="1"/>
  <c r="BC25" i="26" s="1"/>
  <c r="AL22" i="24"/>
  <c r="AX22" i="24" s="1"/>
  <c r="BD22" i="24" s="1"/>
  <c r="AL15" i="25"/>
  <c r="AX15" i="25" s="1"/>
  <c r="BD15" i="25" s="1"/>
  <c r="Q25" i="22"/>
  <c r="AU25" i="22" s="1"/>
  <c r="AS32" i="26"/>
  <c r="AY32" i="26" s="1"/>
  <c r="BE32" i="26" s="1"/>
  <c r="AE25" i="24"/>
  <c r="AW25" i="24" s="1"/>
  <c r="BC25" i="24" s="1"/>
  <c r="AE24" i="24"/>
  <c r="AW24" i="24" s="1"/>
  <c r="BC24" i="24" s="1"/>
  <c r="AS40" i="22"/>
  <c r="AY40" i="22" s="1"/>
  <c r="BE40" i="22" s="1"/>
  <c r="X33" i="24"/>
  <c r="AV33" i="24" s="1"/>
  <c r="BB33" i="24" s="1"/>
  <c r="BJ23" i="23"/>
  <c r="BK23" i="23" s="1"/>
  <c r="BI23" i="23"/>
  <c r="AL27" i="26"/>
  <c r="AX27" i="26" s="1"/>
  <c r="BD27" i="26" s="1"/>
  <c r="AE45" i="25"/>
  <c r="AW45" i="25" s="1"/>
  <c r="BC45" i="25" s="1"/>
  <c r="AS17" i="23"/>
  <c r="AY17" i="23" s="1"/>
  <c r="BE17" i="23" s="1"/>
  <c r="BJ34" i="25"/>
  <c r="BK34" i="25" s="1"/>
  <c r="BI34" i="25"/>
  <c r="X33" i="23"/>
  <c r="AV33" i="23" s="1"/>
  <c r="BB33" i="23" s="1"/>
  <c r="AE32" i="22"/>
  <c r="AW32" i="22" s="1"/>
  <c r="BC32" i="22" s="1"/>
  <c r="BI48" i="24"/>
  <c r="BJ48" i="24"/>
  <c r="BK48" i="24" s="1"/>
  <c r="BP48" i="24" s="1"/>
  <c r="X35" i="24"/>
  <c r="AV35" i="24" s="1"/>
  <c r="BB35" i="24" s="1"/>
  <c r="AL25" i="23"/>
  <c r="AX25" i="23" s="1"/>
  <c r="BD25" i="23" s="1"/>
  <c r="Q32" i="25"/>
  <c r="AU32" i="25" s="1"/>
  <c r="AL35" i="22"/>
  <c r="AX35" i="22" s="1"/>
  <c r="BD35" i="22" s="1"/>
  <c r="X34" i="26"/>
  <c r="AV34" i="26" s="1"/>
  <c r="BB34" i="26" s="1"/>
  <c r="AS31" i="23"/>
  <c r="AY31" i="23" s="1"/>
  <c r="BE31" i="23" s="1"/>
  <c r="AL18" i="24"/>
  <c r="AX18" i="24" s="1"/>
  <c r="BD18" i="24" s="1"/>
  <c r="X30" i="22"/>
  <c r="AV30" i="22" s="1"/>
  <c r="BB30" i="22" s="1"/>
  <c r="AK50" i="26"/>
  <c r="AL12" i="26"/>
  <c r="AL26" i="23"/>
  <c r="AX26" i="23" s="1"/>
  <c r="BD26" i="23" s="1"/>
  <c r="Q31" i="24"/>
  <c r="AU31" i="24" s="1"/>
  <c r="AS40" i="24"/>
  <c r="AY40" i="24" s="1"/>
  <c r="BE40" i="24" s="1"/>
  <c r="AS22" i="25"/>
  <c r="AY22" i="25" s="1"/>
  <c r="BE22" i="25" s="1"/>
  <c r="AL17" i="24"/>
  <c r="AX17" i="24" s="1"/>
  <c r="BD17" i="24" s="1"/>
  <c r="AL39" i="26"/>
  <c r="AX39" i="26" s="1"/>
  <c r="BD39" i="26" s="1"/>
  <c r="Q25" i="25"/>
  <c r="AU25" i="25" s="1"/>
  <c r="AL48" i="23"/>
  <c r="AX48" i="23" s="1"/>
  <c r="BD48" i="23" s="1"/>
  <c r="AE13" i="23"/>
  <c r="AW13" i="23" s="1"/>
  <c r="BC13" i="23" s="1"/>
  <c r="Q26" i="22"/>
  <c r="AU26" i="22" s="1"/>
  <c r="X14" i="23"/>
  <c r="AV14" i="23" s="1"/>
  <c r="BB14" i="23" s="1"/>
  <c r="AE36" i="25"/>
  <c r="AW36" i="25" s="1"/>
  <c r="BC36" i="25" s="1"/>
  <c r="X29" i="24"/>
  <c r="AV29" i="24" s="1"/>
  <c r="BB29" i="24" s="1"/>
  <c r="Q18" i="23"/>
  <c r="AU18" i="23" s="1"/>
  <c r="BJ41" i="24"/>
  <c r="BK41" i="24" s="1"/>
  <c r="BI41" i="24"/>
  <c r="AL16" i="23"/>
  <c r="AX16" i="23" s="1"/>
  <c r="BD16" i="23" s="1"/>
  <c r="P50" i="23"/>
  <c r="Q12" i="23"/>
  <c r="AL37" i="26"/>
  <c r="AX37" i="26" s="1"/>
  <c r="BD37" i="26" s="1"/>
  <c r="AK50" i="25"/>
  <c r="AL12" i="25"/>
  <c r="AS23" i="24"/>
  <c r="AY23" i="24" s="1"/>
  <c r="BE23" i="24" s="1"/>
  <c r="Q46" i="22"/>
  <c r="AU46" i="22" s="1"/>
  <c r="AL39" i="22"/>
  <c r="AX39" i="22" s="1"/>
  <c r="BD39" i="22" s="1"/>
  <c r="AE39" i="23"/>
  <c r="AW39" i="23" s="1"/>
  <c r="BC39" i="23" s="1"/>
  <c r="AS29" i="26"/>
  <c r="AY29" i="26" s="1"/>
  <c r="BE29" i="26" s="1"/>
  <c r="Q28" i="23"/>
  <c r="AU28" i="23" s="1"/>
  <c r="AS47" i="23"/>
  <c r="AY47" i="23" s="1"/>
  <c r="BE47" i="23" s="1"/>
  <c r="AS19" i="25"/>
  <c r="AY19" i="25" s="1"/>
  <c r="BE19" i="25" s="1"/>
  <c r="AL49" i="26"/>
  <c r="AX49" i="26" s="1"/>
  <c r="BD49" i="26" s="1"/>
  <c r="BJ37" i="23"/>
  <c r="BK37" i="23" s="1"/>
  <c r="BI37" i="23"/>
  <c r="BJ12" i="23"/>
  <c r="BI12" i="23"/>
  <c r="AL22" i="26"/>
  <c r="AX22" i="26" s="1"/>
  <c r="BD22" i="26" s="1"/>
  <c r="AS15" i="23"/>
  <c r="AY15" i="23" s="1"/>
  <c r="BE15" i="23" s="1"/>
  <c r="X34" i="24"/>
  <c r="AV34" i="24" s="1"/>
  <c r="BB34" i="24" s="1"/>
  <c r="AL23" i="22"/>
  <c r="AX23" i="22" s="1"/>
  <c r="BD23" i="22" s="1"/>
  <c r="X49" i="22"/>
  <c r="AV49" i="22" s="1"/>
  <c r="BB49" i="22" s="1"/>
  <c r="AE19" i="24"/>
  <c r="AW19" i="24" s="1"/>
  <c r="BC19" i="24" s="1"/>
  <c r="X43" i="23"/>
  <c r="AV43" i="23" s="1"/>
  <c r="BB43" i="23" s="1"/>
  <c r="AL45" i="22"/>
  <c r="AX45" i="22" s="1"/>
  <c r="BD45" i="22" s="1"/>
  <c r="X36" i="26"/>
  <c r="AV36" i="26" s="1"/>
  <c r="BB36" i="26" s="1"/>
  <c r="X17" i="22"/>
  <c r="AV17" i="22" s="1"/>
  <c r="BB17" i="22" s="1"/>
  <c r="Q39" i="22"/>
  <c r="AU39" i="22" s="1"/>
  <c r="AE31" i="22"/>
  <c r="AW31" i="22" s="1"/>
  <c r="BC31" i="22" s="1"/>
  <c r="AL47" i="22"/>
  <c r="AX47" i="22" s="1"/>
  <c r="BD47" i="22" s="1"/>
  <c r="X39" i="23"/>
  <c r="AV39" i="23" s="1"/>
  <c r="BB39" i="23" s="1"/>
  <c r="X28" i="23"/>
  <c r="AV28" i="23" s="1"/>
  <c r="BB28" i="23" s="1"/>
  <c r="AS46" i="23"/>
  <c r="AY46" i="23" s="1"/>
  <c r="BE46" i="23" s="1"/>
  <c r="BJ41" i="26"/>
  <c r="BK41" i="26"/>
  <c r="BI41" i="26"/>
  <c r="AE22" i="22"/>
  <c r="AW22" i="22" s="1"/>
  <c r="BC22" i="22" s="1"/>
  <c r="BJ13" i="25"/>
  <c r="BK13" i="25"/>
  <c r="BI13" i="25"/>
  <c r="BP29" i="24"/>
  <c r="AL19" i="25"/>
  <c r="AX19" i="25" s="1"/>
  <c r="BD19" i="25" s="1"/>
  <c r="BK47" i="24"/>
  <c r="BJ47" i="24"/>
  <c r="BI47" i="24"/>
  <c r="X16" i="24"/>
  <c r="AV16" i="24" s="1"/>
  <c r="BB16" i="24" s="1"/>
  <c r="AS15" i="22"/>
  <c r="AY15" i="22" s="1"/>
  <c r="BE15" i="22" s="1"/>
  <c r="AS31" i="25"/>
  <c r="AY31" i="25" s="1"/>
  <c r="BE31" i="25" s="1"/>
  <c r="X16" i="23"/>
  <c r="AV16" i="23" s="1"/>
  <c r="BB16" i="23" s="1"/>
  <c r="AS49" i="26"/>
  <c r="AY49" i="26" s="1"/>
  <c r="BE49" i="26" s="1"/>
  <c r="Q37" i="23"/>
  <c r="AU37" i="23" s="1"/>
  <c r="AK50" i="23"/>
  <c r="AL12" i="23"/>
  <c r="AR50" i="22"/>
  <c r="AS12" i="22"/>
  <c r="AL14" i="25"/>
  <c r="AX14" i="25" s="1"/>
  <c r="BD14" i="25" s="1"/>
  <c r="Q35" i="26"/>
  <c r="AU35" i="26" s="1"/>
  <c r="AL15" i="23"/>
  <c r="AX15" i="23" s="1"/>
  <c r="BD15" i="23" s="1"/>
  <c r="AE32" i="24"/>
  <c r="AW32" i="24" s="1"/>
  <c r="BC32" i="24" s="1"/>
  <c r="X23" i="22"/>
  <c r="AV23" i="22" s="1"/>
  <c r="BB23" i="22" s="1"/>
  <c r="BI37" i="26"/>
  <c r="BJ37" i="26"/>
  <c r="BK37" i="26" s="1"/>
  <c r="X45" i="26"/>
  <c r="AV45" i="26" s="1"/>
  <c r="BB45" i="26" s="1"/>
  <c r="AL26" i="24"/>
  <c r="AX26" i="24" s="1"/>
  <c r="BD26" i="24" s="1"/>
  <c r="Q33" i="22"/>
  <c r="AU33" i="22" s="1"/>
  <c r="Q33" i="25"/>
  <c r="AU33" i="25" s="1"/>
  <c r="W50" i="25"/>
  <c r="X12" i="25"/>
  <c r="BI21" i="23"/>
  <c r="BJ21" i="23"/>
  <c r="BK21" i="23" s="1"/>
  <c r="BP21" i="23" s="1"/>
  <c r="AE44" i="22"/>
  <c r="AW44" i="22" s="1"/>
  <c r="BC44" i="22" s="1"/>
  <c r="AE23" i="24"/>
  <c r="AW23" i="24" s="1"/>
  <c r="BC23" i="24" s="1"/>
  <c r="AL21" i="26"/>
  <c r="AX21" i="26" s="1"/>
  <c r="BD21" i="26" s="1"/>
  <c r="X18" i="25"/>
  <c r="AV18" i="25" s="1"/>
  <c r="BB18" i="25" s="1"/>
  <c r="AS42" i="25"/>
  <c r="AY42" i="25" s="1"/>
  <c r="BE42" i="25" s="1"/>
  <c r="X20" i="22"/>
  <c r="AV20" i="22" s="1"/>
  <c r="BB20" i="22" s="1"/>
  <c r="AE34" i="22"/>
  <c r="AW34" i="22" s="1"/>
  <c r="BC34" i="22" s="1"/>
  <c r="AL38" i="26"/>
  <c r="AX38" i="26" s="1"/>
  <c r="BD38" i="26" s="1"/>
  <c r="AE14" i="22"/>
  <c r="AW14" i="22" s="1"/>
  <c r="BC14" i="22" s="1"/>
  <c r="BP18" i="25"/>
  <c r="AE41" i="23"/>
  <c r="AW41" i="23" s="1"/>
  <c r="BC41" i="23" s="1"/>
  <c r="AS42" i="23"/>
  <c r="AY42" i="23" s="1"/>
  <c r="BE42" i="23" s="1"/>
  <c r="BJ38" i="25"/>
  <c r="BK38" i="25" s="1"/>
  <c r="BP38" i="25" s="1"/>
  <c r="BI38" i="25"/>
  <c r="AS38" i="22"/>
  <c r="AY38" i="22" s="1"/>
  <c r="BE38" i="22" s="1"/>
  <c r="X25" i="26"/>
  <c r="AV25" i="26" s="1"/>
  <c r="BB25" i="26" s="1"/>
  <c r="AS15" i="25"/>
  <c r="AY15" i="25" s="1"/>
  <c r="BE15" i="25" s="1"/>
  <c r="Q32" i="23"/>
  <c r="AU32" i="23" s="1"/>
  <c r="AL32" i="26"/>
  <c r="AX32" i="26" s="1"/>
  <c r="BD32" i="26" s="1"/>
  <c r="AS25" i="24"/>
  <c r="AY25" i="24" s="1"/>
  <c r="BE25" i="24" s="1"/>
  <c r="BJ16" i="25"/>
  <c r="BK16" i="25" s="1"/>
  <c r="BP16" i="25" s="1"/>
  <c r="BI16" i="25"/>
  <c r="AE40" i="22"/>
  <c r="AW40" i="22" s="1"/>
  <c r="BC40" i="22" s="1"/>
  <c r="AL33" i="24"/>
  <c r="AX33" i="24" s="1"/>
  <c r="BD33" i="24" s="1"/>
  <c r="X23" i="23"/>
  <c r="AV23" i="23" s="1"/>
  <c r="BB23" i="23" s="1"/>
  <c r="BJ45" i="24"/>
  <c r="BK45" i="24" s="1"/>
  <c r="BI45" i="24"/>
  <c r="AS27" i="26"/>
  <c r="AY27" i="26" s="1"/>
  <c r="BE27" i="26" s="1"/>
  <c r="Q45" i="25"/>
  <c r="AU45" i="25" s="1"/>
  <c r="AL39" i="25"/>
  <c r="AX39" i="25" s="1"/>
  <c r="BD39" i="25" s="1"/>
  <c r="AS34" i="25"/>
  <c r="AY34" i="25" s="1"/>
  <c r="BE34" i="25" s="1"/>
  <c r="AL33" i="23"/>
  <c r="AX33" i="23" s="1"/>
  <c r="BD33" i="23" s="1"/>
  <c r="AL36" i="22"/>
  <c r="AX36" i="22" s="1"/>
  <c r="BD36" i="22" s="1"/>
  <c r="X28" i="24"/>
  <c r="AV28" i="24" s="1"/>
  <c r="BB28" i="24" s="1"/>
  <c r="Q32" i="22"/>
  <c r="AU32" i="22" s="1"/>
  <c r="AL35" i="24"/>
  <c r="AX35" i="24" s="1"/>
  <c r="BD35" i="24" s="1"/>
  <c r="X25" i="23"/>
  <c r="AV25" i="23" s="1"/>
  <c r="BB25" i="23" s="1"/>
  <c r="AE35" i="22"/>
  <c r="AW35" i="22" s="1"/>
  <c r="BC35" i="22" s="1"/>
  <c r="AE34" i="26"/>
  <c r="AW34" i="26" s="1"/>
  <c r="BC34" i="26" s="1"/>
  <c r="AE45" i="23"/>
  <c r="AW45" i="23" s="1"/>
  <c r="BC45" i="23" s="1"/>
  <c r="BJ30" i="23"/>
  <c r="BK30" i="23" s="1"/>
  <c r="BP30" i="23" s="1"/>
  <c r="BI30" i="23"/>
  <c r="BJ28" i="25"/>
  <c r="BK28" i="25" s="1"/>
  <c r="BI28" i="25"/>
  <c r="AE31" i="24"/>
  <c r="AW31" i="24" s="1"/>
  <c r="BC31" i="24" s="1"/>
  <c r="BI18" i="22"/>
  <c r="BJ18" i="22"/>
  <c r="BK18" i="22" s="1"/>
  <c r="BP18" i="22" s="1"/>
  <c r="X40" i="24"/>
  <c r="AV40" i="24" s="1"/>
  <c r="BB40" i="24" s="1"/>
  <c r="Q39" i="26"/>
  <c r="AU39" i="26" s="1"/>
  <c r="AE23" i="26"/>
  <c r="AW23" i="26" s="1"/>
  <c r="BC23" i="26" s="1"/>
  <c r="BJ49" i="24"/>
  <c r="BK49" i="24"/>
  <c r="BI49" i="24"/>
  <c r="AE25" i="25"/>
  <c r="AW25" i="25" s="1"/>
  <c r="BC25" i="25" s="1"/>
  <c r="AS18" i="25"/>
  <c r="AY18" i="25" s="1"/>
  <c r="BE18" i="25" s="1"/>
  <c r="AS13" i="23"/>
  <c r="AY13" i="23" s="1"/>
  <c r="BE13" i="23" s="1"/>
  <c r="AE26" i="22"/>
  <c r="AW26" i="22" s="1"/>
  <c r="BC26" i="22" s="1"/>
  <c r="AL14" i="23"/>
  <c r="AX14" i="23" s="1"/>
  <c r="BD14" i="23" s="1"/>
  <c r="Q29" i="23"/>
  <c r="AU29" i="23" s="1"/>
  <c r="AS49" i="23"/>
  <c r="AY49" i="23" s="1"/>
  <c r="BE49" i="23" s="1"/>
  <c r="Q36" i="25"/>
  <c r="AU36" i="25" s="1"/>
  <c r="AL28" i="23"/>
  <c r="AX28" i="23" s="1"/>
  <c r="BD28" i="23" s="1"/>
  <c r="BJ40" i="23"/>
  <c r="BK40" i="23" s="1"/>
  <c r="BP40" i="23" s="1"/>
  <c r="BI40" i="23"/>
  <c r="BI23" i="25"/>
  <c r="BJ23" i="25"/>
  <c r="BK23" i="25" s="1"/>
  <c r="BP23" i="25" s="1"/>
  <c r="BJ19" i="23"/>
  <c r="BK19" i="23" s="1"/>
  <c r="BP19" i="23" s="1"/>
  <c r="BI19" i="23"/>
  <c r="BJ21" i="22"/>
  <c r="BK21" i="22" s="1"/>
  <c r="BP21" i="22" s="1"/>
  <c r="BI21" i="22"/>
  <c r="AL45" i="26"/>
  <c r="AX45" i="26" s="1"/>
  <c r="BD45" i="26" s="1"/>
  <c r="BJ40" i="25"/>
  <c r="BK40" i="25" s="1"/>
  <c r="BI40" i="25"/>
  <c r="BJ48" i="22"/>
  <c r="BK48" i="22" s="1"/>
  <c r="BP48" i="22" s="1"/>
  <c r="BI48" i="22"/>
  <c r="Q45" i="22"/>
  <c r="AU45" i="22" s="1"/>
  <c r="BI38" i="23"/>
  <c r="BJ38" i="23"/>
  <c r="BK38" i="23" s="1"/>
  <c r="X15" i="25"/>
  <c r="AV15" i="25" s="1"/>
  <c r="BB15" i="25" s="1"/>
  <c r="AS39" i="25"/>
  <c r="AY39" i="25" s="1"/>
  <c r="BE39" i="25" s="1"/>
  <c r="Q32" i="26"/>
  <c r="AU32" i="26" s="1"/>
  <c r="AE16" i="25"/>
  <c r="AW16" i="25" s="1"/>
  <c r="BC16" i="25" s="1"/>
  <c r="BJ37" i="22"/>
  <c r="BK37" i="22" s="1"/>
  <c r="BP37" i="22" s="1"/>
  <c r="BI37" i="22"/>
  <c r="X40" i="22"/>
  <c r="AV40" i="22" s="1"/>
  <c r="BB40" i="22" s="1"/>
  <c r="AE45" i="24"/>
  <c r="AW45" i="24" s="1"/>
  <c r="BC45" i="24" s="1"/>
  <c r="AE27" i="26"/>
  <c r="AW27" i="26" s="1"/>
  <c r="BC27" i="26" s="1"/>
  <c r="X45" i="25"/>
  <c r="AV45" i="25" s="1"/>
  <c r="BB45" i="25" s="1"/>
  <c r="AL20" i="26"/>
  <c r="AX20" i="26" s="1"/>
  <c r="BD20" i="26" s="1"/>
  <c r="BJ35" i="25"/>
  <c r="BK35" i="25" s="1"/>
  <c r="BI35" i="25"/>
  <c r="AS28" i="24"/>
  <c r="AY28" i="24" s="1"/>
  <c r="BE28" i="24" s="1"/>
  <c r="AS32" i="22"/>
  <c r="AY32" i="22" s="1"/>
  <c r="BE32" i="22" s="1"/>
  <c r="AL48" i="24"/>
  <c r="AX48" i="24" s="1"/>
  <c r="BD48" i="24" s="1"/>
  <c r="X32" i="23"/>
  <c r="AV32" i="23" s="1"/>
  <c r="BB32" i="23" s="1"/>
  <c r="AS25" i="23"/>
  <c r="AY25" i="23" s="1"/>
  <c r="BE25" i="23" s="1"/>
  <c r="BI24" i="26"/>
  <c r="BJ24" i="26"/>
  <c r="BK24" i="26" s="1"/>
  <c r="BP24" i="26" s="1"/>
  <c r="AS35" i="22"/>
  <c r="AY35" i="22" s="1"/>
  <c r="BE35" i="22" s="1"/>
  <c r="AS34" i="26"/>
  <c r="AY34" i="26" s="1"/>
  <c r="BE34" i="26" s="1"/>
  <c r="BJ42" i="24"/>
  <c r="BK42" i="24" s="1"/>
  <c r="BI42" i="24"/>
  <c r="AE18" i="24"/>
  <c r="AW18" i="24" s="1"/>
  <c r="BC18" i="24" s="1"/>
  <c r="AS30" i="23"/>
  <c r="AY30" i="23" s="1"/>
  <c r="BE30" i="23" s="1"/>
  <c r="AL30" i="22"/>
  <c r="AX30" i="22" s="1"/>
  <c r="BD30" i="22" s="1"/>
  <c r="AD50" i="26"/>
  <c r="AE12" i="26"/>
  <c r="AE19" i="26"/>
  <c r="AW19" i="26" s="1"/>
  <c r="BC19" i="26" s="1"/>
  <c r="X31" i="24"/>
  <c r="AV31" i="24" s="1"/>
  <c r="BB31" i="24" s="1"/>
  <c r="AE18" i="22"/>
  <c r="AW18" i="22" s="1"/>
  <c r="BC18" i="22" s="1"/>
  <c r="AL40" i="24"/>
  <c r="AX40" i="24" s="1"/>
  <c r="BD40" i="24" s="1"/>
  <c r="BJ13" i="22"/>
  <c r="BK13" i="22" s="1"/>
  <c r="BI13" i="22"/>
  <c r="Q17" i="24"/>
  <c r="AU17" i="24" s="1"/>
  <c r="BJ35" i="23"/>
  <c r="BK35" i="23" s="1"/>
  <c r="BP35" i="23" s="1"/>
  <c r="BI35" i="23"/>
  <c r="BK28" i="22"/>
  <c r="BJ28" i="22"/>
  <c r="BI28" i="22"/>
  <c r="AS49" i="24"/>
  <c r="AY49" i="24" s="1"/>
  <c r="BE49" i="24" s="1"/>
  <c r="AS25" i="25"/>
  <c r="AY25" i="25" s="1"/>
  <c r="BE25" i="25" s="1"/>
  <c r="BI36" i="23"/>
  <c r="BJ36" i="23"/>
  <c r="BK36" i="23" s="1"/>
  <c r="BP36" i="23" s="1"/>
  <c r="X13" i="23"/>
  <c r="AV13" i="23" s="1"/>
  <c r="BB13" i="23" s="1"/>
  <c r="BL51" i="22"/>
  <c r="AS26" i="22"/>
  <c r="AY26" i="22" s="1"/>
  <c r="BE26" i="22" s="1"/>
  <c r="AL48" i="26"/>
  <c r="AX48" i="26" s="1"/>
  <c r="BD48" i="26" s="1"/>
  <c r="X21" i="24"/>
  <c r="AV21" i="24" s="1"/>
  <c r="BB21" i="24" s="1"/>
  <c r="AL36" i="25"/>
  <c r="AX36" i="25" s="1"/>
  <c r="BD36" i="25" s="1"/>
  <c r="BI16" i="26"/>
  <c r="BJ16" i="26"/>
  <c r="BK16" i="26" s="1"/>
  <c r="BP16" i="26" s="1"/>
  <c r="X34" i="23"/>
  <c r="AV34" i="23" s="1"/>
  <c r="BB34" i="23" s="1"/>
  <c r="AS33" i="22"/>
  <c r="AY33" i="22" s="1"/>
  <c r="BE33" i="22" s="1"/>
  <c r="AS44" i="22"/>
  <c r="AY44" i="22" s="1"/>
  <c r="BE44" i="22" s="1"/>
  <c r="Q21" i="25"/>
  <c r="AU21" i="25" s="1"/>
  <c r="BI46" i="25"/>
  <c r="BJ46" i="25"/>
  <c r="BK46" i="25" s="1"/>
  <c r="BP46" i="25" s="1"/>
  <c r="AS42" i="26"/>
  <c r="AY42" i="26" s="1"/>
  <c r="BE42" i="26" s="1"/>
  <c r="X22" i="22"/>
  <c r="AV22" i="22" s="1"/>
  <c r="BB22" i="22" s="1"/>
  <c r="X37" i="23"/>
  <c r="AV37" i="23" s="1"/>
  <c r="BB37" i="23" s="1"/>
  <c r="AE48" i="26"/>
  <c r="AW48" i="26" s="1"/>
  <c r="BC48" i="26" s="1"/>
  <c r="AE26" i="24"/>
  <c r="AW26" i="24" s="1"/>
  <c r="BC26" i="24" s="1"/>
  <c r="BI27" i="22"/>
  <c r="BJ27" i="22"/>
  <c r="BK27" i="22" s="1"/>
  <c r="AE32" i="26"/>
  <c r="AW32" i="26" s="1"/>
  <c r="BC32" i="26" s="1"/>
  <c r="Q23" i="23"/>
  <c r="AU23" i="23" s="1"/>
  <c r="BI20" i="26"/>
  <c r="BJ20" i="26"/>
  <c r="BK20" i="26" s="1"/>
  <c r="BP20" i="26" s="1"/>
  <c r="BL51" i="24"/>
  <c r="AE13" i="22"/>
  <c r="AW13" i="22" s="1"/>
  <c r="BC13" i="22" s="1"/>
  <c r="AS17" i="24"/>
  <c r="AY17" i="24" s="1"/>
  <c r="BE17" i="24" s="1"/>
  <c r="AS28" i="22"/>
  <c r="AY28" i="22" s="1"/>
  <c r="BE28" i="22" s="1"/>
  <c r="AE49" i="24"/>
  <c r="AW49" i="24" s="1"/>
  <c r="BC49" i="24" s="1"/>
  <c r="AE36" i="23"/>
  <c r="AW36" i="23" s="1"/>
  <c r="BC36" i="23" s="1"/>
  <c r="Q13" i="23"/>
  <c r="AU13" i="23" s="1"/>
  <c r="BQ50" i="22"/>
  <c r="BI15" i="24"/>
  <c r="BJ15" i="24"/>
  <c r="BK15" i="24" s="1"/>
  <c r="X26" i="22"/>
  <c r="AV26" i="22" s="1"/>
  <c r="BB26" i="22" s="1"/>
  <c r="Q14" i="23"/>
  <c r="AU14" i="23" s="1"/>
  <c r="AE29" i="24"/>
  <c r="AW29" i="24" s="1"/>
  <c r="BC29" i="24" s="1"/>
  <c r="Q19" i="26"/>
  <c r="AU19" i="26" s="1"/>
  <c r="AL29" i="23"/>
  <c r="AX29" i="23" s="1"/>
  <c r="BD29" i="23" s="1"/>
  <c r="AL29" i="26"/>
  <c r="AX29" i="26" s="1"/>
  <c r="BD29" i="26" s="1"/>
  <c r="X40" i="23"/>
  <c r="AV40" i="23" s="1"/>
  <c r="BB40" i="23" s="1"/>
  <c r="Q16" i="24"/>
  <c r="AU16" i="24" s="1"/>
  <c r="AS21" i="22"/>
  <c r="AY21" i="22" s="1"/>
  <c r="BE21" i="22" s="1"/>
  <c r="BJ14" i="26"/>
  <c r="BK14" i="26" s="1"/>
  <c r="BP14" i="26" s="1"/>
  <c r="BI14" i="26"/>
  <c r="Q23" i="22"/>
  <c r="AU23" i="22" s="1"/>
  <c r="AS34" i="23"/>
  <c r="AY34" i="23" s="1"/>
  <c r="BE34" i="23" s="1"/>
  <c r="AE21" i="23"/>
  <c r="AW21" i="23" s="1"/>
  <c r="BC21" i="23" s="1"/>
  <c r="Q21" i="26"/>
  <c r="AU21" i="26" s="1"/>
  <c r="AS38" i="26"/>
  <c r="AY38" i="26" s="1"/>
  <c r="BE38" i="26" s="1"/>
  <c r="X38" i="23"/>
  <c r="AV38" i="23" s="1"/>
  <c r="BB38" i="23" s="1"/>
  <c r="X41" i="23"/>
  <c r="AV41" i="23" s="1"/>
  <c r="BB41" i="23" s="1"/>
  <c r="Q43" i="25"/>
  <c r="AU43" i="25" s="1"/>
  <c r="Q16" i="25"/>
  <c r="AU16" i="25" s="1"/>
  <c r="AL40" i="22"/>
  <c r="AX40" i="22" s="1"/>
  <c r="BD40" i="22" s="1"/>
  <c r="Q48" i="24"/>
  <c r="AU48" i="24" s="1"/>
  <c r="BI43" i="26"/>
  <c r="BJ43" i="26"/>
  <c r="BK43" i="26" s="1"/>
  <c r="BP43" i="26" s="1"/>
  <c r="AR50" i="26"/>
  <c r="AS12" i="26"/>
  <c r="AE36" i="26"/>
  <c r="AW36" i="26" s="1"/>
  <c r="BC36" i="26" s="1"/>
  <c r="AE17" i="22"/>
  <c r="AW17" i="22" s="1"/>
  <c r="BC17" i="22" s="1"/>
  <c r="AL31" i="22"/>
  <c r="AX31" i="22" s="1"/>
  <c r="BD31" i="22" s="1"/>
  <c r="AE47" i="22"/>
  <c r="AW47" i="22" s="1"/>
  <c r="BC47" i="22" s="1"/>
  <c r="Q42" i="26"/>
  <c r="AU42" i="26" s="1"/>
  <c r="AS18" i="23"/>
  <c r="AY18" i="23" s="1"/>
  <c r="BE18" i="23" s="1"/>
  <c r="X29" i="26"/>
  <c r="AV29" i="26" s="1"/>
  <c r="BB29" i="26" s="1"/>
  <c r="BI37" i="25"/>
  <c r="BJ37" i="25"/>
  <c r="BK37" i="25" s="1"/>
  <c r="BP37" i="25" s="1"/>
  <c r="Q41" i="26"/>
  <c r="AU41" i="26" s="1"/>
  <c r="X22" i="23"/>
  <c r="AV22" i="23" s="1"/>
  <c r="BB22" i="23" s="1"/>
  <c r="AE19" i="22"/>
  <c r="AW19" i="22" s="1"/>
  <c r="BC19" i="22" s="1"/>
  <c r="AL22" i="22"/>
  <c r="AX22" i="22" s="1"/>
  <c r="BD22" i="22" s="1"/>
  <c r="AL40" i="23"/>
  <c r="AX40" i="23" s="1"/>
  <c r="BD40" i="23" s="1"/>
  <c r="BJ27" i="24"/>
  <c r="BK27" i="24" s="1"/>
  <c r="BI27" i="24"/>
  <c r="AS41" i="24"/>
  <c r="AY41" i="24" s="1"/>
  <c r="BE41" i="24" s="1"/>
  <c r="AS47" i="24"/>
  <c r="AY47" i="24" s="1"/>
  <c r="BE47" i="24" s="1"/>
  <c r="AE23" i="25"/>
  <c r="AW23" i="25" s="1"/>
  <c r="BC23" i="25" s="1"/>
  <c r="BJ13" i="24"/>
  <c r="BK13" i="24" s="1"/>
  <c r="BI13" i="24"/>
  <c r="AE19" i="23"/>
  <c r="AW19" i="23" s="1"/>
  <c r="BC19" i="23" s="1"/>
  <c r="AS48" i="26"/>
  <c r="AY48" i="26" s="1"/>
  <c r="BE48" i="26" s="1"/>
  <c r="Q16" i="23"/>
  <c r="AU16" i="23" s="1"/>
  <c r="X16" i="26"/>
  <c r="AV16" i="26" s="1"/>
  <c r="BB16" i="26" s="1"/>
  <c r="AK50" i="22"/>
  <c r="AL12" i="22"/>
  <c r="X14" i="26"/>
  <c r="AV14" i="26" s="1"/>
  <c r="BB14" i="26" s="1"/>
  <c r="BL51" i="26"/>
  <c r="AL20" i="25"/>
  <c r="AX20" i="25" s="1"/>
  <c r="BD20" i="25" s="1"/>
  <c r="AE23" i="22"/>
  <c r="AW23" i="22" s="1"/>
  <c r="BC23" i="22" s="1"/>
  <c r="BQ50" i="25"/>
  <c r="AS49" i="22"/>
  <c r="AY49" i="22" s="1"/>
  <c r="BE49" i="22" s="1"/>
  <c r="Q37" i="26"/>
  <c r="AU37" i="26" s="1"/>
  <c r="BJ12" i="24"/>
  <c r="BK12" i="24" s="1"/>
  <c r="BI12" i="24"/>
  <c r="Q34" i="23"/>
  <c r="AU34" i="23" s="1"/>
  <c r="AE15" i="26"/>
  <c r="AW15" i="26" s="1"/>
  <c r="BC15" i="26" s="1"/>
  <c r="BJ30" i="25"/>
  <c r="BK30" i="25" s="1"/>
  <c r="BP30" i="25" s="1"/>
  <c r="BI30" i="25"/>
  <c r="AS26" i="24"/>
  <c r="AY26" i="24" s="1"/>
  <c r="BE26" i="24" s="1"/>
  <c r="AS21" i="23"/>
  <c r="AY21" i="23" s="1"/>
  <c r="BE21" i="23" s="1"/>
  <c r="AE32" i="23"/>
  <c r="AW32" i="23" s="1"/>
  <c r="BC32" i="23" s="1"/>
  <c r="AL27" i="22"/>
  <c r="AX27" i="22" s="1"/>
  <c r="BD27" i="22" s="1"/>
  <c r="AS21" i="26"/>
  <c r="AY21" i="26" s="1"/>
  <c r="BE21" i="26" s="1"/>
  <c r="AS48" i="22"/>
  <c r="AY48" i="22" s="1"/>
  <c r="BE48" i="22" s="1"/>
  <c r="BJ38" i="24"/>
  <c r="BK38" i="24" s="1"/>
  <c r="BI38" i="24"/>
  <c r="AS21" i="25"/>
  <c r="AY21" i="25" s="1"/>
  <c r="BE21" i="25" s="1"/>
  <c r="AS46" i="22"/>
  <c r="AY46" i="22" s="1"/>
  <c r="BE46" i="22" s="1"/>
  <c r="AL46" i="25"/>
  <c r="AX46" i="25" s="1"/>
  <c r="BD46" i="25" s="1"/>
  <c r="AS45" i="22"/>
  <c r="AY45" i="22" s="1"/>
  <c r="BE45" i="22" s="1"/>
  <c r="AS34" i="22"/>
  <c r="AY34" i="22" s="1"/>
  <c r="BE34" i="22" s="1"/>
  <c r="AE38" i="26"/>
  <c r="AW38" i="26" s="1"/>
  <c r="BC38" i="26" s="1"/>
  <c r="AL38" i="23"/>
  <c r="AX38" i="23" s="1"/>
  <c r="BD38" i="23" s="1"/>
  <c r="Q30" i="26"/>
  <c r="AU30" i="26" s="1"/>
  <c r="AS20" i="23"/>
  <c r="AY20" i="23" s="1"/>
  <c r="BE20" i="23" s="1"/>
  <c r="AL41" i="23"/>
  <c r="AX41" i="23" s="1"/>
  <c r="BD41" i="23" s="1"/>
  <c r="AL38" i="25"/>
  <c r="AX38" i="25" s="1"/>
  <c r="BD38" i="25" s="1"/>
  <c r="X43" i="25"/>
  <c r="AV43" i="25" s="1"/>
  <c r="BB43" i="25" s="1"/>
  <c r="BI26" i="25"/>
  <c r="BJ26" i="25"/>
  <c r="BK26" i="25" s="1"/>
  <c r="BP26" i="25" s="1"/>
  <c r="Q25" i="26"/>
  <c r="AU25" i="26" s="1"/>
  <c r="Q15" i="25"/>
  <c r="AU15" i="25" s="1"/>
  <c r="AS24" i="23"/>
  <c r="AY24" i="23" s="1"/>
  <c r="BE24" i="23" s="1"/>
  <c r="X32" i="26"/>
  <c r="AV32" i="26" s="1"/>
  <c r="BB32" i="26" s="1"/>
  <c r="Q25" i="24"/>
  <c r="AU25" i="24" s="1"/>
  <c r="AS16" i="25"/>
  <c r="AY16" i="25" s="1"/>
  <c r="BE16" i="25" s="1"/>
  <c r="AS37" i="22"/>
  <c r="AY37" i="22" s="1"/>
  <c r="BE37" i="22" s="1"/>
  <c r="BJ47" i="25"/>
  <c r="BK47" i="25" s="1"/>
  <c r="BP47" i="25" s="1"/>
  <c r="BI47" i="25"/>
  <c r="AE23" i="23"/>
  <c r="AW23" i="23" s="1"/>
  <c r="BC23" i="23" s="1"/>
  <c r="AS45" i="24"/>
  <c r="AY45" i="24" s="1"/>
  <c r="BE45" i="24" s="1"/>
  <c r="BI37" i="24"/>
  <c r="BJ37" i="24"/>
  <c r="BK37" i="24" s="1"/>
  <c r="AE20" i="26"/>
  <c r="AW20" i="26" s="1"/>
  <c r="BC20" i="26" s="1"/>
  <c r="AL34" i="25"/>
  <c r="AX34" i="25" s="1"/>
  <c r="BD34" i="25" s="1"/>
  <c r="BJ44" i="25"/>
  <c r="BK44" i="25"/>
  <c r="BI44" i="25"/>
  <c r="X35" i="25"/>
  <c r="AV35" i="25" s="1"/>
  <c r="BB35" i="25" s="1"/>
  <c r="BJ33" i="26"/>
  <c r="BK33" i="26" s="1"/>
  <c r="BI33" i="26"/>
  <c r="AE48" i="24"/>
  <c r="AW48" i="24" s="1"/>
  <c r="BC48" i="24" s="1"/>
  <c r="BJ47" i="26"/>
  <c r="BK47" i="26" s="1"/>
  <c r="BI47" i="26"/>
  <c r="Q24" i="26"/>
  <c r="AU24" i="26" s="1"/>
  <c r="AL18" i="26"/>
  <c r="AX18" i="26" s="1"/>
  <c r="BD18" i="26" s="1"/>
  <c r="AL34" i="26"/>
  <c r="AX34" i="26" s="1"/>
  <c r="BD34" i="26" s="1"/>
  <c r="Q42" i="24"/>
  <c r="AU42" i="24" s="1"/>
  <c r="AL43" i="26"/>
  <c r="AX43" i="26" s="1"/>
  <c r="BD43" i="26" s="1"/>
  <c r="X18" i="24"/>
  <c r="AV18" i="24" s="1"/>
  <c r="BB18" i="24" s="1"/>
  <c r="X30" i="23"/>
  <c r="AV30" i="23" s="1"/>
  <c r="BB30" i="23" s="1"/>
  <c r="X29" i="25"/>
  <c r="AV29" i="25" s="1"/>
  <c r="BB29" i="25" s="1"/>
  <c r="BJ44" i="24"/>
  <c r="BK44" i="24" s="1"/>
  <c r="BP44" i="24" s="1"/>
  <c r="BI44" i="24"/>
  <c r="BI12" i="26"/>
  <c r="BJ12" i="26"/>
  <c r="Q39" i="25"/>
  <c r="AU39" i="25" s="1"/>
  <c r="AE28" i="25"/>
  <c r="AW28" i="25" s="1"/>
  <c r="BC28" i="25" s="1"/>
  <c r="BJ24" i="25"/>
  <c r="BI24" i="25"/>
  <c r="BK24" i="25"/>
  <c r="BQ50" i="24"/>
  <c r="AS13" i="22"/>
  <c r="AY13" i="22" s="1"/>
  <c r="BE13" i="22" s="1"/>
  <c r="BP49" i="23"/>
  <c r="Q35" i="23"/>
  <c r="AU35" i="23" s="1"/>
  <c r="AE28" i="22"/>
  <c r="AW28" i="22" s="1"/>
  <c r="BC28" i="22" s="1"/>
  <c r="X49" i="24"/>
  <c r="AV49" i="24" s="1"/>
  <c r="BB49" i="24" s="1"/>
  <c r="Q36" i="23"/>
  <c r="AU36" i="23" s="1"/>
  <c r="AL45" i="23"/>
  <c r="AX45" i="23" s="1"/>
  <c r="BD45" i="23" s="1"/>
  <c r="BI30" i="24"/>
  <c r="BJ30" i="24"/>
  <c r="BK30" i="24" s="1"/>
  <c r="BP30" i="24" s="1"/>
  <c r="Q15" i="24"/>
  <c r="AU15" i="24" s="1"/>
  <c r="AE14" i="23"/>
  <c r="AW14" i="23" s="1"/>
  <c r="BC14" i="23" s="1"/>
  <c r="Q18" i="25"/>
  <c r="AU18" i="25" s="1"/>
  <c r="AS36" i="25"/>
  <c r="AY36" i="25" s="1"/>
  <c r="BE36" i="25" s="1"/>
  <c r="Q45" i="23"/>
  <c r="AU45" i="23" s="1"/>
  <c r="BK15" i="26"/>
  <c r="BJ15" i="26"/>
  <c r="BI15" i="26"/>
  <c r="AL33" i="22"/>
  <c r="AX33" i="22" s="1"/>
  <c r="BD33" i="22" s="1"/>
  <c r="AL40" i="25"/>
  <c r="AX40" i="25" s="1"/>
  <c r="BD40" i="25" s="1"/>
  <c r="X23" i="24"/>
  <c r="AV23" i="24" s="1"/>
  <c r="BB23" i="24" s="1"/>
  <c r="Q42" i="25"/>
  <c r="AU42" i="25" s="1"/>
  <c r="AE38" i="25"/>
  <c r="AW38" i="25" s="1"/>
  <c r="BC38" i="25" s="1"/>
  <c r="AL31" i="24"/>
  <c r="AX31" i="24" s="1"/>
  <c r="BD31" i="24" s="1"/>
  <c r="BI46" i="26"/>
  <c r="BJ46" i="26"/>
  <c r="BK46" i="26" s="1"/>
  <c r="BP46" i="26" s="1"/>
  <c r="AS17" i="22"/>
  <c r="AY17" i="22" s="1"/>
  <c r="BE17" i="22" s="1"/>
  <c r="BJ41" i="22"/>
  <c r="BK41" i="22" s="1"/>
  <c r="BI41" i="22"/>
  <c r="AS47" i="22"/>
  <c r="AY47" i="22" s="1"/>
  <c r="BE47" i="22" s="1"/>
  <c r="X42" i="26"/>
  <c r="AV42" i="26" s="1"/>
  <c r="BB42" i="26" s="1"/>
  <c r="BJ17" i="25"/>
  <c r="BK17" i="25" s="1"/>
  <c r="BI17" i="25"/>
  <c r="AL15" i="22"/>
  <c r="AX15" i="22" s="1"/>
  <c r="BD15" i="22" s="1"/>
  <c r="X37" i="25"/>
  <c r="AV37" i="25" s="1"/>
  <c r="BB37" i="25" s="1"/>
  <c r="Q46" i="23"/>
  <c r="AU46" i="23" s="1"/>
  <c r="X41" i="26"/>
  <c r="AV41" i="26" s="1"/>
  <c r="BB41" i="26" s="1"/>
  <c r="AS19" i="22"/>
  <c r="AY19" i="22" s="1"/>
  <c r="BE19" i="22" s="1"/>
  <c r="BJ14" i="24"/>
  <c r="BK14" i="24" s="1"/>
  <c r="BP14" i="24" s="1"/>
  <c r="BI14" i="24"/>
  <c r="AE13" i="25"/>
  <c r="AW13" i="25" s="1"/>
  <c r="BC13" i="25" s="1"/>
  <c r="Q40" i="23"/>
  <c r="AU40" i="23" s="1"/>
  <c r="AS27" i="24"/>
  <c r="AY27" i="24" s="1"/>
  <c r="BE27" i="24" s="1"/>
  <c r="X41" i="24"/>
  <c r="AV41" i="24" s="1"/>
  <c r="BB41" i="24" s="1"/>
  <c r="AL47" i="24"/>
  <c r="AX47" i="24" s="1"/>
  <c r="BD47" i="24" s="1"/>
  <c r="X23" i="25"/>
  <c r="AV23" i="25" s="1"/>
  <c r="BB23" i="25" s="1"/>
  <c r="AS19" i="23"/>
  <c r="AY19" i="23" s="1"/>
  <c r="BE19" i="23" s="1"/>
  <c r="BI17" i="26"/>
  <c r="BJ17" i="26"/>
  <c r="BK17" i="26" s="1"/>
  <c r="BP17" i="26" s="1"/>
  <c r="AE16" i="23"/>
  <c r="AW16" i="23" s="1"/>
  <c r="BC16" i="23" s="1"/>
  <c r="Q16" i="26"/>
  <c r="AU16" i="26" s="1"/>
  <c r="AE37" i="23"/>
  <c r="AW37" i="23" s="1"/>
  <c r="BC37" i="23" s="1"/>
  <c r="AL21" i="22"/>
  <c r="AX21" i="22" s="1"/>
  <c r="BD21" i="22" s="1"/>
  <c r="BK26" i="26"/>
  <c r="BP26" i="26" s="1"/>
  <c r="BI26" i="26"/>
  <c r="BJ26" i="26"/>
  <c r="AD50" i="22"/>
  <c r="AE12" i="22"/>
  <c r="AS44" i="23"/>
  <c r="AY44" i="23" s="1"/>
  <c r="BE44" i="23" s="1"/>
  <c r="BR48" i="25"/>
  <c r="BI34" i="24"/>
  <c r="BJ34" i="24"/>
  <c r="BK34" i="24" s="1"/>
  <c r="BP34" i="24" s="1"/>
  <c r="X20" i="25"/>
  <c r="AV20" i="25" s="1"/>
  <c r="BB20" i="25" s="1"/>
  <c r="BI41" i="25"/>
  <c r="BJ41" i="25"/>
  <c r="BK41" i="25" s="1"/>
  <c r="BP41" i="25" s="1"/>
  <c r="BL51" i="25"/>
  <c r="AE28" i="26"/>
  <c r="AW28" i="26" s="1"/>
  <c r="BC28" i="26" s="1"/>
  <c r="AE37" i="26"/>
  <c r="AW37" i="26" s="1"/>
  <c r="BC37" i="26" s="1"/>
  <c r="P50" i="24"/>
  <c r="Q12" i="24"/>
  <c r="X15" i="26"/>
  <c r="AV15" i="26" s="1"/>
  <c r="BB15" i="26" s="1"/>
  <c r="AS30" i="25"/>
  <c r="AY30" i="25" s="1"/>
  <c r="BE30" i="25" s="1"/>
  <c r="AZ26" i="24"/>
  <c r="X33" i="22"/>
  <c r="AV33" i="22" s="1"/>
  <c r="BB33" i="22" s="1"/>
  <c r="AE40" i="25"/>
  <c r="AW40" i="25" s="1"/>
  <c r="BC40" i="25" s="1"/>
  <c r="AL21" i="23"/>
  <c r="AX21" i="23" s="1"/>
  <c r="BD21" i="23" s="1"/>
  <c r="X27" i="22"/>
  <c r="AV27" i="22" s="1"/>
  <c r="BB27" i="22" s="1"/>
  <c r="BK36" i="24"/>
  <c r="BI36" i="24"/>
  <c r="BJ36" i="24"/>
  <c r="BJ27" i="25"/>
  <c r="BI27" i="25"/>
  <c r="BK27" i="25"/>
  <c r="BP27" i="25" s="1"/>
  <c r="X48" i="22"/>
  <c r="AV48" i="22" s="1"/>
  <c r="BB48" i="22" s="1"/>
  <c r="AE38" i="24"/>
  <c r="AW38" i="24" s="1"/>
  <c r="BC38" i="24" s="1"/>
  <c r="X21" i="25"/>
  <c r="AV21" i="25" s="1"/>
  <c r="BB21" i="25" s="1"/>
  <c r="X46" i="22"/>
  <c r="AV46" i="22" s="1"/>
  <c r="BB46" i="22" s="1"/>
  <c r="Q46" i="25"/>
  <c r="AU46" i="25" s="1"/>
  <c r="BJ16" i="22"/>
  <c r="BK16" i="22" s="1"/>
  <c r="BP16" i="22" s="1"/>
  <c r="BI16" i="22"/>
  <c r="AL34" i="22"/>
  <c r="AX34" i="22" s="1"/>
  <c r="BD34" i="22" s="1"/>
  <c r="X38" i="26"/>
  <c r="AV38" i="26" s="1"/>
  <c r="BB38" i="26" s="1"/>
  <c r="AS30" i="26"/>
  <c r="AY30" i="26" s="1"/>
  <c r="BE30" i="26" s="1"/>
  <c r="AL13" i="26"/>
  <c r="AX13" i="26" s="1"/>
  <c r="BD13" i="26" s="1"/>
  <c r="X38" i="25"/>
  <c r="AV38" i="25" s="1"/>
  <c r="BB38" i="25" s="1"/>
  <c r="AL43" i="25"/>
  <c r="AX43" i="25" s="1"/>
  <c r="BD43" i="25" s="1"/>
  <c r="AL26" i="25"/>
  <c r="AX26" i="25" s="1"/>
  <c r="BD26" i="25" s="1"/>
  <c r="AS25" i="26"/>
  <c r="AY25" i="26" s="1"/>
  <c r="BE25" i="26" s="1"/>
  <c r="AE15" i="25"/>
  <c r="AW15" i="25" s="1"/>
  <c r="BC15" i="25" s="1"/>
  <c r="X24" i="23"/>
  <c r="AV24" i="23" s="1"/>
  <c r="BB24" i="23" s="1"/>
  <c r="BJ43" i="22"/>
  <c r="BK43" i="22" s="1"/>
  <c r="BP43" i="22" s="1"/>
  <c r="BI43" i="22"/>
  <c r="X16" i="25"/>
  <c r="AV16" i="25" s="1"/>
  <c r="BB16" i="25" s="1"/>
  <c r="Q40" i="22"/>
  <c r="AU40" i="22" s="1"/>
  <c r="AS47" i="25"/>
  <c r="AY47" i="25" s="1"/>
  <c r="BE47" i="25" s="1"/>
  <c r="AL23" i="23"/>
  <c r="AX23" i="23" s="1"/>
  <c r="BD23" i="23" s="1"/>
  <c r="X45" i="24"/>
  <c r="AV45" i="24" s="1"/>
  <c r="BB45" i="24" s="1"/>
  <c r="AS45" i="25"/>
  <c r="AY45" i="25" s="1"/>
  <c r="BE45" i="25" s="1"/>
  <c r="AS20" i="26"/>
  <c r="AY20" i="26" s="1"/>
  <c r="BE20" i="26" s="1"/>
  <c r="AE35" i="25"/>
  <c r="AW35" i="25" s="1"/>
  <c r="BC35" i="25" s="1"/>
  <c r="AS33" i="26"/>
  <c r="AY33" i="26" s="1"/>
  <c r="BE33" i="26" s="1"/>
  <c r="X32" i="22"/>
  <c r="AV32" i="22" s="1"/>
  <c r="BB32" i="22" s="1"/>
  <c r="AS48" i="24"/>
  <c r="AY48" i="24" s="1"/>
  <c r="BE48" i="24" s="1"/>
  <c r="AS47" i="26"/>
  <c r="AY47" i="26" s="1"/>
  <c r="BE47" i="26" s="1"/>
  <c r="Q25" i="23"/>
  <c r="AU25" i="23" s="1"/>
  <c r="AL24" i="26"/>
  <c r="AX24" i="26" s="1"/>
  <c r="BD24" i="26" s="1"/>
  <c r="BI18" i="26"/>
  <c r="BJ18" i="26"/>
  <c r="BK18" i="26" s="1"/>
  <c r="BP18" i="26" s="1"/>
  <c r="Q34" i="26"/>
  <c r="AU34" i="26" s="1"/>
  <c r="AE42" i="24"/>
  <c r="AW42" i="24" s="1"/>
  <c r="BC42" i="24" s="1"/>
  <c r="BJ39" i="24"/>
  <c r="BK39" i="24" s="1"/>
  <c r="BI39" i="24"/>
  <c r="AL30" i="23"/>
  <c r="AX30" i="23" s="1"/>
  <c r="BD30" i="23" s="1"/>
  <c r="AL29" i="25"/>
  <c r="AX29" i="25" s="1"/>
  <c r="BD29" i="25" s="1"/>
  <c r="W50" i="26"/>
  <c r="X12" i="26"/>
  <c r="BJ29" i="22"/>
  <c r="BK29" i="22" s="1"/>
  <c r="BI29" i="22"/>
  <c r="AS28" i="25"/>
  <c r="AY28" i="25" s="1"/>
  <c r="BE28" i="25" s="1"/>
  <c r="AS31" i="24"/>
  <c r="AY31" i="24" s="1"/>
  <c r="BE31" i="24" s="1"/>
  <c r="AL18" i="22"/>
  <c r="AX18" i="22" s="1"/>
  <c r="BD18" i="22" s="1"/>
  <c r="X24" i="25"/>
  <c r="AV24" i="25" s="1"/>
  <c r="BB24" i="25" s="1"/>
  <c r="Q13" i="22"/>
  <c r="AU13" i="22" s="1"/>
  <c r="AE35" i="23"/>
  <c r="AW35" i="23" s="1"/>
  <c r="BC35" i="23" s="1"/>
  <c r="AL28" i="22"/>
  <c r="AX28" i="22" s="1"/>
  <c r="BD28" i="22" s="1"/>
  <c r="AL49" i="24"/>
  <c r="AX49" i="24" s="1"/>
  <c r="BD49" i="24" s="1"/>
  <c r="AL44" i="23"/>
  <c r="AX44" i="23" s="1"/>
  <c r="BD44" i="23" s="1"/>
  <c r="BK27" i="23"/>
  <c r="BP27" i="23" s="1"/>
  <c r="BJ27" i="23"/>
  <c r="BI27" i="23"/>
  <c r="AL30" i="24"/>
  <c r="AX30" i="24" s="1"/>
  <c r="BD30" i="24" s="1"/>
  <c r="AE15" i="24"/>
  <c r="AW15" i="24" s="1"/>
  <c r="BC15" i="24" s="1"/>
  <c r="BJ42" i="22"/>
  <c r="BK42" i="22" s="1"/>
  <c r="BI42" i="22"/>
  <c r="Q20" i="24"/>
  <c r="AU20" i="24" s="1"/>
  <c r="AE18" i="25"/>
  <c r="AW18" i="25" s="1"/>
  <c r="BC18" i="25" s="1"/>
  <c r="AE49" i="23"/>
  <c r="AW49" i="23" s="1"/>
  <c r="BC49" i="23" s="1"/>
  <c r="Q21" i="24"/>
  <c r="AU21" i="24" s="1"/>
  <c r="BR19" i="26"/>
  <c r="AE43" i="23"/>
  <c r="AW43" i="23" s="1"/>
  <c r="BC43" i="23" s="1"/>
  <c r="Q21" i="23"/>
  <c r="AU21" i="23" s="1"/>
  <c r="AL38" i="22"/>
  <c r="AX38" i="22" s="1"/>
  <c r="BD38" i="22" s="1"/>
  <c r="AS41" i="26"/>
  <c r="AY41" i="26" s="1"/>
  <c r="BE41" i="26" s="1"/>
  <c r="AL45" i="25"/>
  <c r="AX45" i="25" s="1"/>
  <c r="BD45" i="25" s="1"/>
  <c r="AS18" i="24"/>
  <c r="AY18" i="24" s="1"/>
  <c r="BE18" i="24" s="1"/>
  <c r="BJ29" i="25"/>
  <c r="BK29" i="25" s="1"/>
  <c r="BP29" i="25" s="1"/>
  <c r="BI29" i="25"/>
  <c r="AS46" i="26"/>
  <c r="AY46" i="26" s="1"/>
  <c r="BE46" i="26" s="1"/>
  <c r="AZ17" i="22"/>
  <c r="X41" i="22"/>
  <c r="AV41" i="22" s="1"/>
  <c r="BB41" i="22" s="1"/>
  <c r="X47" i="22"/>
  <c r="AV47" i="22" s="1"/>
  <c r="BB47" i="22" s="1"/>
  <c r="AE42" i="26"/>
  <c r="AW42" i="26" s="1"/>
  <c r="BC42" i="26" s="1"/>
  <c r="AL17" i="25"/>
  <c r="AX17" i="25" s="1"/>
  <c r="BD17" i="25" s="1"/>
  <c r="AS37" i="25"/>
  <c r="AY37" i="25" s="1"/>
  <c r="BE37" i="25" s="1"/>
  <c r="BJ47" i="23"/>
  <c r="BI47" i="23"/>
  <c r="BK47" i="23"/>
  <c r="AL41" i="26"/>
  <c r="AX41" i="26" s="1"/>
  <c r="BD41" i="26" s="1"/>
  <c r="Q22" i="23"/>
  <c r="AU22" i="23" s="1"/>
  <c r="X19" i="22"/>
  <c r="AV19" i="22" s="1"/>
  <c r="BB19" i="22" s="1"/>
  <c r="X14" i="24"/>
  <c r="AV14" i="24" s="1"/>
  <c r="BB14" i="24" s="1"/>
  <c r="AS13" i="25"/>
  <c r="AY13" i="25" s="1"/>
  <c r="BE13" i="25" s="1"/>
  <c r="AE40" i="23"/>
  <c r="AW40" i="23" s="1"/>
  <c r="BC40" i="23" s="1"/>
  <c r="AL27" i="24"/>
  <c r="AX27" i="24" s="1"/>
  <c r="BD27" i="24" s="1"/>
  <c r="AL41" i="24"/>
  <c r="AX41" i="24" s="1"/>
  <c r="BD41" i="24" s="1"/>
  <c r="AL23" i="25"/>
  <c r="AX23" i="25" s="1"/>
  <c r="BD23" i="25" s="1"/>
  <c r="Q13" i="24"/>
  <c r="AU13" i="24" s="1"/>
  <c r="X19" i="23"/>
  <c r="AV19" i="23" s="1"/>
  <c r="BB19" i="23" s="1"/>
  <c r="AL17" i="26"/>
  <c r="AX17" i="26" s="1"/>
  <c r="BD17" i="26" s="1"/>
  <c r="AS16" i="23"/>
  <c r="AY16" i="23" s="1"/>
  <c r="BE16" i="23" s="1"/>
  <c r="AE16" i="26"/>
  <c r="AW16" i="26" s="1"/>
  <c r="BC16" i="26" s="1"/>
  <c r="X21" i="22"/>
  <c r="AV21" i="22" s="1"/>
  <c r="BB21" i="22" s="1"/>
  <c r="BK22" i="26"/>
  <c r="BP22" i="26" s="1"/>
  <c r="BJ22" i="26"/>
  <c r="BI22" i="26"/>
  <c r="AS19" i="26"/>
  <c r="AY19" i="26" s="1"/>
  <c r="BE19" i="26" s="1"/>
  <c r="Q14" i="26"/>
  <c r="AU14" i="26" s="1"/>
  <c r="AS34" i="24"/>
  <c r="AY34" i="24" s="1"/>
  <c r="BE34" i="24" s="1"/>
  <c r="BI28" i="26"/>
  <c r="BJ28" i="26"/>
  <c r="BK28" i="26" s="1"/>
  <c r="BP28" i="26" s="1"/>
  <c r="BJ19" i="24"/>
  <c r="BK19" i="24" s="1"/>
  <c r="BP19" i="24" s="1"/>
  <c r="BI19" i="24"/>
  <c r="X37" i="26"/>
  <c r="AV37" i="26" s="1"/>
  <c r="BB37" i="26" s="1"/>
  <c r="AK50" i="24"/>
  <c r="AL12" i="24"/>
  <c r="AL34" i="23"/>
  <c r="AX34" i="23" s="1"/>
  <c r="BD34" i="23" s="1"/>
  <c r="Q30" i="25"/>
  <c r="AU30" i="25" s="1"/>
  <c r="BJ33" i="25"/>
  <c r="BK33" i="25" s="1"/>
  <c r="BI33" i="25"/>
  <c r="Q40" i="25"/>
  <c r="AU40" i="25" s="1"/>
  <c r="Q27" i="25"/>
  <c r="AU27" i="25" s="1"/>
  <c r="AL48" i="22"/>
  <c r="AX48" i="22" s="1"/>
  <c r="BD48" i="22" s="1"/>
  <c r="Q38" i="24"/>
  <c r="AU38" i="24" s="1"/>
  <c r="BI43" i="24"/>
  <c r="BJ43" i="24"/>
  <c r="BK43" i="24" s="1"/>
  <c r="BP43" i="24" s="1"/>
  <c r="BK31" i="26"/>
  <c r="BP31" i="26" s="1"/>
  <c r="BI31" i="26"/>
  <c r="BJ31" i="26"/>
  <c r="AE46" i="25"/>
  <c r="AW46" i="25" s="1"/>
  <c r="BC46" i="25" s="1"/>
  <c r="Q38" i="26"/>
  <c r="AU38" i="26" s="1"/>
  <c r="Q38" i="23"/>
  <c r="AU38" i="23" s="1"/>
  <c r="AL30" i="26"/>
  <c r="AX30" i="26" s="1"/>
  <c r="BD30" i="26" s="1"/>
  <c r="X13" i="26"/>
  <c r="AV13" i="26" s="1"/>
  <c r="BB13" i="26" s="1"/>
  <c r="Q41" i="23"/>
  <c r="AU41" i="23" s="1"/>
  <c r="BJ46" i="24"/>
  <c r="BK46" i="24" s="1"/>
  <c r="BP46" i="24" s="1"/>
  <c r="BI46" i="24"/>
  <c r="BK22" i="24"/>
  <c r="BP22" i="24" s="1"/>
  <c r="BJ22" i="24"/>
  <c r="BI22" i="24"/>
  <c r="BJ25" i="22"/>
  <c r="BI25" i="22"/>
  <c r="BK25" i="22"/>
  <c r="BP25" i="22" s="1"/>
  <c r="X43" i="22"/>
  <c r="AV43" i="22" s="1"/>
  <c r="BB43" i="22" s="1"/>
  <c r="AL16" i="25"/>
  <c r="AX16" i="25" s="1"/>
  <c r="BD16" i="25" s="1"/>
  <c r="X37" i="22"/>
  <c r="AV37" i="22" s="1"/>
  <c r="BB37" i="22" s="1"/>
  <c r="BI24" i="22"/>
  <c r="BJ24" i="22"/>
  <c r="BK24" i="22" s="1"/>
  <c r="BP24" i="22" s="1"/>
  <c r="Q47" i="25"/>
  <c r="AU47" i="25" s="1"/>
  <c r="BK49" i="25"/>
  <c r="BI49" i="25"/>
  <c r="BJ49" i="25"/>
  <c r="AL45" i="24"/>
  <c r="AX45" i="24" s="1"/>
  <c r="BD45" i="24" s="1"/>
  <c r="AL37" i="24"/>
  <c r="AX37" i="24" s="1"/>
  <c r="BD37" i="24" s="1"/>
  <c r="BJ17" i="23"/>
  <c r="BK17" i="23" s="1"/>
  <c r="BP17" i="23" s="1"/>
  <c r="BI17" i="23"/>
  <c r="X20" i="26"/>
  <c r="AV20" i="26" s="1"/>
  <c r="BB20" i="26" s="1"/>
  <c r="AE34" i="25"/>
  <c r="AW34" i="25" s="1"/>
  <c r="BC34" i="25" s="1"/>
  <c r="AL44" i="25"/>
  <c r="AX44" i="25" s="1"/>
  <c r="BD44" i="25" s="1"/>
  <c r="AS35" i="25"/>
  <c r="AY35" i="25" s="1"/>
  <c r="BE35" i="25" s="1"/>
  <c r="AE33" i="26"/>
  <c r="AW33" i="26" s="1"/>
  <c r="BC33" i="26" s="1"/>
  <c r="X48" i="24"/>
  <c r="AV48" i="24" s="1"/>
  <c r="BB48" i="24" s="1"/>
  <c r="X47" i="26"/>
  <c r="AV47" i="26" s="1"/>
  <c r="BB47" i="26" s="1"/>
  <c r="BJ32" i="25"/>
  <c r="BK32" i="25"/>
  <c r="BI32" i="25"/>
  <c r="AE18" i="26"/>
  <c r="AW18" i="26" s="1"/>
  <c r="BC18" i="26" s="1"/>
  <c r="BI31" i="23"/>
  <c r="BK31" i="23"/>
  <c r="BP31" i="23" s="1"/>
  <c r="BJ31" i="23"/>
  <c r="AS42" i="24"/>
  <c r="AY42" i="24" s="1"/>
  <c r="BE42" i="24" s="1"/>
  <c r="Q43" i="26"/>
  <c r="AU43" i="26" s="1"/>
  <c r="AL39" i="24"/>
  <c r="AX39" i="24" s="1"/>
  <c r="BD39" i="24" s="1"/>
  <c r="AE44" i="24"/>
  <c r="AW44" i="24" s="1"/>
  <c r="BC44" i="24" s="1"/>
  <c r="X29" i="22"/>
  <c r="AV29" i="22" s="1"/>
  <c r="BB29" i="22" s="1"/>
  <c r="X28" i="25"/>
  <c r="AV28" i="25" s="1"/>
  <c r="BB28" i="25" s="1"/>
  <c r="BJ44" i="26"/>
  <c r="BK44" i="26" s="1"/>
  <c r="BI44" i="26"/>
  <c r="Q18" i="22"/>
  <c r="AU18" i="22" s="1"/>
  <c r="AS24" i="25"/>
  <c r="AY24" i="25" s="1"/>
  <c r="BE24" i="25" s="1"/>
  <c r="X35" i="23"/>
  <c r="AV35" i="23" s="1"/>
  <c r="BB35" i="23" s="1"/>
  <c r="Q28" i="22"/>
  <c r="AU28" i="22" s="1"/>
  <c r="BI48" i="23"/>
  <c r="BJ48" i="23"/>
  <c r="BK48" i="23" s="1"/>
  <c r="BP48" i="23" s="1"/>
  <c r="AS36" i="23"/>
  <c r="AY36" i="23" s="1"/>
  <c r="BE36" i="23" s="1"/>
  <c r="AE27" i="23"/>
  <c r="AW27" i="23" s="1"/>
  <c r="BC27" i="23" s="1"/>
  <c r="X30" i="24"/>
  <c r="AV30" i="24" s="1"/>
  <c r="BB30" i="24" s="1"/>
  <c r="AS15" i="24"/>
  <c r="AY15" i="24" s="1"/>
  <c r="BE15" i="24" s="1"/>
  <c r="AS42" i="22"/>
  <c r="AY42" i="22" s="1"/>
  <c r="BE42" i="22" s="1"/>
  <c r="AL21" i="24"/>
  <c r="AX21" i="24" s="1"/>
  <c r="BD21" i="24" s="1"/>
  <c r="AE20" i="24"/>
  <c r="AW20" i="24" s="1"/>
  <c r="BC20" i="24" s="1"/>
  <c r="AE29" i="23"/>
  <c r="AW29" i="23" s="1"/>
  <c r="BC29" i="23" s="1"/>
  <c r="AL20" i="24"/>
  <c r="AX20" i="24" s="1"/>
  <c r="BD20" i="24" s="1"/>
  <c r="BJ22" i="23"/>
  <c r="BK22" i="23" s="1"/>
  <c r="BI22" i="23"/>
  <c r="Q47" i="22"/>
  <c r="AU47" i="22" s="1"/>
  <c r="AL46" i="23"/>
  <c r="AX46" i="23" s="1"/>
  <c r="BD46" i="23" s="1"/>
  <c r="BK19" i="22"/>
  <c r="BP19" i="22" s="1"/>
  <c r="BJ19" i="22"/>
  <c r="BI19" i="22"/>
  <c r="Q19" i="25"/>
  <c r="AU19" i="25" s="1"/>
  <c r="AZ31" i="25"/>
  <c r="Q48" i="22"/>
  <c r="AU48" i="22" s="1"/>
  <c r="AE21" i="25"/>
  <c r="AW21" i="25" s="1"/>
  <c r="BC21" i="25" s="1"/>
  <c r="Q34" i="22"/>
  <c r="AU34" i="22" s="1"/>
  <c r="AE20" i="23"/>
  <c r="AW20" i="23" s="1"/>
  <c r="BC20" i="23" s="1"/>
  <c r="AL25" i="26"/>
  <c r="AX25" i="26" s="1"/>
  <c r="BD25" i="26" s="1"/>
  <c r="AL37" i="22"/>
  <c r="AX37" i="22" s="1"/>
  <c r="BD37" i="22" s="1"/>
  <c r="Q45" i="24"/>
  <c r="AU45" i="24" s="1"/>
  <c r="X34" i="25"/>
  <c r="AV34" i="25" s="1"/>
  <c r="BB34" i="25" s="1"/>
  <c r="AE48" i="25"/>
  <c r="AW48" i="25" s="1"/>
  <c r="BC48" i="25" s="1"/>
  <c r="AE24" i="26"/>
  <c r="AW24" i="26" s="1"/>
  <c r="BC24" i="26" s="1"/>
  <c r="BJ39" i="22"/>
  <c r="BK39" i="22" s="1"/>
  <c r="BI39" i="22"/>
  <c r="AS41" i="22"/>
  <c r="AY41" i="22" s="1"/>
  <c r="BE41" i="22" s="1"/>
  <c r="BK39" i="23"/>
  <c r="BP39" i="23" s="1"/>
  <c r="BJ39" i="23"/>
  <c r="BI39" i="23"/>
  <c r="AL42" i="26"/>
  <c r="AX42" i="26" s="1"/>
  <c r="BD42" i="26" s="1"/>
  <c r="X17" i="25"/>
  <c r="AV17" i="25" s="1"/>
  <c r="BB17" i="25" s="1"/>
  <c r="AE37" i="25"/>
  <c r="AW37" i="25" s="1"/>
  <c r="BC37" i="25" s="1"/>
  <c r="AL47" i="23"/>
  <c r="AX47" i="23" s="1"/>
  <c r="BD47" i="23" s="1"/>
  <c r="AE41" i="26"/>
  <c r="AW41" i="26" s="1"/>
  <c r="BC41" i="26" s="1"/>
  <c r="AE22" i="23"/>
  <c r="AW22" i="23" s="1"/>
  <c r="BC22" i="23" s="1"/>
  <c r="AL19" i="22"/>
  <c r="AX19" i="22" s="1"/>
  <c r="BD19" i="22" s="1"/>
  <c r="Q13" i="25"/>
  <c r="AU13" i="25" s="1"/>
  <c r="AS40" i="23"/>
  <c r="AY40" i="23" s="1"/>
  <c r="BE40" i="23" s="1"/>
  <c r="AE27" i="24"/>
  <c r="AW27" i="24" s="1"/>
  <c r="BC27" i="24" s="1"/>
  <c r="Q41" i="24"/>
  <c r="AU41" i="24" s="1"/>
  <c r="Q47" i="24"/>
  <c r="AU47" i="24" s="1"/>
  <c r="Q23" i="25"/>
  <c r="AU23" i="25" s="1"/>
  <c r="AE13" i="24"/>
  <c r="AW13" i="24" s="1"/>
  <c r="BC13" i="24" s="1"/>
  <c r="AL19" i="23"/>
  <c r="AX19" i="23" s="1"/>
  <c r="BD19" i="23" s="1"/>
  <c r="X17" i="26"/>
  <c r="AV17" i="26" s="1"/>
  <c r="BB17" i="26" s="1"/>
  <c r="BJ49" i="26"/>
  <c r="BK49" i="26" s="1"/>
  <c r="BI49" i="26"/>
  <c r="AS16" i="26"/>
  <c r="AY16" i="26" s="1"/>
  <c r="BE16" i="26" s="1"/>
  <c r="Q21" i="22"/>
  <c r="AU21" i="22" s="1"/>
  <c r="Q26" i="26"/>
  <c r="AU26" i="26" s="1"/>
  <c r="P50" i="22"/>
  <c r="Q12" i="22"/>
  <c r="AS22" i="26"/>
  <c r="AY22" i="26" s="1"/>
  <c r="BE22" i="26" s="1"/>
  <c r="AE15" i="22"/>
  <c r="AW15" i="22" s="1"/>
  <c r="BC15" i="22" s="1"/>
  <c r="AE14" i="26"/>
  <c r="AW14" i="26" s="1"/>
  <c r="BC14" i="26" s="1"/>
  <c r="Q20" i="25"/>
  <c r="AU20" i="25" s="1"/>
  <c r="AS41" i="25"/>
  <c r="AY41" i="25" s="1"/>
  <c r="BE41" i="25" s="1"/>
  <c r="X19" i="24"/>
  <c r="AV19" i="24" s="1"/>
  <c r="BB19" i="24" s="1"/>
  <c r="AE34" i="23"/>
  <c r="AW34" i="23" s="1"/>
  <c r="BC34" i="23" s="1"/>
  <c r="AL15" i="26"/>
  <c r="AX15" i="26" s="1"/>
  <c r="BD15" i="26" s="1"/>
  <c r="AS33" i="25"/>
  <c r="AY33" i="25" s="1"/>
  <c r="BE33" i="25" s="1"/>
  <c r="X40" i="25"/>
  <c r="AV40" i="25" s="1"/>
  <c r="BB40" i="25" s="1"/>
  <c r="X21" i="23"/>
  <c r="AV21" i="23" s="1"/>
  <c r="BB21" i="23" s="1"/>
  <c r="Q27" i="22"/>
  <c r="AU27" i="22" s="1"/>
  <c r="X36" i="24"/>
  <c r="AV36" i="24" s="1"/>
  <c r="BB36" i="24" s="1"/>
  <c r="AL27" i="25"/>
  <c r="AX27" i="25" s="1"/>
  <c r="BD27" i="25" s="1"/>
  <c r="AL38" i="24"/>
  <c r="AX38" i="24" s="1"/>
  <c r="BD38" i="24" s="1"/>
  <c r="X31" i="26"/>
  <c r="AV31" i="26" s="1"/>
  <c r="BB31" i="26" s="1"/>
  <c r="BI20" i="22"/>
  <c r="BJ20" i="22"/>
  <c r="BK20" i="22" s="1"/>
  <c r="AS46" i="25"/>
  <c r="AY46" i="25" s="1"/>
  <c r="BE46" i="25" s="1"/>
  <c r="X16" i="22"/>
  <c r="AV16" i="22" s="1"/>
  <c r="BB16" i="22" s="1"/>
  <c r="X34" i="22"/>
  <c r="AV34" i="22" s="1"/>
  <c r="BB34" i="22" s="1"/>
  <c r="BI14" i="22"/>
  <c r="BK14" i="22"/>
  <c r="BJ14" i="22"/>
  <c r="AE38" i="23"/>
  <c r="AW38" i="23" s="1"/>
  <c r="BC38" i="23" s="1"/>
  <c r="Q13" i="26"/>
  <c r="AU13" i="26" s="1"/>
  <c r="BI42" i="23"/>
  <c r="BJ42" i="23"/>
  <c r="BK42" i="23" s="1"/>
  <c r="BP42" i="23" s="1"/>
  <c r="AS46" i="24"/>
  <c r="AY46" i="24" s="1"/>
  <c r="BE46" i="24" s="1"/>
  <c r="AS38" i="25"/>
  <c r="AY38" i="25" s="1"/>
  <c r="BE38" i="25" s="1"/>
  <c r="AE43" i="25"/>
  <c r="AW43" i="25" s="1"/>
  <c r="BC43" i="25" s="1"/>
  <c r="Q26" i="25"/>
  <c r="AU26" i="25" s="1"/>
  <c r="AS22" i="24"/>
  <c r="AY22" i="24" s="1"/>
  <c r="BE22" i="24" s="1"/>
  <c r="AE25" i="22"/>
  <c r="AW25" i="22" s="1"/>
  <c r="BC25" i="22" s="1"/>
  <c r="Q24" i="23"/>
  <c r="AU24" i="23" s="1"/>
  <c r="AL43" i="22"/>
  <c r="AX43" i="22" s="1"/>
  <c r="BD43" i="22" s="1"/>
  <c r="BK24" i="24"/>
  <c r="BJ24" i="24"/>
  <c r="BI24" i="24"/>
  <c r="Q37" i="22"/>
  <c r="AU37" i="22" s="1"/>
  <c r="AL24" i="22"/>
  <c r="AX24" i="22" s="1"/>
  <c r="BD24" i="22" s="1"/>
  <c r="AE47" i="25"/>
  <c r="AW47" i="25" s="1"/>
  <c r="BC47" i="25" s="1"/>
  <c r="AL49" i="25"/>
  <c r="AX49" i="25" s="1"/>
  <c r="BD49" i="25" s="1"/>
  <c r="X37" i="24"/>
  <c r="AV37" i="24" s="1"/>
  <c r="BB37" i="24" s="1"/>
  <c r="Q34" i="25"/>
  <c r="AU34" i="25" s="1"/>
  <c r="X44" i="25"/>
  <c r="AV44" i="25" s="1"/>
  <c r="BB44" i="25" s="1"/>
  <c r="BJ36" i="22"/>
  <c r="BK36" i="22" s="1"/>
  <c r="BI36" i="22"/>
  <c r="Q35" i="25"/>
  <c r="AU35" i="25" s="1"/>
  <c r="Q33" i="26"/>
  <c r="AU33" i="26" s="1"/>
  <c r="BJ35" i="24"/>
  <c r="BI35" i="24"/>
  <c r="BK35" i="24"/>
  <c r="AL47" i="26"/>
  <c r="AX47" i="26" s="1"/>
  <c r="BD47" i="26" s="1"/>
  <c r="AE32" i="25"/>
  <c r="AW32" i="25" s="1"/>
  <c r="BC32" i="25" s="1"/>
  <c r="AS24" i="26"/>
  <c r="AY24" i="26" s="1"/>
  <c r="BE24" i="26" s="1"/>
  <c r="Q18" i="26"/>
  <c r="AU18" i="26" s="1"/>
  <c r="X31" i="23"/>
  <c r="AV31" i="23" s="1"/>
  <c r="BB31" i="23" s="1"/>
  <c r="X42" i="24"/>
  <c r="AV42" i="24" s="1"/>
  <c r="BB42" i="24" s="1"/>
  <c r="AE43" i="26"/>
  <c r="AW43" i="26" s="1"/>
  <c r="BC43" i="26" s="1"/>
  <c r="Q30" i="23"/>
  <c r="AU30" i="23" s="1"/>
  <c r="Q29" i="25"/>
  <c r="AU29" i="25" s="1"/>
  <c r="AS44" i="24"/>
  <c r="AY44" i="24" s="1"/>
  <c r="BE44" i="24" s="1"/>
  <c r="BJ26" i="23"/>
  <c r="BK26" i="23" s="1"/>
  <c r="BP26" i="23" s="1"/>
  <c r="BI26" i="23"/>
  <c r="AL29" i="22"/>
  <c r="AX29" i="22" s="1"/>
  <c r="BD29" i="22" s="1"/>
  <c r="AL28" i="25"/>
  <c r="AX28" i="25" s="1"/>
  <c r="BD28" i="25" s="1"/>
  <c r="X44" i="26"/>
  <c r="AV44" i="26" s="1"/>
  <c r="BB44" i="26" s="1"/>
  <c r="AS18" i="22"/>
  <c r="AY18" i="22" s="1"/>
  <c r="BE18" i="22" s="1"/>
  <c r="Q24" i="25"/>
  <c r="AU24" i="25" s="1"/>
  <c r="BJ22" i="25"/>
  <c r="BK22" i="25" s="1"/>
  <c r="BP22" i="25" s="1"/>
  <c r="BI22" i="25"/>
  <c r="X13" i="22"/>
  <c r="AV13" i="22" s="1"/>
  <c r="BB13" i="22" s="1"/>
  <c r="BI39" i="26"/>
  <c r="BJ39" i="26"/>
  <c r="BK39" i="26" s="1"/>
  <c r="AS35" i="23"/>
  <c r="AY35" i="23" s="1"/>
  <c r="BE35" i="23" s="1"/>
  <c r="BK23" i="26"/>
  <c r="BI23" i="26"/>
  <c r="BJ23" i="26"/>
  <c r="X28" i="22"/>
  <c r="AV28" i="22" s="1"/>
  <c r="BB28" i="22" s="1"/>
  <c r="Q49" i="24"/>
  <c r="AU49" i="24" s="1"/>
  <c r="AS48" i="23"/>
  <c r="AY48" i="23" s="1"/>
  <c r="BE48" i="23" s="1"/>
  <c r="X36" i="23"/>
  <c r="AV36" i="23" s="1"/>
  <c r="BB36" i="23" s="1"/>
  <c r="X15" i="24"/>
  <c r="AV15" i="24" s="1"/>
  <c r="BB15" i="24" s="1"/>
  <c r="X42" i="22"/>
  <c r="AV42" i="22" s="1"/>
  <c r="BB42" i="22" s="1"/>
  <c r="AS20" i="24"/>
  <c r="AY20" i="24" s="1"/>
  <c r="BE20" i="24" s="1"/>
  <c r="Q48" i="26"/>
  <c r="AU48" i="26" s="1"/>
  <c r="Q29" i="24"/>
  <c r="AU29" i="24" s="1"/>
  <c r="AS21" i="24"/>
  <c r="AY21" i="24" s="1"/>
  <c r="BE21" i="24" s="1"/>
  <c r="AQ25" i="15"/>
  <c r="AJ25" i="15"/>
  <c r="V25" i="15"/>
  <c r="AC25" i="15"/>
  <c r="O25" i="15"/>
  <c r="BE25" i="15"/>
  <c r="BK47" i="14"/>
  <c r="BP47" i="14"/>
  <c r="BQ47" i="14" s="1"/>
  <c r="BP19" i="14"/>
  <c r="BQ19" i="14" s="1"/>
  <c r="BK19" i="14"/>
  <c r="BK25" i="14"/>
  <c r="BP25" i="14"/>
  <c r="BQ25" i="14" s="1"/>
  <c r="BK16" i="16"/>
  <c r="AJ18" i="12"/>
  <c r="AC18" i="12"/>
  <c r="V18" i="12"/>
  <c r="AQ18" i="12"/>
  <c r="O18" i="12"/>
  <c r="BE18" i="12"/>
  <c r="BP28" i="13"/>
  <c r="BQ28" i="13" s="1"/>
  <c r="BK28" i="13"/>
  <c r="AC49" i="13"/>
  <c r="O49" i="13"/>
  <c r="AJ49" i="13"/>
  <c r="V49" i="13"/>
  <c r="AQ49" i="13"/>
  <c r="BE49" i="13"/>
  <c r="BK42" i="16"/>
  <c r="BP38" i="16"/>
  <c r="BQ38" i="16" s="1"/>
  <c r="BK42" i="12"/>
  <c r="BP42" i="12"/>
  <c r="BQ42" i="12" s="1"/>
  <c r="BK20" i="12"/>
  <c r="BP20" i="12"/>
  <c r="BQ20" i="12" s="1"/>
  <c r="V29" i="12"/>
  <c r="AJ29" i="12"/>
  <c r="AQ29" i="12"/>
  <c r="AC29" i="12"/>
  <c r="O29" i="12"/>
  <c r="BE29" i="12"/>
  <c r="AJ43" i="16"/>
  <c r="AQ43" i="16"/>
  <c r="O43" i="16"/>
  <c r="AC43" i="16"/>
  <c r="V43" i="16"/>
  <c r="BE43" i="16"/>
  <c r="AQ49" i="15"/>
  <c r="O49" i="15"/>
  <c r="AC49" i="15"/>
  <c r="AJ49" i="15"/>
  <c r="V49" i="15"/>
  <c r="BE49" i="15"/>
  <c r="V31" i="14"/>
  <c r="AQ31" i="14"/>
  <c r="AC31" i="14"/>
  <c r="O31" i="14"/>
  <c r="AJ31" i="14"/>
  <c r="BE31" i="14"/>
  <c r="AQ12" i="13"/>
  <c r="O12" i="13"/>
  <c r="AC12" i="13"/>
  <c r="AJ12" i="13"/>
  <c r="V12" i="13"/>
  <c r="BE12" i="13"/>
  <c r="AJ37" i="14"/>
  <c r="AQ37" i="14"/>
  <c r="AC37" i="14"/>
  <c r="O37" i="14"/>
  <c r="V37" i="14"/>
  <c r="BE37" i="14"/>
  <c r="BK18" i="15"/>
  <c r="BP18" i="15"/>
  <c r="BQ18" i="15" s="1"/>
  <c r="BP16" i="15"/>
  <c r="BQ16" i="15" s="1"/>
  <c r="BK16" i="15"/>
  <c r="BP42" i="15"/>
  <c r="BQ42" i="15" s="1"/>
  <c r="BK42" i="15"/>
  <c r="O38" i="16"/>
  <c r="V38" i="16"/>
  <c r="AQ38" i="16"/>
  <c r="AC38" i="16"/>
  <c r="AJ38" i="16"/>
  <c r="BE38" i="16"/>
  <c r="AC27" i="15"/>
  <c r="O27" i="15"/>
  <c r="AJ27" i="15"/>
  <c r="V27" i="15"/>
  <c r="AQ27" i="15"/>
  <c r="BE27" i="15"/>
  <c r="AQ42" i="13"/>
  <c r="AC42" i="13"/>
  <c r="O42" i="13"/>
  <c r="V42" i="13"/>
  <c r="AJ42" i="13"/>
  <c r="BE42" i="13"/>
  <c r="AQ16" i="15"/>
  <c r="AJ16" i="15"/>
  <c r="AC16" i="15"/>
  <c r="O16" i="15"/>
  <c r="V16" i="15"/>
  <c r="BE16" i="15"/>
  <c r="BP50" i="16"/>
  <c r="BQ50" i="16" s="1"/>
  <c r="BK50" i="16"/>
  <c r="V48" i="15"/>
  <c r="AJ48" i="15"/>
  <c r="AQ48" i="15"/>
  <c r="O48" i="15"/>
  <c r="AC48" i="15"/>
  <c r="BE48" i="15"/>
  <c r="AJ41" i="15"/>
  <c r="V41" i="15"/>
  <c r="AQ41" i="15"/>
  <c r="AC41" i="15"/>
  <c r="O41" i="15"/>
  <c r="BE41" i="15"/>
  <c r="AJ19" i="13"/>
  <c r="AC19" i="13"/>
  <c r="AQ19" i="13"/>
  <c r="O19" i="13"/>
  <c r="V19" i="13"/>
  <c r="BE19" i="13"/>
  <c r="O28" i="15"/>
  <c r="AJ28" i="15"/>
  <c r="V28" i="15"/>
  <c r="AQ28" i="15"/>
  <c r="AC28" i="15"/>
  <c r="BE28" i="15"/>
  <c r="BK20" i="15"/>
  <c r="BP20" i="15"/>
  <c r="BQ20" i="15" s="1"/>
  <c r="BP49" i="15"/>
  <c r="BQ49" i="15" s="1"/>
  <c r="BK49" i="15"/>
  <c r="AJ18" i="14"/>
  <c r="V18" i="14"/>
  <c r="AQ18" i="14"/>
  <c r="O18" i="14"/>
  <c r="AC18" i="14"/>
  <c r="BE18" i="14"/>
  <c r="O20" i="12"/>
  <c r="AJ20" i="12"/>
  <c r="V20" i="12"/>
  <c r="AQ20" i="12"/>
  <c r="AC20" i="12"/>
  <c r="BE20" i="12"/>
  <c r="AQ20" i="15"/>
  <c r="O20" i="15"/>
  <c r="AJ20" i="15"/>
  <c r="V20" i="15"/>
  <c r="AC20" i="15"/>
  <c r="BE20" i="15"/>
  <c r="AQ36" i="13"/>
  <c r="V36" i="13"/>
  <c r="AJ36" i="13"/>
  <c r="AC36" i="13"/>
  <c r="O36" i="13"/>
  <c r="BE36" i="13"/>
  <c r="BK14" i="14"/>
  <c r="BP14" i="14"/>
  <c r="BQ14" i="14" s="1"/>
  <c r="BP26" i="14"/>
  <c r="BQ26" i="14" s="1"/>
  <c r="BK26" i="14"/>
  <c r="BK39" i="13"/>
  <c r="BP39" i="13"/>
  <c r="BQ39" i="13" s="1"/>
  <c r="BP33" i="13"/>
  <c r="BQ33" i="13" s="1"/>
  <c r="BK33" i="13"/>
  <c r="BP13" i="13"/>
  <c r="BQ13" i="13" s="1"/>
  <c r="BK13" i="13"/>
  <c r="V44" i="14"/>
  <c r="AQ44" i="14"/>
  <c r="AC44" i="14"/>
  <c r="O44" i="14"/>
  <c r="AJ44" i="14"/>
  <c r="BE44" i="14"/>
  <c r="AC24" i="16"/>
  <c r="O24" i="16"/>
  <c r="AJ24" i="16"/>
  <c r="AQ24" i="16"/>
  <c r="V24" i="16"/>
  <c r="BE24" i="16"/>
  <c r="AQ26" i="15"/>
  <c r="AC26" i="15"/>
  <c r="O26" i="15"/>
  <c r="V26" i="15"/>
  <c r="AJ26" i="15"/>
  <c r="BE26" i="15"/>
  <c r="BK38" i="12"/>
  <c r="BP38" i="12"/>
  <c r="BQ38" i="12" s="1"/>
  <c r="BP15" i="12"/>
  <c r="BQ15" i="12" s="1"/>
  <c r="BK15" i="12"/>
  <c r="BK26" i="12"/>
  <c r="BP26" i="12"/>
  <c r="BQ26" i="12" s="1"/>
  <c r="V20" i="13"/>
  <c r="AJ20" i="13"/>
  <c r="O20" i="13"/>
  <c r="AQ20" i="13"/>
  <c r="AC20" i="13"/>
  <c r="BE20" i="13"/>
  <c r="O44" i="13"/>
  <c r="AQ44" i="13"/>
  <c r="AC44" i="13"/>
  <c r="AJ44" i="13"/>
  <c r="V44" i="13"/>
  <c r="BE44" i="13"/>
  <c r="O27" i="16"/>
  <c r="AC27" i="16"/>
  <c r="AJ27" i="16"/>
  <c r="V27" i="16"/>
  <c r="AQ27" i="16"/>
  <c r="BE27" i="16"/>
  <c r="AQ46" i="12"/>
  <c r="AC46" i="12"/>
  <c r="O46" i="12"/>
  <c r="V46" i="12"/>
  <c r="AJ46" i="12"/>
  <c r="BE46" i="12"/>
  <c r="AC46" i="14"/>
  <c r="O46" i="14"/>
  <c r="AQ46" i="14"/>
  <c r="V46" i="14"/>
  <c r="AJ46" i="14"/>
  <c r="BE46" i="14"/>
  <c r="AJ16" i="12"/>
  <c r="V16" i="12"/>
  <c r="BE16" i="12"/>
  <c r="AC16" i="12"/>
  <c r="O16" i="12"/>
  <c r="AQ16" i="12"/>
  <c r="AJ24" i="12"/>
  <c r="O24" i="12"/>
  <c r="AQ24" i="12"/>
  <c r="AC24" i="12"/>
  <c r="V24" i="12"/>
  <c r="BE24" i="12"/>
  <c r="BP46" i="16"/>
  <c r="BQ46" i="16" s="1"/>
  <c r="BK46" i="16"/>
  <c r="BI22" i="12"/>
  <c r="BJ22" i="12" s="1"/>
  <c r="BH22" i="12"/>
  <c r="AQ25" i="16"/>
  <c r="AJ25" i="16"/>
  <c r="V25" i="16"/>
  <c r="AC25" i="16"/>
  <c r="O25" i="16"/>
  <c r="BE25" i="16"/>
  <c r="AC19" i="16"/>
  <c r="AJ19" i="16"/>
  <c r="V19" i="16"/>
  <c r="AQ19" i="16"/>
  <c r="BE19" i="16"/>
  <c r="O19" i="16"/>
  <c r="BP36" i="15"/>
  <c r="BQ36" i="15" s="1"/>
  <c r="BK36" i="15"/>
  <c r="BP12" i="15"/>
  <c r="BQ12" i="15" s="1"/>
  <c r="BK12" i="15"/>
  <c r="BK32" i="15"/>
  <c r="BP32" i="15"/>
  <c r="BQ32" i="15" s="1"/>
  <c r="BK29" i="15"/>
  <c r="BP29" i="15"/>
  <c r="BQ29" i="15" s="1"/>
  <c r="O47" i="14"/>
  <c r="V47" i="14"/>
  <c r="AQ47" i="14"/>
  <c r="AC47" i="14"/>
  <c r="AJ47" i="14"/>
  <c r="BE47" i="14"/>
  <c r="BK44" i="16"/>
  <c r="AJ14" i="15"/>
  <c r="V14" i="15"/>
  <c r="AC14" i="15"/>
  <c r="AQ14" i="15"/>
  <c r="BE14" i="15"/>
  <c r="O14" i="15"/>
  <c r="AQ48" i="13"/>
  <c r="AC48" i="13"/>
  <c r="O48" i="13"/>
  <c r="AJ48" i="13"/>
  <c r="V48" i="13"/>
  <c r="BE48" i="13"/>
  <c r="AQ21" i="12"/>
  <c r="AC21" i="12"/>
  <c r="AJ21" i="12"/>
  <c r="V21" i="12"/>
  <c r="O21" i="12"/>
  <c r="BE21" i="12"/>
  <c r="BK29" i="14"/>
  <c r="BP29" i="14"/>
  <c r="BQ29" i="14" s="1"/>
  <c r="BP12" i="14"/>
  <c r="BQ12" i="14" s="1"/>
  <c r="BK12" i="14"/>
  <c r="BP22" i="13"/>
  <c r="BQ22" i="13" s="1"/>
  <c r="BK22" i="13"/>
  <c r="BK43" i="13"/>
  <c r="BP43" i="13"/>
  <c r="BQ43" i="13" s="1"/>
  <c r="BK18" i="13"/>
  <c r="BP18" i="13"/>
  <c r="BQ18" i="13" s="1"/>
  <c r="AJ48" i="12"/>
  <c r="V48" i="12"/>
  <c r="AQ48" i="12"/>
  <c r="AC48" i="12"/>
  <c r="O48" i="12"/>
  <c r="BE48" i="12"/>
  <c r="AC40" i="15"/>
  <c r="O40" i="15"/>
  <c r="AJ40" i="15"/>
  <c r="V40" i="15"/>
  <c r="AQ40" i="15"/>
  <c r="BE40" i="15"/>
  <c r="AC32" i="16"/>
  <c r="AQ32" i="16"/>
  <c r="AJ32" i="16"/>
  <c r="V32" i="16"/>
  <c r="O32" i="16"/>
  <c r="BE32" i="16"/>
  <c r="AQ50" i="15"/>
  <c r="AC50" i="15"/>
  <c r="V50" i="15"/>
  <c r="AJ50" i="15"/>
  <c r="O50" i="15"/>
  <c r="BE50" i="15"/>
  <c r="BP33" i="12"/>
  <c r="BQ33" i="12" s="1"/>
  <c r="BK33" i="12"/>
  <c r="BP22" i="12"/>
  <c r="BQ22" i="12" s="1"/>
  <c r="BK22" i="12"/>
  <c r="BK18" i="12"/>
  <c r="BP18" i="12"/>
  <c r="BQ18" i="12" s="1"/>
  <c r="AJ30" i="14"/>
  <c r="AQ30" i="14"/>
  <c r="AC30" i="14"/>
  <c r="O30" i="14"/>
  <c r="V30" i="14"/>
  <c r="BE30" i="14"/>
  <c r="AJ41" i="16"/>
  <c r="AQ41" i="16"/>
  <c r="AC41" i="16"/>
  <c r="V41" i="16"/>
  <c r="O41" i="16"/>
  <c r="BE41" i="16"/>
  <c r="AC38" i="15"/>
  <c r="AQ38" i="15"/>
  <c r="O38" i="15"/>
  <c r="V38" i="15"/>
  <c r="AJ38" i="15"/>
  <c r="BE38" i="15"/>
  <c r="O45" i="15"/>
  <c r="AQ45" i="15"/>
  <c r="AJ45" i="15"/>
  <c r="V45" i="15"/>
  <c r="AC45" i="15"/>
  <c r="BE45" i="15"/>
  <c r="AQ32" i="14"/>
  <c r="AJ32" i="14"/>
  <c r="V32" i="14"/>
  <c r="AC32" i="14"/>
  <c r="O32" i="14"/>
  <c r="BE32" i="14"/>
  <c r="BP23" i="15"/>
  <c r="BQ23" i="15" s="1"/>
  <c r="BK23" i="15"/>
  <c r="AQ12" i="16"/>
  <c r="AC12" i="16"/>
  <c r="V12" i="16"/>
  <c r="AJ12" i="16"/>
  <c r="O12" i="16"/>
  <c r="BE12" i="16"/>
  <c r="O38" i="13"/>
  <c r="AJ38" i="13"/>
  <c r="V38" i="13"/>
  <c r="AQ38" i="13"/>
  <c r="AC38" i="13"/>
  <c r="BE38" i="13"/>
  <c r="AQ12" i="12"/>
  <c r="AJ12" i="12"/>
  <c r="V12" i="12"/>
  <c r="AC12" i="12"/>
  <c r="O12" i="12"/>
  <c r="BE12" i="12"/>
  <c r="BI16" i="16"/>
  <c r="BJ16" i="16" s="1"/>
  <c r="BH16" i="16"/>
  <c r="V31" i="12"/>
  <c r="AQ31" i="12"/>
  <c r="AJ31" i="12"/>
  <c r="AC31" i="12"/>
  <c r="O31" i="12"/>
  <c r="BE31" i="12"/>
  <c r="BK46" i="15"/>
  <c r="BP46" i="15"/>
  <c r="BQ46" i="15" s="1"/>
  <c r="BP15" i="15"/>
  <c r="BQ15" i="15" s="1"/>
  <c r="BK15" i="15"/>
  <c r="BK25" i="15"/>
  <c r="BP25" i="15"/>
  <c r="BQ25" i="15" s="1"/>
  <c r="O28" i="13"/>
  <c r="AJ28" i="13"/>
  <c r="V28" i="13"/>
  <c r="AQ28" i="13"/>
  <c r="AC28" i="13"/>
  <c r="BE28" i="13"/>
  <c r="AJ47" i="16"/>
  <c r="AQ47" i="16"/>
  <c r="AC47" i="16"/>
  <c r="O47" i="16"/>
  <c r="V47" i="16"/>
  <c r="BE47" i="16"/>
  <c r="AC33" i="15"/>
  <c r="O33" i="15"/>
  <c r="AQ33" i="15"/>
  <c r="AJ33" i="15"/>
  <c r="V33" i="15"/>
  <c r="BE33" i="15"/>
  <c r="AC37" i="16"/>
  <c r="AJ37" i="16"/>
  <c r="V37" i="16"/>
  <c r="O37" i="16"/>
  <c r="AQ37" i="16"/>
  <c r="BE37" i="16"/>
  <c r="BK38" i="14"/>
  <c r="BP38" i="14"/>
  <c r="BQ38" i="14" s="1"/>
  <c r="BK17" i="14"/>
  <c r="BP17" i="14"/>
  <c r="BQ17" i="14" s="1"/>
  <c r="BP49" i="14"/>
  <c r="BQ49" i="14" s="1"/>
  <c r="BK49" i="14"/>
  <c r="AJ21" i="16"/>
  <c r="V21" i="16"/>
  <c r="AC21" i="16"/>
  <c r="O21" i="16"/>
  <c r="AQ21" i="16"/>
  <c r="BE21" i="16"/>
  <c r="AJ25" i="13"/>
  <c r="V25" i="13"/>
  <c r="O25" i="13"/>
  <c r="AC25" i="13"/>
  <c r="AQ25" i="13"/>
  <c r="BE25" i="13"/>
  <c r="BK50" i="13"/>
  <c r="BP50" i="13"/>
  <c r="BQ50" i="13" s="1"/>
  <c r="BK32" i="13"/>
  <c r="BP32" i="13"/>
  <c r="BQ32" i="13" s="1"/>
  <c r="V15" i="15"/>
  <c r="O15" i="15"/>
  <c r="AQ15" i="15"/>
  <c r="AC15" i="15"/>
  <c r="AJ15" i="15"/>
  <c r="BE15" i="15"/>
  <c r="O15" i="13"/>
  <c r="AQ15" i="13"/>
  <c r="AC15" i="13"/>
  <c r="V15" i="13"/>
  <c r="AJ15" i="13"/>
  <c r="BE15" i="13"/>
  <c r="BI18" i="13"/>
  <c r="BJ18" i="13" s="1"/>
  <c r="BH18" i="13"/>
  <c r="BP29" i="16"/>
  <c r="BQ29" i="16" s="1"/>
  <c r="BP12" i="12"/>
  <c r="BQ12" i="12" s="1"/>
  <c r="BK12" i="12"/>
  <c r="BK31" i="12"/>
  <c r="BP31" i="12"/>
  <c r="BQ31" i="12" s="1"/>
  <c r="BK47" i="12"/>
  <c r="BP47" i="12"/>
  <c r="BQ47" i="12" s="1"/>
  <c r="BP23" i="16"/>
  <c r="BQ23" i="16" s="1"/>
  <c r="AJ21" i="13"/>
  <c r="V21" i="13"/>
  <c r="O21" i="13"/>
  <c r="AC21" i="13"/>
  <c r="AQ21" i="13"/>
  <c r="BE21" i="13"/>
  <c r="AC32" i="12"/>
  <c r="V32" i="12"/>
  <c r="BE32" i="12"/>
  <c r="AJ32" i="12"/>
  <c r="O32" i="12"/>
  <c r="AQ32" i="12"/>
  <c r="V14" i="14"/>
  <c r="AQ14" i="14"/>
  <c r="O14" i="14"/>
  <c r="AC14" i="14"/>
  <c r="AJ14" i="14"/>
  <c r="BE14" i="14"/>
  <c r="O12" i="15"/>
  <c r="V12" i="15"/>
  <c r="AJ12" i="15"/>
  <c r="AC12" i="15"/>
  <c r="AQ12" i="15"/>
  <c r="BE12" i="15"/>
  <c r="AQ39" i="14"/>
  <c r="V39" i="14"/>
  <c r="O39" i="14"/>
  <c r="AC39" i="14"/>
  <c r="AJ39" i="14"/>
  <c r="BE39" i="14"/>
  <c r="BK24" i="14"/>
  <c r="BP24" i="14"/>
  <c r="BQ24" i="14" s="1"/>
  <c r="BP15" i="14"/>
  <c r="BQ15" i="14" s="1"/>
  <c r="BK15" i="14"/>
  <c r="BK36" i="14"/>
  <c r="BP36" i="14"/>
  <c r="BQ36" i="14" s="1"/>
  <c r="BP45" i="14"/>
  <c r="BQ45" i="14" s="1"/>
  <c r="BK45" i="14"/>
  <c r="V32" i="13"/>
  <c r="AQ32" i="13"/>
  <c r="AJ32" i="13"/>
  <c r="O32" i="13"/>
  <c r="AC32" i="13"/>
  <c r="BE32" i="13"/>
  <c r="AQ30" i="16"/>
  <c r="AC30" i="16"/>
  <c r="O30" i="16"/>
  <c r="AJ30" i="16"/>
  <c r="V30" i="16"/>
  <c r="BE30" i="16"/>
  <c r="BK31" i="13"/>
  <c r="BP31" i="13"/>
  <c r="BQ31" i="13" s="1"/>
  <c r="BP23" i="13"/>
  <c r="BQ23" i="13" s="1"/>
  <c r="BK23" i="13"/>
  <c r="BK24" i="13"/>
  <c r="BP24" i="13"/>
  <c r="BQ24" i="13" s="1"/>
  <c r="O50" i="13"/>
  <c r="AJ50" i="13"/>
  <c r="AQ50" i="13"/>
  <c r="AC50" i="13"/>
  <c r="V50" i="13"/>
  <c r="BE50" i="13"/>
  <c r="BK49" i="12"/>
  <c r="BP49" i="12"/>
  <c r="BQ49" i="12" s="1"/>
  <c r="BK11" i="12"/>
  <c r="BP11" i="12"/>
  <c r="BP35" i="12"/>
  <c r="BQ35" i="12" s="1"/>
  <c r="BK35" i="12"/>
  <c r="BP30" i="12"/>
  <c r="BQ30" i="12" s="1"/>
  <c r="BK30" i="12"/>
  <c r="V38" i="14"/>
  <c r="AC38" i="14"/>
  <c r="O38" i="14"/>
  <c r="AQ38" i="14"/>
  <c r="AJ38" i="14"/>
  <c r="BE38" i="14"/>
  <c r="AQ29" i="13"/>
  <c r="AC29" i="13"/>
  <c r="O29" i="13"/>
  <c r="V29" i="13"/>
  <c r="AJ29" i="13"/>
  <c r="BE29" i="13"/>
  <c r="BH38" i="12"/>
  <c r="BI38" i="12"/>
  <c r="BJ38" i="12" s="1"/>
  <c r="BI36" i="16"/>
  <c r="BJ36" i="16" s="1"/>
  <c r="BH36" i="16"/>
  <c r="AQ32" i="15"/>
  <c r="AC32" i="15"/>
  <c r="O32" i="15"/>
  <c r="AJ32" i="15"/>
  <c r="V32" i="15"/>
  <c r="BE32" i="15"/>
  <c r="O20" i="16"/>
  <c r="AQ20" i="16"/>
  <c r="BE20" i="16"/>
  <c r="AJ20" i="16"/>
  <c r="V20" i="16"/>
  <c r="AC20" i="16"/>
  <c r="AQ43" i="15"/>
  <c r="AC43" i="15"/>
  <c r="O43" i="15"/>
  <c r="AJ43" i="15"/>
  <c r="V43" i="15"/>
  <c r="BE43" i="15"/>
  <c r="AJ30" i="13"/>
  <c r="O30" i="13"/>
  <c r="V30" i="13"/>
  <c r="AC30" i="13"/>
  <c r="AQ30" i="13"/>
  <c r="BE30" i="13"/>
  <c r="BK45" i="15"/>
  <c r="BP45" i="15"/>
  <c r="BQ45" i="15" s="1"/>
  <c r="BP14" i="15"/>
  <c r="BQ14" i="15" s="1"/>
  <c r="BK14" i="15"/>
  <c r="H51" i="13"/>
  <c r="AJ11" i="13"/>
  <c r="V11" i="13"/>
  <c r="AQ11" i="13"/>
  <c r="AC11" i="13"/>
  <c r="O11" i="13"/>
  <c r="BE11" i="13"/>
  <c r="V49" i="12"/>
  <c r="O49" i="12"/>
  <c r="AJ49" i="12"/>
  <c r="AC49" i="12"/>
  <c r="AQ49" i="12"/>
  <c r="BE49" i="12"/>
  <c r="BP27" i="13"/>
  <c r="BQ27" i="13" s="1"/>
  <c r="BK27" i="13"/>
  <c r="AJ11" i="12"/>
  <c r="V11" i="12"/>
  <c r="AQ11" i="12"/>
  <c r="AC11" i="12"/>
  <c r="O11" i="12"/>
  <c r="H51" i="12"/>
  <c r="BE11" i="12"/>
  <c r="AQ50" i="12"/>
  <c r="AC50" i="12"/>
  <c r="O50" i="12"/>
  <c r="V50" i="12"/>
  <c r="AJ50" i="12"/>
  <c r="BE50" i="12"/>
  <c r="BK43" i="16"/>
  <c r="AC40" i="14"/>
  <c r="AJ40" i="14"/>
  <c r="O40" i="14"/>
  <c r="AQ40" i="14"/>
  <c r="V40" i="14"/>
  <c r="BE40" i="14"/>
  <c r="AJ28" i="16"/>
  <c r="V28" i="16"/>
  <c r="AQ28" i="16"/>
  <c r="AC28" i="16"/>
  <c r="O28" i="16"/>
  <c r="BE28" i="16"/>
  <c r="AQ16" i="14"/>
  <c r="AC16" i="14"/>
  <c r="O16" i="14"/>
  <c r="V16" i="14"/>
  <c r="AJ16" i="14"/>
  <c r="BE16" i="14"/>
  <c r="BP26" i="15"/>
  <c r="BQ26" i="15" s="1"/>
  <c r="BK26" i="15"/>
  <c r="BP13" i="15"/>
  <c r="BQ13" i="15" s="1"/>
  <c r="BK13" i="15"/>
  <c r="AQ39" i="16"/>
  <c r="AJ39" i="16"/>
  <c r="V39" i="16"/>
  <c r="O39" i="16"/>
  <c r="AC39" i="16"/>
  <c r="BE39" i="16"/>
  <c r="V39" i="12"/>
  <c r="AQ39" i="12"/>
  <c r="AJ39" i="12"/>
  <c r="O39" i="12"/>
  <c r="AC39" i="12"/>
  <c r="BE39" i="12"/>
  <c r="BK28" i="14"/>
  <c r="BP28" i="14"/>
  <c r="BQ28" i="14" s="1"/>
  <c r="BP40" i="14"/>
  <c r="BQ40" i="14" s="1"/>
  <c r="BK40" i="14"/>
  <c r="BP13" i="14"/>
  <c r="BQ13" i="14" s="1"/>
  <c r="BK13" i="14"/>
  <c r="BK43" i="14"/>
  <c r="BP43" i="14"/>
  <c r="BQ43" i="14" s="1"/>
  <c r="AJ43" i="14"/>
  <c r="V43" i="14"/>
  <c r="AC43" i="14"/>
  <c r="AQ43" i="14"/>
  <c r="O43" i="14"/>
  <c r="BE43" i="14"/>
  <c r="BP42" i="13"/>
  <c r="BQ42" i="13" s="1"/>
  <c r="BK42" i="13"/>
  <c r="BP48" i="13"/>
  <c r="BQ48" i="13" s="1"/>
  <c r="BK48" i="13"/>
  <c r="BK19" i="13"/>
  <c r="BP19" i="13"/>
  <c r="BQ19" i="13" s="1"/>
  <c r="BK41" i="13"/>
  <c r="BP41" i="13"/>
  <c r="BQ41" i="13" s="1"/>
  <c r="BK36" i="16"/>
  <c r="O46" i="16"/>
  <c r="V46" i="16"/>
  <c r="AC46" i="16"/>
  <c r="AJ46" i="16"/>
  <c r="AQ46" i="16"/>
  <c r="BE46" i="16"/>
  <c r="BK44" i="12"/>
  <c r="BP44" i="12"/>
  <c r="BQ44" i="12" s="1"/>
  <c r="BK36" i="12"/>
  <c r="BP36" i="12"/>
  <c r="BQ36" i="12" s="1"/>
  <c r="BP43" i="12"/>
  <c r="BQ43" i="12" s="1"/>
  <c r="BK43" i="12"/>
  <c r="V40" i="13"/>
  <c r="AC40" i="13"/>
  <c r="AJ40" i="13"/>
  <c r="AQ40" i="13"/>
  <c r="O40" i="13"/>
  <c r="BE40" i="13"/>
  <c r="AC43" i="13"/>
  <c r="O43" i="13"/>
  <c r="AJ43" i="13"/>
  <c r="AQ43" i="13"/>
  <c r="V43" i="13"/>
  <c r="BE43" i="13"/>
  <c r="BI30" i="15"/>
  <c r="BJ30" i="15" s="1"/>
  <c r="BH30" i="15"/>
  <c r="AJ24" i="14"/>
  <c r="V24" i="14"/>
  <c r="AQ24" i="14"/>
  <c r="AC24" i="14"/>
  <c r="O24" i="14"/>
  <c r="BE24" i="14"/>
  <c r="BP31" i="16"/>
  <c r="BQ31" i="16" s="1"/>
  <c r="BK31" i="16"/>
  <c r="V23" i="12"/>
  <c r="O23" i="12"/>
  <c r="AJ23" i="12"/>
  <c r="AQ23" i="12"/>
  <c r="AC23" i="12"/>
  <c r="BE23" i="12"/>
  <c r="O29" i="14"/>
  <c r="AJ29" i="14"/>
  <c r="V29" i="14"/>
  <c r="AQ29" i="14"/>
  <c r="AC29" i="14"/>
  <c r="BE29" i="14"/>
  <c r="AJ30" i="12"/>
  <c r="AQ30" i="12"/>
  <c r="AC30" i="12"/>
  <c r="O30" i="12"/>
  <c r="V30" i="12"/>
  <c r="BE30" i="12"/>
  <c r="H51" i="16"/>
  <c r="O11" i="16"/>
  <c r="AJ11" i="16"/>
  <c r="V11" i="16"/>
  <c r="AQ11" i="16"/>
  <c r="BE11" i="16"/>
  <c r="AC11" i="16"/>
  <c r="AJ23" i="15"/>
  <c r="AC23" i="15"/>
  <c r="AQ23" i="15"/>
  <c r="O23" i="15"/>
  <c r="V23" i="15"/>
  <c r="BE23" i="15"/>
  <c r="V14" i="16"/>
  <c r="AJ14" i="16"/>
  <c r="BE14" i="16"/>
  <c r="AC14" i="16"/>
  <c r="O14" i="16"/>
  <c r="AQ14" i="16"/>
  <c r="BK27" i="15"/>
  <c r="BP27" i="15"/>
  <c r="BQ27" i="15" s="1"/>
  <c r="BP44" i="15"/>
  <c r="BQ44" i="15" s="1"/>
  <c r="BK44" i="15"/>
  <c r="BP19" i="15"/>
  <c r="BQ19" i="15" s="1"/>
  <c r="BK19" i="15"/>
  <c r="AJ28" i="12"/>
  <c r="BE28" i="12"/>
  <c r="V28" i="12"/>
  <c r="AC28" i="12"/>
  <c r="AQ28" i="12"/>
  <c r="O28" i="12"/>
  <c r="AJ15" i="14"/>
  <c r="V15" i="14"/>
  <c r="AC15" i="14"/>
  <c r="AQ15" i="14"/>
  <c r="O15" i="14"/>
  <c r="BE15" i="14"/>
  <c r="BK41" i="14"/>
  <c r="BP41" i="14"/>
  <c r="BQ41" i="14" s="1"/>
  <c r="BK16" i="14"/>
  <c r="BP16" i="14"/>
  <c r="BQ16" i="14" s="1"/>
  <c r="BP32" i="14"/>
  <c r="BQ32" i="14" s="1"/>
  <c r="BK32" i="14"/>
  <c r="AQ50" i="16"/>
  <c r="V50" i="16"/>
  <c r="AC50" i="16"/>
  <c r="O50" i="16"/>
  <c r="AJ50" i="16"/>
  <c r="BE50" i="16"/>
  <c r="BP49" i="13"/>
  <c r="BQ49" i="13" s="1"/>
  <c r="BK49" i="13"/>
  <c r="BK14" i="13"/>
  <c r="BP14" i="13"/>
  <c r="BQ14" i="13" s="1"/>
  <c r="BK34" i="13"/>
  <c r="BP34" i="13"/>
  <c r="BQ34" i="13" s="1"/>
  <c r="AQ45" i="14"/>
  <c r="AC45" i="14"/>
  <c r="O45" i="14"/>
  <c r="V45" i="14"/>
  <c r="AJ45" i="14"/>
  <c r="BE45" i="14"/>
  <c r="AJ29" i="15"/>
  <c r="V29" i="15"/>
  <c r="AC29" i="15"/>
  <c r="AQ29" i="15"/>
  <c r="O29" i="15"/>
  <c r="BE29" i="15"/>
  <c r="AJ20" i="14"/>
  <c r="V20" i="14"/>
  <c r="AC20" i="14"/>
  <c r="O20" i="14"/>
  <c r="AQ20" i="14"/>
  <c r="BE20" i="14"/>
  <c r="BP14" i="12"/>
  <c r="BQ14" i="12" s="1"/>
  <c r="BK14" i="12"/>
  <c r="BK28" i="12"/>
  <c r="BP28" i="12"/>
  <c r="BQ28" i="12" s="1"/>
  <c r="BK41" i="12"/>
  <c r="BP41" i="12"/>
  <c r="BQ41" i="12" s="1"/>
  <c r="BP50" i="12"/>
  <c r="BQ50" i="12" s="1"/>
  <c r="BK50" i="12"/>
  <c r="BK24" i="12"/>
  <c r="BP24" i="12"/>
  <c r="BQ24" i="12" s="1"/>
  <c r="AJ42" i="14"/>
  <c r="V42" i="14"/>
  <c r="AC42" i="14"/>
  <c r="O42" i="14"/>
  <c r="AQ42" i="14"/>
  <c r="BE42" i="14"/>
  <c r="BP11" i="16"/>
  <c r="BP41" i="16"/>
  <c r="BQ41" i="16" s="1"/>
  <c r="AJ37" i="12"/>
  <c r="V37" i="12"/>
  <c r="AQ37" i="12"/>
  <c r="AC37" i="12"/>
  <c r="O37" i="12"/>
  <c r="BE37" i="12"/>
  <c r="BK25" i="16"/>
  <c r="BP25" i="16"/>
  <c r="BQ25" i="16" s="1"/>
  <c r="AQ31" i="16"/>
  <c r="AJ31" i="16"/>
  <c r="V31" i="16"/>
  <c r="AC31" i="16"/>
  <c r="O31" i="16"/>
  <c r="BE31" i="16"/>
  <c r="AQ15" i="16"/>
  <c r="AC15" i="16"/>
  <c r="O15" i="16"/>
  <c r="AJ15" i="16"/>
  <c r="V15" i="16"/>
  <c r="BE15" i="16"/>
  <c r="AC44" i="15"/>
  <c r="O44" i="15"/>
  <c r="AQ44" i="15"/>
  <c r="V44" i="15"/>
  <c r="AJ44" i="15"/>
  <c r="BE44" i="15"/>
  <c r="BP35" i="15"/>
  <c r="BQ35" i="15" s="1"/>
  <c r="BK35" i="15"/>
  <c r="AQ26" i="14"/>
  <c r="O26" i="14"/>
  <c r="AJ26" i="14"/>
  <c r="V26" i="14"/>
  <c r="AC26" i="14"/>
  <c r="BE26" i="14"/>
  <c r="AJ13" i="14"/>
  <c r="V13" i="14"/>
  <c r="AC13" i="14"/>
  <c r="O13" i="14"/>
  <c r="BE13" i="14"/>
  <c r="AQ13" i="14"/>
  <c r="BK44" i="13"/>
  <c r="BP44" i="13"/>
  <c r="BQ44" i="13" s="1"/>
  <c r="BK15" i="13"/>
  <c r="BP15" i="13"/>
  <c r="BQ15" i="13" s="1"/>
  <c r="BK45" i="13"/>
  <c r="BP45" i="13"/>
  <c r="BQ45" i="13" s="1"/>
  <c r="V25" i="12"/>
  <c r="AQ25" i="12"/>
  <c r="AJ25" i="12"/>
  <c r="O25" i="12"/>
  <c r="AC25" i="12"/>
  <c r="BE25" i="12"/>
  <c r="V19" i="15"/>
  <c r="AQ19" i="15"/>
  <c r="AC19" i="15"/>
  <c r="AJ19" i="15"/>
  <c r="O19" i="15"/>
  <c r="BE19" i="15"/>
  <c r="O41" i="12"/>
  <c r="AJ41" i="12"/>
  <c r="V41" i="12"/>
  <c r="AC41" i="12"/>
  <c r="AQ41" i="12"/>
  <c r="BE41" i="12"/>
  <c r="AC42" i="12"/>
  <c r="O42" i="12"/>
  <c r="AJ42" i="12"/>
  <c r="AQ42" i="12"/>
  <c r="V42" i="12"/>
  <c r="BE42" i="12"/>
  <c r="O39" i="15"/>
  <c r="V39" i="15"/>
  <c r="AC39" i="15"/>
  <c r="AJ39" i="15"/>
  <c r="AQ39" i="15"/>
  <c r="BE39" i="15"/>
  <c r="BP45" i="12"/>
  <c r="BQ45" i="12" s="1"/>
  <c r="BK45" i="12"/>
  <c r="BP25" i="12"/>
  <c r="BQ25" i="12" s="1"/>
  <c r="BK25" i="12"/>
  <c r="BK48" i="12"/>
  <c r="BP48" i="12"/>
  <c r="BQ48" i="12" s="1"/>
  <c r="BK17" i="12"/>
  <c r="BP17" i="12"/>
  <c r="BQ17" i="12" s="1"/>
  <c r="BP32" i="12"/>
  <c r="BQ32" i="12" s="1"/>
  <c r="BK32" i="12"/>
  <c r="BH15" i="12"/>
  <c r="BI15" i="12"/>
  <c r="BJ15" i="12" s="1"/>
  <c r="O14" i="12"/>
  <c r="AJ14" i="12"/>
  <c r="V14" i="12"/>
  <c r="AQ14" i="12"/>
  <c r="BE14" i="12"/>
  <c r="AC14" i="12"/>
  <c r="V26" i="13"/>
  <c r="AQ26" i="13"/>
  <c r="AJ26" i="13"/>
  <c r="O26" i="13"/>
  <c r="AC26" i="13"/>
  <c r="BE26" i="13"/>
  <c r="AJ24" i="13"/>
  <c r="V24" i="13"/>
  <c r="AC24" i="13"/>
  <c r="O24" i="13"/>
  <c r="AQ24" i="13"/>
  <c r="BE24" i="13"/>
  <c r="V16" i="13"/>
  <c r="AQ16" i="13"/>
  <c r="AC16" i="13"/>
  <c r="O16" i="13"/>
  <c r="BE16" i="13"/>
  <c r="AJ16" i="13"/>
  <c r="AC21" i="15"/>
  <c r="AJ21" i="15"/>
  <c r="V21" i="15"/>
  <c r="O21" i="15"/>
  <c r="AQ21" i="15"/>
  <c r="BE21" i="15"/>
  <c r="BK33" i="16"/>
  <c r="AJ13" i="15"/>
  <c r="V13" i="15"/>
  <c r="AQ13" i="15"/>
  <c r="AC13" i="15"/>
  <c r="O13" i="15"/>
  <c r="BE13" i="15"/>
  <c r="BP38" i="15"/>
  <c r="BQ38" i="15" s="1"/>
  <c r="BK38" i="15"/>
  <c r="BP39" i="15"/>
  <c r="BQ39" i="15" s="1"/>
  <c r="BK39" i="15"/>
  <c r="BP28" i="15"/>
  <c r="BQ28" i="15" s="1"/>
  <c r="BK28" i="15"/>
  <c r="BP50" i="15"/>
  <c r="BQ50" i="15" s="1"/>
  <c r="BK50" i="15"/>
  <c r="BK15" i="16"/>
  <c r="AC27" i="13"/>
  <c r="AJ27" i="13"/>
  <c r="V27" i="13"/>
  <c r="O27" i="13"/>
  <c r="AQ27" i="13"/>
  <c r="BE27" i="13"/>
  <c r="AJ43" i="12"/>
  <c r="O43" i="12"/>
  <c r="AC43" i="12"/>
  <c r="AQ43" i="12"/>
  <c r="V43" i="12"/>
  <c r="BE43" i="12"/>
  <c r="O33" i="16"/>
  <c r="AC33" i="16"/>
  <c r="AJ33" i="16"/>
  <c r="V33" i="16"/>
  <c r="AQ33" i="16"/>
  <c r="BE33" i="16"/>
  <c r="O41" i="14"/>
  <c r="AJ41" i="14"/>
  <c r="V41" i="14"/>
  <c r="AC41" i="14"/>
  <c r="AQ41" i="14"/>
  <c r="BE41" i="14"/>
  <c r="BK11" i="14"/>
  <c r="BP11" i="14"/>
  <c r="BP35" i="14"/>
  <c r="BQ35" i="14" s="1"/>
  <c r="BK35" i="14"/>
  <c r="BK22" i="14"/>
  <c r="BP22" i="14"/>
  <c r="BQ22" i="14" s="1"/>
  <c r="BP31" i="14"/>
  <c r="BQ31" i="14" s="1"/>
  <c r="BK31" i="14"/>
  <c r="AJ13" i="16"/>
  <c r="AC13" i="16"/>
  <c r="O13" i="16"/>
  <c r="AQ13" i="16"/>
  <c r="V13" i="16"/>
  <c r="BE13" i="16"/>
  <c r="BP25" i="13"/>
  <c r="BQ25" i="13" s="1"/>
  <c r="BK25" i="13"/>
  <c r="BP12" i="13"/>
  <c r="BQ12" i="13" s="1"/>
  <c r="BK12" i="13"/>
  <c r="BP47" i="13"/>
  <c r="BQ47" i="13" s="1"/>
  <c r="BK47" i="13"/>
  <c r="AQ13" i="13"/>
  <c r="AJ13" i="13"/>
  <c r="V13" i="13"/>
  <c r="O13" i="13"/>
  <c r="BE13" i="13"/>
  <c r="AC13" i="13"/>
  <c r="AQ37" i="15"/>
  <c r="AC37" i="15"/>
  <c r="O37" i="15"/>
  <c r="AJ37" i="15"/>
  <c r="V37" i="15"/>
  <c r="BE37" i="15"/>
  <c r="V25" i="14"/>
  <c r="AC25" i="14"/>
  <c r="O25" i="14"/>
  <c r="AJ25" i="14"/>
  <c r="AQ25" i="14"/>
  <c r="BE25" i="14"/>
  <c r="AJ31" i="13"/>
  <c r="V31" i="13"/>
  <c r="AC31" i="13"/>
  <c r="O31" i="13"/>
  <c r="AQ31" i="13"/>
  <c r="BE31" i="13"/>
  <c r="AC48" i="14"/>
  <c r="O48" i="14"/>
  <c r="AQ48" i="14"/>
  <c r="AJ48" i="14"/>
  <c r="V48" i="14"/>
  <c r="BE48" i="14"/>
  <c r="BK37" i="12"/>
  <c r="BP37" i="12"/>
  <c r="BQ37" i="12" s="1"/>
  <c r="BK40" i="12"/>
  <c r="BP40" i="12"/>
  <c r="BQ40" i="12" s="1"/>
  <c r="BK46" i="12"/>
  <c r="BP46" i="12"/>
  <c r="BQ46" i="12" s="1"/>
  <c r="AC40" i="12"/>
  <c r="V40" i="12"/>
  <c r="AQ40" i="12"/>
  <c r="AJ40" i="12"/>
  <c r="O40" i="12"/>
  <c r="BE40" i="12"/>
  <c r="BK26" i="16"/>
  <c r="BP21" i="15"/>
  <c r="BQ21" i="15" s="1"/>
  <c r="BK21" i="15"/>
  <c r="BK43" i="15"/>
  <c r="BP43" i="15"/>
  <c r="BQ43" i="15" s="1"/>
  <c r="AC33" i="13"/>
  <c r="AJ33" i="13"/>
  <c r="V33" i="13"/>
  <c r="O33" i="13"/>
  <c r="AQ33" i="13"/>
  <c r="BE33" i="13"/>
  <c r="AQ23" i="16"/>
  <c r="O23" i="16"/>
  <c r="AC23" i="16"/>
  <c r="AJ23" i="16"/>
  <c r="V23" i="16"/>
  <c r="BE23" i="16"/>
  <c r="AC13" i="12"/>
  <c r="AJ13" i="12"/>
  <c r="V13" i="12"/>
  <c r="AQ13" i="12"/>
  <c r="O13" i="12"/>
  <c r="BE13" i="12"/>
  <c r="BP48" i="15"/>
  <c r="BQ48" i="15" s="1"/>
  <c r="BK48" i="15"/>
  <c r="BP27" i="14"/>
  <c r="BQ27" i="14" s="1"/>
  <c r="BK27" i="14"/>
  <c r="BP48" i="14"/>
  <c r="BQ48" i="14" s="1"/>
  <c r="BK48" i="14"/>
  <c r="BK40" i="13"/>
  <c r="BP40" i="13"/>
  <c r="BQ40" i="13" s="1"/>
  <c r="BK21" i="13"/>
  <c r="BP21" i="13"/>
  <c r="BQ21" i="13" s="1"/>
  <c r="BK20" i="13"/>
  <c r="BP20" i="13"/>
  <c r="BQ20" i="13" s="1"/>
  <c r="AC35" i="15"/>
  <c r="O35" i="15"/>
  <c r="AJ35" i="15"/>
  <c r="AQ35" i="15"/>
  <c r="V35" i="15"/>
  <c r="BE35" i="15"/>
  <c r="AC45" i="16"/>
  <c r="AJ45" i="16"/>
  <c r="V45" i="16"/>
  <c r="AQ45" i="16"/>
  <c r="O45" i="16"/>
  <c r="BE45" i="16"/>
  <c r="BQ40" i="16"/>
  <c r="AJ49" i="16"/>
  <c r="V49" i="16"/>
  <c r="AQ49" i="16"/>
  <c r="O49" i="16"/>
  <c r="AC49" i="16"/>
  <c r="BE49" i="16"/>
  <c r="BP21" i="12"/>
  <c r="BQ21" i="12" s="1"/>
  <c r="BK21" i="12"/>
  <c r="BP29" i="12"/>
  <c r="BQ29" i="12" s="1"/>
  <c r="BK29" i="12"/>
  <c r="BP39" i="12"/>
  <c r="BQ39" i="12" s="1"/>
  <c r="BK39" i="12"/>
  <c r="AQ22" i="14"/>
  <c r="AC22" i="14"/>
  <c r="O22" i="14"/>
  <c r="V22" i="14"/>
  <c r="AJ22" i="14"/>
  <c r="BE22" i="14"/>
  <c r="BI18" i="15"/>
  <c r="BJ18" i="15" s="1"/>
  <c r="BH18" i="15"/>
  <c r="AQ44" i="16"/>
  <c r="AJ44" i="16"/>
  <c r="V44" i="16"/>
  <c r="AC44" i="16"/>
  <c r="O44" i="16"/>
  <c r="BE44" i="16"/>
  <c r="BP37" i="15"/>
  <c r="BQ37" i="15" s="1"/>
  <c r="BK37" i="15"/>
  <c r="BK50" i="14"/>
  <c r="BP50" i="14"/>
  <c r="BQ50" i="14" s="1"/>
  <c r="BP18" i="14"/>
  <c r="BQ18" i="14" s="1"/>
  <c r="BK18" i="14"/>
  <c r="BP42" i="14"/>
  <c r="BQ42" i="14" s="1"/>
  <c r="BK42" i="14"/>
  <c r="BP39" i="14"/>
  <c r="BQ39" i="14" s="1"/>
  <c r="BK39" i="14"/>
  <c r="AC49" i="14"/>
  <c r="AJ49" i="14"/>
  <c r="V49" i="14"/>
  <c r="AQ49" i="14"/>
  <c r="O49" i="14"/>
  <c r="BE49" i="14"/>
  <c r="BP22" i="15"/>
  <c r="BQ22" i="15" s="1"/>
  <c r="BK22" i="15"/>
  <c r="O35" i="14"/>
  <c r="AJ35" i="14"/>
  <c r="AQ35" i="14"/>
  <c r="AC35" i="14"/>
  <c r="V35" i="14"/>
  <c r="BE35" i="14"/>
  <c r="BP44" i="14"/>
  <c r="BQ44" i="14" s="1"/>
  <c r="BK44" i="14"/>
  <c r="AC27" i="14"/>
  <c r="AJ27" i="14"/>
  <c r="O27" i="14"/>
  <c r="AQ27" i="14"/>
  <c r="V27" i="14"/>
  <c r="BE27" i="14"/>
  <c r="BP35" i="13"/>
  <c r="BQ35" i="13" s="1"/>
  <c r="BK35" i="13"/>
  <c r="AJ46" i="15"/>
  <c r="AQ46" i="15"/>
  <c r="AC46" i="15"/>
  <c r="O46" i="15"/>
  <c r="V46" i="15"/>
  <c r="BE46" i="15"/>
  <c r="V19" i="14"/>
  <c r="AC19" i="14"/>
  <c r="O19" i="14"/>
  <c r="AQ19" i="14"/>
  <c r="AJ19" i="14"/>
  <c r="BE19" i="14"/>
  <c r="AJ23" i="14"/>
  <c r="AQ23" i="14"/>
  <c r="AC23" i="14"/>
  <c r="O23" i="14"/>
  <c r="V23" i="14"/>
  <c r="BE23" i="14"/>
  <c r="AC26" i="16"/>
  <c r="AQ26" i="16"/>
  <c r="O26" i="16"/>
  <c r="AJ26" i="16"/>
  <c r="V26" i="16"/>
  <c r="BE26" i="16"/>
  <c r="BP20" i="16"/>
  <c r="BQ20" i="16" s="1"/>
  <c r="H51" i="15"/>
  <c r="AC11" i="15"/>
  <c r="O11" i="15"/>
  <c r="AQ11" i="15"/>
  <c r="V11" i="15"/>
  <c r="AJ11" i="15"/>
  <c r="BE11" i="15"/>
  <c r="AC33" i="14"/>
  <c r="AQ33" i="14"/>
  <c r="V33" i="14"/>
  <c r="AJ33" i="14"/>
  <c r="O33" i="14"/>
  <c r="BE33" i="14"/>
  <c r="AJ39" i="13"/>
  <c r="V39" i="13"/>
  <c r="AQ39" i="13"/>
  <c r="O39" i="13"/>
  <c r="AC39" i="13"/>
  <c r="BE39" i="13"/>
  <c r="V46" i="13"/>
  <c r="AQ46" i="13"/>
  <c r="O46" i="13"/>
  <c r="AC46" i="13"/>
  <c r="AJ46" i="13"/>
  <c r="BE46" i="13"/>
  <c r="BK40" i="15"/>
  <c r="BP40" i="15"/>
  <c r="BQ40" i="15" s="1"/>
  <c r="BP31" i="15"/>
  <c r="BQ31" i="15" s="1"/>
  <c r="BK31" i="15"/>
  <c r="BK34" i="15"/>
  <c r="BP34" i="15"/>
  <c r="BQ34" i="15" s="1"/>
  <c r="AJ22" i="13"/>
  <c r="AC22" i="13"/>
  <c r="AQ22" i="13"/>
  <c r="O22" i="13"/>
  <c r="V22" i="13"/>
  <c r="BE22" i="13"/>
  <c r="V29" i="16"/>
  <c r="AQ29" i="16"/>
  <c r="AJ29" i="16"/>
  <c r="O29" i="16"/>
  <c r="AC29" i="16"/>
  <c r="BE29" i="16"/>
  <c r="BH50" i="14"/>
  <c r="BI50" i="14"/>
  <c r="BJ50" i="14" s="1"/>
  <c r="BK30" i="14"/>
  <c r="BP30" i="14"/>
  <c r="BQ30" i="14" s="1"/>
  <c r="BK37" i="14"/>
  <c r="BP37" i="14"/>
  <c r="BQ37" i="14" s="1"/>
  <c r="BK46" i="14"/>
  <c r="BP46" i="14"/>
  <c r="BQ46" i="14" s="1"/>
  <c r="BP21" i="14"/>
  <c r="BQ21" i="14" s="1"/>
  <c r="BK21" i="14"/>
  <c r="BP33" i="14"/>
  <c r="BQ33" i="14" s="1"/>
  <c r="BK33" i="14"/>
  <c r="AQ18" i="16"/>
  <c r="BE18" i="16"/>
  <c r="O18" i="16"/>
  <c r="V18" i="16"/>
  <c r="AC18" i="16"/>
  <c r="AJ18" i="16"/>
  <c r="O36" i="15"/>
  <c r="AC36" i="15"/>
  <c r="AJ36" i="15"/>
  <c r="V36" i="15"/>
  <c r="AQ36" i="15"/>
  <c r="BE36" i="15"/>
  <c r="BK36" i="13"/>
  <c r="BP36" i="13"/>
  <c r="BQ36" i="13" s="1"/>
  <c r="BK17" i="13"/>
  <c r="BP17" i="13"/>
  <c r="BQ17" i="13" s="1"/>
  <c r="BK26" i="13"/>
  <c r="BP26" i="13"/>
  <c r="BQ26" i="13" s="1"/>
  <c r="BK46" i="13"/>
  <c r="BP46" i="13"/>
  <c r="BQ46" i="13" s="1"/>
  <c r="AC14" i="13"/>
  <c r="V14" i="13"/>
  <c r="AQ14" i="13"/>
  <c r="AJ14" i="13"/>
  <c r="O14" i="13"/>
  <c r="BE14" i="13"/>
  <c r="BI42" i="16"/>
  <c r="BJ42" i="16" s="1"/>
  <c r="BH42" i="16"/>
  <c r="AC36" i="12"/>
  <c r="AJ36" i="12"/>
  <c r="V36" i="12"/>
  <c r="BE36" i="12"/>
  <c r="O36" i="12"/>
  <c r="AQ36" i="12"/>
  <c r="BI35" i="12"/>
  <c r="BJ35" i="12" s="1"/>
  <c r="BH35" i="12"/>
  <c r="AJ45" i="12"/>
  <c r="AQ45" i="12"/>
  <c r="V45" i="12"/>
  <c r="AC45" i="12"/>
  <c r="O45" i="12"/>
  <c r="BE45" i="12"/>
  <c r="BK13" i="12"/>
  <c r="BP13" i="12"/>
  <c r="BQ13" i="12" s="1"/>
  <c r="BK34" i="12"/>
  <c r="BP34" i="12"/>
  <c r="BQ34" i="12" s="1"/>
  <c r="AJ44" i="12"/>
  <c r="V44" i="12"/>
  <c r="AQ44" i="12"/>
  <c r="AC44" i="12"/>
  <c r="O44" i="12"/>
  <c r="BE44" i="12"/>
  <c r="AC37" i="13"/>
  <c r="AQ37" i="13"/>
  <c r="AJ37" i="13"/>
  <c r="V37" i="13"/>
  <c r="O37" i="13"/>
  <c r="BE37" i="13"/>
  <c r="AJ40" i="16"/>
  <c r="V40" i="16"/>
  <c r="AQ40" i="16"/>
  <c r="AC40" i="16"/>
  <c r="O40" i="16"/>
  <c r="BE40" i="16"/>
  <c r="AJ45" i="13"/>
  <c r="V45" i="13"/>
  <c r="AQ45" i="13"/>
  <c r="O45" i="13"/>
  <c r="AC45" i="13"/>
  <c r="BE45" i="13"/>
  <c r="AC35" i="13"/>
  <c r="AJ35" i="13"/>
  <c r="V35" i="13"/>
  <c r="AQ35" i="13"/>
  <c r="O35" i="13"/>
  <c r="BE35" i="13"/>
  <c r="BK34" i="14"/>
  <c r="BP34" i="14"/>
  <c r="BQ34" i="14" s="1"/>
  <c r="BK37" i="13"/>
  <c r="BP37" i="13"/>
  <c r="BQ37" i="13" s="1"/>
  <c r="V42" i="15"/>
  <c r="AJ42" i="15"/>
  <c r="AQ42" i="15"/>
  <c r="AC42" i="15"/>
  <c r="O42" i="15"/>
  <c r="BE42" i="15"/>
  <c r="AC26" i="12"/>
  <c r="O26" i="12"/>
  <c r="AQ26" i="12"/>
  <c r="V26" i="12"/>
  <c r="AJ26" i="12"/>
  <c r="BE26" i="12"/>
  <c r="O33" i="12"/>
  <c r="V33" i="12"/>
  <c r="AQ33" i="12"/>
  <c r="AC33" i="12"/>
  <c r="AJ33" i="12"/>
  <c r="BE33" i="12"/>
  <c r="BK33" i="15"/>
  <c r="BP33" i="15"/>
  <c r="BQ33" i="15" s="1"/>
  <c r="BK30" i="15"/>
  <c r="BP30" i="15"/>
  <c r="BQ30" i="15" s="1"/>
  <c r="AQ47" i="13"/>
  <c r="AJ47" i="13"/>
  <c r="V47" i="13"/>
  <c r="AC47" i="13"/>
  <c r="O47" i="13"/>
  <c r="BE47" i="13"/>
  <c r="O28" i="14"/>
  <c r="V28" i="14"/>
  <c r="AQ28" i="14"/>
  <c r="AC28" i="14"/>
  <c r="AJ28" i="14"/>
  <c r="BE28" i="14"/>
  <c r="AQ41" i="13"/>
  <c r="AC41" i="13"/>
  <c r="O41" i="13"/>
  <c r="AJ41" i="13"/>
  <c r="V41" i="13"/>
  <c r="BE41" i="13"/>
  <c r="V47" i="12"/>
  <c r="AQ47" i="12"/>
  <c r="AJ47" i="12"/>
  <c r="O47" i="12"/>
  <c r="AC47" i="12"/>
  <c r="BE47" i="12"/>
  <c r="BP19" i="16"/>
  <c r="BQ19" i="16" s="1"/>
  <c r="BK19" i="16"/>
  <c r="V48" i="16"/>
  <c r="AC48" i="16"/>
  <c r="O48" i="16"/>
  <c r="AQ48" i="16"/>
  <c r="AJ48" i="16"/>
  <c r="BE48" i="16"/>
  <c r="O12" i="14"/>
  <c r="AJ12" i="14"/>
  <c r="AQ12" i="14"/>
  <c r="AC12" i="14"/>
  <c r="BE12" i="14"/>
  <c r="V12" i="14"/>
  <c r="BP24" i="15"/>
  <c r="BQ24" i="15" s="1"/>
  <c r="BK24" i="15"/>
  <c r="BP47" i="15"/>
  <c r="BQ47" i="15" s="1"/>
  <c r="BK47" i="15"/>
  <c r="BP11" i="15"/>
  <c r="BK11" i="15"/>
  <c r="BP41" i="15"/>
  <c r="BQ41" i="15" s="1"/>
  <c r="BK41" i="15"/>
  <c r="BK17" i="15"/>
  <c r="BP17" i="15"/>
  <c r="BQ17" i="15" s="1"/>
  <c r="BI24" i="15"/>
  <c r="BJ24" i="15" s="1"/>
  <c r="BH24" i="15"/>
  <c r="AQ21" i="14"/>
  <c r="AC21" i="14"/>
  <c r="O21" i="14"/>
  <c r="V21" i="14"/>
  <c r="AJ21" i="14"/>
  <c r="BE21" i="14"/>
  <c r="BP23" i="14"/>
  <c r="BQ23" i="14" s="1"/>
  <c r="BK23" i="14"/>
  <c r="BK20" i="14"/>
  <c r="BP20" i="14"/>
  <c r="BQ20" i="14" s="1"/>
  <c r="AJ23" i="13"/>
  <c r="V23" i="13"/>
  <c r="AC23" i="13"/>
  <c r="AQ23" i="13"/>
  <c r="O23" i="13"/>
  <c r="BE23" i="13"/>
  <c r="V19" i="12"/>
  <c r="AJ19" i="12"/>
  <c r="AQ19" i="12"/>
  <c r="AC19" i="12"/>
  <c r="BE19" i="12"/>
  <c r="O19" i="12"/>
  <c r="BK29" i="13"/>
  <c r="BP29" i="13"/>
  <c r="BQ29" i="13" s="1"/>
  <c r="BK38" i="13"/>
  <c r="BP38" i="13"/>
  <c r="BQ38" i="13" s="1"/>
  <c r="BK16" i="13"/>
  <c r="BP16" i="13"/>
  <c r="BQ16" i="13" s="1"/>
  <c r="BP11" i="13"/>
  <c r="BK11" i="13"/>
  <c r="BP30" i="13"/>
  <c r="BQ30" i="13" s="1"/>
  <c r="BK30" i="13"/>
  <c r="V22" i="16"/>
  <c r="O22" i="16"/>
  <c r="AC22" i="16"/>
  <c r="AQ22" i="16"/>
  <c r="AJ22" i="16"/>
  <c r="BE22" i="16"/>
  <c r="AQ31" i="15"/>
  <c r="AC31" i="15"/>
  <c r="O31" i="15"/>
  <c r="AJ31" i="15"/>
  <c r="V31" i="15"/>
  <c r="BE31" i="15"/>
  <c r="BP16" i="12"/>
  <c r="BQ16" i="12" s="1"/>
  <c r="BK16" i="12"/>
  <c r="BK23" i="12"/>
  <c r="BP23" i="12"/>
  <c r="BQ23" i="12" s="1"/>
  <c r="BK27" i="12"/>
  <c r="BP27" i="12"/>
  <c r="BQ27" i="12" s="1"/>
  <c r="BK19" i="12"/>
  <c r="BP19" i="12"/>
  <c r="BQ19" i="12" s="1"/>
  <c r="O22" i="15"/>
  <c r="AQ22" i="15"/>
  <c r="AJ22" i="15"/>
  <c r="V22" i="15"/>
  <c r="AC22" i="15"/>
  <c r="BE22" i="15"/>
  <c r="AJ47" i="15"/>
  <c r="V47" i="15"/>
  <c r="AC47" i="15"/>
  <c r="O47" i="15"/>
  <c r="AQ47" i="15"/>
  <c r="BE47" i="15"/>
  <c r="O27" i="12"/>
  <c r="AQ27" i="12"/>
  <c r="AC27" i="12"/>
  <c r="AJ27" i="12"/>
  <c r="BE27" i="12"/>
  <c r="V27" i="12"/>
  <c r="V35" i="16"/>
  <c r="AC35" i="16"/>
  <c r="O35" i="16"/>
  <c r="AQ35" i="16"/>
  <c r="AJ35" i="16"/>
  <c r="BE35" i="16"/>
  <c r="BI36" i="14"/>
  <c r="BJ36" i="14" s="1"/>
  <c r="BH36" i="14"/>
  <c r="V13" i="6"/>
  <c r="AJ13" i="6"/>
  <c r="AC13" i="6"/>
  <c r="AQ13" i="6"/>
  <c r="O13" i="6"/>
  <c r="BE13" i="6"/>
  <c r="BP13" i="6"/>
  <c r="V26" i="6"/>
  <c r="AC26" i="6"/>
  <c r="AQ26" i="6"/>
  <c r="AJ26" i="6"/>
  <c r="O26" i="6"/>
  <c r="BE26" i="6"/>
  <c r="O27" i="6"/>
  <c r="V27" i="6"/>
  <c r="AJ27" i="6"/>
  <c r="AC27" i="6"/>
  <c r="AQ27" i="6"/>
  <c r="BE27" i="6"/>
  <c r="O30" i="5"/>
  <c r="AJ30" i="5"/>
  <c r="V30" i="5"/>
  <c r="AC30" i="5"/>
  <c r="AQ30" i="5"/>
  <c r="BP30" i="5"/>
  <c r="BE30" i="5"/>
  <c r="BH41" i="3"/>
  <c r="BI41" i="3"/>
  <c r="BJ41" i="3" s="1"/>
  <c r="O26" i="3"/>
  <c r="AJ26" i="3"/>
  <c r="V26" i="3"/>
  <c r="AC26" i="3"/>
  <c r="AQ26" i="3"/>
  <c r="BP26" i="3"/>
  <c r="BE26" i="3"/>
  <c r="BH21" i="2"/>
  <c r="BI21" i="2"/>
  <c r="BJ21" i="2" s="1"/>
  <c r="AJ45" i="2"/>
  <c r="V45" i="2"/>
  <c r="AQ45" i="2"/>
  <c r="AC45" i="2"/>
  <c r="O45" i="2"/>
  <c r="BP45" i="2"/>
  <c r="BE45" i="2"/>
  <c r="AJ39" i="6"/>
  <c r="AQ39" i="6"/>
  <c r="AC39" i="6"/>
  <c r="O39" i="6"/>
  <c r="V39" i="6"/>
  <c r="BE39" i="6"/>
  <c r="AQ27" i="5"/>
  <c r="V27" i="5"/>
  <c r="AC27" i="5"/>
  <c r="O27" i="5"/>
  <c r="AJ27" i="5"/>
  <c r="BP27" i="5"/>
  <c r="BE27" i="5"/>
  <c r="O16" i="2"/>
  <c r="AQ16" i="2"/>
  <c r="AC16" i="2"/>
  <c r="BE16" i="2"/>
  <c r="AJ16" i="2"/>
  <c r="V16" i="2"/>
  <c r="BP16" i="2"/>
  <c r="AJ42" i="4"/>
  <c r="AQ42" i="4"/>
  <c r="AC42" i="4"/>
  <c r="O42" i="4"/>
  <c r="V42" i="4"/>
  <c r="BE42" i="4"/>
  <c r="BP42" i="4"/>
  <c r="V40" i="3"/>
  <c r="AC40" i="3"/>
  <c r="AJ40" i="3"/>
  <c r="O40" i="3"/>
  <c r="AQ40" i="3"/>
  <c r="BP40" i="3"/>
  <c r="BE40" i="3"/>
  <c r="AJ44" i="5"/>
  <c r="V44" i="5"/>
  <c r="AQ44" i="5"/>
  <c r="O44" i="5"/>
  <c r="AC44" i="5"/>
  <c r="BP44" i="5"/>
  <c r="BE44" i="5"/>
  <c r="O36" i="5"/>
  <c r="AC36" i="5"/>
  <c r="AJ36" i="5"/>
  <c r="V36" i="5"/>
  <c r="AQ36" i="5"/>
  <c r="BP36" i="5"/>
  <c r="BE36" i="5"/>
  <c r="AJ20" i="4"/>
  <c r="V20" i="4"/>
  <c r="AQ20" i="4"/>
  <c r="O20" i="4"/>
  <c r="AC20" i="4"/>
  <c r="BP20" i="4"/>
  <c r="BE20" i="4"/>
  <c r="AC39" i="5"/>
  <c r="AJ39" i="5"/>
  <c r="AQ39" i="5"/>
  <c r="O39" i="5"/>
  <c r="V39" i="5"/>
  <c r="BP39" i="5"/>
  <c r="BE39" i="5"/>
  <c r="AQ32" i="2"/>
  <c r="AC32" i="2"/>
  <c r="O32" i="2"/>
  <c r="AJ32" i="2"/>
  <c r="V32" i="2"/>
  <c r="BP32" i="2"/>
  <c r="BE32" i="2"/>
  <c r="AQ35" i="2"/>
  <c r="AJ35" i="2"/>
  <c r="AC35" i="2"/>
  <c r="O35" i="2"/>
  <c r="V35" i="2"/>
  <c r="BE35" i="2"/>
  <c r="BP35" i="2"/>
  <c r="AJ47" i="4"/>
  <c r="V47" i="4"/>
  <c r="AQ47" i="4"/>
  <c r="O47" i="4"/>
  <c r="AC47" i="4"/>
  <c r="BE47" i="4"/>
  <c r="BP47" i="4"/>
  <c r="AC28" i="3"/>
  <c r="AQ28" i="3"/>
  <c r="O28" i="3"/>
  <c r="V28" i="3"/>
  <c r="AJ28" i="3"/>
  <c r="BE28" i="3"/>
  <c r="BP28" i="3"/>
  <c r="AJ32" i="4"/>
  <c r="V32" i="4"/>
  <c r="AQ32" i="4"/>
  <c r="AC32" i="4"/>
  <c r="O32" i="4"/>
  <c r="BE32" i="4"/>
  <c r="BP32" i="4"/>
  <c r="AC29" i="3"/>
  <c r="V29" i="3"/>
  <c r="AJ29" i="3"/>
  <c r="O29" i="3"/>
  <c r="AQ29" i="3"/>
  <c r="BE29" i="3"/>
  <c r="BP29" i="3"/>
  <c r="BI23" i="5"/>
  <c r="BJ23" i="5" s="1"/>
  <c r="BH23" i="5"/>
  <c r="AJ50" i="2"/>
  <c r="O50" i="2"/>
  <c r="AQ50" i="2"/>
  <c r="V50" i="2"/>
  <c r="AC50" i="2"/>
  <c r="BE50" i="2"/>
  <c r="BP50" i="2"/>
  <c r="AC27" i="4"/>
  <c r="AJ27" i="4"/>
  <c r="AQ27" i="4"/>
  <c r="O27" i="4"/>
  <c r="V27" i="4"/>
  <c r="BE27" i="4"/>
  <c r="BP27" i="4"/>
  <c r="AC45" i="4"/>
  <c r="O45" i="4"/>
  <c r="V45" i="4"/>
  <c r="AJ45" i="4"/>
  <c r="AQ45" i="4"/>
  <c r="BE45" i="4"/>
  <c r="BP45" i="4"/>
  <c r="O22" i="3"/>
  <c r="AQ22" i="3"/>
  <c r="AC22" i="3"/>
  <c r="V22" i="3"/>
  <c r="AJ22" i="3"/>
  <c r="BE22" i="3"/>
  <c r="BP22" i="3"/>
  <c r="V22" i="2"/>
  <c r="AQ22" i="2"/>
  <c r="AC22" i="2"/>
  <c r="O22" i="2"/>
  <c r="AJ22" i="2"/>
  <c r="BP22" i="2"/>
  <c r="BE22" i="2"/>
  <c r="O12" i="2"/>
  <c r="BE12" i="2"/>
  <c r="AJ12" i="2"/>
  <c r="V12" i="2"/>
  <c r="AQ12" i="2"/>
  <c r="AC12" i="2"/>
  <c r="BP12" i="2"/>
  <c r="V25" i="2"/>
  <c r="AQ25" i="2"/>
  <c r="AC25" i="2"/>
  <c r="BE25" i="2"/>
  <c r="O25" i="2"/>
  <c r="AJ25" i="2"/>
  <c r="BP25" i="2"/>
  <c r="AQ20" i="6"/>
  <c r="AC20" i="6"/>
  <c r="O20" i="6"/>
  <c r="AJ20" i="6"/>
  <c r="V20" i="6"/>
  <c r="BE20" i="6"/>
  <c r="V28" i="2"/>
  <c r="O28" i="2"/>
  <c r="AQ28" i="2"/>
  <c r="AC28" i="2"/>
  <c r="BE28" i="2"/>
  <c r="AJ28" i="2"/>
  <c r="BP28" i="2"/>
  <c r="AJ28" i="6"/>
  <c r="AC28" i="6"/>
  <c r="O28" i="6"/>
  <c r="V28" i="6"/>
  <c r="AQ28" i="6"/>
  <c r="BE28" i="6"/>
  <c r="AC30" i="4"/>
  <c r="V30" i="4"/>
  <c r="AQ30" i="4"/>
  <c r="O30" i="4"/>
  <c r="AJ30" i="4"/>
  <c r="BE30" i="4"/>
  <c r="BP30" i="4"/>
  <c r="AQ35" i="6"/>
  <c r="O35" i="6"/>
  <c r="V35" i="6"/>
  <c r="AJ35" i="6"/>
  <c r="AC35" i="6"/>
  <c r="BE35" i="6"/>
  <c r="AC24" i="3"/>
  <c r="AJ24" i="3"/>
  <c r="V24" i="3"/>
  <c r="O24" i="3"/>
  <c r="AQ24" i="3"/>
  <c r="BE24" i="3"/>
  <c r="BP24" i="3"/>
  <c r="O13" i="3"/>
  <c r="AQ13" i="3"/>
  <c r="AC13" i="3"/>
  <c r="AJ13" i="3"/>
  <c r="V13" i="3"/>
  <c r="BE13" i="3"/>
  <c r="BP13" i="3"/>
  <c r="AJ15" i="5"/>
  <c r="V15" i="5"/>
  <c r="O15" i="5"/>
  <c r="AC15" i="5"/>
  <c r="AQ15" i="5"/>
  <c r="BE15" i="5"/>
  <c r="BP15" i="5"/>
  <c r="H51" i="2"/>
  <c r="AJ11" i="2"/>
  <c r="V11" i="2"/>
  <c r="AQ11" i="2"/>
  <c r="AC11" i="2"/>
  <c r="O11" i="2"/>
  <c r="BE11" i="2"/>
  <c r="BP11" i="2"/>
  <c r="AQ16" i="5"/>
  <c r="AC16" i="5"/>
  <c r="O16" i="5"/>
  <c r="V16" i="5"/>
  <c r="AJ16" i="5"/>
  <c r="BE16" i="5"/>
  <c r="BP16" i="5"/>
  <c r="V30" i="6"/>
  <c r="AQ30" i="6"/>
  <c r="AC30" i="6"/>
  <c r="AJ30" i="6"/>
  <c r="O30" i="6"/>
  <c r="BE30" i="6"/>
  <c r="AC35" i="4"/>
  <c r="AJ35" i="4"/>
  <c r="V35" i="4"/>
  <c r="AQ35" i="4"/>
  <c r="O35" i="4"/>
  <c r="BP35" i="4"/>
  <c r="BE35" i="4"/>
  <c r="AQ29" i="6"/>
  <c r="AC29" i="6"/>
  <c r="V29" i="6"/>
  <c r="AJ29" i="6"/>
  <c r="O29" i="6"/>
  <c r="BE29" i="6"/>
  <c r="AJ50" i="4"/>
  <c r="AQ50" i="4"/>
  <c r="O50" i="4"/>
  <c r="V50" i="4"/>
  <c r="AC50" i="4"/>
  <c r="BE50" i="4"/>
  <c r="BP50" i="4"/>
  <c r="V33" i="2"/>
  <c r="AJ33" i="2"/>
  <c r="AQ33" i="2"/>
  <c r="AC33" i="2"/>
  <c r="O33" i="2"/>
  <c r="BE33" i="2"/>
  <c r="BP33" i="2"/>
  <c r="AQ28" i="4"/>
  <c r="AC28" i="4"/>
  <c r="O28" i="4"/>
  <c r="AJ28" i="4"/>
  <c r="V28" i="4"/>
  <c r="BE28" i="4"/>
  <c r="BP28" i="4"/>
  <c r="AJ12" i="5"/>
  <c r="V12" i="5"/>
  <c r="AQ12" i="5"/>
  <c r="AC12" i="5"/>
  <c r="O12" i="5"/>
  <c r="BE12" i="5"/>
  <c r="BP12" i="5"/>
  <c r="V50" i="5"/>
  <c r="AQ50" i="5"/>
  <c r="AJ50" i="5"/>
  <c r="AC50" i="5"/>
  <c r="O50" i="5"/>
  <c r="BE50" i="5"/>
  <c r="BP50" i="5"/>
  <c r="O48" i="5"/>
  <c r="V48" i="5"/>
  <c r="AJ48" i="5"/>
  <c r="AC48" i="5"/>
  <c r="AQ48" i="5"/>
  <c r="BE48" i="5"/>
  <c r="BP48" i="5"/>
  <c r="O43" i="2"/>
  <c r="AJ43" i="2"/>
  <c r="AC43" i="2"/>
  <c r="AQ43" i="2"/>
  <c r="V43" i="2"/>
  <c r="BP43" i="2"/>
  <c r="BE43" i="2"/>
  <c r="AQ46" i="3"/>
  <c r="AC46" i="3"/>
  <c r="AJ46" i="3"/>
  <c r="O46" i="3"/>
  <c r="V46" i="3"/>
  <c r="BE46" i="3"/>
  <c r="BP46" i="3"/>
  <c r="AJ26" i="5"/>
  <c r="V26" i="5"/>
  <c r="AQ26" i="5"/>
  <c r="O26" i="5"/>
  <c r="AC26" i="5"/>
  <c r="BP26" i="5"/>
  <c r="BE26" i="5"/>
  <c r="AQ31" i="3"/>
  <c r="AC31" i="3"/>
  <c r="O31" i="3"/>
  <c r="AJ31" i="3"/>
  <c r="V31" i="3"/>
  <c r="BP31" i="3"/>
  <c r="BE31" i="3"/>
  <c r="AJ25" i="4"/>
  <c r="V25" i="4"/>
  <c r="AC25" i="4"/>
  <c r="O25" i="4"/>
  <c r="AQ25" i="4"/>
  <c r="BE25" i="4"/>
  <c r="BP25" i="4"/>
  <c r="AC15" i="6"/>
  <c r="O15" i="6"/>
  <c r="AJ15" i="6"/>
  <c r="AQ15" i="6"/>
  <c r="V15" i="6"/>
  <c r="BE15" i="6"/>
  <c r="BP15" i="6"/>
  <c r="V40" i="2"/>
  <c r="AC40" i="2"/>
  <c r="AQ40" i="2"/>
  <c r="AJ40" i="2"/>
  <c r="O40" i="2"/>
  <c r="BP40" i="2"/>
  <c r="BE40" i="2"/>
  <c r="AQ30" i="3"/>
  <c r="AC30" i="3"/>
  <c r="O30" i="3"/>
  <c r="V30" i="3"/>
  <c r="AJ30" i="3"/>
  <c r="BE30" i="3"/>
  <c r="BP30" i="3"/>
  <c r="V45" i="3"/>
  <c r="AQ45" i="3"/>
  <c r="AC45" i="3"/>
  <c r="O45" i="3"/>
  <c r="AJ45" i="3"/>
  <c r="BE45" i="3"/>
  <c r="BP45" i="3"/>
  <c r="BI48" i="4"/>
  <c r="BJ48" i="4" s="1"/>
  <c r="BH48" i="4"/>
  <c r="AQ46" i="6"/>
  <c r="V46" i="6"/>
  <c r="AJ46" i="6"/>
  <c r="O46" i="6"/>
  <c r="AC46" i="6"/>
  <c r="BE46" i="6"/>
  <c r="AC21" i="3"/>
  <c r="AJ21" i="3"/>
  <c r="V21" i="3"/>
  <c r="AQ21" i="3"/>
  <c r="O21" i="3"/>
  <c r="BE21" i="3"/>
  <c r="BP21" i="3"/>
  <c r="AQ37" i="6"/>
  <c r="AC37" i="6"/>
  <c r="O37" i="6"/>
  <c r="AJ37" i="6"/>
  <c r="V37" i="6"/>
  <c r="BE37" i="6"/>
  <c r="AJ29" i="4"/>
  <c r="V29" i="4"/>
  <c r="O29" i="4"/>
  <c r="AC29" i="4"/>
  <c r="AQ29" i="4"/>
  <c r="BP29" i="4"/>
  <c r="BE29" i="4"/>
  <c r="AC45" i="5"/>
  <c r="AQ45" i="5"/>
  <c r="V45" i="5"/>
  <c r="AJ45" i="5"/>
  <c r="O45" i="5"/>
  <c r="BE45" i="5"/>
  <c r="BP45" i="5"/>
  <c r="O35" i="5"/>
  <c r="AJ35" i="5"/>
  <c r="V35" i="5"/>
  <c r="AC35" i="5"/>
  <c r="AQ35" i="5"/>
  <c r="BE35" i="5"/>
  <c r="BP35" i="5"/>
  <c r="AC25" i="3"/>
  <c r="AQ25" i="3"/>
  <c r="O25" i="3"/>
  <c r="AJ25" i="3"/>
  <c r="V25" i="3"/>
  <c r="BE25" i="3"/>
  <c r="BP25" i="3"/>
  <c r="BP20" i="6"/>
  <c r="AJ32" i="5"/>
  <c r="V32" i="5"/>
  <c r="O32" i="5"/>
  <c r="AC32" i="5"/>
  <c r="AQ32" i="5"/>
  <c r="BE32" i="5"/>
  <c r="BP32" i="5"/>
  <c r="AJ15" i="3"/>
  <c r="AQ15" i="3"/>
  <c r="O15" i="3"/>
  <c r="V15" i="3"/>
  <c r="BE15" i="3"/>
  <c r="AC15" i="3"/>
  <c r="BP15" i="3"/>
  <c r="BE15" i="2"/>
  <c r="AJ15" i="2"/>
  <c r="V15" i="2"/>
  <c r="O15" i="2"/>
  <c r="AC15" i="2"/>
  <c r="AQ15" i="2"/>
  <c r="BP15" i="2"/>
  <c r="AC21" i="4"/>
  <c r="V21" i="4"/>
  <c r="AQ21" i="4"/>
  <c r="AJ21" i="4"/>
  <c r="O21" i="4"/>
  <c r="BE21" i="4"/>
  <c r="BP21" i="4"/>
  <c r="V48" i="3"/>
  <c r="AC48" i="3"/>
  <c r="AQ48" i="3"/>
  <c r="AJ48" i="3"/>
  <c r="O48" i="3"/>
  <c r="BE48" i="3"/>
  <c r="BP48" i="3"/>
  <c r="BI33" i="3"/>
  <c r="BJ33" i="3" s="1"/>
  <c r="BH33" i="3"/>
  <c r="AJ49" i="2"/>
  <c r="AQ49" i="2"/>
  <c r="O49" i="2"/>
  <c r="V49" i="2"/>
  <c r="AC49" i="2"/>
  <c r="BE49" i="2"/>
  <c r="BP49" i="2"/>
  <c r="O25" i="5"/>
  <c r="AQ25" i="5"/>
  <c r="AC25" i="5"/>
  <c r="V25" i="5"/>
  <c r="AJ25" i="5"/>
  <c r="BE25" i="5"/>
  <c r="BP25" i="5"/>
  <c r="AQ42" i="6"/>
  <c r="O42" i="6"/>
  <c r="AC42" i="6"/>
  <c r="V42" i="6"/>
  <c r="AJ42" i="6"/>
  <c r="BE42" i="6"/>
  <c r="BI48" i="2"/>
  <c r="BJ48" i="2" s="1"/>
  <c r="BH48" i="2"/>
  <c r="BH14" i="4"/>
  <c r="O22" i="6"/>
  <c r="AQ22" i="6"/>
  <c r="AC22" i="6"/>
  <c r="AJ22" i="6"/>
  <c r="V22" i="6"/>
  <c r="BE22" i="6"/>
  <c r="H51" i="5"/>
  <c r="AC11" i="5"/>
  <c r="O11" i="5"/>
  <c r="AJ11" i="5"/>
  <c r="V11" i="5"/>
  <c r="AQ11" i="5"/>
  <c r="BE11" i="5"/>
  <c r="BP11" i="5"/>
  <c r="V29" i="2"/>
  <c r="AQ29" i="2"/>
  <c r="AJ29" i="2"/>
  <c r="AC29" i="2"/>
  <c r="O29" i="2"/>
  <c r="BE29" i="2"/>
  <c r="BP29" i="2"/>
  <c r="AQ44" i="6"/>
  <c r="AC44" i="6"/>
  <c r="V44" i="6"/>
  <c r="AJ44" i="6"/>
  <c r="O44" i="6"/>
  <c r="BE44" i="6"/>
  <c r="O29" i="5"/>
  <c r="V29" i="5"/>
  <c r="AQ29" i="5"/>
  <c r="AC29" i="5"/>
  <c r="AJ29" i="5"/>
  <c r="BP29" i="5"/>
  <c r="BE29" i="5"/>
  <c r="V25" i="6"/>
  <c r="AJ25" i="6"/>
  <c r="AC25" i="6"/>
  <c r="O25" i="6"/>
  <c r="AQ25" i="6"/>
  <c r="BE25" i="6"/>
  <c r="AQ23" i="3"/>
  <c r="O23" i="3"/>
  <c r="AC23" i="3"/>
  <c r="V23" i="3"/>
  <c r="AJ23" i="3"/>
  <c r="BP23" i="3"/>
  <c r="BE23" i="3"/>
  <c r="AQ19" i="2"/>
  <c r="AC19" i="2"/>
  <c r="O19" i="2"/>
  <c r="BE19" i="2"/>
  <c r="AJ19" i="2"/>
  <c r="V19" i="2"/>
  <c r="BP19" i="2"/>
  <c r="AQ46" i="2"/>
  <c r="AC46" i="2"/>
  <c r="V46" i="2"/>
  <c r="AJ46" i="2"/>
  <c r="O46" i="2"/>
  <c r="BP46" i="2"/>
  <c r="BE46" i="2"/>
  <c r="V16" i="4"/>
  <c r="AQ16" i="4"/>
  <c r="AC16" i="4"/>
  <c r="O16" i="4"/>
  <c r="AJ16" i="4"/>
  <c r="BE16" i="4"/>
  <c r="BP16" i="4"/>
  <c r="O33" i="5"/>
  <c r="AJ33" i="5"/>
  <c r="AC33" i="5"/>
  <c r="AQ33" i="5"/>
  <c r="V33" i="5"/>
  <c r="BP33" i="5"/>
  <c r="BE33" i="5"/>
  <c r="AC18" i="6"/>
  <c r="AQ18" i="6"/>
  <c r="BE18" i="6"/>
  <c r="V18" i="6"/>
  <c r="AJ18" i="6"/>
  <c r="O18" i="6"/>
  <c r="AJ16" i="3"/>
  <c r="AQ16" i="3"/>
  <c r="AC16" i="3"/>
  <c r="O16" i="3"/>
  <c r="BE16" i="3"/>
  <c r="V16" i="3"/>
  <c r="BP16" i="3"/>
  <c r="V39" i="3"/>
  <c r="AJ39" i="3"/>
  <c r="O39" i="3"/>
  <c r="AC39" i="3"/>
  <c r="AQ39" i="3"/>
  <c r="BE39" i="3"/>
  <c r="BP39" i="3"/>
  <c r="H51" i="6"/>
  <c r="AJ11" i="6"/>
  <c r="AC11" i="6"/>
  <c r="O11" i="6"/>
  <c r="AQ11" i="6"/>
  <c r="BE11" i="6"/>
  <c r="V11" i="6"/>
  <c r="AJ14" i="5"/>
  <c r="O14" i="5"/>
  <c r="V14" i="5"/>
  <c r="AQ14" i="5"/>
  <c r="AC14" i="5"/>
  <c r="BE14" i="5"/>
  <c r="BP14" i="5"/>
  <c r="O19" i="6"/>
  <c r="V19" i="6"/>
  <c r="AQ19" i="6"/>
  <c r="BE19" i="6"/>
  <c r="AC19" i="6"/>
  <c r="AJ19" i="6"/>
  <c r="V13" i="4"/>
  <c r="AQ13" i="4"/>
  <c r="AC13" i="4"/>
  <c r="O13" i="4"/>
  <c r="AJ13" i="4"/>
  <c r="BE13" i="4"/>
  <c r="BP13" i="4"/>
  <c r="AJ22" i="5"/>
  <c r="V22" i="5"/>
  <c r="AQ22" i="5"/>
  <c r="AC22" i="5"/>
  <c r="O22" i="5"/>
  <c r="BP22" i="5"/>
  <c r="BE22" i="5"/>
  <c r="AC49" i="4"/>
  <c r="O49" i="4"/>
  <c r="AJ49" i="4"/>
  <c r="AQ49" i="4"/>
  <c r="V49" i="4"/>
  <c r="BE49" i="4"/>
  <c r="BP49" i="4"/>
  <c r="AC20" i="3"/>
  <c r="V20" i="3"/>
  <c r="AQ20" i="3"/>
  <c r="O20" i="3"/>
  <c r="AJ20" i="3"/>
  <c r="BE20" i="3"/>
  <c r="BP20" i="3"/>
  <c r="AQ50" i="3"/>
  <c r="AC50" i="3"/>
  <c r="AJ50" i="3"/>
  <c r="O50" i="3"/>
  <c r="V50" i="3"/>
  <c r="BE50" i="3"/>
  <c r="BP50" i="3"/>
  <c r="AJ40" i="4"/>
  <c r="V40" i="4"/>
  <c r="AQ40" i="4"/>
  <c r="AC40" i="4"/>
  <c r="O40" i="4"/>
  <c r="BP40" i="4"/>
  <c r="BE40" i="4"/>
  <c r="AQ39" i="2"/>
  <c r="O39" i="2"/>
  <c r="AC39" i="2"/>
  <c r="V39" i="2"/>
  <c r="AJ39" i="2"/>
  <c r="BE39" i="2"/>
  <c r="BP39" i="2"/>
  <c r="AC38" i="4"/>
  <c r="V38" i="4"/>
  <c r="AQ38" i="4"/>
  <c r="O38" i="4"/>
  <c r="BP38" i="4"/>
  <c r="AJ38" i="4"/>
  <c r="BE38" i="4"/>
  <c r="AJ28" i="5"/>
  <c r="V28" i="5"/>
  <c r="O28" i="5"/>
  <c r="AC28" i="5"/>
  <c r="AQ28" i="5"/>
  <c r="BE28" i="5"/>
  <c r="BP28" i="5"/>
  <c r="V30" i="2"/>
  <c r="AQ30" i="2"/>
  <c r="AJ30" i="2"/>
  <c r="AC30" i="2"/>
  <c r="O30" i="2"/>
  <c r="BP30" i="2"/>
  <c r="BE30" i="2"/>
  <c r="AC40" i="6"/>
  <c r="V40" i="6"/>
  <c r="AJ40" i="6"/>
  <c r="O40" i="6"/>
  <c r="AQ40" i="6"/>
  <c r="BE40" i="6"/>
  <c r="BP40" i="6"/>
  <c r="O46" i="5"/>
  <c r="AQ46" i="5"/>
  <c r="AC46" i="5"/>
  <c r="V46" i="5"/>
  <c r="AJ46" i="5"/>
  <c r="BE46" i="5"/>
  <c r="BP46" i="5"/>
  <c r="BP29" i="6"/>
  <c r="O24" i="4"/>
  <c r="V24" i="4"/>
  <c r="AJ24" i="4"/>
  <c r="AC24" i="4"/>
  <c r="AQ24" i="4"/>
  <c r="BE24" i="4"/>
  <c r="BP24" i="4"/>
  <c r="V21" i="6"/>
  <c r="O21" i="6"/>
  <c r="AJ21" i="6"/>
  <c r="AC21" i="6"/>
  <c r="AQ21" i="6"/>
  <c r="BE21" i="6"/>
  <c r="V45" i="6"/>
  <c r="AQ45" i="6"/>
  <c r="AC45" i="6"/>
  <c r="AJ45" i="6"/>
  <c r="O45" i="6"/>
  <c r="BE45" i="6"/>
  <c r="BI36" i="4"/>
  <c r="BJ36" i="4" s="1"/>
  <c r="BH36" i="4"/>
  <c r="O23" i="6"/>
  <c r="AC23" i="6"/>
  <c r="AJ23" i="6"/>
  <c r="V23" i="6"/>
  <c r="AQ23" i="6"/>
  <c r="BE23" i="6"/>
  <c r="H51" i="4"/>
  <c r="AQ11" i="4"/>
  <c r="V11" i="4"/>
  <c r="AJ11" i="4"/>
  <c r="BE11" i="4"/>
  <c r="O11" i="4"/>
  <c r="AC11" i="4"/>
  <c r="BP11" i="4"/>
  <c r="V47" i="6"/>
  <c r="AC47" i="6"/>
  <c r="AJ47" i="6"/>
  <c r="O47" i="6"/>
  <c r="AQ47" i="6"/>
  <c r="BE47" i="6"/>
  <c r="AJ24" i="2"/>
  <c r="O24" i="2"/>
  <c r="AQ24" i="2"/>
  <c r="AC24" i="2"/>
  <c r="V24" i="2"/>
  <c r="BP24" i="2"/>
  <c r="BE24" i="2"/>
  <c r="V15" i="4"/>
  <c r="AQ15" i="4"/>
  <c r="AC15" i="4"/>
  <c r="O15" i="4"/>
  <c r="AJ15" i="4"/>
  <c r="BE15" i="4"/>
  <c r="BP15" i="4"/>
  <c r="AJ37" i="4"/>
  <c r="V37" i="4"/>
  <c r="O37" i="4"/>
  <c r="AC37" i="4"/>
  <c r="AQ37" i="4"/>
  <c r="BP37" i="4"/>
  <c r="BE37" i="4"/>
  <c r="V12" i="4"/>
  <c r="AJ12" i="4"/>
  <c r="AQ12" i="4"/>
  <c r="AC12" i="4"/>
  <c r="O12" i="4"/>
  <c r="BP12" i="4"/>
  <c r="BE12" i="4"/>
  <c r="AQ27" i="2"/>
  <c r="AJ27" i="2"/>
  <c r="V27" i="2"/>
  <c r="AC27" i="2"/>
  <c r="O27" i="2"/>
  <c r="BP27" i="2"/>
  <c r="BE27" i="2"/>
  <c r="AC36" i="6"/>
  <c r="AJ36" i="6"/>
  <c r="AQ36" i="6"/>
  <c r="V36" i="6"/>
  <c r="O36" i="6"/>
  <c r="BE36" i="6"/>
  <c r="AQ19" i="4"/>
  <c r="AC19" i="4"/>
  <c r="O19" i="4"/>
  <c r="AJ19" i="4"/>
  <c r="V19" i="4"/>
  <c r="BE19" i="4"/>
  <c r="BP19" i="4"/>
  <c r="AC31" i="4"/>
  <c r="O31" i="4"/>
  <c r="AQ31" i="4"/>
  <c r="V31" i="4"/>
  <c r="AJ31" i="4"/>
  <c r="BE31" i="4"/>
  <c r="BP31" i="4"/>
  <c r="BI14" i="6"/>
  <c r="BJ14" i="6" s="1"/>
  <c r="BH14" i="6"/>
  <c r="AQ37" i="2"/>
  <c r="V37" i="2"/>
  <c r="O37" i="2"/>
  <c r="AJ37" i="2"/>
  <c r="AC37" i="2"/>
  <c r="BE37" i="2"/>
  <c r="BP37" i="2"/>
  <c r="BH49" i="3"/>
  <c r="BI49" i="3"/>
  <c r="BJ49" i="3" s="1"/>
  <c r="AC13" i="5"/>
  <c r="AJ13" i="5"/>
  <c r="AQ13" i="5"/>
  <c r="O13" i="5"/>
  <c r="V13" i="5"/>
  <c r="BE13" i="5"/>
  <c r="BP13" i="5"/>
  <c r="AJ49" i="5"/>
  <c r="O49" i="5"/>
  <c r="V49" i="5"/>
  <c r="AC49" i="5"/>
  <c r="AQ49" i="5"/>
  <c r="BE49" i="5"/>
  <c r="BP49" i="5"/>
  <c r="AJ44" i="4"/>
  <c r="O44" i="4"/>
  <c r="AC44" i="4"/>
  <c r="AQ44" i="4"/>
  <c r="V44" i="4"/>
  <c r="BP44" i="4"/>
  <c r="BE44" i="4"/>
  <c r="AC16" i="6"/>
  <c r="AJ16" i="6"/>
  <c r="AQ16" i="6"/>
  <c r="O16" i="6"/>
  <c r="V16" i="6"/>
  <c r="BE16" i="6"/>
  <c r="AQ38" i="3"/>
  <c r="AC38" i="3"/>
  <c r="O38" i="3"/>
  <c r="V38" i="3"/>
  <c r="AJ38" i="3"/>
  <c r="BE38" i="3"/>
  <c r="BP38" i="3"/>
  <c r="AC32" i="3"/>
  <c r="AJ32" i="3"/>
  <c r="AQ32" i="3"/>
  <c r="V32" i="3"/>
  <c r="O32" i="3"/>
  <c r="BP32" i="3"/>
  <c r="BE32" i="3"/>
  <c r="O13" i="2"/>
  <c r="AJ13" i="2"/>
  <c r="AQ13" i="2"/>
  <c r="AC13" i="2"/>
  <c r="BE13" i="2"/>
  <c r="V13" i="2"/>
  <c r="BP13" i="2"/>
  <c r="AQ19" i="3"/>
  <c r="AC19" i="3"/>
  <c r="O19" i="3"/>
  <c r="V19" i="3"/>
  <c r="AJ19" i="3"/>
  <c r="BP19" i="3"/>
  <c r="BE19" i="3"/>
  <c r="AJ50" i="6"/>
  <c r="AQ50" i="6"/>
  <c r="AC50" i="6"/>
  <c r="V50" i="6"/>
  <c r="O50" i="6"/>
  <c r="BE50" i="6"/>
  <c r="BP50" i="6"/>
  <c r="AJ20" i="5"/>
  <c r="V20" i="5"/>
  <c r="AQ20" i="5"/>
  <c r="O20" i="5"/>
  <c r="AC20" i="5"/>
  <c r="BE20" i="5"/>
  <c r="BP20" i="5"/>
  <c r="AC42" i="5"/>
  <c r="O42" i="5"/>
  <c r="AJ42" i="5"/>
  <c r="V42" i="5"/>
  <c r="AQ42" i="5"/>
  <c r="BE42" i="5"/>
  <c r="BP42" i="5"/>
  <c r="AQ42" i="3"/>
  <c r="AC42" i="3"/>
  <c r="AJ42" i="3"/>
  <c r="O42" i="3"/>
  <c r="BE42" i="3"/>
  <c r="V42" i="3"/>
  <c r="BP42" i="3"/>
  <c r="AJ14" i="2"/>
  <c r="V14" i="2"/>
  <c r="AQ14" i="2"/>
  <c r="AC14" i="2"/>
  <c r="O14" i="2"/>
  <c r="BE14" i="2"/>
  <c r="BP14" i="2"/>
  <c r="V43" i="6"/>
  <c r="AC43" i="6"/>
  <c r="AJ43" i="6"/>
  <c r="AQ43" i="6"/>
  <c r="O43" i="6"/>
  <c r="BE43" i="6"/>
  <c r="H51" i="3"/>
  <c r="AJ11" i="3"/>
  <c r="V11" i="3"/>
  <c r="AQ11" i="3"/>
  <c r="BE11" i="3"/>
  <c r="AC11" i="3"/>
  <c r="O11" i="3"/>
  <c r="BP11" i="3"/>
  <c r="AC41" i="4"/>
  <c r="AJ41" i="4"/>
  <c r="AQ41" i="4"/>
  <c r="O41" i="4"/>
  <c r="V41" i="4"/>
  <c r="BP41" i="4"/>
  <c r="BE41" i="4"/>
  <c r="V38" i="6"/>
  <c r="AC38" i="6"/>
  <c r="O38" i="6"/>
  <c r="AJ38" i="6"/>
  <c r="AQ38" i="6"/>
  <c r="BE38" i="6"/>
  <c r="O49" i="6"/>
  <c r="AJ49" i="6"/>
  <c r="V49" i="6"/>
  <c r="AQ49" i="6"/>
  <c r="AC49" i="6"/>
  <c r="BE49" i="6"/>
  <c r="AQ31" i="2"/>
  <c r="AC31" i="2"/>
  <c r="O31" i="2"/>
  <c r="BE31" i="2"/>
  <c r="V31" i="2"/>
  <c r="AJ31" i="2"/>
  <c r="BP31" i="2"/>
  <c r="V42" i="2"/>
  <c r="AQ42" i="2"/>
  <c r="AJ42" i="2"/>
  <c r="O42" i="2"/>
  <c r="AC42" i="2"/>
  <c r="BP42" i="2"/>
  <c r="BE42" i="2"/>
  <c r="V38" i="5"/>
  <c r="AQ38" i="5"/>
  <c r="AC38" i="5"/>
  <c r="AJ38" i="5"/>
  <c r="O38" i="5"/>
  <c r="BE38" i="5"/>
  <c r="BP38" i="5"/>
  <c r="V26" i="2"/>
  <c r="AQ26" i="2"/>
  <c r="AJ26" i="2"/>
  <c r="AC26" i="2"/>
  <c r="O26" i="2"/>
  <c r="BE26" i="2"/>
  <c r="BP26" i="2"/>
  <c r="AJ43" i="3"/>
  <c r="O43" i="3"/>
  <c r="AQ43" i="3"/>
  <c r="AC43" i="3"/>
  <c r="V43" i="3"/>
  <c r="BE43" i="3"/>
  <c r="BP43" i="3"/>
  <c r="O21" i="5"/>
  <c r="V21" i="5"/>
  <c r="AJ21" i="5"/>
  <c r="AC21" i="5"/>
  <c r="AQ21" i="5"/>
  <c r="BP21" i="5"/>
  <c r="BE21" i="5"/>
  <c r="AC18" i="4"/>
  <c r="AJ18" i="4"/>
  <c r="V18" i="4"/>
  <c r="AQ18" i="4"/>
  <c r="O18" i="4"/>
  <c r="BP18" i="4"/>
  <c r="BE18" i="4"/>
  <c r="AQ33" i="4"/>
  <c r="AC33" i="4"/>
  <c r="O33" i="4"/>
  <c r="V33" i="4"/>
  <c r="AJ33" i="4"/>
  <c r="BP33" i="4"/>
  <c r="BE33" i="4"/>
  <c r="AQ31" i="6"/>
  <c r="AC31" i="6"/>
  <c r="AJ31" i="6"/>
  <c r="V31" i="6"/>
  <c r="O31" i="6"/>
  <c r="BE31" i="6"/>
  <c r="BP18" i="6"/>
  <c r="AJ37" i="5"/>
  <c r="AQ37" i="5"/>
  <c r="O37" i="5"/>
  <c r="V37" i="5"/>
  <c r="AC37" i="5"/>
  <c r="BP37" i="5"/>
  <c r="BE37" i="5"/>
  <c r="AJ12" i="6"/>
  <c r="V12" i="6"/>
  <c r="AQ12" i="6"/>
  <c r="AC12" i="6"/>
  <c r="O12" i="6"/>
  <c r="BE12" i="6"/>
  <c r="BP37" i="6"/>
  <c r="AC22" i="4"/>
  <c r="O22" i="4"/>
  <c r="AJ22" i="4"/>
  <c r="AQ22" i="4"/>
  <c r="V22" i="4"/>
  <c r="BP22" i="4"/>
  <c r="BE22" i="4"/>
  <c r="AC39" i="4"/>
  <c r="O39" i="4"/>
  <c r="AJ39" i="4"/>
  <c r="V39" i="4"/>
  <c r="AQ39" i="4"/>
  <c r="BE39" i="4"/>
  <c r="BP39" i="4"/>
  <c r="BP26" i="6"/>
  <c r="BI18" i="3"/>
  <c r="BJ18" i="3" s="1"/>
  <c r="BH18" i="3"/>
  <c r="BQ34" i="6"/>
  <c r="BI44" i="3"/>
  <c r="BJ44" i="3" s="1"/>
  <c r="BH44" i="3"/>
  <c r="AC26" i="4"/>
  <c r="AJ26" i="4"/>
  <c r="V26" i="4"/>
  <c r="O26" i="4"/>
  <c r="AQ26" i="4"/>
  <c r="BE26" i="4"/>
  <c r="BP26" i="4"/>
  <c r="AJ32" i="6"/>
  <c r="AQ32" i="6"/>
  <c r="O32" i="6"/>
  <c r="V32" i="6"/>
  <c r="AC32" i="6"/>
  <c r="BE32" i="6"/>
  <c r="AJ35" i="3"/>
  <c r="V35" i="3"/>
  <c r="AQ35" i="3"/>
  <c r="AC35" i="3"/>
  <c r="O35" i="3"/>
  <c r="BE35" i="3"/>
  <c r="BP35" i="3"/>
  <c r="AJ20" i="2"/>
  <c r="V20" i="2"/>
  <c r="AQ20" i="2"/>
  <c r="AC20" i="2"/>
  <c r="O20" i="2"/>
  <c r="BE20" i="2"/>
  <c r="BP20" i="2"/>
  <c r="AJ24" i="5"/>
  <c r="V24" i="5"/>
  <c r="AQ24" i="5"/>
  <c r="AC24" i="5"/>
  <c r="O24" i="5"/>
  <c r="BE24" i="5"/>
  <c r="BP24" i="5"/>
  <c r="AC43" i="5"/>
  <c r="V43" i="5"/>
  <c r="AQ43" i="5"/>
  <c r="AJ43" i="5"/>
  <c r="O43" i="5"/>
  <c r="BE43" i="5"/>
  <c r="BP43" i="5"/>
  <c r="V41" i="6"/>
  <c r="AQ41" i="6"/>
  <c r="O41" i="6"/>
  <c r="AJ41" i="6"/>
  <c r="AC41" i="6"/>
  <c r="BE41" i="6"/>
  <c r="BP16" i="6"/>
  <c r="AQ41" i="2"/>
  <c r="AC41" i="2"/>
  <c r="AJ41" i="2"/>
  <c r="V41" i="2"/>
  <c r="O41" i="2"/>
  <c r="BE41" i="2"/>
  <c r="BP41" i="2"/>
  <c r="BP25" i="6"/>
  <c r="BP47" i="6"/>
  <c r="AC41" i="5"/>
  <c r="V41" i="5"/>
  <c r="AJ41" i="5"/>
  <c r="O41" i="5"/>
  <c r="AQ41" i="5"/>
  <c r="BE41" i="5"/>
  <c r="BP41" i="5"/>
  <c r="AJ36" i="2"/>
  <c r="V36" i="2"/>
  <c r="O36" i="2"/>
  <c r="AQ36" i="2"/>
  <c r="AC36" i="2"/>
  <c r="BE36" i="2"/>
  <c r="BP36" i="2"/>
  <c r="O44" i="2"/>
  <c r="AJ44" i="2"/>
  <c r="V44" i="2"/>
  <c r="AQ44" i="2"/>
  <c r="AC44" i="2"/>
  <c r="BP44" i="2"/>
  <c r="BE44" i="2"/>
  <c r="AQ23" i="2"/>
  <c r="AJ23" i="2"/>
  <c r="AC23" i="2"/>
  <c r="O23" i="2"/>
  <c r="V23" i="2"/>
  <c r="BE23" i="2"/>
  <c r="BP23" i="2"/>
  <c r="AC40" i="5"/>
  <c r="AQ40" i="5"/>
  <c r="O40" i="5"/>
  <c r="V40" i="5"/>
  <c r="AJ40" i="5"/>
  <c r="BE40" i="5"/>
  <c r="BP40" i="5"/>
  <c r="V47" i="3"/>
  <c r="AJ47" i="3"/>
  <c r="O47" i="3"/>
  <c r="AQ47" i="3"/>
  <c r="AC47" i="3"/>
  <c r="BE47" i="3"/>
  <c r="BP47" i="3"/>
  <c r="V18" i="2"/>
  <c r="AQ18" i="2"/>
  <c r="AC18" i="2"/>
  <c r="O18" i="2"/>
  <c r="BE18" i="2"/>
  <c r="AJ18" i="2"/>
  <c r="BP18" i="2"/>
  <c r="BP39" i="6"/>
  <c r="AJ18" i="5"/>
  <c r="V18" i="5"/>
  <c r="O18" i="5"/>
  <c r="AQ18" i="5"/>
  <c r="AC18" i="5"/>
  <c r="BP18" i="5"/>
  <c r="BE18" i="5"/>
  <c r="BI33" i="6"/>
  <c r="BJ33" i="6" s="1"/>
  <c r="BH33" i="6"/>
  <c r="V38" i="2"/>
  <c r="AQ38" i="2"/>
  <c r="AJ38" i="2"/>
  <c r="AC38" i="2"/>
  <c r="O38" i="2"/>
  <c r="BP38" i="2"/>
  <c r="BE38" i="2"/>
  <c r="BP22" i="6"/>
  <c r="AJ27" i="3"/>
  <c r="V27" i="3"/>
  <c r="AQ27" i="3"/>
  <c r="O27" i="3"/>
  <c r="AC27" i="3"/>
  <c r="BE27" i="3"/>
  <c r="BP27" i="3"/>
  <c r="AC37" i="3"/>
  <c r="V37" i="3"/>
  <c r="AQ37" i="3"/>
  <c r="AJ37" i="3"/>
  <c r="O37" i="3"/>
  <c r="BE37" i="3"/>
  <c r="BP37" i="3"/>
  <c r="AJ46" i="4"/>
  <c r="AQ46" i="4"/>
  <c r="AC46" i="4"/>
  <c r="V46" i="4"/>
  <c r="O46" i="4"/>
  <c r="BP46" i="4"/>
  <c r="BE46" i="4"/>
  <c r="BP19" i="6"/>
  <c r="AC23" i="4"/>
  <c r="O23" i="4"/>
  <c r="AJ23" i="4"/>
  <c r="V23" i="4"/>
  <c r="AQ23" i="4"/>
  <c r="BE23" i="4"/>
  <c r="BP23" i="4"/>
  <c r="AQ12" i="3"/>
  <c r="AC12" i="3"/>
  <c r="V12" i="3"/>
  <c r="O12" i="3"/>
  <c r="AJ12" i="3"/>
  <c r="BE12" i="3"/>
  <c r="BP12" i="3"/>
  <c r="O47" i="2"/>
  <c r="AQ47" i="2"/>
  <c r="AC47" i="2"/>
  <c r="AJ47" i="2"/>
  <c r="V47" i="2"/>
  <c r="BE47" i="2"/>
  <c r="BP47" i="2"/>
  <c r="BP11" i="6"/>
  <c r="AC36" i="3"/>
  <c r="AQ36" i="3"/>
  <c r="O36" i="3"/>
  <c r="AJ36" i="3"/>
  <c r="V36" i="3"/>
  <c r="BE36" i="3"/>
  <c r="BP36" i="3"/>
  <c r="AQ47" i="5"/>
  <c r="AJ47" i="5"/>
  <c r="AC47" i="5"/>
  <c r="O47" i="5"/>
  <c r="V47" i="5"/>
  <c r="BE47" i="5"/>
  <c r="BP47" i="5"/>
  <c r="AQ43" i="4"/>
  <c r="AC43" i="4"/>
  <c r="V43" i="4"/>
  <c r="AJ43" i="4"/>
  <c r="O43" i="4"/>
  <c r="BP43" i="4"/>
  <c r="BE43" i="4"/>
  <c r="BP27" i="6"/>
  <c r="AQ48" i="6"/>
  <c r="AC48" i="6"/>
  <c r="V48" i="6"/>
  <c r="AJ48" i="6"/>
  <c r="O48" i="6"/>
  <c r="BE48" i="6"/>
  <c r="BP48" i="6"/>
  <c r="O14" i="3"/>
  <c r="AJ14" i="3"/>
  <c r="V14" i="3"/>
  <c r="AQ14" i="3"/>
  <c r="AC14" i="3"/>
  <c r="BE14" i="3"/>
  <c r="BP14" i="3"/>
  <c r="BH19" i="5"/>
  <c r="BI19" i="5"/>
  <c r="BJ19" i="5" s="1"/>
  <c r="O31" i="5"/>
  <c r="AJ31" i="5"/>
  <c r="AQ31" i="5"/>
  <c r="V31" i="5"/>
  <c r="AC31" i="5"/>
  <c r="BE31" i="5"/>
  <c r="BP31" i="5"/>
  <c r="BO15" i="12" l="1"/>
  <c r="BO38" i="12"/>
  <c r="BO36" i="14"/>
  <c r="BO22" i="12"/>
  <c r="BO18" i="3"/>
  <c r="BQ18" i="3" s="1"/>
  <c r="BO23" i="5"/>
  <c r="BQ23" i="5" s="1"/>
  <c r="BO49" i="3"/>
  <c r="BQ49" i="3" s="1"/>
  <c r="BO36" i="4"/>
  <c r="BQ36" i="4" s="1"/>
  <c r="BO48" i="4"/>
  <c r="BQ48" i="4" s="1"/>
  <c r="AD36" i="4"/>
  <c r="AV36" i="4" s="1"/>
  <c r="BB36" i="4" s="1"/>
  <c r="BH24" i="6"/>
  <c r="BO24" i="6" s="1"/>
  <c r="BQ24" i="6" s="1"/>
  <c r="AD14" i="6"/>
  <c r="AV14" i="6" s="1"/>
  <c r="BB14" i="6" s="1"/>
  <c r="BO14" i="4"/>
  <c r="BQ14" i="4" s="1"/>
  <c r="W36" i="4"/>
  <c r="AU36" i="4" s="1"/>
  <c r="BA36" i="4" s="1"/>
  <c r="BI11" i="14"/>
  <c r="AR22" i="15"/>
  <c r="AX22" i="15" s="1"/>
  <c r="BD22" i="15" s="1"/>
  <c r="AK31" i="15"/>
  <c r="AW31" i="15" s="1"/>
  <c r="BC31" i="15" s="1"/>
  <c r="P22" i="15"/>
  <c r="AT22" i="15" s="1"/>
  <c r="AZ22" i="15" s="1"/>
  <c r="AK33" i="12"/>
  <c r="AW33" i="12" s="1"/>
  <c r="BC33" i="12" s="1"/>
  <c r="W38" i="12"/>
  <c r="AU38" i="12" s="1"/>
  <c r="BA38" i="12" s="1"/>
  <c r="P21" i="14"/>
  <c r="AT21" i="14" s="1"/>
  <c r="AZ21" i="14" s="1"/>
  <c r="W41" i="13"/>
  <c r="AU41" i="13" s="1"/>
  <c r="BA41" i="13" s="1"/>
  <c r="W21" i="14"/>
  <c r="AU21" i="14" s="1"/>
  <c r="BA21" i="14" s="1"/>
  <c r="O51" i="14"/>
  <c r="AR23" i="13"/>
  <c r="AX23" i="13" s="1"/>
  <c r="BD23" i="13" s="1"/>
  <c r="AR18" i="13"/>
  <c r="AX18" i="13" s="1"/>
  <c r="BD18" i="13" s="1"/>
  <c r="AD23" i="13"/>
  <c r="AV23" i="13" s="1"/>
  <c r="BB23" i="13" s="1"/>
  <c r="W48" i="16"/>
  <c r="AU48" i="16" s="1"/>
  <c r="BA48" i="16" s="1"/>
  <c r="P35" i="16"/>
  <c r="AT35" i="16" s="1"/>
  <c r="AZ35" i="16" s="1"/>
  <c r="AD35" i="16"/>
  <c r="AV35" i="16" s="1"/>
  <c r="BB35" i="16" s="1"/>
  <c r="AR22" i="16"/>
  <c r="AX22" i="16" s="1"/>
  <c r="BD22" i="16" s="1"/>
  <c r="AC51" i="14"/>
  <c r="BO24" i="15"/>
  <c r="BR24" i="15" s="1"/>
  <c r="AD22" i="15"/>
  <c r="AV22" i="15" s="1"/>
  <c r="BB22" i="15" s="1"/>
  <c r="AK28" i="14"/>
  <c r="AW28" i="14" s="1"/>
  <c r="BC28" i="14" s="1"/>
  <c r="AK45" i="13"/>
  <c r="AW45" i="13" s="1"/>
  <c r="BC45" i="13" s="1"/>
  <c r="AR23" i="14"/>
  <c r="AX23" i="14" s="1"/>
  <c r="BD23" i="14" s="1"/>
  <c r="BO18" i="13"/>
  <c r="BO16" i="16"/>
  <c r="W31" i="15"/>
  <c r="AU31" i="15" s="1"/>
  <c r="BA31" i="15" s="1"/>
  <c r="P35" i="13"/>
  <c r="AT35" i="13" s="1"/>
  <c r="AZ35" i="13" s="1"/>
  <c r="BO42" i="16"/>
  <c r="BR42" i="16" s="1"/>
  <c r="AD35" i="14"/>
  <c r="AV35" i="14" s="1"/>
  <c r="BB35" i="14" s="1"/>
  <c r="BO36" i="16"/>
  <c r="AK46" i="16"/>
  <c r="AW46" i="16" s="1"/>
  <c r="BC46" i="16" s="1"/>
  <c r="W27" i="12"/>
  <c r="AU27" i="12" s="1"/>
  <c r="BA27" i="12" s="1"/>
  <c r="AD47" i="12"/>
  <c r="AV47" i="12" s="1"/>
  <c r="BB47" i="12" s="1"/>
  <c r="P45" i="12"/>
  <c r="AT45" i="12" s="1"/>
  <c r="AZ45" i="12" s="1"/>
  <c r="AR19" i="12"/>
  <c r="AX19" i="12" s="1"/>
  <c r="BD19" i="12" s="1"/>
  <c r="AK24" i="5"/>
  <c r="AW24" i="5" s="1"/>
  <c r="BC24" i="5" s="1"/>
  <c r="W37" i="5"/>
  <c r="AU37" i="5" s="1"/>
  <c r="BA37" i="5" s="1"/>
  <c r="W29" i="4"/>
  <c r="AU29" i="4" s="1"/>
  <c r="BA29" i="4" s="1"/>
  <c r="AK48" i="2"/>
  <c r="AW48" i="2" s="1"/>
  <c r="BC48" i="2" s="1"/>
  <c r="AR14" i="6"/>
  <c r="AX14" i="6" s="1"/>
  <c r="BD14" i="6" s="1"/>
  <c r="P37" i="2"/>
  <c r="AT37" i="2" s="1"/>
  <c r="AZ37" i="2" s="1"/>
  <c r="BO44" i="3"/>
  <c r="BQ44" i="3" s="1"/>
  <c r="P39" i="4"/>
  <c r="AT39" i="4" s="1"/>
  <c r="AD33" i="6"/>
  <c r="AV33" i="6" s="1"/>
  <c r="BB33" i="6" s="1"/>
  <c r="AR33" i="6"/>
  <c r="AX33" i="6" s="1"/>
  <c r="BD33" i="6" s="1"/>
  <c r="AD41" i="5"/>
  <c r="AV41" i="5" s="1"/>
  <c r="BB41" i="5" s="1"/>
  <c r="AR49" i="3"/>
  <c r="AX49" i="3" s="1"/>
  <c r="BD49" i="3" s="1"/>
  <c r="AK30" i="2"/>
  <c r="AW30" i="2" s="1"/>
  <c r="BC30" i="2" s="1"/>
  <c r="AR23" i="5"/>
  <c r="AX23" i="5" s="1"/>
  <c r="BD23" i="5" s="1"/>
  <c r="P32" i="5"/>
  <c r="AT32" i="5" s="1"/>
  <c r="BO41" i="3"/>
  <c r="BQ41" i="3" s="1"/>
  <c r="BO14" i="6"/>
  <c r="BQ14" i="6" s="1"/>
  <c r="AK12" i="3"/>
  <c r="AW12" i="3" s="1"/>
  <c r="BC12" i="3" s="1"/>
  <c r="AD38" i="2"/>
  <c r="AV38" i="2" s="1"/>
  <c r="BB38" i="2" s="1"/>
  <c r="W24" i="6"/>
  <c r="AU24" i="6" s="1"/>
  <c r="BA24" i="6" s="1"/>
  <c r="AR47" i="5"/>
  <c r="AX47" i="5" s="1"/>
  <c r="BD47" i="5" s="1"/>
  <c r="AR36" i="2"/>
  <c r="AX36" i="2" s="1"/>
  <c r="BD36" i="2" s="1"/>
  <c r="BO33" i="6"/>
  <c r="BQ33" i="6" s="1"/>
  <c r="AR18" i="4"/>
  <c r="AX18" i="4" s="1"/>
  <c r="BD18" i="4" s="1"/>
  <c r="P16" i="6"/>
  <c r="AT16" i="6" s="1"/>
  <c r="AD13" i="4"/>
  <c r="AV13" i="4" s="1"/>
  <c r="BB13" i="4" s="1"/>
  <c r="AR46" i="6"/>
  <c r="AX46" i="6" s="1"/>
  <c r="BD46" i="6" s="1"/>
  <c r="W47" i="6"/>
  <c r="AU47" i="6" s="1"/>
  <c r="BA47" i="6" s="1"/>
  <c r="AD21" i="6"/>
  <c r="AV21" i="6" s="1"/>
  <c r="BB21" i="6" s="1"/>
  <c r="AR20" i="3"/>
  <c r="AX20" i="3" s="1"/>
  <c r="BD20" i="3" s="1"/>
  <c r="BP39" i="26"/>
  <c r="BP20" i="22"/>
  <c r="BP49" i="26"/>
  <c r="BP33" i="25"/>
  <c r="BP29" i="22"/>
  <c r="BP13" i="24"/>
  <c r="BP13" i="22"/>
  <c r="BP38" i="23"/>
  <c r="BP23" i="23"/>
  <c r="BP21" i="26"/>
  <c r="BP30" i="22"/>
  <c r="BP45" i="26"/>
  <c r="BP47" i="24"/>
  <c r="BP49" i="25"/>
  <c r="BP17" i="25"/>
  <c r="BP28" i="25"/>
  <c r="BP41" i="23"/>
  <c r="BR41" i="23" s="1"/>
  <c r="BP30" i="26"/>
  <c r="BP28" i="24"/>
  <c r="BP31" i="25"/>
  <c r="BP37" i="24"/>
  <c r="BP27" i="22"/>
  <c r="BP46" i="22"/>
  <c r="BP23" i="24"/>
  <c r="BP33" i="23"/>
  <c r="BP34" i="23"/>
  <c r="BP25" i="23"/>
  <c r="BP22" i="22"/>
  <c r="BP22" i="23"/>
  <c r="BP47" i="26"/>
  <c r="BP27" i="24"/>
  <c r="BP13" i="25"/>
  <c r="BP17" i="22"/>
  <c r="BP39" i="24"/>
  <c r="BP41" i="22"/>
  <c r="BR41" i="22" s="1"/>
  <c r="BP40" i="25"/>
  <c r="BP37" i="26"/>
  <c r="BR37" i="26" s="1"/>
  <c r="BP37" i="23"/>
  <c r="BR37" i="23" s="1"/>
  <c r="BP49" i="22"/>
  <c r="BR49" i="22" s="1"/>
  <c r="BP19" i="25"/>
  <c r="BP47" i="23"/>
  <c r="BP42" i="22"/>
  <c r="BP33" i="26"/>
  <c r="BR33" i="26" s="1"/>
  <c r="BP38" i="24"/>
  <c r="BP29" i="26"/>
  <c r="BP33" i="22"/>
  <c r="BP39" i="22"/>
  <c r="BP16" i="23"/>
  <c r="BP44" i="26"/>
  <c r="BP32" i="25"/>
  <c r="BP44" i="25"/>
  <c r="BP42" i="24"/>
  <c r="BR42" i="24" s="1"/>
  <c r="BP35" i="25"/>
  <c r="BP14" i="23"/>
  <c r="BP20" i="23"/>
  <c r="BR20" i="23" s="1"/>
  <c r="BR39" i="24"/>
  <c r="BR40" i="25"/>
  <c r="BR26" i="24"/>
  <c r="BR22" i="23"/>
  <c r="BR27" i="24"/>
  <c r="BR36" i="26"/>
  <c r="BR43" i="25"/>
  <c r="BR29" i="25"/>
  <c r="BR34" i="24"/>
  <c r="BR14" i="24"/>
  <c r="BR44" i="24"/>
  <c r="BR32" i="22"/>
  <c r="BR40" i="22"/>
  <c r="BR17" i="24"/>
  <c r="BR32" i="24"/>
  <c r="BR47" i="26"/>
  <c r="BR16" i="26"/>
  <c r="BR38" i="26"/>
  <c r="BR45" i="22"/>
  <c r="BR16" i="24"/>
  <c r="BR42" i="22"/>
  <c r="BR38" i="24"/>
  <c r="BR29" i="26"/>
  <c r="BR26" i="25"/>
  <c r="BR17" i="23"/>
  <c r="BR28" i="26"/>
  <c r="BR35" i="23"/>
  <c r="BR21" i="22"/>
  <c r="BR38" i="25"/>
  <c r="BR33" i="22"/>
  <c r="BR43" i="23"/>
  <c r="BR39" i="22"/>
  <c r="BR21" i="23"/>
  <c r="BR16" i="23"/>
  <c r="BR13" i="26"/>
  <c r="BR23" i="22"/>
  <c r="BR40" i="24"/>
  <c r="BR42" i="25"/>
  <c r="BR15" i="23"/>
  <c r="BR44" i="26"/>
  <c r="BR43" i="26"/>
  <c r="BR35" i="25"/>
  <c r="BR14" i="23"/>
  <c r="BR39" i="26"/>
  <c r="BR20" i="22"/>
  <c r="BR49" i="26"/>
  <c r="BR33" i="25"/>
  <c r="BR29" i="22"/>
  <c r="BR13" i="24"/>
  <c r="BR13" i="22"/>
  <c r="BR38" i="23"/>
  <c r="BR23" i="23"/>
  <c r="BR24" i="23"/>
  <c r="BR45" i="26"/>
  <c r="BR30" i="24"/>
  <c r="BR14" i="26"/>
  <c r="BR36" i="23"/>
  <c r="BR23" i="25"/>
  <c r="BR16" i="25"/>
  <c r="BR48" i="24"/>
  <c r="BR45" i="25"/>
  <c r="BR15" i="25"/>
  <c r="BR31" i="22"/>
  <c r="BR28" i="23"/>
  <c r="BR17" i="25"/>
  <c r="BR28" i="25"/>
  <c r="BR30" i="26"/>
  <c r="BR28" i="24"/>
  <c r="BR44" i="22"/>
  <c r="BR43" i="22"/>
  <c r="BR16" i="22"/>
  <c r="BR37" i="24"/>
  <c r="BR27" i="22"/>
  <c r="BR46" i="22"/>
  <c r="BR23" i="24"/>
  <c r="BR33" i="23"/>
  <c r="BR22" i="25"/>
  <c r="BR30" i="25"/>
  <c r="BR48" i="22"/>
  <c r="BR30" i="23"/>
  <c r="BR34" i="23"/>
  <c r="BR25" i="23"/>
  <c r="BR22" i="22"/>
  <c r="BA29" i="25"/>
  <c r="AZ29" i="25"/>
  <c r="BP36" i="22"/>
  <c r="BA24" i="23"/>
  <c r="AZ24" i="23"/>
  <c r="BA23" i="25"/>
  <c r="AZ23" i="25"/>
  <c r="BA47" i="22"/>
  <c r="AZ47" i="22"/>
  <c r="BA13" i="24"/>
  <c r="AZ13" i="24"/>
  <c r="BA18" i="25"/>
  <c r="AZ18" i="25"/>
  <c r="BA25" i="26"/>
  <c r="AZ25" i="26"/>
  <c r="BA14" i="23"/>
  <c r="AZ14" i="23"/>
  <c r="BA29" i="23"/>
  <c r="AZ29" i="23"/>
  <c r="BA33" i="22"/>
  <c r="AZ33" i="22"/>
  <c r="BA23" i="24"/>
  <c r="AZ23" i="24"/>
  <c r="X50" i="23"/>
  <c r="AV12" i="23"/>
  <c r="BA22" i="22"/>
  <c r="AZ22" i="22"/>
  <c r="BA22" i="24"/>
  <c r="AZ22" i="24"/>
  <c r="BP33" i="24"/>
  <c r="BP25" i="25"/>
  <c r="BA36" i="24"/>
  <c r="AZ36" i="24"/>
  <c r="BA18" i="26"/>
  <c r="AZ18" i="26"/>
  <c r="BP14" i="22"/>
  <c r="BA27" i="22"/>
  <c r="AZ27" i="22"/>
  <c r="Q50" i="22"/>
  <c r="AU12" i="22"/>
  <c r="BA47" i="24"/>
  <c r="AZ47" i="24"/>
  <c r="BA46" i="25"/>
  <c r="AZ46" i="25"/>
  <c r="BA23" i="22"/>
  <c r="AZ23" i="22"/>
  <c r="BP28" i="22"/>
  <c r="AE50" i="26"/>
  <c r="AW12" i="26"/>
  <c r="BA45" i="22"/>
  <c r="AZ45" i="22"/>
  <c r="BP45" i="24"/>
  <c r="AL50" i="23"/>
  <c r="AX12" i="23"/>
  <c r="BR29" i="24"/>
  <c r="BP41" i="24"/>
  <c r="BR34" i="22"/>
  <c r="BA47" i="23"/>
  <c r="AZ47" i="23"/>
  <c r="BR17" i="22"/>
  <c r="BP18" i="24"/>
  <c r="X50" i="24"/>
  <c r="AV12" i="24"/>
  <c r="BA19" i="23"/>
  <c r="AZ19" i="23"/>
  <c r="BA24" i="22"/>
  <c r="AZ24" i="22"/>
  <c r="BA40" i="26"/>
  <c r="AZ40" i="26"/>
  <c r="BA35" i="22"/>
  <c r="AZ35" i="22"/>
  <c r="BA23" i="26"/>
  <c r="AZ23" i="26"/>
  <c r="BA36" i="26"/>
  <c r="AZ36" i="26"/>
  <c r="BP23" i="26"/>
  <c r="BA34" i="25"/>
  <c r="AZ34" i="25"/>
  <c r="BA41" i="24"/>
  <c r="AZ41" i="24"/>
  <c r="BR49" i="25"/>
  <c r="BA30" i="25"/>
  <c r="AZ30" i="25"/>
  <c r="BA14" i="26"/>
  <c r="AZ14" i="26"/>
  <c r="BR41" i="25"/>
  <c r="BR26" i="26"/>
  <c r="BA15" i="24"/>
  <c r="AZ15" i="24"/>
  <c r="BP24" i="25"/>
  <c r="BR37" i="25"/>
  <c r="BR19" i="23"/>
  <c r="BR18" i="22"/>
  <c r="BA18" i="23"/>
  <c r="AZ18" i="23"/>
  <c r="BA31" i="24"/>
  <c r="AZ31" i="24"/>
  <c r="BA44" i="22"/>
  <c r="AZ44" i="22"/>
  <c r="Q50" i="26"/>
  <c r="AU12" i="26"/>
  <c r="BA17" i="26"/>
  <c r="AZ17" i="26"/>
  <c r="BA42" i="22"/>
  <c r="AZ42" i="22"/>
  <c r="BA22" i="25"/>
  <c r="AZ22" i="25"/>
  <c r="BA31" i="23"/>
  <c r="AZ31" i="23"/>
  <c r="BA33" i="24"/>
  <c r="AZ33" i="24"/>
  <c r="BA15" i="23"/>
  <c r="AZ15" i="23"/>
  <c r="BA30" i="22"/>
  <c r="AZ30" i="22"/>
  <c r="BR31" i="25"/>
  <c r="BR30" i="22"/>
  <c r="AZ15" i="22"/>
  <c r="BA26" i="25"/>
  <c r="AZ26" i="25"/>
  <c r="BA26" i="26"/>
  <c r="AZ26" i="26"/>
  <c r="BR39" i="23"/>
  <c r="BA34" i="22"/>
  <c r="AZ34" i="22"/>
  <c r="BR48" i="23"/>
  <c r="BA43" i="26"/>
  <c r="AZ43" i="26"/>
  <c r="BA47" i="25"/>
  <c r="AZ47" i="25"/>
  <c r="BR31" i="26"/>
  <c r="BA21" i="23"/>
  <c r="AZ21" i="23"/>
  <c r="BA34" i="26"/>
  <c r="AZ34" i="26"/>
  <c r="BA40" i="23"/>
  <c r="AZ40" i="23"/>
  <c r="BA42" i="25"/>
  <c r="AZ42" i="25"/>
  <c r="BR47" i="25"/>
  <c r="BA48" i="24"/>
  <c r="AZ48" i="24"/>
  <c r="BR20" i="26"/>
  <c r="BR46" i="25"/>
  <c r="BR37" i="22"/>
  <c r="BA32" i="22"/>
  <c r="AZ32" i="22"/>
  <c r="BA37" i="23"/>
  <c r="AZ37" i="23"/>
  <c r="BR13" i="25"/>
  <c r="BA39" i="22"/>
  <c r="AZ39" i="22"/>
  <c r="BJ50" i="23"/>
  <c r="BA46" i="22"/>
  <c r="AZ46" i="22"/>
  <c r="AS50" i="25"/>
  <c r="AY12" i="25"/>
  <c r="BA32" i="24"/>
  <c r="AZ32" i="24"/>
  <c r="BR46" i="23"/>
  <c r="BR35" i="26"/>
  <c r="BA27" i="24"/>
  <c r="AZ27" i="24"/>
  <c r="BA41" i="22"/>
  <c r="AZ41" i="22"/>
  <c r="BA44" i="25"/>
  <c r="AZ44" i="25"/>
  <c r="BA43" i="22"/>
  <c r="AZ43" i="22"/>
  <c r="BA16" i="22"/>
  <c r="AZ16" i="22"/>
  <c r="BK50" i="25"/>
  <c r="BP6" i="25" s="1"/>
  <c r="BP12" i="25"/>
  <c r="BA34" i="24"/>
  <c r="AZ34" i="24"/>
  <c r="BP40" i="26"/>
  <c r="AE50" i="24"/>
  <c r="AW12" i="24"/>
  <c r="BA46" i="26"/>
  <c r="AZ46" i="26"/>
  <c r="BR22" i="24"/>
  <c r="BA48" i="26"/>
  <c r="AZ48" i="26"/>
  <c r="BA21" i="22"/>
  <c r="AZ21" i="22"/>
  <c r="BA28" i="22"/>
  <c r="AZ28" i="22"/>
  <c r="AL50" i="24"/>
  <c r="AX12" i="24"/>
  <c r="AL50" i="22"/>
  <c r="AX12" i="22"/>
  <c r="BP15" i="24"/>
  <c r="BA23" i="23"/>
  <c r="AZ23" i="23"/>
  <c r="BK12" i="23"/>
  <c r="AL50" i="26"/>
  <c r="AX12" i="26"/>
  <c r="BA44" i="23"/>
  <c r="AZ44" i="23"/>
  <c r="BA45" i="26"/>
  <c r="AZ45" i="26"/>
  <c r="BA40" i="24"/>
  <c r="AZ40" i="24"/>
  <c r="BA35" i="24"/>
  <c r="AZ35" i="24"/>
  <c r="BA19" i="24"/>
  <c r="AZ19" i="24"/>
  <c r="BA38" i="25"/>
  <c r="AZ38" i="25"/>
  <c r="BA17" i="25"/>
  <c r="AZ17" i="25"/>
  <c r="BA29" i="24"/>
  <c r="AZ29" i="24"/>
  <c r="BP35" i="24"/>
  <c r="BA13" i="25"/>
  <c r="AZ13" i="25"/>
  <c r="BA48" i="22"/>
  <c r="AZ48" i="22"/>
  <c r="BA16" i="26"/>
  <c r="AZ16" i="26"/>
  <c r="BA42" i="24"/>
  <c r="AZ42" i="24"/>
  <c r="BA34" i="23"/>
  <c r="AZ34" i="23"/>
  <c r="BA42" i="26"/>
  <c r="AZ42" i="26"/>
  <c r="BA16" i="25"/>
  <c r="AZ16" i="25"/>
  <c r="BA21" i="25"/>
  <c r="AZ21" i="25"/>
  <c r="BA17" i="24"/>
  <c r="AZ17" i="24"/>
  <c r="AL50" i="25"/>
  <c r="AX12" i="25"/>
  <c r="BA39" i="24"/>
  <c r="AZ39" i="24"/>
  <c r="BR26" i="22"/>
  <c r="Q50" i="25"/>
  <c r="AU12" i="25"/>
  <c r="BR35" i="22"/>
  <c r="BJ50" i="25"/>
  <c r="BA14" i="25"/>
  <c r="AZ14" i="25"/>
  <c r="BA49" i="22"/>
  <c r="AZ49" i="22"/>
  <c r="BR26" i="23"/>
  <c r="BR31" i="23"/>
  <c r="BR24" i="22"/>
  <c r="BR46" i="24"/>
  <c r="BR43" i="24"/>
  <c r="BR22" i="26"/>
  <c r="BR27" i="23"/>
  <c r="BR18" i="26"/>
  <c r="BR27" i="25"/>
  <c r="BA39" i="25"/>
  <c r="AZ39" i="25"/>
  <c r="BR44" i="25"/>
  <c r="BK50" i="24"/>
  <c r="BP6" i="24" s="1"/>
  <c r="BP12" i="24"/>
  <c r="BA43" i="25"/>
  <c r="AZ43" i="25"/>
  <c r="BA16" i="24"/>
  <c r="AZ16" i="24"/>
  <c r="BA13" i="23"/>
  <c r="AZ13" i="23"/>
  <c r="BR40" i="23"/>
  <c r="BA26" i="22"/>
  <c r="AZ26" i="22"/>
  <c r="BA18" i="24"/>
  <c r="AZ18" i="24"/>
  <c r="BA31" i="26"/>
  <c r="AZ31" i="26"/>
  <c r="X50" i="22"/>
  <c r="AV12" i="22"/>
  <c r="BA30" i="24"/>
  <c r="AZ30" i="24"/>
  <c r="BA20" i="22"/>
  <c r="AZ20" i="22"/>
  <c r="AZ48" i="25"/>
  <c r="BA37" i="22"/>
  <c r="AZ37" i="22"/>
  <c r="BA19" i="25"/>
  <c r="AZ19" i="25"/>
  <c r="BA18" i="22"/>
  <c r="AZ18" i="22"/>
  <c r="BA41" i="23"/>
  <c r="AZ41" i="23"/>
  <c r="BA38" i="24"/>
  <c r="AZ38" i="24"/>
  <c r="BR19" i="24"/>
  <c r="BA21" i="24"/>
  <c r="AZ21" i="24"/>
  <c r="X50" i="26"/>
  <c r="AV12" i="26"/>
  <c r="BA40" i="22"/>
  <c r="AZ40" i="22"/>
  <c r="Q50" i="24"/>
  <c r="AU12" i="24"/>
  <c r="BR17" i="26"/>
  <c r="BA36" i="23"/>
  <c r="AZ36" i="23"/>
  <c r="BJ50" i="26"/>
  <c r="BA16" i="23"/>
  <c r="AZ16" i="23"/>
  <c r="BA32" i="26"/>
  <c r="AZ32" i="26"/>
  <c r="BP49" i="24"/>
  <c r="AZ20" i="23"/>
  <c r="BP41" i="26"/>
  <c r="BR47" i="22"/>
  <c r="BP25" i="26"/>
  <c r="BA36" i="22"/>
  <c r="AZ36" i="22"/>
  <c r="BA27" i="26"/>
  <c r="AZ27" i="26"/>
  <c r="BR19" i="25"/>
  <c r="BP18" i="23"/>
  <c r="BA20" i="26"/>
  <c r="AZ20" i="26"/>
  <c r="BR42" i="23"/>
  <c r="BA22" i="23"/>
  <c r="AZ22" i="23"/>
  <c r="BA25" i="23"/>
  <c r="AZ25" i="23"/>
  <c r="BK12" i="26"/>
  <c r="BA24" i="26"/>
  <c r="AZ24" i="26"/>
  <c r="BA25" i="24"/>
  <c r="AZ25" i="24"/>
  <c r="BA30" i="26"/>
  <c r="AZ30" i="26"/>
  <c r="BJ50" i="24"/>
  <c r="BR18" i="25"/>
  <c r="Q50" i="23"/>
  <c r="AU12" i="23"/>
  <c r="BP34" i="25"/>
  <c r="AE50" i="25"/>
  <c r="AW12" i="25"/>
  <c r="BP42" i="26"/>
  <c r="BA44" i="24"/>
  <c r="AZ44" i="24"/>
  <c r="BP25" i="24"/>
  <c r="AS50" i="23"/>
  <c r="AY12" i="23"/>
  <c r="BA49" i="25"/>
  <c r="AZ49" i="25"/>
  <c r="BA43" i="23"/>
  <c r="AZ43" i="23"/>
  <c r="AE50" i="23"/>
  <c r="AW12" i="23"/>
  <c r="BA39" i="23"/>
  <c r="AZ39" i="23"/>
  <c r="BA44" i="26"/>
  <c r="AZ44" i="26"/>
  <c r="BA17" i="23"/>
  <c r="AZ17" i="23"/>
  <c r="BA43" i="24"/>
  <c r="AZ43" i="24"/>
  <c r="BP20" i="25"/>
  <c r="BA33" i="26"/>
  <c r="AZ33" i="26"/>
  <c r="BA30" i="23"/>
  <c r="AZ30" i="23"/>
  <c r="BA35" i="25"/>
  <c r="AZ35" i="25"/>
  <c r="BA20" i="25"/>
  <c r="AZ20" i="25"/>
  <c r="BA27" i="25"/>
  <c r="AZ27" i="25"/>
  <c r="BP15" i="26"/>
  <c r="BA37" i="26"/>
  <c r="AZ37" i="26"/>
  <c r="BA45" i="25"/>
  <c r="AZ45" i="25"/>
  <c r="X50" i="25"/>
  <c r="AV12" i="25"/>
  <c r="BA35" i="26"/>
  <c r="AZ35" i="26"/>
  <c r="BA25" i="25"/>
  <c r="AZ25" i="25"/>
  <c r="BA25" i="22"/>
  <c r="AZ25" i="22"/>
  <c r="BA28" i="24"/>
  <c r="AZ28" i="24"/>
  <c r="BA38" i="22"/>
  <c r="AZ38" i="22"/>
  <c r="BA33" i="23"/>
  <c r="AZ33" i="23"/>
  <c r="BA14" i="22"/>
  <c r="AZ14" i="22"/>
  <c r="BA41" i="25"/>
  <c r="AZ41" i="25"/>
  <c r="BP38" i="22"/>
  <c r="AS50" i="24"/>
  <c r="AY12" i="24"/>
  <c r="BA48" i="23"/>
  <c r="AZ48" i="23"/>
  <c r="BA49" i="24"/>
  <c r="AZ49" i="24"/>
  <c r="BP24" i="24"/>
  <c r="BA13" i="26"/>
  <c r="AZ13" i="26"/>
  <c r="BR19" i="22"/>
  <c r="BR32" i="25"/>
  <c r="BR25" i="22"/>
  <c r="BA38" i="23"/>
  <c r="AZ38" i="23"/>
  <c r="BA40" i="25"/>
  <c r="AZ40" i="25"/>
  <c r="BR47" i="23"/>
  <c r="BA20" i="24"/>
  <c r="AZ20" i="24"/>
  <c r="AE50" i="22"/>
  <c r="AW12" i="22"/>
  <c r="BA46" i="23"/>
  <c r="AZ46" i="23"/>
  <c r="BR46" i="26"/>
  <c r="BA45" i="23"/>
  <c r="AZ45" i="23"/>
  <c r="BA35" i="23"/>
  <c r="AZ35" i="23"/>
  <c r="AS50" i="26"/>
  <c r="AY12" i="26"/>
  <c r="BA21" i="26"/>
  <c r="AZ21" i="26"/>
  <c r="BA19" i="26"/>
  <c r="AZ19" i="26"/>
  <c r="BA36" i="25"/>
  <c r="AZ36" i="25"/>
  <c r="BA39" i="26"/>
  <c r="AZ39" i="26"/>
  <c r="BA32" i="23"/>
  <c r="AZ32" i="23"/>
  <c r="BJ50" i="22"/>
  <c r="BA31" i="22"/>
  <c r="AZ31" i="22"/>
  <c r="BR34" i="26"/>
  <c r="BA24" i="24"/>
  <c r="AZ24" i="24"/>
  <c r="BA46" i="24"/>
  <c r="AZ46" i="24"/>
  <c r="BP32" i="26"/>
  <c r="BR21" i="26"/>
  <c r="BA29" i="22"/>
  <c r="AZ29" i="22"/>
  <c r="BA49" i="26"/>
  <c r="AZ49" i="26"/>
  <c r="BA14" i="24"/>
  <c r="AZ14" i="24"/>
  <c r="BA47" i="26"/>
  <c r="AZ47" i="26"/>
  <c r="BR27" i="26"/>
  <c r="BR14" i="25"/>
  <c r="AZ49" i="23"/>
  <c r="BA24" i="25"/>
  <c r="AZ24" i="25"/>
  <c r="BA45" i="24"/>
  <c r="AZ45" i="24"/>
  <c r="BA38" i="26"/>
  <c r="AZ38" i="26"/>
  <c r="BA13" i="22"/>
  <c r="AZ13" i="22"/>
  <c r="BP36" i="24"/>
  <c r="BR49" i="23"/>
  <c r="BA15" i="25"/>
  <c r="AZ15" i="25"/>
  <c r="BA41" i="26"/>
  <c r="AZ41" i="26"/>
  <c r="BR24" i="26"/>
  <c r="BA33" i="25"/>
  <c r="AZ33" i="25"/>
  <c r="AS50" i="22"/>
  <c r="AY12" i="22"/>
  <c r="BR47" i="24"/>
  <c r="AZ29" i="26"/>
  <c r="BA28" i="23"/>
  <c r="AZ28" i="23"/>
  <c r="BA32" i="25"/>
  <c r="AZ32" i="25"/>
  <c r="BK12" i="22"/>
  <c r="BA27" i="23"/>
  <c r="AZ27" i="23"/>
  <c r="BR31" i="24"/>
  <c r="BA42" i="23"/>
  <c r="AZ42" i="23"/>
  <c r="BR21" i="25"/>
  <c r="BA37" i="24"/>
  <c r="AZ37" i="24"/>
  <c r="BR13" i="23"/>
  <c r="BA26" i="23"/>
  <c r="AZ26" i="23"/>
  <c r="BA28" i="26"/>
  <c r="AZ28" i="26"/>
  <c r="BA19" i="22"/>
  <c r="AZ19" i="22"/>
  <c r="BA28" i="25"/>
  <c r="AZ28" i="25"/>
  <c r="BA15" i="26"/>
  <c r="AZ15" i="26"/>
  <c r="BA22" i="26"/>
  <c r="AZ22" i="26"/>
  <c r="BA37" i="25"/>
  <c r="AZ37" i="25"/>
  <c r="W35" i="16"/>
  <c r="AU35" i="16" s="1"/>
  <c r="BA35" i="16" s="1"/>
  <c r="AK47" i="15"/>
  <c r="AW47" i="15" s="1"/>
  <c r="BC47" i="15" s="1"/>
  <c r="P50" i="14"/>
  <c r="AT50" i="14" s="1"/>
  <c r="AR47" i="13"/>
  <c r="AX47" i="13" s="1"/>
  <c r="BD47" i="13" s="1"/>
  <c r="BH26" i="12"/>
  <c r="BI26" i="12"/>
  <c r="BJ26" i="12" s="1"/>
  <c r="AD35" i="13"/>
  <c r="AV35" i="13" s="1"/>
  <c r="BB35" i="13" s="1"/>
  <c r="W40" i="16"/>
  <c r="AU40" i="16" s="1"/>
  <c r="BA40" i="16" s="1"/>
  <c r="BH22" i="13"/>
  <c r="BI22" i="13"/>
  <c r="BJ22" i="13" s="1"/>
  <c r="BI46" i="13"/>
  <c r="BJ46" i="13" s="1"/>
  <c r="BH46" i="13"/>
  <c r="W39" i="13"/>
  <c r="AU39" i="13" s="1"/>
  <c r="BA39" i="13" s="1"/>
  <c r="P30" i="15"/>
  <c r="AT30" i="15" s="1"/>
  <c r="BI46" i="15"/>
  <c r="BJ46" i="15" s="1"/>
  <c r="BH46" i="15"/>
  <c r="BI13" i="12"/>
  <c r="BJ13" i="12" s="1"/>
  <c r="BO13" i="12" s="1"/>
  <c r="BH13" i="12"/>
  <c r="BI21" i="15"/>
  <c r="BJ21" i="15" s="1"/>
  <c r="BH21" i="15"/>
  <c r="AK50" i="16"/>
  <c r="AW50" i="16" s="1"/>
  <c r="BC50" i="16" s="1"/>
  <c r="P42" i="16"/>
  <c r="AT42" i="16" s="1"/>
  <c r="BI39" i="16"/>
  <c r="BJ39" i="16" s="1"/>
  <c r="BO39" i="16" s="1"/>
  <c r="BH39" i="16"/>
  <c r="AD43" i="15"/>
  <c r="AV43" i="15" s="1"/>
  <c r="BB43" i="15" s="1"/>
  <c r="BH38" i="14"/>
  <c r="BI38" i="14"/>
  <c r="BJ38" i="14" s="1"/>
  <c r="BO38" i="14" s="1"/>
  <c r="AD14" i="14"/>
  <c r="AV14" i="14" s="1"/>
  <c r="BB14" i="14" s="1"/>
  <c r="BP51" i="15"/>
  <c r="BQ11" i="15"/>
  <c r="BQ51" i="15" s="1"/>
  <c r="BI48" i="16"/>
  <c r="BJ48" i="16" s="1"/>
  <c r="BO48" i="16" s="1"/>
  <c r="BH48" i="16"/>
  <c r="AK47" i="12"/>
  <c r="AW47" i="12" s="1"/>
  <c r="BC47" i="12" s="1"/>
  <c r="W44" i="12"/>
  <c r="AU44" i="12" s="1"/>
  <c r="BA44" i="12" s="1"/>
  <c r="W18" i="16"/>
  <c r="AU18" i="16" s="1"/>
  <c r="BA18" i="16" s="1"/>
  <c r="W22" i="13"/>
  <c r="AU22" i="13" s="1"/>
  <c r="BA22" i="13" s="1"/>
  <c r="AC51" i="15"/>
  <c r="AD11" i="15"/>
  <c r="AD34" i="15"/>
  <c r="AV34" i="15" s="1"/>
  <c r="BB34" i="15" s="1"/>
  <c r="AD24" i="15"/>
  <c r="AV24" i="15" s="1"/>
  <c r="BB24" i="15" s="1"/>
  <c r="AD30" i="15"/>
  <c r="AV30" i="15" s="1"/>
  <c r="BB30" i="15" s="1"/>
  <c r="AD18" i="15"/>
  <c r="AV18" i="15" s="1"/>
  <c r="BB18" i="15" s="1"/>
  <c r="P23" i="14"/>
  <c r="AT23" i="14" s="1"/>
  <c r="AK27" i="14"/>
  <c r="AW27" i="14" s="1"/>
  <c r="BC27" i="14" s="1"/>
  <c r="AR45" i="16"/>
  <c r="AX45" i="16" s="1"/>
  <c r="BD45" i="16" s="1"/>
  <c r="BH40" i="12"/>
  <c r="BI40" i="12"/>
  <c r="BJ40" i="12" s="1"/>
  <c r="AD31" i="13"/>
  <c r="AV31" i="13" s="1"/>
  <c r="BB31" i="13" s="1"/>
  <c r="P37" i="15"/>
  <c r="AT37" i="15" s="1"/>
  <c r="AR22" i="12"/>
  <c r="AX22" i="12" s="1"/>
  <c r="BD22" i="12" s="1"/>
  <c r="AR41" i="12"/>
  <c r="AX41" i="12" s="1"/>
  <c r="BD41" i="12" s="1"/>
  <c r="BI13" i="14"/>
  <c r="BJ13" i="14" s="1"/>
  <c r="BH13" i="14"/>
  <c r="AR37" i="12"/>
  <c r="AX37" i="12" s="1"/>
  <c r="BD37" i="12" s="1"/>
  <c r="W45" i="14"/>
  <c r="AU45" i="14" s="1"/>
  <c r="BA45" i="14" s="1"/>
  <c r="BI40" i="13"/>
  <c r="BJ40" i="13" s="1"/>
  <c r="BH40" i="13"/>
  <c r="BR18" i="13"/>
  <c r="BR16" i="16"/>
  <c r="BI27" i="12"/>
  <c r="BJ27" i="12" s="1"/>
  <c r="BH27" i="12"/>
  <c r="AD22" i="16"/>
  <c r="AV22" i="16" s="1"/>
  <c r="BB22" i="16" s="1"/>
  <c r="AD36" i="16"/>
  <c r="AV36" i="16" s="1"/>
  <c r="BB36" i="16" s="1"/>
  <c r="AR47" i="12"/>
  <c r="AX47" i="12" s="1"/>
  <c r="BD47" i="12" s="1"/>
  <c r="AD28" i="14"/>
  <c r="AV28" i="14" s="1"/>
  <c r="BB28" i="14" s="1"/>
  <c r="BH37" i="13"/>
  <c r="BI37" i="13"/>
  <c r="BJ37" i="13" s="1"/>
  <c r="AK44" i="12"/>
  <c r="AW44" i="12" s="1"/>
  <c r="BC44" i="12" s="1"/>
  <c r="P18" i="16"/>
  <c r="AT18" i="16" s="1"/>
  <c r="P46" i="15"/>
  <c r="AT46" i="15" s="1"/>
  <c r="W45" i="16"/>
  <c r="AU45" i="16" s="1"/>
  <c r="BA45" i="16" s="1"/>
  <c r="AR33" i="13"/>
  <c r="AX33" i="13" s="1"/>
  <c r="BD33" i="13" s="1"/>
  <c r="BI27" i="13"/>
  <c r="BJ27" i="13" s="1"/>
  <c r="BH27" i="13"/>
  <c r="AD39" i="15"/>
  <c r="AV39" i="15" s="1"/>
  <c r="BB39" i="15" s="1"/>
  <c r="P25" i="12"/>
  <c r="AT25" i="12" s="1"/>
  <c r="BI31" i="16"/>
  <c r="BJ31" i="16" s="1"/>
  <c r="BH31" i="16"/>
  <c r="BI30" i="13"/>
  <c r="BJ30" i="13" s="1"/>
  <c r="BH30" i="13"/>
  <c r="BI50" i="13"/>
  <c r="BJ50" i="13" s="1"/>
  <c r="BH50" i="13"/>
  <c r="P46" i="13"/>
  <c r="AT46" i="13" s="1"/>
  <c r="W13" i="12"/>
  <c r="AU13" i="12" s="1"/>
  <c r="BA13" i="12" s="1"/>
  <c r="AK31" i="13"/>
  <c r="AW31" i="13" s="1"/>
  <c r="BC31" i="13" s="1"/>
  <c r="W21" i="15"/>
  <c r="AU21" i="15" s="1"/>
  <c r="BA21" i="15" s="1"/>
  <c r="W20" i="14"/>
  <c r="AU20" i="14" s="1"/>
  <c r="BA20" i="14" s="1"/>
  <c r="W15" i="14"/>
  <c r="AU15" i="14" s="1"/>
  <c r="BA15" i="14" s="1"/>
  <c r="AK24" i="14"/>
  <c r="AW24" i="14" s="1"/>
  <c r="BC24" i="14" s="1"/>
  <c r="AD40" i="14"/>
  <c r="AV40" i="14" s="1"/>
  <c r="BB40" i="14" s="1"/>
  <c r="BI11" i="13"/>
  <c r="BJ11" i="13" s="1"/>
  <c r="BH11" i="13"/>
  <c r="BR36" i="16"/>
  <c r="W22" i="15"/>
  <c r="AU22" i="15" s="1"/>
  <c r="BA22" i="15" s="1"/>
  <c r="AR26" i="12"/>
  <c r="AX26" i="12" s="1"/>
  <c r="BD26" i="12" s="1"/>
  <c r="P45" i="13"/>
  <c r="AT45" i="13" s="1"/>
  <c r="P37" i="13"/>
  <c r="AT37" i="13" s="1"/>
  <c r="P14" i="13"/>
  <c r="AT14" i="13" s="1"/>
  <c r="AR22" i="13"/>
  <c r="AX22" i="13" s="1"/>
  <c r="BD22" i="13" s="1"/>
  <c r="P33" i="14"/>
  <c r="AT33" i="14" s="1"/>
  <c r="W33" i="16"/>
  <c r="AU33" i="16" s="1"/>
  <c r="BA33" i="16" s="1"/>
  <c r="AD27" i="12"/>
  <c r="AV27" i="12" s="1"/>
  <c r="BB27" i="12" s="1"/>
  <c r="BI31" i="15"/>
  <c r="BJ31" i="15" s="1"/>
  <c r="BH31" i="15"/>
  <c r="P19" i="12"/>
  <c r="AT19" i="12" s="1"/>
  <c r="AK23" i="13"/>
  <c r="AW23" i="13" s="1"/>
  <c r="BC23" i="13" s="1"/>
  <c r="AR21" i="14"/>
  <c r="AX21" i="14" s="1"/>
  <c r="BD21" i="14" s="1"/>
  <c r="AR48" i="16"/>
  <c r="AX48" i="16" s="1"/>
  <c r="BD48" i="16" s="1"/>
  <c r="W28" i="14"/>
  <c r="AU28" i="14" s="1"/>
  <c r="BA28" i="14" s="1"/>
  <c r="AR45" i="13"/>
  <c r="AX45" i="13" s="1"/>
  <c r="BD45" i="13" s="1"/>
  <c r="W37" i="13"/>
  <c r="AU37" i="13" s="1"/>
  <c r="BA37" i="13" s="1"/>
  <c r="BO35" i="12"/>
  <c r="BH22" i="14"/>
  <c r="BJ22" i="14"/>
  <c r="BI22" i="14"/>
  <c r="AD45" i="16"/>
  <c r="AV45" i="16" s="1"/>
  <c r="BB45" i="16" s="1"/>
  <c r="AK13" i="12"/>
  <c r="AW13" i="12" s="1"/>
  <c r="BC13" i="12" s="1"/>
  <c r="BI13" i="16"/>
  <c r="BJ13" i="16" s="1"/>
  <c r="BH13" i="16"/>
  <c r="AK41" i="12"/>
  <c r="AW41" i="12" s="1"/>
  <c r="BC41" i="12" s="1"/>
  <c r="W44" i="15"/>
  <c r="AU44" i="15" s="1"/>
  <c r="BA44" i="15" s="1"/>
  <c r="AR50" i="16"/>
  <c r="AX50" i="16" s="1"/>
  <c r="BD50" i="16" s="1"/>
  <c r="AR35" i="12"/>
  <c r="AX35" i="12" s="1"/>
  <c r="BD35" i="12" s="1"/>
  <c r="BR38" i="12"/>
  <c r="AD38" i="14"/>
  <c r="AV38" i="14" s="1"/>
  <c r="BB38" i="14" s="1"/>
  <c r="BJ12" i="15"/>
  <c r="BI12" i="15"/>
  <c r="BH12" i="15"/>
  <c r="BR36" i="14"/>
  <c r="AR27" i="12"/>
  <c r="AX27" i="12" s="1"/>
  <c r="BD27" i="12" s="1"/>
  <c r="BH13" i="13"/>
  <c r="BI13" i="13"/>
  <c r="BJ13" i="13" s="1"/>
  <c r="W27" i="13"/>
  <c r="AU27" i="13" s="1"/>
  <c r="BA27" i="13" s="1"/>
  <c r="AR14" i="12"/>
  <c r="AX14" i="12" s="1"/>
  <c r="BD14" i="12" s="1"/>
  <c r="AK13" i="14"/>
  <c r="AW13" i="14" s="1"/>
  <c r="BC13" i="14" s="1"/>
  <c r="AK23" i="12"/>
  <c r="AW23" i="12" s="1"/>
  <c r="BC23" i="12" s="1"/>
  <c r="AD40" i="13"/>
  <c r="AV40" i="13" s="1"/>
  <c r="BB40" i="13" s="1"/>
  <c r="P28" i="16"/>
  <c r="AT28" i="16" s="1"/>
  <c r="V51" i="12"/>
  <c r="W11" i="12"/>
  <c r="W34" i="12"/>
  <c r="AU34" i="12" s="1"/>
  <c r="BA34" i="12" s="1"/>
  <c r="W15" i="12"/>
  <c r="AU15" i="12" s="1"/>
  <c r="BA15" i="12" s="1"/>
  <c r="W35" i="12"/>
  <c r="AU35" i="12" s="1"/>
  <c r="BA35" i="12" s="1"/>
  <c r="W22" i="12"/>
  <c r="AU22" i="12" s="1"/>
  <c r="BA22" i="12" s="1"/>
  <c r="W22" i="16"/>
  <c r="AU22" i="16" s="1"/>
  <c r="BA22" i="16" s="1"/>
  <c r="BH19" i="12"/>
  <c r="BI19" i="12"/>
  <c r="BJ19" i="12" s="1"/>
  <c r="BO19" i="12" s="1"/>
  <c r="P48" i="16"/>
  <c r="AT48" i="16" s="1"/>
  <c r="BH41" i="13"/>
  <c r="BI41" i="13"/>
  <c r="BJ41" i="13" s="1"/>
  <c r="BO41" i="13" s="1"/>
  <c r="BH33" i="12"/>
  <c r="BI33" i="12"/>
  <c r="BJ33" i="12" s="1"/>
  <c r="P26" i="12"/>
  <c r="AT26" i="12" s="1"/>
  <c r="AK37" i="13"/>
  <c r="AW37" i="13" s="1"/>
  <c r="BC37" i="13" s="1"/>
  <c r="AR36" i="12"/>
  <c r="AX36" i="12" s="1"/>
  <c r="BD36" i="12" s="1"/>
  <c r="AK22" i="13"/>
  <c r="AW22" i="13" s="1"/>
  <c r="BC22" i="13" s="1"/>
  <c r="W33" i="14"/>
  <c r="AU33" i="14" s="1"/>
  <c r="BA33" i="14" s="1"/>
  <c r="BI35" i="14"/>
  <c r="BJ35" i="14" s="1"/>
  <c r="BH35" i="14"/>
  <c r="BH35" i="16"/>
  <c r="BI35" i="16"/>
  <c r="BJ35" i="16" s="1"/>
  <c r="P27" i="12"/>
  <c r="AT27" i="12" s="1"/>
  <c r="AD19" i="12"/>
  <c r="AV19" i="12" s="1"/>
  <c r="BB19" i="12" s="1"/>
  <c r="W12" i="14"/>
  <c r="AU12" i="14" s="1"/>
  <c r="BA12" i="14" s="1"/>
  <c r="W50" i="14"/>
  <c r="AU50" i="14" s="1"/>
  <c r="BA50" i="14" s="1"/>
  <c r="W36" i="14"/>
  <c r="AU36" i="14" s="1"/>
  <c r="BA36" i="14" s="1"/>
  <c r="V51" i="14"/>
  <c r="W11" i="14"/>
  <c r="W34" i="14"/>
  <c r="AU34" i="14" s="1"/>
  <c r="BA34" i="14" s="1"/>
  <c r="AD48" i="16"/>
  <c r="AV48" i="16" s="1"/>
  <c r="BB48" i="16" s="1"/>
  <c r="P28" i="14"/>
  <c r="AT28" i="14" s="1"/>
  <c r="AD26" i="12"/>
  <c r="AV26" i="12" s="1"/>
  <c r="BB26" i="12" s="1"/>
  <c r="BH35" i="13"/>
  <c r="BI35" i="13"/>
  <c r="BJ35" i="13" s="1"/>
  <c r="BO35" i="13" s="1"/>
  <c r="W45" i="13"/>
  <c r="AU45" i="13" s="1"/>
  <c r="BA45" i="13" s="1"/>
  <c r="W14" i="13"/>
  <c r="AU14" i="13" s="1"/>
  <c r="BA14" i="13" s="1"/>
  <c r="W36" i="15"/>
  <c r="AU36" i="15" s="1"/>
  <c r="BA36" i="15" s="1"/>
  <c r="AK49" i="14"/>
  <c r="AW49" i="14" s="1"/>
  <c r="BC49" i="14" s="1"/>
  <c r="BI44" i="16"/>
  <c r="BJ44" i="16" s="1"/>
  <c r="BO44" i="16" s="1"/>
  <c r="BH44" i="16"/>
  <c r="P49" i="16"/>
  <c r="AT49" i="16" s="1"/>
  <c r="W35" i="15"/>
  <c r="AU35" i="15" s="1"/>
  <c r="BA35" i="15" s="1"/>
  <c r="BI41" i="14"/>
  <c r="BJ41" i="14" s="1"/>
  <c r="BH41" i="14"/>
  <c r="W24" i="13"/>
  <c r="AU24" i="13" s="1"/>
  <c r="BA24" i="13" s="1"/>
  <c r="AK31" i="16"/>
  <c r="AW31" i="16" s="1"/>
  <c r="BC31" i="16" s="1"/>
  <c r="AK38" i="12"/>
  <c r="AW38" i="12" s="1"/>
  <c r="BC38" i="12" s="1"/>
  <c r="AR20" i="16"/>
  <c r="AX20" i="16" s="1"/>
  <c r="BD20" i="16" s="1"/>
  <c r="BI29" i="13"/>
  <c r="BJ29" i="13" s="1"/>
  <c r="BH29" i="13"/>
  <c r="BJ47" i="15"/>
  <c r="BO47" i="15" s="1"/>
  <c r="BI47" i="15"/>
  <c r="BH47" i="15"/>
  <c r="BI12" i="14"/>
  <c r="BJ12" i="14" s="1"/>
  <c r="BH12" i="14"/>
  <c r="BH47" i="13"/>
  <c r="BI47" i="13"/>
  <c r="BJ47" i="13" s="1"/>
  <c r="BH42" i="15"/>
  <c r="BI42" i="15"/>
  <c r="BJ42" i="15" s="1"/>
  <c r="BI45" i="12"/>
  <c r="BJ45" i="12" s="1"/>
  <c r="BH45" i="12"/>
  <c r="AD29" i="16"/>
  <c r="AV29" i="16" s="1"/>
  <c r="BB29" i="16" s="1"/>
  <c r="AD49" i="14"/>
  <c r="AV49" i="14" s="1"/>
  <c r="BB49" i="14" s="1"/>
  <c r="P44" i="16"/>
  <c r="AT44" i="16" s="1"/>
  <c r="P22" i="14"/>
  <c r="AT22" i="14" s="1"/>
  <c r="AD40" i="12"/>
  <c r="AV40" i="12" s="1"/>
  <c r="BB40" i="12" s="1"/>
  <c r="P48" i="14"/>
  <c r="AT48" i="14" s="1"/>
  <c r="P25" i="14"/>
  <c r="AT25" i="14" s="1"/>
  <c r="P13" i="16"/>
  <c r="AT13" i="16" s="1"/>
  <c r="P36" i="16"/>
  <c r="AT36" i="16" s="1"/>
  <c r="AD44" i="15"/>
  <c r="AV44" i="15" s="1"/>
  <c r="BB44" i="15" s="1"/>
  <c r="AR29" i="15"/>
  <c r="AX29" i="15" s="1"/>
  <c r="BD29" i="15" s="1"/>
  <c r="AK30" i="12"/>
  <c r="AW30" i="12" s="1"/>
  <c r="BC30" i="12" s="1"/>
  <c r="BI43" i="13"/>
  <c r="BJ43" i="13" s="1"/>
  <c r="BH43" i="13"/>
  <c r="AD39" i="12"/>
  <c r="AV39" i="12" s="1"/>
  <c r="BB39" i="12" s="1"/>
  <c r="AR30" i="16"/>
  <c r="AX30" i="16" s="1"/>
  <c r="BD30" i="16" s="1"/>
  <c r="W36" i="12"/>
  <c r="AU36" i="12" s="1"/>
  <c r="BA36" i="12" s="1"/>
  <c r="AD36" i="15"/>
  <c r="AV36" i="15" s="1"/>
  <c r="BB36" i="15" s="1"/>
  <c r="BI11" i="15"/>
  <c r="BH11" i="15"/>
  <c r="AR19" i="14"/>
  <c r="AX19" i="14" s="1"/>
  <c r="BD19" i="14" s="1"/>
  <c r="AR35" i="14"/>
  <c r="AX35" i="14" s="1"/>
  <c r="BD35" i="14" s="1"/>
  <c r="W49" i="16"/>
  <c r="AU49" i="16" s="1"/>
  <c r="BA49" i="16" s="1"/>
  <c r="AK23" i="16"/>
  <c r="AW23" i="16" s="1"/>
  <c r="BC23" i="16" s="1"/>
  <c r="AK13" i="13"/>
  <c r="AW13" i="13" s="1"/>
  <c r="BC13" i="13" s="1"/>
  <c r="P14" i="12"/>
  <c r="AT14" i="12" s="1"/>
  <c r="AK19" i="15"/>
  <c r="AW19" i="15" s="1"/>
  <c r="BC19" i="15" s="1"/>
  <c r="W26" i="14"/>
  <c r="AU26" i="14" s="1"/>
  <c r="BA26" i="14" s="1"/>
  <c r="BI11" i="16"/>
  <c r="BH11" i="16"/>
  <c r="W43" i="14"/>
  <c r="AU43" i="14" s="1"/>
  <c r="BA43" i="14" s="1"/>
  <c r="BI43" i="15"/>
  <c r="BJ43" i="15" s="1"/>
  <c r="BH43" i="15"/>
  <c r="BR22" i="12"/>
  <c r="AR35" i="16"/>
  <c r="AX35" i="16" s="1"/>
  <c r="BD35" i="16" s="1"/>
  <c r="AR47" i="15"/>
  <c r="AX47" i="15" s="1"/>
  <c r="BD47" i="15" s="1"/>
  <c r="P31" i="15"/>
  <c r="AT31" i="15" s="1"/>
  <c r="AD12" i="14"/>
  <c r="AV12" i="14" s="1"/>
  <c r="BB12" i="14" s="1"/>
  <c r="AD36" i="14"/>
  <c r="AV36" i="14" s="1"/>
  <c r="BB36" i="14" s="1"/>
  <c r="AD11" i="14"/>
  <c r="AD34" i="14"/>
  <c r="AV34" i="14" s="1"/>
  <c r="BB34" i="14" s="1"/>
  <c r="AD50" i="14"/>
  <c r="AV50" i="14" s="1"/>
  <c r="BB50" i="14" s="1"/>
  <c r="AK41" i="13"/>
  <c r="AW41" i="13" s="1"/>
  <c r="BC41" i="13" s="1"/>
  <c r="P47" i="13"/>
  <c r="AT47" i="13" s="1"/>
  <c r="AD37" i="13"/>
  <c r="AV37" i="13" s="1"/>
  <c r="BB37" i="13" s="1"/>
  <c r="P47" i="15"/>
  <c r="AT47" i="15" s="1"/>
  <c r="AQ51" i="14"/>
  <c r="AD47" i="13"/>
  <c r="AV47" i="13" s="1"/>
  <c r="BB47" i="13" s="1"/>
  <c r="AR33" i="12"/>
  <c r="AX33" i="12" s="1"/>
  <c r="BD33" i="12" s="1"/>
  <c r="AD42" i="15"/>
  <c r="AV42" i="15" s="1"/>
  <c r="BB42" i="15" s="1"/>
  <c r="P40" i="16"/>
  <c r="AT40" i="16" s="1"/>
  <c r="BI44" i="12"/>
  <c r="BJ44" i="12" s="1"/>
  <c r="BH44" i="12"/>
  <c r="P39" i="13"/>
  <c r="AT39" i="13" s="1"/>
  <c r="AJ51" i="15"/>
  <c r="AK11" i="15"/>
  <c r="AK34" i="15"/>
  <c r="AW34" i="15" s="1"/>
  <c r="BC34" i="15" s="1"/>
  <c r="AK30" i="15"/>
  <c r="AW30" i="15" s="1"/>
  <c r="BC30" i="15" s="1"/>
  <c r="AK18" i="15"/>
  <c r="AW18" i="15" s="1"/>
  <c r="BC18" i="15" s="1"/>
  <c r="AK24" i="15"/>
  <c r="AW24" i="15" s="1"/>
  <c r="BC24" i="15" s="1"/>
  <c r="AR26" i="16"/>
  <c r="AX26" i="16" s="1"/>
  <c r="BD26" i="16" s="1"/>
  <c r="P19" i="14"/>
  <c r="AT19" i="14" s="1"/>
  <c r="BI27" i="14"/>
  <c r="BJ27" i="14" s="1"/>
  <c r="BH27" i="14"/>
  <c r="AR22" i="14"/>
  <c r="AX22" i="14" s="1"/>
  <c r="BD22" i="14" s="1"/>
  <c r="P35" i="15"/>
  <c r="AT35" i="15" s="1"/>
  <c r="W25" i="14"/>
  <c r="AU25" i="14" s="1"/>
  <c r="BA25" i="14" s="1"/>
  <c r="AK36" i="16"/>
  <c r="AW36" i="16" s="1"/>
  <c r="BC36" i="16" s="1"/>
  <c r="W13" i="15"/>
  <c r="AU13" i="15" s="1"/>
  <c r="BA13" i="15" s="1"/>
  <c r="AD26" i="13"/>
  <c r="AV26" i="13" s="1"/>
  <c r="BB26" i="13" s="1"/>
  <c r="P42" i="14"/>
  <c r="AT42" i="14" s="1"/>
  <c r="AK28" i="16"/>
  <c r="AW28" i="16" s="1"/>
  <c r="BC28" i="16" s="1"/>
  <c r="AD47" i="15"/>
  <c r="AV47" i="15" s="1"/>
  <c r="BB47" i="15" s="1"/>
  <c r="AR31" i="15"/>
  <c r="AX31" i="15" s="1"/>
  <c r="BD31" i="15" s="1"/>
  <c r="W19" i="12"/>
  <c r="AU19" i="12" s="1"/>
  <c r="BA19" i="12" s="1"/>
  <c r="BI21" i="14"/>
  <c r="BJ21" i="14" s="1"/>
  <c r="BH21" i="14"/>
  <c r="AK12" i="14"/>
  <c r="AW12" i="14" s="1"/>
  <c r="BC12" i="14" s="1"/>
  <c r="AK50" i="14"/>
  <c r="AW50" i="14" s="1"/>
  <c r="BC50" i="14" s="1"/>
  <c r="AJ51" i="14"/>
  <c r="AK11" i="14"/>
  <c r="AK34" i="14"/>
  <c r="AW34" i="14" s="1"/>
  <c r="BC34" i="14" s="1"/>
  <c r="AK36" i="14"/>
  <c r="AW36" i="14" s="1"/>
  <c r="BC36" i="14" s="1"/>
  <c r="BI47" i="12"/>
  <c r="BJ47" i="12" s="1"/>
  <c r="BH47" i="12"/>
  <c r="AD41" i="13"/>
  <c r="AV41" i="13" s="1"/>
  <c r="BB41" i="13" s="1"/>
  <c r="W47" i="13"/>
  <c r="AU47" i="13" s="1"/>
  <c r="BA47" i="13" s="1"/>
  <c r="W33" i="12"/>
  <c r="AU33" i="12" s="1"/>
  <c r="BA33" i="12" s="1"/>
  <c r="AR42" i="15"/>
  <c r="AX42" i="15" s="1"/>
  <c r="BD42" i="15" s="1"/>
  <c r="W35" i="13"/>
  <c r="AU35" i="13" s="1"/>
  <c r="BA35" i="13" s="1"/>
  <c r="AD40" i="16"/>
  <c r="AV40" i="16" s="1"/>
  <c r="BB40" i="16" s="1"/>
  <c r="W45" i="12"/>
  <c r="AU45" i="12" s="1"/>
  <c r="BA45" i="12" s="1"/>
  <c r="AD36" i="12"/>
  <c r="AV36" i="12" s="1"/>
  <c r="BB36" i="12" s="1"/>
  <c r="AR29" i="16"/>
  <c r="AX29" i="16" s="1"/>
  <c r="BD29" i="16" s="1"/>
  <c r="V51" i="15"/>
  <c r="W11" i="15"/>
  <c r="W34" i="15"/>
  <c r="AU34" i="15" s="1"/>
  <c r="BA34" i="15" s="1"/>
  <c r="W24" i="15"/>
  <c r="AU24" i="15" s="1"/>
  <c r="BA24" i="15" s="1"/>
  <c r="W30" i="15"/>
  <c r="AU30" i="15" s="1"/>
  <c r="BA30" i="15" s="1"/>
  <c r="W18" i="15"/>
  <c r="AU18" i="15" s="1"/>
  <c r="BA18" i="15" s="1"/>
  <c r="AD26" i="16"/>
  <c r="AV26" i="16" s="1"/>
  <c r="BB26" i="16" s="1"/>
  <c r="P35" i="14"/>
  <c r="AT35" i="14" s="1"/>
  <c r="AK44" i="16"/>
  <c r="AW44" i="16" s="1"/>
  <c r="BC44" i="16" s="1"/>
  <c r="BR15" i="12"/>
  <c r="P42" i="12"/>
  <c r="AT42" i="12" s="1"/>
  <c r="AK15" i="16"/>
  <c r="AW15" i="16" s="1"/>
  <c r="BC15" i="16" s="1"/>
  <c r="AK14" i="16"/>
  <c r="AW14" i="16" s="1"/>
  <c r="BC14" i="16" s="1"/>
  <c r="W36" i="16"/>
  <c r="AU36" i="16" s="1"/>
  <c r="BA36" i="16" s="1"/>
  <c r="AK32" i="15"/>
  <c r="AW32" i="15" s="1"/>
  <c r="BC32" i="15" s="1"/>
  <c r="BI21" i="13"/>
  <c r="BJ21" i="13" s="1"/>
  <c r="BO21" i="13" s="1"/>
  <c r="BH21" i="13"/>
  <c r="W47" i="15"/>
  <c r="AU47" i="15" s="1"/>
  <c r="BA47" i="15" s="1"/>
  <c r="BI22" i="16"/>
  <c r="BJ22" i="16" s="1"/>
  <c r="BO22" i="16" s="1"/>
  <c r="BH22" i="16"/>
  <c r="BH23" i="13"/>
  <c r="BI23" i="13"/>
  <c r="BJ23" i="13" s="1"/>
  <c r="AR41" i="13"/>
  <c r="AX41" i="13" s="1"/>
  <c r="BD41" i="13" s="1"/>
  <c r="AD44" i="12"/>
  <c r="AV44" i="12" s="1"/>
  <c r="BB44" i="12" s="1"/>
  <c r="AK18" i="16"/>
  <c r="AW18" i="16" s="1"/>
  <c r="BC18" i="16" s="1"/>
  <c r="AR24" i="15"/>
  <c r="AX24" i="15" s="1"/>
  <c r="BD24" i="15" s="1"/>
  <c r="AR27" i="14"/>
  <c r="AX27" i="14" s="1"/>
  <c r="BD27" i="14" s="1"/>
  <c r="AR44" i="16"/>
  <c r="AX44" i="16" s="1"/>
  <c r="BD44" i="16" s="1"/>
  <c r="BI45" i="16"/>
  <c r="BJ45" i="16" s="1"/>
  <c r="BH45" i="16"/>
  <c r="AD43" i="12"/>
  <c r="AV43" i="12" s="1"/>
  <c r="BB43" i="12" s="1"/>
  <c r="AR16" i="13"/>
  <c r="AX16" i="13" s="1"/>
  <c r="BD16" i="13" s="1"/>
  <c r="BI39" i="15"/>
  <c r="BJ39" i="15" s="1"/>
  <c r="BH39" i="15"/>
  <c r="W19" i="15"/>
  <c r="AU19" i="15" s="1"/>
  <c r="BA19" i="15" s="1"/>
  <c r="AR26" i="14"/>
  <c r="AX26" i="14" s="1"/>
  <c r="BD26" i="14" s="1"/>
  <c r="BI15" i="14"/>
  <c r="BJ15" i="14" s="1"/>
  <c r="BH15" i="14"/>
  <c r="AK42" i="16"/>
  <c r="AW42" i="16" s="1"/>
  <c r="BC42" i="16" s="1"/>
  <c r="W29" i="14"/>
  <c r="AU29" i="14" s="1"/>
  <c r="BA29" i="14" s="1"/>
  <c r="AK16" i="14"/>
  <c r="AW16" i="14" s="1"/>
  <c r="BC16" i="14" s="1"/>
  <c r="AD49" i="12"/>
  <c r="AV49" i="12" s="1"/>
  <c r="BB49" i="12" s="1"/>
  <c r="AK32" i="13"/>
  <c r="AW32" i="13" s="1"/>
  <c r="BC32" i="13" s="1"/>
  <c r="AK39" i="14"/>
  <c r="AW39" i="14" s="1"/>
  <c r="BC39" i="14" s="1"/>
  <c r="AD39" i="13"/>
  <c r="AV39" i="13" s="1"/>
  <c r="BB39" i="13" s="1"/>
  <c r="AD33" i="14"/>
  <c r="AV33" i="14" s="1"/>
  <c r="BB33" i="14" s="1"/>
  <c r="AK26" i="16"/>
  <c r="AW26" i="16" s="1"/>
  <c r="BC26" i="16" s="1"/>
  <c r="BH19" i="14"/>
  <c r="BI19" i="14"/>
  <c r="BJ19" i="14" s="1"/>
  <c r="AK46" i="15"/>
  <c r="AW46" i="15" s="1"/>
  <c r="BC46" i="15" s="1"/>
  <c r="AR49" i="14"/>
  <c r="AX49" i="14" s="1"/>
  <c r="BD49" i="14" s="1"/>
  <c r="BO18" i="15"/>
  <c r="AK35" i="15"/>
  <c r="AW35" i="15" s="1"/>
  <c r="BC35" i="15" s="1"/>
  <c r="W23" i="16"/>
  <c r="AU23" i="16" s="1"/>
  <c r="BA23" i="16" s="1"/>
  <c r="AD33" i="13"/>
  <c r="AV33" i="13" s="1"/>
  <c r="BB33" i="13" s="1"/>
  <c r="W40" i="12"/>
  <c r="AU40" i="12" s="1"/>
  <c r="BA40" i="12" s="1"/>
  <c r="AR48" i="14"/>
  <c r="AX48" i="14" s="1"/>
  <c r="BD48" i="14" s="1"/>
  <c r="AK25" i="14"/>
  <c r="AW25" i="14" s="1"/>
  <c r="BC25" i="14" s="1"/>
  <c r="AD13" i="13"/>
  <c r="AV13" i="13" s="1"/>
  <c r="BB13" i="13" s="1"/>
  <c r="AR33" i="16"/>
  <c r="AX33" i="16" s="1"/>
  <c r="BD33" i="16" s="1"/>
  <c r="AD16" i="13"/>
  <c r="AV16" i="13" s="1"/>
  <c r="BB16" i="13" s="1"/>
  <c r="BH26" i="13"/>
  <c r="BI26" i="13"/>
  <c r="BJ26" i="13" s="1"/>
  <c r="AK39" i="15"/>
  <c r="AW39" i="15" s="1"/>
  <c r="BC39" i="15" s="1"/>
  <c r="BI41" i="12"/>
  <c r="BJ41" i="12" s="1"/>
  <c r="BH41" i="12"/>
  <c r="AD26" i="14"/>
  <c r="AV26" i="14" s="1"/>
  <c r="BB26" i="14" s="1"/>
  <c r="P44" i="15"/>
  <c r="AT44" i="15" s="1"/>
  <c r="W31" i="16"/>
  <c r="AU31" i="16" s="1"/>
  <c r="BA31" i="16" s="1"/>
  <c r="AK37" i="12"/>
  <c r="AW37" i="12" s="1"/>
  <c r="BC37" i="12" s="1"/>
  <c r="AK42" i="14"/>
  <c r="AW42" i="14" s="1"/>
  <c r="BC42" i="14" s="1"/>
  <c r="BI20" i="14"/>
  <c r="BJ20" i="14" s="1"/>
  <c r="BH20" i="14"/>
  <c r="W29" i="15"/>
  <c r="AU29" i="15" s="1"/>
  <c r="BA29" i="15" s="1"/>
  <c r="AR28" i="12"/>
  <c r="AX28" i="12" s="1"/>
  <c r="BD28" i="12" s="1"/>
  <c r="AR14" i="16"/>
  <c r="AX14" i="16" s="1"/>
  <c r="BD14" i="16" s="1"/>
  <c r="AD23" i="15"/>
  <c r="AV23" i="15" s="1"/>
  <c r="BB23" i="15" s="1"/>
  <c r="W30" i="12"/>
  <c r="AU30" i="12" s="1"/>
  <c r="BA30" i="12" s="1"/>
  <c r="P24" i="14"/>
  <c r="AT24" i="14" s="1"/>
  <c r="AK43" i="13"/>
  <c r="AW43" i="13" s="1"/>
  <c r="BC43" i="13" s="1"/>
  <c r="P43" i="14"/>
  <c r="AT43" i="14" s="1"/>
  <c r="W39" i="16"/>
  <c r="AU39" i="16" s="1"/>
  <c r="BA39" i="16" s="1"/>
  <c r="P16" i="14"/>
  <c r="AT16" i="14" s="1"/>
  <c r="W40" i="14"/>
  <c r="AU40" i="14" s="1"/>
  <c r="BA40" i="14" s="1"/>
  <c r="AR50" i="12"/>
  <c r="AX50" i="12" s="1"/>
  <c r="BD50" i="12" s="1"/>
  <c r="AC51" i="13"/>
  <c r="AD34" i="13"/>
  <c r="AV34" i="13" s="1"/>
  <c r="BB34" i="13" s="1"/>
  <c r="AD11" i="13"/>
  <c r="W30" i="13"/>
  <c r="AU30" i="13" s="1"/>
  <c r="BA30" i="13" s="1"/>
  <c r="AD20" i="16"/>
  <c r="AV20" i="16" s="1"/>
  <c r="BB20" i="16" s="1"/>
  <c r="AD32" i="15"/>
  <c r="AV32" i="15" s="1"/>
  <c r="BB32" i="15" s="1"/>
  <c r="P29" i="13"/>
  <c r="AT29" i="13" s="1"/>
  <c r="AR50" i="13"/>
  <c r="AX50" i="13" s="1"/>
  <c r="BD50" i="13" s="1"/>
  <c r="AK30" i="16"/>
  <c r="AW30" i="16" s="1"/>
  <c r="BC30" i="16" s="1"/>
  <c r="BH32" i="12"/>
  <c r="BI32" i="12"/>
  <c r="BJ32" i="12" s="1"/>
  <c r="AK15" i="13"/>
  <c r="AW15" i="13" s="1"/>
  <c r="BC15" i="13" s="1"/>
  <c r="W15" i="15"/>
  <c r="AU15" i="15" s="1"/>
  <c r="BA15" i="15" s="1"/>
  <c r="BI21" i="16"/>
  <c r="BJ21" i="16" s="1"/>
  <c r="BH21" i="16"/>
  <c r="AR33" i="15"/>
  <c r="AX33" i="15" s="1"/>
  <c r="BD33" i="15" s="1"/>
  <c r="AD28" i="13"/>
  <c r="AV28" i="13" s="1"/>
  <c r="BB28" i="13" s="1"/>
  <c r="P31" i="12"/>
  <c r="AT31" i="12" s="1"/>
  <c r="P12" i="12"/>
  <c r="AT12" i="12" s="1"/>
  <c r="P38" i="13"/>
  <c r="AT38" i="13" s="1"/>
  <c r="P32" i="14"/>
  <c r="AT32" i="14" s="1"/>
  <c r="AK45" i="15"/>
  <c r="AW45" i="15" s="1"/>
  <c r="BC45" i="15" s="1"/>
  <c r="P41" i="16"/>
  <c r="AT41" i="16" s="1"/>
  <c r="AK30" i="14"/>
  <c r="AW30" i="14" s="1"/>
  <c r="BC30" i="14" s="1"/>
  <c r="AD50" i="15"/>
  <c r="AV50" i="15" s="1"/>
  <c r="BB50" i="15" s="1"/>
  <c r="AK40" i="15"/>
  <c r="AW40" i="15" s="1"/>
  <c r="BC40" i="15" s="1"/>
  <c r="AK21" i="12"/>
  <c r="AW21" i="12" s="1"/>
  <c r="BC21" i="12" s="1"/>
  <c r="AR47" i="14"/>
  <c r="AX47" i="14" s="1"/>
  <c r="BD47" i="14" s="1"/>
  <c r="P24" i="12"/>
  <c r="AT24" i="12" s="1"/>
  <c r="BH27" i="16"/>
  <c r="BI27" i="16"/>
  <c r="BJ27" i="16" s="1"/>
  <c r="AR24" i="16"/>
  <c r="AX24" i="16" s="1"/>
  <c r="BD24" i="16" s="1"/>
  <c r="P36" i="13"/>
  <c r="AT36" i="13" s="1"/>
  <c r="P24" i="15"/>
  <c r="AT24" i="15" s="1"/>
  <c r="AR18" i="14"/>
  <c r="AX18" i="14" s="1"/>
  <c r="BD18" i="14" s="1"/>
  <c r="AR41" i="15"/>
  <c r="AX41" i="15" s="1"/>
  <c r="BD41" i="15" s="1"/>
  <c r="AK38" i="16"/>
  <c r="AW38" i="16" s="1"/>
  <c r="BC38" i="16" s="1"/>
  <c r="BI37" i="14"/>
  <c r="BJ37" i="14" s="1"/>
  <c r="BO37" i="14" s="1"/>
  <c r="BH37" i="14"/>
  <c r="P12" i="13"/>
  <c r="AT12" i="13" s="1"/>
  <c r="BH18" i="12"/>
  <c r="BI18" i="12"/>
  <c r="BJ18" i="12" s="1"/>
  <c r="AR20" i="14"/>
  <c r="AX20" i="14" s="1"/>
  <c r="BD20" i="14" s="1"/>
  <c r="AK29" i="15"/>
  <c r="AW29" i="15" s="1"/>
  <c r="BC29" i="15" s="1"/>
  <c r="AD28" i="12"/>
  <c r="AV28" i="12" s="1"/>
  <c r="BB28" i="12" s="1"/>
  <c r="P14" i="16"/>
  <c r="AT14" i="16" s="1"/>
  <c r="AK23" i="15"/>
  <c r="AW23" i="15" s="1"/>
  <c r="BC23" i="15" s="1"/>
  <c r="P30" i="12"/>
  <c r="AT30" i="12" s="1"/>
  <c r="BI23" i="12"/>
  <c r="BJ23" i="12" s="1"/>
  <c r="BH23" i="12"/>
  <c r="AD24" i="14"/>
  <c r="AV24" i="14" s="1"/>
  <c r="BB24" i="14" s="1"/>
  <c r="P46" i="16"/>
  <c r="AT46" i="16" s="1"/>
  <c r="AK39" i="16"/>
  <c r="AW39" i="16" s="1"/>
  <c r="BC39" i="16" s="1"/>
  <c r="AD16" i="14"/>
  <c r="AV16" i="14" s="1"/>
  <c r="BB16" i="14" s="1"/>
  <c r="AR40" i="14"/>
  <c r="AX40" i="14" s="1"/>
  <c r="BD40" i="14" s="1"/>
  <c r="AK16" i="16"/>
  <c r="AW16" i="16" s="1"/>
  <c r="BC16" i="16" s="1"/>
  <c r="AQ51" i="13"/>
  <c r="AR11" i="13"/>
  <c r="AR34" i="13"/>
  <c r="AX34" i="13" s="1"/>
  <c r="BD34" i="13" s="1"/>
  <c r="P30" i="13"/>
  <c r="AT30" i="13" s="1"/>
  <c r="W20" i="16"/>
  <c r="AU20" i="16" s="1"/>
  <c r="BA20" i="16" s="1"/>
  <c r="AR32" i="15"/>
  <c r="AX32" i="15" s="1"/>
  <c r="BD32" i="15" s="1"/>
  <c r="AD29" i="13"/>
  <c r="AV29" i="13" s="1"/>
  <c r="BB29" i="13" s="1"/>
  <c r="AK50" i="13"/>
  <c r="AW50" i="13" s="1"/>
  <c r="BC50" i="13" s="1"/>
  <c r="W39" i="14"/>
  <c r="AU39" i="14" s="1"/>
  <c r="BA39" i="14" s="1"/>
  <c r="P18" i="15"/>
  <c r="AT18" i="15" s="1"/>
  <c r="W15" i="13"/>
  <c r="AU15" i="13" s="1"/>
  <c r="BA15" i="13" s="1"/>
  <c r="BI37" i="16"/>
  <c r="BJ37" i="16" s="1"/>
  <c r="BH37" i="16"/>
  <c r="P33" i="15"/>
  <c r="AT33" i="15" s="1"/>
  <c r="AR28" i="13"/>
  <c r="AX28" i="13" s="1"/>
  <c r="BD28" i="13" s="1"/>
  <c r="AD31" i="12"/>
  <c r="AV31" i="12" s="1"/>
  <c r="BB31" i="12" s="1"/>
  <c r="AD12" i="12"/>
  <c r="AV12" i="12" s="1"/>
  <c r="BB12" i="12" s="1"/>
  <c r="BH12" i="16"/>
  <c r="BI12" i="16"/>
  <c r="BJ12" i="16" s="1"/>
  <c r="AD32" i="14"/>
  <c r="AV32" i="14" s="1"/>
  <c r="BB32" i="14" s="1"/>
  <c r="AR45" i="15"/>
  <c r="AX45" i="15" s="1"/>
  <c r="BD45" i="15" s="1"/>
  <c r="AR50" i="15"/>
  <c r="AX50" i="15" s="1"/>
  <c r="BD50" i="15" s="1"/>
  <c r="P40" i="15"/>
  <c r="AT40" i="15" s="1"/>
  <c r="P14" i="15"/>
  <c r="AT14" i="15" s="1"/>
  <c r="W47" i="14"/>
  <c r="AU47" i="14" s="1"/>
  <c r="BA47" i="14" s="1"/>
  <c r="P19" i="16"/>
  <c r="AT19" i="16" s="1"/>
  <c r="AR25" i="16"/>
  <c r="AX25" i="16" s="1"/>
  <c r="BD25" i="16" s="1"/>
  <c r="AK24" i="12"/>
  <c r="AW24" i="12" s="1"/>
  <c r="BC24" i="12" s="1"/>
  <c r="AR46" i="14"/>
  <c r="AX46" i="14" s="1"/>
  <c r="BD46" i="14" s="1"/>
  <c r="AR27" i="16"/>
  <c r="AX27" i="16" s="1"/>
  <c r="BD27" i="16" s="1"/>
  <c r="P44" i="13"/>
  <c r="AT44" i="13" s="1"/>
  <c r="AK24" i="16"/>
  <c r="AW24" i="16" s="1"/>
  <c r="BC24" i="16" s="1"/>
  <c r="AD36" i="13"/>
  <c r="AV36" i="13" s="1"/>
  <c r="BB36" i="13" s="1"/>
  <c r="BI20" i="12"/>
  <c r="BJ20" i="12" s="1"/>
  <c r="BH20" i="12"/>
  <c r="W18" i="14"/>
  <c r="AU18" i="14" s="1"/>
  <c r="BA18" i="14" s="1"/>
  <c r="P28" i="15"/>
  <c r="AT28" i="15" s="1"/>
  <c r="BH16" i="15"/>
  <c r="BI16" i="15"/>
  <c r="BJ16" i="15" s="1"/>
  <c r="AD42" i="13"/>
  <c r="AV42" i="13" s="1"/>
  <c r="BB42" i="13" s="1"/>
  <c r="AD38" i="16"/>
  <c r="AV38" i="16" s="1"/>
  <c r="BB38" i="16" s="1"/>
  <c r="AR12" i="13"/>
  <c r="AX12" i="13" s="1"/>
  <c r="BD12" i="13" s="1"/>
  <c r="W49" i="15"/>
  <c r="AU49" i="15" s="1"/>
  <c r="BA49" i="15" s="1"/>
  <c r="BI29" i="12"/>
  <c r="BJ29" i="12" s="1"/>
  <c r="BO29" i="12" s="1"/>
  <c r="BH29" i="12"/>
  <c r="P18" i="12"/>
  <c r="AT18" i="12" s="1"/>
  <c r="BI14" i="13"/>
  <c r="BJ14" i="13" s="1"/>
  <c r="BH14" i="13"/>
  <c r="AD18" i="16"/>
  <c r="AV18" i="16" s="1"/>
  <c r="BB18" i="16" s="1"/>
  <c r="W29" i="16"/>
  <c r="AU29" i="16" s="1"/>
  <c r="BA29" i="16" s="1"/>
  <c r="AR39" i="13"/>
  <c r="AX39" i="13" s="1"/>
  <c r="BD39" i="13" s="1"/>
  <c r="P26" i="16"/>
  <c r="AT26" i="16" s="1"/>
  <c r="AK19" i="14"/>
  <c r="AW19" i="14" s="1"/>
  <c r="BC19" i="14" s="1"/>
  <c r="W35" i="14"/>
  <c r="AU35" i="14" s="1"/>
  <c r="BA35" i="14" s="1"/>
  <c r="W49" i="14"/>
  <c r="AU49" i="14" s="1"/>
  <c r="BA49" i="14" s="1"/>
  <c r="P45" i="16"/>
  <c r="AT45" i="16" s="1"/>
  <c r="AD35" i="15"/>
  <c r="AV35" i="15" s="1"/>
  <c r="BB35" i="15" s="1"/>
  <c r="AD23" i="16"/>
  <c r="AV23" i="16" s="1"/>
  <c r="BB23" i="16" s="1"/>
  <c r="AD48" i="14"/>
  <c r="AV48" i="14" s="1"/>
  <c r="BB48" i="14" s="1"/>
  <c r="AD25" i="14"/>
  <c r="AV25" i="14" s="1"/>
  <c r="BB25" i="14" s="1"/>
  <c r="P13" i="13"/>
  <c r="AT13" i="13" s="1"/>
  <c r="W13" i="16"/>
  <c r="AU13" i="16" s="1"/>
  <c r="BA13" i="16" s="1"/>
  <c r="BP51" i="14"/>
  <c r="BQ11" i="14"/>
  <c r="BQ51" i="14" s="1"/>
  <c r="AK33" i="16"/>
  <c r="AW33" i="16" s="1"/>
  <c r="BC33" i="16" s="1"/>
  <c r="AR27" i="13"/>
  <c r="AX27" i="13" s="1"/>
  <c r="BD27" i="13" s="1"/>
  <c r="AR21" i="15"/>
  <c r="AX21" i="15" s="1"/>
  <c r="BD21" i="15" s="1"/>
  <c r="W16" i="13"/>
  <c r="AU16" i="13" s="1"/>
  <c r="BA16" i="13" s="1"/>
  <c r="P26" i="13"/>
  <c r="AT26" i="13" s="1"/>
  <c r="W39" i="15"/>
  <c r="AU39" i="15" s="1"/>
  <c r="BA39" i="15" s="1"/>
  <c r="AD41" i="12"/>
  <c r="AV41" i="12" s="1"/>
  <c r="BB41" i="12" s="1"/>
  <c r="BH25" i="12"/>
  <c r="BI25" i="12"/>
  <c r="BJ25" i="12" s="1"/>
  <c r="AK26" i="14"/>
  <c r="AW26" i="14" s="1"/>
  <c r="BC26" i="14" s="1"/>
  <c r="BI15" i="16"/>
  <c r="BJ15" i="16" s="1"/>
  <c r="BH15" i="16"/>
  <c r="P34" i="14"/>
  <c r="AT34" i="14" s="1"/>
  <c r="P20" i="14"/>
  <c r="AT20" i="14" s="1"/>
  <c r="BI45" i="14"/>
  <c r="BJ45" i="14" s="1"/>
  <c r="BH45" i="14"/>
  <c r="W28" i="12"/>
  <c r="AU28" i="12" s="1"/>
  <c r="BA28" i="12" s="1"/>
  <c r="AD14" i="16"/>
  <c r="AV14" i="16" s="1"/>
  <c r="BB14" i="16" s="1"/>
  <c r="AC51" i="16"/>
  <c r="AD11" i="16"/>
  <c r="AD34" i="16"/>
  <c r="AV34" i="16" s="1"/>
  <c r="BB34" i="16" s="1"/>
  <c r="AD30" i="12"/>
  <c r="AV30" i="12" s="1"/>
  <c r="BB30" i="12" s="1"/>
  <c r="AD23" i="12"/>
  <c r="AV23" i="12" s="1"/>
  <c r="BB23" i="12" s="1"/>
  <c r="AR24" i="14"/>
  <c r="AX24" i="14" s="1"/>
  <c r="BD24" i="14" s="1"/>
  <c r="P43" i="13"/>
  <c r="AT43" i="13" s="1"/>
  <c r="AR43" i="14"/>
  <c r="AX43" i="14" s="1"/>
  <c r="BD43" i="14" s="1"/>
  <c r="BH39" i="12"/>
  <c r="BI39" i="12"/>
  <c r="BJ39" i="12" s="1"/>
  <c r="AR16" i="14"/>
  <c r="AX16" i="14" s="1"/>
  <c r="BD16" i="14" s="1"/>
  <c r="P40" i="14"/>
  <c r="AT40" i="14" s="1"/>
  <c r="BH49" i="12"/>
  <c r="BI49" i="12"/>
  <c r="BJ49" i="12" s="1"/>
  <c r="W11" i="13"/>
  <c r="V51" i="13"/>
  <c r="W34" i="13"/>
  <c r="AU34" i="13" s="1"/>
  <c r="BA34" i="13" s="1"/>
  <c r="AK30" i="13"/>
  <c r="AW30" i="13" s="1"/>
  <c r="BC30" i="13" s="1"/>
  <c r="AK20" i="16"/>
  <c r="AW20" i="16" s="1"/>
  <c r="BC20" i="16" s="1"/>
  <c r="AR29" i="13"/>
  <c r="AX29" i="13" s="1"/>
  <c r="BD29" i="13" s="1"/>
  <c r="P30" i="16"/>
  <c r="AT30" i="16" s="1"/>
  <c r="AR39" i="14"/>
  <c r="AX39" i="14" s="1"/>
  <c r="BD39" i="14" s="1"/>
  <c r="BI14" i="14"/>
  <c r="BH14" i="14"/>
  <c r="BJ14" i="14"/>
  <c r="W32" i="12"/>
  <c r="AU32" i="12" s="1"/>
  <c r="BA32" i="12" s="1"/>
  <c r="AD15" i="13"/>
  <c r="AV15" i="13" s="1"/>
  <c r="BB15" i="13" s="1"/>
  <c r="AR21" i="16"/>
  <c r="AX21" i="16" s="1"/>
  <c r="BD21" i="16" s="1"/>
  <c r="AD33" i="15"/>
  <c r="AV33" i="15" s="1"/>
  <c r="BB33" i="15" s="1"/>
  <c r="W28" i="13"/>
  <c r="AU28" i="13" s="1"/>
  <c r="BA28" i="13" s="1"/>
  <c r="W12" i="12"/>
  <c r="AU12" i="12" s="1"/>
  <c r="BA12" i="12" s="1"/>
  <c r="P12" i="16"/>
  <c r="AT12" i="16" s="1"/>
  <c r="W32" i="14"/>
  <c r="AU32" i="14" s="1"/>
  <c r="BA32" i="14" s="1"/>
  <c r="W41" i="16"/>
  <c r="AU41" i="16" s="1"/>
  <c r="BA41" i="16" s="1"/>
  <c r="BI32" i="16"/>
  <c r="BJ32" i="16" s="1"/>
  <c r="BH32" i="16"/>
  <c r="AD40" i="15"/>
  <c r="AV40" i="15" s="1"/>
  <c r="BB40" i="15" s="1"/>
  <c r="AD21" i="12"/>
  <c r="AV21" i="12" s="1"/>
  <c r="BB21" i="12" s="1"/>
  <c r="BI14" i="15"/>
  <c r="BJ14" i="15" s="1"/>
  <c r="BH14" i="15"/>
  <c r="BH19" i="16"/>
  <c r="BI19" i="16"/>
  <c r="BJ19" i="16" s="1"/>
  <c r="BO19" i="16" s="1"/>
  <c r="AR16" i="12"/>
  <c r="AX16" i="12" s="1"/>
  <c r="BD16" i="12" s="1"/>
  <c r="P46" i="14"/>
  <c r="AT46" i="14" s="1"/>
  <c r="W27" i="16"/>
  <c r="AU27" i="16" s="1"/>
  <c r="BA27" i="16" s="1"/>
  <c r="BH20" i="13"/>
  <c r="BI20" i="13"/>
  <c r="BJ20" i="13" s="1"/>
  <c r="AK36" i="13"/>
  <c r="AW36" i="13" s="1"/>
  <c r="BC36" i="13" s="1"/>
  <c r="AD20" i="12"/>
  <c r="AV20" i="12" s="1"/>
  <c r="BB20" i="12" s="1"/>
  <c r="AK18" i="14"/>
  <c r="AW18" i="14" s="1"/>
  <c r="BC18" i="14" s="1"/>
  <c r="BJ19" i="13"/>
  <c r="BH19" i="13"/>
  <c r="BI19" i="13"/>
  <c r="W41" i="15"/>
  <c r="AU41" i="15" s="1"/>
  <c r="BA41" i="15" s="1"/>
  <c r="W16" i="15"/>
  <c r="AU16" i="15" s="1"/>
  <c r="BA16" i="15" s="1"/>
  <c r="AR42" i="13"/>
  <c r="AX42" i="13" s="1"/>
  <c r="BD42" i="13" s="1"/>
  <c r="AR38" i="16"/>
  <c r="AX38" i="16" s="1"/>
  <c r="BD38" i="16" s="1"/>
  <c r="W37" i="14"/>
  <c r="AU37" i="14" s="1"/>
  <c r="BA37" i="14" s="1"/>
  <c r="P36" i="14"/>
  <c r="AT36" i="14" s="1"/>
  <c r="AK49" i="15"/>
  <c r="AW49" i="15" s="1"/>
  <c r="BC49" i="15" s="1"/>
  <c r="P29" i="12"/>
  <c r="AT29" i="12" s="1"/>
  <c r="AR18" i="12"/>
  <c r="AX18" i="12" s="1"/>
  <c r="BD18" i="12" s="1"/>
  <c r="BI25" i="15"/>
  <c r="BJ25" i="15" s="1"/>
  <c r="BH25" i="15"/>
  <c r="AR34" i="14"/>
  <c r="AX34" i="14" s="1"/>
  <c r="BD34" i="14" s="1"/>
  <c r="P23" i="16"/>
  <c r="AT23" i="16" s="1"/>
  <c r="BH31" i="13"/>
  <c r="BI31" i="13"/>
  <c r="BJ31" i="13" s="1"/>
  <c r="BO31" i="13" s="1"/>
  <c r="W13" i="13"/>
  <c r="AU13" i="13" s="1"/>
  <c r="BA13" i="13" s="1"/>
  <c r="AR13" i="16"/>
  <c r="AX13" i="16" s="1"/>
  <c r="BD13" i="16" s="1"/>
  <c r="AD33" i="16"/>
  <c r="AV33" i="16" s="1"/>
  <c r="BB33" i="16" s="1"/>
  <c r="P27" i="13"/>
  <c r="AT27" i="13" s="1"/>
  <c r="P21" i="15"/>
  <c r="AT21" i="15" s="1"/>
  <c r="AD16" i="16"/>
  <c r="AV16" i="16" s="1"/>
  <c r="BB16" i="16" s="1"/>
  <c r="AK26" i="13"/>
  <c r="AW26" i="13" s="1"/>
  <c r="BC26" i="13" s="1"/>
  <c r="P39" i="15"/>
  <c r="AT39" i="15" s="1"/>
  <c r="W41" i="12"/>
  <c r="AU41" i="12" s="1"/>
  <c r="BA41" i="12" s="1"/>
  <c r="AD25" i="12"/>
  <c r="AV25" i="12" s="1"/>
  <c r="BB25" i="12" s="1"/>
  <c r="AR13" i="14"/>
  <c r="AX13" i="14" s="1"/>
  <c r="BD13" i="14" s="1"/>
  <c r="P26" i="14"/>
  <c r="AT26" i="14" s="1"/>
  <c r="W15" i="16"/>
  <c r="AU15" i="16" s="1"/>
  <c r="BA15" i="16" s="1"/>
  <c r="AR31" i="16"/>
  <c r="AX31" i="16" s="1"/>
  <c r="BD31" i="16" s="1"/>
  <c r="P11" i="14"/>
  <c r="AD20" i="14"/>
  <c r="AV20" i="14" s="1"/>
  <c r="BB20" i="14" s="1"/>
  <c r="AK45" i="14"/>
  <c r="AW45" i="14" s="1"/>
  <c r="BC45" i="14" s="1"/>
  <c r="BI50" i="16"/>
  <c r="BJ50" i="16" s="1"/>
  <c r="BO50" i="16" s="1"/>
  <c r="BH50" i="16"/>
  <c r="BH28" i="12"/>
  <c r="BI28" i="12"/>
  <c r="BJ28" i="12" s="1"/>
  <c r="BH14" i="16"/>
  <c r="BI14" i="16"/>
  <c r="BJ14" i="16" s="1"/>
  <c r="AR30" i="12"/>
  <c r="AX30" i="12" s="1"/>
  <c r="BD30" i="12" s="1"/>
  <c r="AR23" i="12"/>
  <c r="AX23" i="12" s="1"/>
  <c r="BD23" i="12" s="1"/>
  <c r="W24" i="14"/>
  <c r="AU24" i="14" s="1"/>
  <c r="BA24" i="14" s="1"/>
  <c r="AD43" i="13"/>
  <c r="AV43" i="13" s="1"/>
  <c r="BB43" i="13" s="1"/>
  <c r="AD43" i="14"/>
  <c r="AV43" i="14" s="1"/>
  <c r="BB43" i="14" s="1"/>
  <c r="AR39" i="16"/>
  <c r="AX39" i="16" s="1"/>
  <c r="BD39" i="16" s="1"/>
  <c r="BH28" i="16"/>
  <c r="BI28" i="16"/>
  <c r="BJ28" i="16" s="1"/>
  <c r="AK40" i="14"/>
  <c r="AW40" i="14" s="1"/>
  <c r="BC40" i="14" s="1"/>
  <c r="BH11" i="12"/>
  <c r="BI11" i="12"/>
  <c r="AR49" i="12"/>
  <c r="AX49" i="12" s="1"/>
  <c r="BD49" i="12" s="1"/>
  <c r="AJ51" i="13"/>
  <c r="AK11" i="13"/>
  <c r="AK34" i="13"/>
  <c r="AW34" i="13" s="1"/>
  <c r="BC34" i="13" s="1"/>
  <c r="BH20" i="16"/>
  <c r="BI20" i="16"/>
  <c r="BJ20" i="16" s="1"/>
  <c r="BP51" i="12"/>
  <c r="BQ11" i="12"/>
  <c r="BQ51" i="12" s="1"/>
  <c r="P50" i="13"/>
  <c r="AT50" i="13" s="1"/>
  <c r="AD30" i="16"/>
  <c r="AV30" i="16" s="1"/>
  <c r="BB30" i="16" s="1"/>
  <c r="AK14" i="14"/>
  <c r="AW14" i="14" s="1"/>
  <c r="BC14" i="14" s="1"/>
  <c r="AD32" i="12"/>
  <c r="AV32" i="12" s="1"/>
  <c r="BB32" i="12" s="1"/>
  <c r="AR15" i="13"/>
  <c r="AX15" i="13" s="1"/>
  <c r="BD15" i="13" s="1"/>
  <c r="P21" i="16"/>
  <c r="AT21" i="16" s="1"/>
  <c r="AR37" i="16"/>
  <c r="AX37" i="16" s="1"/>
  <c r="BD37" i="16" s="1"/>
  <c r="BI47" i="16"/>
  <c r="BJ47" i="16" s="1"/>
  <c r="BO47" i="16" s="1"/>
  <c r="BH47" i="16"/>
  <c r="AK28" i="13"/>
  <c r="AW28" i="13" s="1"/>
  <c r="BC28" i="13" s="1"/>
  <c r="AK31" i="12"/>
  <c r="AW31" i="12" s="1"/>
  <c r="BC31" i="12" s="1"/>
  <c r="AK12" i="16"/>
  <c r="AW12" i="16" s="1"/>
  <c r="BC12" i="16" s="1"/>
  <c r="AK32" i="14"/>
  <c r="AW32" i="14" s="1"/>
  <c r="BC32" i="14" s="1"/>
  <c r="P45" i="15"/>
  <c r="AT45" i="15" s="1"/>
  <c r="AD41" i="16"/>
  <c r="AV41" i="16" s="1"/>
  <c r="BB41" i="16" s="1"/>
  <c r="P32" i="16"/>
  <c r="AT32" i="16" s="1"/>
  <c r="AR21" i="12"/>
  <c r="AX21" i="12" s="1"/>
  <c r="BD21" i="12" s="1"/>
  <c r="AR14" i="15"/>
  <c r="AX14" i="15" s="1"/>
  <c r="BD14" i="15" s="1"/>
  <c r="P47" i="14"/>
  <c r="AT47" i="14" s="1"/>
  <c r="AR19" i="16"/>
  <c r="AX19" i="16" s="1"/>
  <c r="BD19" i="16" s="1"/>
  <c r="P16" i="12"/>
  <c r="AT16" i="12" s="1"/>
  <c r="AD46" i="14"/>
  <c r="AV46" i="14" s="1"/>
  <c r="BB46" i="14" s="1"/>
  <c r="AK27" i="16"/>
  <c r="AW27" i="16" s="1"/>
  <c r="BC27" i="16" s="1"/>
  <c r="AD20" i="13"/>
  <c r="AV20" i="13" s="1"/>
  <c r="BB20" i="13" s="1"/>
  <c r="BI26" i="15"/>
  <c r="BJ26" i="15" s="1"/>
  <c r="BH26" i="15"/>
  <c r="P24" i="16"/>
  <c r="AT24" i="16" s="1"/>
  <c r="W36" i="13"/>
  <c r="AU36" i="13" s="1"/>
  <c r="BA36" i="13" s="1"/>
  <c r="AR20" i="12"/>
  <c r="AX20" i="12" s="1"/>
  <c r="BD20" i="12" s="1"/>
  <c r="W19" i="13"/>
  <c r="AU19" i="13" s="1"/>
  <c r="BA19" i="13" s="1"/>
  <c r="AK41" i="15"/>
  <c r="AW41" i="15" s="1"/>
  <c r="BC41" i="15" s="1"/>
  <c r="P16" i="15"/>
  <c r="AT16" i="15" s="1"/>
  <c r="BI27" i="15"/>
  <c r="BJ27" i="15" s="1"/>
  <c r="BH27" i="15"/>
  <c r="P37" i="14"/>
  <c r="AT37" i="14" s="1"/>
  <c r="AD49" i="15"/>
  <c r="AV49" i="15" s="1"/>
  <c r="BB49" i="15" s="1"/>
  <c r="AD29" i="12"/>
  <c r="AV29" i="12" s="1"/>
  <c r="BB29" i="12" s="1"/>
  <c r="BI49" i="13"/>
  <c r="BJ49" i="13" s="1"/>
  <c r="BH49" i="13"/>
  <c r="P25" i="15"/>
  <c r="AT25" i="15" s="1"/>
  <c r="AR11" i="14"/>
  <c r="AD21" i="16"/>
  <c r="AV21" i="16" s="1"/>
  <c r="BB21" i="16" s="1"/>
  <c r="P37" i="16"/>
  <c r="AT37" i="16" s="1"/>
  <c r="P28" i="13"/>
  <c r="AT28" i="13" s="1"/>
  <c r="AR31" i="12"/>
  <c r="AX31" i="12" s="1"/>
  <c r="BD31" i="12" s="1"/>
  <c r="AK12" i="12"/>
  <c r="AW12" i="12" s="1"/>
  <c r="BC12" i="12" s="1"/>
  <c r="W12" i="16"/>
  <c r="AU12" i="16" s="1"/>
  <c r="BA12" i="16" s="1"/>
  <c r="BI38" i="15"/>
  <c r="BJ38" i="15" s="1"/>
  <c r="BH38" i="15"/>
  <c r="AR41" i="16"/>
  <c r="AX41" i="16" s="1"/>
  <c r="BD41" i="16" s="1"/>
  <c r="W32" i="16"/>
  <c r="AU32" i="16" s="1"/>
  <c r="BA32" i="16" s="1"/>
  <c r="BI48" i="12"/>
  <c r="BJ48" i="12" s="1"/>
  <c r="BH48" i="12"/>
  <c r="BI48" i="13"/>
  <c r="BJ48" i="13" s="1"/>
  <c r="BH48" i="13"/>
  <c r="AD14" i="15"/>
  <c r="AV14" i="15" s="1"/>
  <c r="BB14" i="15" s="1"/>
  <c r="W19" i="16"/>
  <c r="AU19" i="16" s="1"/>
  <c r="BA19" i="16" s="1"/>
  <c r="AD16" i="12"/>
  <c r="AV16" i="12" s="1"/>
  <c r="BB16" i="12" s="1"/>
  <c r="AD27" i="16"/>
  <c r="AV27" i="16" s="1"/>
  <c r="BB27" i="16" s="1"/>
  <c r="AR20" i="13"/>
  <c r="AX20" i="13" s="1"/>
  <c r="BD20" i="13" s="1"/>
  <c r="AK26" i="15"/>
  <c r="AW26" i="15" s="1"/>
  <c r="BC26" i="15" s="1"/>
  <c r="AD24" i="16"/>
  <c r="AV24" i="16" s="1"/>
  <c r="BB24" i="16" s="1"/>
  <c r="AR36" i="13"/>
  <c r="AX36" i="13" s="1"/>
  <c r="BD36" i="13" s="1"/>
  <c r="W20" i="12"/>
  <c r="AU20" i="12" s="1"/>
  <c r="BA20" i="12" s="1"/>
  <c r="BI48" i="15"/>
  <c r="BJ48" i="15" s="1"/>
  <c r="BH48" i="15"/>
  <c r="AD16" i="15"/>
  <c r="AV16" i="15" s="1"/>
  <c r="BB16" i="15" s="1"/>
  <c r="W38" i="16"/>
  <c r="AU38" i="16" s="1"/>
  <c r="BA38" i="16" s="1"/>
  <c r="AD37" i="14"/>
  <c r="AV37" i="14" s="1"/>
  <c r="BB37" i="14" s="1"/>
  <c r="BH31" i="14"/>
  <c r="BI31" i="14"/>
  <c r="BJ31" i="14" s="1"/>
  <c r="P49" i="15"/>
  <c r="AT49" i="15" s="1"/>
  <c r="AR29" i="12"/>
  <c r="AX29" i="12" s="1"/>
  <c r="BD29" i="12" s="1"/>
  <c r="AR49" i="13"/>
  <c r="AX49" i="13" s="1"/>
  <c r="BD49" i="13" s="1"/>
  <c r="W18" i="12"/>
  <c r="AU18" i="12" s="1"/>
  <c r="BA18" i="12" s="1"/>
  <c r="AD25" i="15"/>
  <c r="AV25" i="15" s="1"/>
  <c r="BB25" i="15" s="1"/>
  <c r="AD31" i="15"/>
  <c r="AV31" i="15" s="1"/>
  <c r="BB31" i="15" s="1"/>
  <c r="BP51" i="13"/>
  <c r="BQ11" i="13"/>
  <c r="BQ51" i="13" s="1"/>
  <c r="AK19" i="12"/>
  <c r="AW19" i="12" s="1"/>
  <c r="BC19" i="12" s="1"/>
  <c r="AR12" i="14"/>
  <c r="AX12" i="14" s="1"/>
  <c r="BD12" i="14" s="1"/>
  <c r="P41" i="13"/>
  <c r="AT41" i="13" s="1"/>
  <c r="AD33" i="12"/>
  <c r="AV33" i="12" s="1"/>
  <c r="BB33" i="12" s="1"/>
  <c r="P42" i="15"/>
  <c r="AT42" i="15" s="1"/>
  <c r="AR35" i="13"/>
  <c r="AX35" i="13" s="1"/>
  <c r="BD35" i="13" s="1"/>
  <c r="BH40" i="16"/>
  <c r="BI40" i="16"/>
  <c r="BJ40" i="16" s="1"/>
  <c r="BO40" i="16" s="1"/>
  <c r="AR37" i="13"/>
  <c r="AX37" i="13" s="1"/>
  <c r="BD37" i="13" s="1"/>
  <c r="P36" i="12"/>
  <c r="AT36" i="12" s="1"/>
  <c r="AK14" i="13"/>
  <c r="AW14" i="13" s="1"/>
  <c r="BC14" i="13" s="1"/>
  <c r="BI36" i="15"/>
  <c r="BJ36" i="15" s="1"/>
  <c r="BH36" i="15"/>
  <c r="BI18" i="16"/>
  <c r="BJ18" i="16" s="1"/>
  <c r="BO18" i="16" s="1"/>
  <c r="BH18" i="16"/>
  <c r="AK46" i="13"/>
  <c r="AW46" i="13" s="1"/>
  <c r="BC46" i="13" s="1"/>
  <c r="AK39" i="13"/>
  <c r="AW39" i="13" s="1"/>
  <c r="BC39" i="13" s="1"/>
  <c r="AQ51" i="15"/>
  <c r="AR11" i="15"/>
  <c r="AR34" i="15"/>
  <c r="AX34" i="15" s="1"/>
  <c r="BD34" i="15" s="1"/>
  <c r="BH23" i="14"/>
  <c r="BI23" i="14"/>
  <c r="BJ23" i="14" s="1"/>
  <c r="AD19" i="14"/>
  <c r="AV19" i="14" s="1"/>
  <c r="BB19" i="14" s="1"/>
  <c r="W27" i="14"/>
  <c r="AU27" i="14" s="1"/>
  <c r="BA27" i="14" s="1"/>
  <c r="AK35" i="14"/>
  <c r="AW35" i="14" s="1"/>
  <c r="BC35" i="14" s="1"/>
  <c r="AD44" i="16"/>
  <c r="AV44" i="16" s="1"/>
  <c r="BB44" i="16" s="1"/>
  <c r="AK22" i="14"/>
  <c r="AW22" i="14" s="1"/>
  <c r="BC22" i="14" s="1"/>
  <c r="BI49" i="16"/>
  <c r="BJ49" i="16" s="1"/>
  <c r="BH49" i="16"/>
  <c r="P13" i="12"/>
  <c r="AT13" i="12" s="1"/>
  <c r="AR23" i="16"/>
  <c r="AX23" i="16" s="1"/>
  <c r="BD23" i="16" s="1"/>
  <c r="P15" i="12"/>
  <c r="AT15" i="12" s="1"/>
  <c r="AR31" i="13"/>
  <c r="AX31" i="13" s="1"/>
  <c r="BD31" i="13" s="1"/>
  <c r="BI37" i="15"/>
  <c r="BJ37" i="15" s="1"/>
  <c r="BH37" i="15"/>
  <c r="AD13" i="16"/>
  <c r="AV13" i="16" s="1"/>
  <c r="BB13" i="16" s="1"/>
  <c r="AR41" i="14"/>
  <c r="AX41" i="14" s="1"/>
  <c r="BD41" i="14" s="1"/>
  <c r="P33" i="16"/>
  <c r="AT33" i="16" s="1"/>
  <c r="AK27" i="13"/>
  <c r="AW27" i="13" s="1"/>
  <c r="BC27" i="13" s="1"/>
  <c r="BH13" i="15"/>
  <c r="BI13" i="15"/>
  <c r="BJ13" i="15" s="1"/>
  <c r="AK21" i="15"/>
  <c r="AW21" i="15" s="1"/>
  <c r="BC21" i="15" s="1"/>
  <c r="BI24" i="13"/>
  <c r="BJ24" i="13" s="1"/>
  <c r="BH24" i="13"/>
  <c r="AR26" i="13"/>
  <c r="AX26" i="13" s="1"/>
  <c r="BD26" i="13" s="1"/>
  <c r="BI42" i="12"/>
  <c r="BJ42" i="12" s="1"/>
  <c r="BO42" i="12" s="1"/>
  <c r="BH42" i="12"/>
  <c r="P13" i="14"/>
  <c r="AT13" i="14" s="1"/>
  <c r="AK20" i="14"/>
  <c r="AW20" i="14" s="1"/>
  <c r="BC20" i="14" s="1"/>
  <c r="P45" i="14"/>
  <c r="AT45" i="14" s="1"/>
  <c r="P50" i="16"/>
  <c r="AT50" i="16" s="1"/>
  <c r="P15" i="14"/>
  <c r="AT15" i="14" s="1"/>
  <c r="AK28" i="12"/>
  <c r="AW28" i="12" s="1"/>
  <c r="BC28" i="12" s="1"/>
  <c r="AQ51" i="16"/>
  <c r="AR11" i="16"/>
  <c r="AR34" i="16"/>
  <c r="AX34" i="16" s="1"/>
  <c r="BD34" i="16" s="1"/>
  <c r="AK22" i="12"/>
  <c r="AW22" i="12" s="1"/>
  <c r="BC22" i="12" s="1"/>
  <c r="P23" i="12"/>
  <c r="AT23" i="12" s="1"/>
  <c r="BO30" i="15"/>
  <c r="P40" i="13"/>
  <c r="AT40" i="13" s="1"/>
  <c r="AK43" i="14"/>
  <c r="AW43" i="14" s="1"/>
  <c r="BC43" i="14" s="1"/>
  <c r="P39" i="12"/>
  <c r="AT39" i="12" s="1"/>
  <c r="AD28" i="16"/>
  <c r="AV28" i="16" s="1"/>
  <c r="BB28" i="16" s="1"/>
  <c r="O51" i="12"/>
  <c r="P11" i="12"/>
  <c r="P34" i="12"/>
  <c r="AT34" i="12" s="1"/>
  <c r="AK49" i="12"/>
  <c r="AW49" i="12" s="1"/>
  <c r="BC49" i="12" s="1"/>
  <c r="W43" i="15"/>
  <c r="AU43" i="15" s="1"/>
  <c r="BA43" i="15" s="1"/>
  <c r="AK38" i="14"/>
  <c r="AW38" i="14" s="1"/>
  <c r="BC38" i="14" s="1"/>
  <c r="BH32" i="13"/>
  <c r="BI32" i="13"/>
  <c r="BJ32" i="13" s="1"/>
  <c r="AR12" i="15"/>
  <c r="AX12" i="15" s="1"/>
  <c r="BD12" i="15" s="1"/>
  <c r="P14" i="14"/>
  <c r="AT14" i="14" s="1"/>
  <c r="AR21" i="13"/>
  <c r="AX21" i="13" s="1"/>
  <c r="BD21" i="13" s="1"/>
  <c r="P15" i="13"/>
  <c r="AT15" i="13" s="1"/>
  <c r="BH25" i="13"/>
  <c r="BI25" i="13"/>
  <c r="BJ25" i="13" s="1"/>
  <c r="W21" i="16"/>
  <c r="AU21" i="16" s="1"/>
  <c r="BA21" i="16" s="1"/>
  <c r="W37" i="16"/>
  <c r="AU37" i="16" s="1"/>
  <c r="BA37" i="16" s="1"/>
  <c r="W47" i="16"/>
  <c r="AU47" i="16" s="1"/>
  <c r="BA47" i="16" s="1"/>
  <c r="W31" i="12"/>
  <c r="AU31" i="12" s="1"/>
  <c r="BA31" i="12" s="1"/>
  <c r="AR12" i="12"/>
  <c r="AX12" i="12" s="1"/>
  <c r="BD12" i="12" s="1"/>
  <c r="AD12" i="16"/>
  <c r="AV12" i="16" s="1"/>
  <c r="BB12" i="16" s="1"/>
  <c r="AR32" i="14"/>
  <c r="AX32" i="14" s="1"/>
  <c r="BD32" i="14" s="1"/>
  <c r="AK38" i="15"/>
  <c r="AW38" i="15" s="1"/>
  <c r="BC38" i="15" s="1"/>
  <c r="AK41" i="16"/>
  <c r="AW41" i="16" s="1"/>
  <c r="BC41" i="16" s="1"/>
  <c r="AK32" i="16"/>
  <c r="AW32" i="16" s="1"/>
  <c r="BC32" i="16" s="1"/>
  <c r="P48" i="12"/>
  <c r="AT48" i="12" s="1"/>
  <c r="W48" i="13"/>
  <c r="AU48" i="13" s="1"/>
  <c r="BA48" i="13" s="1"/>
  <c r="AK19" i="16"/>
  <c r="AW19" i="16" s="1"/>
  <c r="BC19" i="16" s="1"/>
  <c r="BI16" i="12"/>
  <c r="BJ16" i="12" s="1"/>
  <c r="BH16" i="12"/>
  <c r="BH46" i="12"/>
  <c r="BI46" i="12"/>
  <c r="BJ46" i="12" s="1"/>
  <c r="P20" i="13"/>
  <c r="AT20" i="13" s="1"/>
  <c r="W26" i="15"/>
  <c r="AU26" i="15" s="1"/>
  <c r="BA26" i="15" s="1"/>
  <c r="BH44" i="14"/>
  <c r="BI44" i="14"/>
  <c r="BJ44" i="14" s="1"/>
  <c r="BI20" i="15"/>
  <c r="BJ20" i="15" s="1"/>
  <c r="BH20" i="15"/>
  <c r="P19" i="13"/>
  <c r="AT19" i="13" s="1"/>
  <c r="AD48" i="15"/>
  <c r="AV48" i="15" s="1"/>
  <c r="BB48" i="15" s="1"/>
  <c r="AR27" i="15"/>
  <c r="AX27" i="15" s="1"/>
  <c r="BD27" i="15" s="1"/>
  <c r="P38" i="16"/>
  <c r="AT38" i="16" s="1"/>
  <c r="AR37" i="14"/>
  <c r="AX37" i="14" s="1"/>
  <c r="BD37" i="14" s="1"/>
  <c r="AR49" i="15"/>
  <c r="AX49" i="15" s="1"/>
  <c r="BD49" i="15" s="1"/>
  <c r="AK29" i="12"/>
  <c r="AW29" i="12" s="1"/>
  <c r="BC29" i="12" s="1"/>
  <c r="W49" i="13"/>
  <c r="AU49" i="13" s="1"/>
  <c r="BA49" i="13" s="1"/>
  <c r="AD18" i="12"/>
  <c r="AV18" i="12" s="1"/>
  <c r="BB18" i="12" s="1"/>
  <c r="W25" i="15"/>
  <c r="AU25" i="15" s="1"/>
  <c r="BA25" i="15" s="1"/>
  <c r="AR36" i="16"/>
  <c r="AX36" i="16" s="1"/>
  <c r="BD36" i="16" s="1"/>
  <c r="BI36" i="12"/>
  <c r="BJ36" i="12" s="1"/>
  <c r="BH36" i="12"/>
  <c r="AR14" i="13"/>
  <c r="AX14" i="13" s="1"/>
  <c r="BD14" i="13" s="1"/>
  <c r="AR36" i="15"/>
  <c r="AX36" i="15" s="1"/>
  <c r="BD36" i="15" s="1"/>
  <c r="AR18" i="16"/>
  <c r="AX18" i="16" s="1"/>
  <c r="BD18" i="16" s="1"/>
  <c r="BO50" i="14"/>
  <c r="P22" i="13"/>
  <c r="AT22" i="13" s="1"/>
  <c r="AD46" i="13"/>
  <c r="AV46" i="13" s="1"/>
  <c r="BB46" i="13" s="1"/>
  <c r="BI33" i="14"/>
  <c r="BJ33" i="14" s="1"/>
  <c r="BH33" i="14"/>
  <c r="O51" i="15"/>
  <c r="P11" i="15"/>
  <c r="P34" i="15"/>
  <c r="AT34" i="15" s="1"/>
  <c r="W23" i="14"/>
  <c r="AU23" i="14" s="1"/>
  <c r="BA23" i="14" s="1"/>
  <c r="W19" i="14"/>
  <c r="AU19" i="14" s="1"/>
  <c r="BA19" i="14" s="1"/>
  <c r="W44" i="16"/>
  <c r="AU44" i="16" s="1"/>
  <c r="BA44" i="16" s="1"/>
  <c r="W22" i="14"/>
  <c r="AU22" i="14" s="1"/>
  <c r="BA22" i="14" s="1"/>
  <c r="AD49" i="16"/>
  <c r="AV49" i="16" s="1"/>
  <c r="BB49" i="16" s="1"/>
  <c r="AK45" i="16"/>
  <c r="AW45" i="16" s="1"/>
  <c r="BC45" i="16" s="1"/>
  <c r="AR13" i="12"/>
  <c r="AX13" i="12" s="1"/>
  <c r="BD13" i="12" s="1"/>
  <c r="BH33" i="13"/>
  <c r="BI33" i="13"/>
  <c r="BJ33" i="13" s="1"/>
  <c r="P31" i="13"/>
  <c r="AT31" i="13" s="1"/>
  <c r="AR13" i="13"/>
  <c r="AX13" i="13" s="1"/>
  <c r="BD13" i="13" s="1"/>
  <c r="AD41" i="14"/>
  <c r="AV41" i="14" s="1"/>
  <c r="BB41" i="14" s="1"/>
  <c r="BI43" i="12"/>
  <c r="BJ43" i="12" s="1"/>
  <c r="BH43" i="12"/>
  <c r="P13" i="15"/>
  <c r="AT13" i="15" s="1"/>
  <c r="AR24" i="13"/>
  <c r="AX24" i="13" s="1"/>
  <c r="BD24" i="13" s="1"/>
  <c r="W26" i="13"/>
  <c r="AU26" i="13" s="1"/>
  <c r="BA26" i="13" s="1"/>
  <c r="W42" i="12"/>
  <c r="AU42" i="12" s="1"/>
  <c r="BA42" i="12" s="1"/>
  <c r="P41" i="12"/>
  <c r="AT41" i="12" s="1"/>
  <c r="AK25" i="12"/>
  <c r="AW25" i="12" s="1"/>
  <c r="BC25" i="12" s="1"/>
  <c r="AD13" i="14"/>
  <c r="AV13" i="14" s="1"/>
  <c r="BB13" i="14" s="1"/>
  <c r="P15" i="16"/>
  <c r="AT15" i="16" s="1"/>
  <c r="BI37" i="12"/>
  <c r="BJ37" i="12" s="1"/>
  <c r="BH37" i="12"/>
  <c r="BP51" i="16"/>
  <c r="BQ11" i="16"/>
  <c r="BQ51" i="16" s="1"/>
  <c r="AD50" i="16"/>
  <c r="AV50" i="16" s="1"/>
  <c r="BB50" i="16" s="1"/>
  <c r="AR15" i="14"/>
  <c r="AX15" i="14" s="1"/>
  <c r="BD15" i="14" s="1"/>
  <c r="W14" i="16"/>
  <c r="AU14" i="16" s="1"/>
  <c r="BA14" i="16" s="1"/>
  <c r="V51" i="16"/>
  <c r="W11" i="16"/>
  <c r="BI29" i="14"/>
  <c r="BJ29" i="14" s="1"/>
  <c r="BH29" i="14"/>
  <c r="W23" i="12"/>
  <c r="AU23" i="12" s="1"/>
  <c r="BA23" i="12" s="1"/>
  <c r="P18" i="13"/>
  <c r="AT18" i="13" s="1"/>
  <c r="AK39" i="12"/>
  <c r="AW39" i="12" s="1"/>
  <c r="BC39" i="12" s="1"/>
  <c r="AR28" i="16"/>
  <c r="AX28" i="16" s="1"/>
  <c r="BD28" i="16" s="1"/>
  <c r="BI50" i="12"/>
  <c r="BJ50" i="12" s="1"/>
  <c r="BH50" i="12"/>
  <c r="AC51" i="12"/>
  <c r="AD11" i="12"/>
  <c r="AD34" i="12"/>
  <c r="AV34" i="12" s="1"/>
  <c r="BB34" i="12" s="1"/>
  <c r="AK43" i="15"/>
  <c r="AW43" i="15" s="1"/>
  <c r="BC43" i="15" s="1"/>
  <c r="P20" i="16"/>
  <c r="AT20" i="16" s="1"/>
  <c r="AD12" i="15"/>
  <c r="AV12" i="15" s="1"/>
  <c r="BB12" i="15" s="1"/>
  <c r="AR14" i="14"/>
  <c r="AX14" i="14" s="1"/>
  <c r="BD14" i="14" s="1"/>
  <c r="AD21" i="13"/>
  <c r="AV21" i="13" s="1"/>
  <c r="BB21" i="13" s="1"/>
  <c r="BH15" i="15"/>
  <c r="BI15" i="15"/>
  <c r="BJ15" i="15" s="1"/>
  <c r="AR25" i="13"/>
  <c r="AX25" i="13" s="1"/>
  <c r="BD25" i="13" s="1"/>
  <c r="AK21" i="16"/>
  <c r="AW21" i="16" s="1"/>
  <c r="BC21" i="16" s="1"/>
  <c r="AK37" i="16"/>
  <c r="AW37" i="16" s="1"/>
  <c r="BC37" i="16" s="1"/>
  <c r="P47" i="16"/>
  <c r="AT47" i="16" s="1"/>
  <c r="BH38" i="13"/>
  <c r="BI38" i="13"/>
  <c r="BJ38" i="13" s="1"/>
  <c r="AR12" i="16"/>
  <c r="AX12" i="16" s="1"/>
  <c r="BD12" i="16" s="1"/>
  <c r="W38" i="15"/>
  <c r="AU38" i="15" s="1"/>
  <c r="BA38" i="15" s="1"/>
  <c r="BI30" i="14"/>
  <c r="BJ30" i="14" s="1"/>
  <c r="BH30" i="14"/>
  <c r="AD48" i="12"/>
  <c r="AV48" i="12" s="1"/>
  <c r="BB48" i="12" s="1"/>
  <c r="W14" i="15"/>
  <c r="AU14" i="15" s="1"/>
  <c r="BA14" i="15" s="1"/>
  <c r="AD19" i="16"/>
  <c r="AV19" i="16" s="1"/>
  <c r="BB19" i="16" s="1"/>
  <c r="W16" i="12"/>
  <c r="AU16" i="12" s="1"/>
  <c r="BA16" i="12" s="1"/>
  <c r="P27" i="16"/>
  <c r="AT27" i="16" s="1"/>
  <c r="AK20" i="13"/>
  <c r="AW20" i="13" s="1"/>
  <c r="BC20" i="13" s="1"/>
  <c r="AK44" i="14"/>
  <c r="AW44" i="14" s="1"/>
  <c r="BC44" i="14" s="1"/>
  <c r="AD20" i="15"/>
  <c r="AV20" i="15" s="1"/>
  <c r="BB20" i="15" s="1"/>
  <c r="AK20" i="12"/>
  <c r="AW20" i="12" s="1"/>
  <c r="BC20" i="12" s="1"/>
  <c r="AR19" i="13"/>
  <c r="AX19" i="13" s="1"/>
  <c r="BD19" i="13" s="1"/>
  <c r="P48" i="15"/>
  <c r="AT48" i="15" s="1"/>
  <c r="AK16" i="15"/>
  <c r="AW16" i="15" s="1"/>
  <c r="BC16" i="15" s="1"/>
  <c r="W27" i="15"/>
  <c r="AU27" i="15" s="1"/>
  <c r="BA27" i="15" s="1"/>
  <c r="AK37" i="14"/>
  <c r="AW37" i="14" s="1"/>
  <c r="BC37" i="14" s="1"/>
  <c r="AK31" i="14"/>
  <c r="AW31" i="14" s="1"/>
  <c r="BC31" i="14" s="1"/>
  <c r="BI43" i="16"/>
  <c r="BJ43" i="16" s="1"/>
  <c r="BH43" i="16"/>
  <c r="W29" i="12"/>
  <c r="AU29" i="12" s="1"/>
  <c r="BA29" i="12" s="1"/>
  <c r="AK49" i="13"/>
  <c r="AW49" i="13" s="1"/>
  <c r="BC49" i="13" s="1"/>
  <c r="AK18" i="12"/>
  <c r="AW18" i="12" s="1"/>
  <c r="BC18" i="12" s="1"/>
  <c r="AR36" i="14"/>
  <c r="AX36" i="14" s="1"/>
  <c r="BD36" i="14" s="1"/>
  <c r="AR18" i="15"/>
  <c r="AX18" i="15" s="1"/>
  <c r="BD18" i="15" s="1"/>
  <c r="W37" i="15"/>
  <c r="AU37" i="15" s="1"/>
  <c r="BA37" i="15" s="1"/>
  <c r="AK13" i="16"/>
  <c r="AW13" i="16" s="1"/>
  <c r="BC13" i="16" s="1"/>
  <c r="W41" i="14"/>
  <c r="AU41" i="14" s="1"/>
  <c r="BA41" i="14" s="1"/>
  <c r="W43" i="12"/>
  <c r="AU43" i="12" s="1"/>
  <c r="BA43" i="12" s="1"/>
  <c r="AD27" i="13"/>
  <c r="AV27" i="13" s="1"/>
  <c r="BB27" i="13" s="1"/>
  <c r="AD13" i="15"/>
  <c r="AV13" i="15" s="1"/>
  <c r="BB13" i="15" s="1"/>
  <c r="AD21" i="15"/>
  <c r="AV21" i="15" s="1"/>
  <c r="BB21" i="15" s="1"/>
  <c r="P24" i="13"/>
  <c r="AT24" i="13" s="1"/>
  <c r="AD14" i="12"/>
  <c r="AV14" i="12" s="1"/>
  <c r="BB14" i="12" s="1"/>
  <c r="AR42" i="12"/>
  <c r="AX42" i="12" s="1"/>
  <c r="BD42" i="12" s="1"/>
  <c r="BI19" i="15"/>
  <c r="BJ19" i="15" s="1"/>
  <c r="BH19" i="15"/>
  <c r="AR25" i="12"/>
  <c r="AX25" i="12" s="1"/>
  <c r="BD25" i="12" s="1"/>
  <c r="BI44" i="15"/>
  <c r="BJ44" i="15" s="1"/>
  <c r="BH44" i="15"/>
  <c r="AD15" i="16"/>
  <c r="AV15" i="16" s="1"/>
  <c r="BB15" i="16" s="1"/>
  <c r="P37" i="12"/>
  <c r="AT37" i="12" s="1"/>
  <c r="BI42" i="14"/>
  <c r="BJ42" i="14" s="1"/>
  <c r="BH42" i="14"/>
  <c r="BI29" i="15"/>
  <c r="BJ29" i="15" s="1"/>
  <c r="BO29" i="15" s="1"/>
  <c r="BH29" i="15"/>
  <c r="AD45" i="14"/>
  <c r="AV45" i="14" s="1"/>
  <c r="BB45" i="14" s="1"/>
  <c r="W50" i="16"/>
  <c r="AU50" i="16" s="1"/>
  <c r="BA50" i="16" s="1"/>
  <c r="AD15" i="14"/>
  <c r="AV15" i="14" s="1"/>
  <c r="BB15" i="14" s="1"/>
  <c r="BI23" i="15"/>
  <c r="BJ23" i="15" s="1"/>
  <c r="BH23" i="15"/>
  <c r="AJ51" i="16"/>
  <c r="AK11" i="16"/>
  <c r="AK34" i="16"/>
  <c r="AW34" i="16" s="1"/>
  <c r="BC34" i="16" s="1"/>
  <c r="AD29" i="14"/>
  <c r="AV29" i="14" s="1"/>
  <c r="BB29" i="14" s="1"/>
  <c r="AR40" i="13"/>
  <c r="AX40" i="13" s="1"/>
  <c r="BD40" i="13" s="1"/>
  <c r="BH46" i="16"/>
  <c r="BI46" i="16"/>
  <c r="BJ46" i="16" s="1"/>
  <c r="AR39" i="12"/>
  <c r="AX39" i="12" s="1"/>
  <c r="BD39" i="12" s="1"/>
  <c r="W28" i="16"/>
  <c r="AU28" i="16" s="1"/>
  <c r="BA28" i="16" s="1"/>
  <c r="AK50" i="12"/>
  <c r="AW50" i="12" s="1"/>
  <c r="BC50" i="12" s="1"/>
  <c r="AR11" i="12"/>
  <c r="AQ51" i="12"/>
  <c r="AR34" i="12"/>
  <c r="AX34" i="12" s="1"/>
  <c r="BD34" i="12" s="1"/>
  <c r="P49" i="12"/>
  <c r="AT49" i="12" s="1"/>
  <c r="BH32" i="15"/>
  <c r="BI32" i="15"/>
  <c r="BJ32" i="15" s="1"/>
  <c r="AR38" i="14"/>
  <c r="AX38" i="14" s="1"/>
  <c r="BD38" i="14" s="1"/>
  <c r="P35" i="12"/>
  <c r="AT35" i="12" s="1"/>
  <c r="AD32" i="13"/>
  <c r="AV32" i="13" s="1"/>
  <c r="BB32" i="13" s="1"/>
  <c r="AK12" i="15"/>
  <c r="AW12" i="15" s="1"/>
  <c r="BC12" i="15" s="1"/>
  <c r="P21" i="13"/>
  <c r="AT21" i="13" s="1"/>
  <c r="AK35" i="12"/>
  <c r="AW35" i="12" s="1"/>
  <c r="BC35" i="12" s="1"/>
  <c r="AK15" i="15"/>
  <c r="AW15" i="15" s="1"/>
  <c r="BC15" i="15" s="1"/>
  <c r="AD25" i="13"/>
  <c r="AV25" i="13" s="1"/>
  <c r="BB25" i="13" s="1"/>
  <c r="AD37" i="16"/>
  <c r="AV37" i="16" s="1"/>
  <c r="BB37" i="16" s="1"/>
  <c r="AD47" i="16"/>
  <c r="AV47" i="16" s="1"/>
  <c r="BB47" i="16" s="1"/>
  <c r="AD38" i="13"/>
  <c r="AV38" i="13" s="1"/>
  <c r="BB38" i="13" s="1"/>
  <c r="P38" i="15"/>
  <c r="AT38" i="15" s="1"/>
  <c r="W30" i="14"/>
  <c r="AU30" i="14" s="1"/>
  <c r="BA30" i="14" s="1"/>
  <c r="BJ50" i="15"/>
  <c r="BO50" i="15" s="1"/>
  <c r="BI50" i="15"/>
  <c r="BH50" i="15"/>
  <c r="AR32" i="16"/>
  <c r="AX32" i="16" s="1"/>
  <c r="BD32" i="16" s="1"/>
  <c r="AR48" i="12"/>
  <c r="AX48" i="12" s="1"/>
  <c r="BD48" i="12" s="1"/>
  <c r="AK48" i="13"/>
  <c r="AW48" i="13" s="1"/>
  <c r="BC48" i="13" s="1"/>
  <c r="AK14" i="15"/>
  <c r="AW14" i="15" s="1"/>
  <c r="BC14" i="15" s="1"/>
  <c r="BI25" i="16"/>
  <c r="BJ25" i="16" s="1"/>
  <c r="BH25" i="16"/>
  <c r="BI24" i="12"/>
  <c r="BJ24" i="12" s="1"/>
  <c r="BH24" i="12"/>
  <c r="AK16" i="12"/>
  <c r="AW16" i="12" s="1"/>
  <c r="BC16" i="12" s="1"/>
  <c r="AK46" i="12"/>
  <c r="AW46" i="12" s="1"/>
  <c r="BC46" i="12" s="1"/>
  <c r="BI44" i="13"/>
  <c r="BJ44" i="13" s="1"/>
  <c r="BH44" i="13"/>
  <c r="P26" i="15"/>
  <c r="AT26" i="15" s="1"/>
  <c r="W20" i="15"/>
  <c r="AU20" i="15" s="1"/>
  <c r="BA20" i="15" s="1"/>
  <c r="P20" i="12"/>
  <c r="AT20" i="12" s="1"/>
  <c r="BI28" i="15"/>
  <c r="BJ28" i="15" s="1"/>
  <c r="BO28" i="15" s="1"/>
  <c r="BH28" i="15"/>
  <c r="AD19" i="13"/>
  <c r="AV19" i="13" s="1"/>
  <c r="BB19" i="13" s="1"/>
  <c r="AR48" i="15"/>
  <c r="AX48" i="15" s="1"/>
  <c r="BD48" i="15" s="1"/>
  <c r="AR16" i="15"/>
  <c r="AX16" i="15" s="1"/>
  <c r="BD16" i="15" s="1"/>
  <c r="AK27" i="15"/>
  <c r="AW27" i="15" s="1"/>
  <c r="BC27" i="15" s="1"/>
  <c r="BI12" i="13"/>
  <c r="BJ12" i="13" s="1"/>
  <c r="BO12" i="13" s="1"/>
  <c r="BH12" i="13"/>
  <c r="P31" i="14"/>
  <c r="AT31" i="14" s="1"/>
  <c r="W43" i="16"/>
  <c r="AU43" i="16" s="1"/>
  <c r="BA43" i="16" s="1"/>
  <c r="AK25" i="15"/>
  <c r="AW25" i="15" s="1"/>
  <c r="BC25" i="15" s="1"/>
  <c r="AR30" i="15"/>
  <c r="AX30" i="15" s="1"/>
  <c r="BD30" i="15" s="1"/>
  <c r="AK27" i="12"/>
  <c r="AW27" i="12" s="1"/>
  <c r="BC27" i="12" s="1"/>
  <c r="BI22" i="15"/>
  <c r="BJ22" i="15" s="1"/>
  <c r="BH22" i="15"/>
  <c r="AK22" i="16"/>
  <c r="AW22" i="16" s="1"/>
  <c r="BC22" i="16" s="1"/>
  <c r="P23" i="13"/>
  <c r="AT23" i="13" s="1"/>
  <c r="AK21" i="14"/>
  <c r="AW21" i="14" s="1"/>
  <c r="BC21" i="14" s="1"/>
  <c r="P12" i="14"/>
  <c r="AT12" i="14" s="1"/>
  <c r="P47" i="12"/>
  <c r="AT47" i="12" s="1"/>
  <c r="BI28" i="14"/>
  <c r="BJ28" i="14" s="1"/>
  <c r="BH28" i="14"/>
  <c r="AK47" i="13"/>
  <c r="AW47" i="13" s="1"/>
  <c r="BC47" i="13" s="1"/>
  <c r="P33" i="12"/>
  <c r="AT33" i="12" s="1"/>
  <c r="AK42" i="15"/>
  <c r="AW42" i="15" s="1"/>
  <c r="BC42" i="15" s="1"/>
  <c r="AK35" i="13"/>
  <c r="AW35" i="13" s="1"/>
  <c r="BC35" i="13" s="1"/>
  <c r="AR40" i="16"/>
  <c r="AX40" i="16" s="1"/>
  <c r="BD40" i="16" s="1"/>
  <c r="P44" i="12"/>
  <c r="AT44" i="12" s="1"/>
  <c r="AD45" i="12"/>
  <c r="AV45" i="12" s="1"/>
  <c r="BB45" i="12" s="1"/>
  <c r="AK36" i="12"/>
  <c r="AW36" i="12" s="1"/>
  <c r="BC36" i="12" s="1"/>
  <c r="AD14" i="13"/>
  <c r="AV14" i="13" s="1"/>
  <c r="BB14" i="13" s="1"/>
  <c r="AK36" i="15"/>
  <c r="AW36" i="15" s="1"/>
  <c r="BC36" i="15" s="1"/>
  <c r="BI29" i="16"/>
  <c r="BJ29" i="16" s="1"/>
  <c r="BH29" i="16"/>
  <c r="AD22" i="13"/>
  <c r="AV22" i="13" s="1"/>
  <c r="BB22" i="13" s="1"/>
  <c r="AR46" i="13"/>
  <c r="AX46" i="13" s="1"/>
  <c r="BD46" i="13" s="1"/>
  <c r="AK33" i="14"/>
  <c r="AW33" i="14" s="1"/>
  <c r="BC33" i="14" s="1"/>
  <c r="AD23" i="14"/>
  <c r="AV23" i="14" s="1"/>
  <c r="BB23" i="14" s="1"/>
  <c r="W46" i="15"/>
  <c r="AU46" i="15" s="1"/>
  <c r="BA46" i="15" s="1"/>
  <c r="P27" i="14"/>
  <c r="AT27" i="14" s="1"/>
  <c r="AD22" i="14"/>
  <c r="AV22" i="14" s="1"/>
  <c r="BB22" i="14" s="1"/>
  <c r="AR49" i="16"/>
  <c r="AX49" i="16" s="1"/>
  <c r="BD49" i="16" s="1"/>
  <c r="BI35" i="15"/>
  <c r="BJ35" i="15" s="1"/>
  <c r="BH35" i="15"/>
  <c r="P33" i="13"/>
  <c r="AT33" i="13" s="1"/>
  <c r="P40" i="12"/>
  <c r="AT40" i="12" s="1"/>
  <c r="BH48" i="14"/>
  <c r="BI48" i="14"/>
  <c r="BJ48" i="14" s="1"/>
  <c r="BO48" i="14" s="1"/>
  <c r="W31" i="13"/>
  <c r="AU31" i="13" s="1"/>
  <c r="BA31" i="13" s="1"/>
  <c r="AK37" i="15"/>
  <c r="AW37" i="15" s="1"/>
  <c r="BC37" i="15" s="1"/>
  <c r="AK41" i="14"/>
  <c r="AW41" i="14" s="1"/>
  <c r="BC41" i="14" s="1"/>
  <c r="AR43" i="12"/>
  <c r="AX43" i="12" s="1"/>
  <c r="BD43" i="12" s="1"/>
  <c r="AR13" i="15"/>
  <c r="AX13" i="15" s="1"/>
  <c r="BD13" i="15" s="1"/>
  <c r="AK16" i="13"/>
  <c r="AW16" i="13" s="1"/>
  <c r="BC16" i="13" s="1"/>
  <c r="AD24" i="13"/>
  <c r="AV24" i="13" s="1"/>
  <c r="BB24" i="13" s="1"/>
  <c r="BI14" i="12"/>
  <c r="BJ14" i="12" s="1"/>
  <c r="BH14" i="12"/>
  <c r="AK42" i="12"/>
  <c r="AW42" i="12" s="1"/>
  <c r="BC42" i="12" s="1"/>
  <c r="P19" i="15"/>
  <c r="AT19" i="15" s="1"/>
  <c r="W25" i="12"/>
  <c r="AU25" i="12" s="1"/>
  <c r="BA25" i="12" s="1"/>
  <c r="W13" i="14"/>
  <c r="AU13" i="14" s="1"/>
  <c r="BA13" i="14" s="1"/>
  <c r="AK44" i="15"/>
  <c r="AW44" i="15" s="1"/>
  <c r="BC44" i="15" s="1"/>
  <c r="AR15" i="16"/>
  <c r="AX15" i="16" s="1"/>
  <c r="BD15" i="16" s="1"/>
  <c r="AD37" i="12"/>
  <c r="AV37" i="12" s="1"/>
  <c r="BB37" i="12" s="1"/>
  <c r="AR42" i="14"/>
  <c r="AX42" i="14" s="1"/>
  <c r="BD42" i="14" s="1"/>
  <c r="P29" i="15"/>
  <c r="AT29" i="15" s="1"/>
  <c r="AR45" i="14"/>
  <c r="AX45" i="14" s="1"/>
  <c r="BD45" i="14" s="1"/>
  <c r="W23" i="15"/>
  <c r="AU23" i="15" s="1"/>
  <c r="BA23" i="15" s="1"/>
  <c r="O51" i="16"/>
  <c r="P11" i="16"/>
  <c r="P34" i="16"/>
  <c r="AT34" i="16" s="1"/>
  <c r="AR29" i="14"/>
  <c r="AX29" i="14" s="1"/>
  <c r="BD29" i="14" s="1"/>
  <c r="P38" i="12"/>
  <c r="AT38" i="12" s="1"/>
  <c r="AK40" i="13"/>
  <c r="AW40" i="13" s="1"/>
  <c r="BC40" i="13" s="1"/>
  <c r="AR46" i="16"/>
  <c r="AX46" i="16" s="1"/>
  <c r="BD46" i="16" s="1"/>
  <c r="W39" i="12"/>
  <c r="AU39" i="12" s="1"/>
  <c r="BA39" i="12" s="1"/>
  <c r="BI16" i="14"/>
  <c r="BJ16" i="14" s="1"/>
  <c r="BH16" i="14"/>
  <c r="W50" i="12"/>
  <c r="AU50" i="12" s="1"/>
  <c r="BA50" i="12" s="1"/>
  <c r="W49" i="12"/>
  <c r="AU49" i="12" s="1"/>
  <c r="BA49" i="12" s="1"/>
  <c r="P43" i="15"/>
  <c r="AT43" i="15" s="1"/>
  <c r="W32" i="15"/>
  <c r="AU32" i="15" s="1"/>
  <c r="BA32" i="15" s="1"/>
  <c r="P38" i="14"/>
  <c r="AT38" i="14" s="1"/>
  <c r="W42" i="16"/>
  <c r="AU42" i="16" s="1"/>
  <c r="BA42" i="16" s="1"/>
  <c r="P32" i="13"/>
  <c r="AT32" i="13" s="1"/>
  <c r="BI39" i="14"/>
  <c r="BJ39" i="14" s="1"/>
  <c r="BH39" i="14"/>
  <c r="W12" i="15"/>
  <c r="AU12" i="15" s="1"/>
  <c r="BA12" i="15" s="1"/>
  <c r="W14" i="14"/>
  <c r="AU14" i="14" s="1"/>
  <c r="BA14" i="14" s="1"/>
  <c r="W21" i="13"/>
  <c r="AU21" i="13" s="1"/>
  <c r="BA21" i="13" s="1"/>
  <c r="AD15" i="15"/>
  <c r="AV15" i="15" s="1"/>
  <c r="BB15" i="15" s="1"/>
  <c r="P25" i="13"/>
  <c r="AT25" i="13" s="1"/>
  <c r="BH33" i="15"/>
  <c r="BI33" i="15"/>
  <c r="BJ33" i="15" s="1"/>
  <c r="AR47" i="16"/>
  <c r="AX47" i="16" s="1"/>
  <c r="BD47" i="16" s="1"/>
  <c r="AR38" i="13"/>
  <c r="AX38" i="13" s="1"/>
  <c r="BD38" i="13" s="1"/>
  <c r="BJ11" i="14"/>
  <c r="P50" i="15"/>
  <c r="AT50" i="15" s="1"/>
  <c r="AD32" i="16"/>
  <c r="AV32" i="16" s="1"/>
  <c r="BB32" i="16" s="1"/>
  <c r="W48" i="12"/>
  <c r="AU48" i="12" s="1"/>
  <c r="BA48" i="12" s="1"/>
  <c r="P48" i="13"/>
  <c r="AT48" i="13" s="1"/>
  <c r="P25" i="16"/>
  <c r="AT25" i="16" s="1"/>
  <c r="W24" i="12"/>
  <c r="AU24" i="12" s="1"/>
  <c r="BA24" i="12" s="1"/>
  <c r="W46" i="12"/>
  <c r="AU46" i="12" s="1"/>
  <c r="BA46" i="12" s="1"/>
  <c r="W44" i="13"/>
  <c r="AU44" i="13" s="1"/>
  <c r="BA44" i="13" s="1"/>
  <c r="W20" i="13"/>
  <c r="AU20" i="13" s="1"/>
  <c r="BA20" i="13" s="1"/>
  <c r="AD26" i="15"/>
  <c r="AV26" i="15" s="1"/>
  <c r="BB26" i="15" s="1"/>
  <c r="P44" i="14"/>
  <c r="AT44" i="14" s="1"/>
  <c r="AK20" i="15"/>
  <c r="AW20" i="15" s="1"/>
  <c r="BC20" i="15" s="1"/>
  <c r="BH18" i="14"/>
  <c r="BI18" i="14"/>
  <c r="BJ18" i="14" s="1"/>
  <c r="AD28" i="15"/>
  <c r="AV28" i="15" s="1"/>
  <c r="BB28" i="15" s="1"/>
  <c r="AK19" i="13"/>
  <c r="AW19" i="13" s="1"/>
  <c r="BC19" i="13" s="1"/>
  <c r="BI42" i="13"/>
  <c r="BJ42" i="13" s="1"/>
  <c r="BH42" i="13"/>
  <c r="P27" i="15"/>
  <c r="AT27" i="15" s="1"/>
  <c r="W12" i="13"/>
  <c r="AU12" i="13" s="1"/>
  <c r="BA12" i="13" s="1"/>
  <c r="AD31" i="14"/>
  <c r="AV31" i="14" s="1"/>
  <c r="BB31" i="14" s="1"/>
  <c r="AD43" i="16"/>
  <c r="AV43" i="16" s="1"/>
  <c r="BB43" i="16" s="1"/>
  <c r="P49" i="13"/>
  <c r="AT49" i="13" s="1"/>
  <c r="AR25" i="15"/>
  <c r="AX25" i="15" s="1"/>
  <c r="BD25" i="15" s="1"/>
  <c r="AR15" i="12"/>
  <c r="AX15" i="12" s="1"/>
  <c r="BD15" i="12" s="1"/>
  <c r="AD18" i="13"/>
  <c r="AV18" i="13" s="1"/>
  <c r="BB18" i="13" s="1"/>
  <c r="AD38" i="12"/>
  <c r="AV38" i="12" s="1"/>
  <c r="BB38" i="12" s="1"/>
  <c r="AR32" i="12"/>
  <c r="AX32" i="12" s="1"/>
  <c r="BD32" i="12" s="1"/>
  <c r="AK21" i="13"/>
  <c r="AW21" i="13" s="1"/>
  <c r="BC21" i="13" s="1"/>
  <c r="AR15" i="15"/>
  <c r="AX15" i="15" s="1"/>
  <c r="BD15" i="15" s="1"/>
  <c r="W33" i="15"/>
  <c r="AU33" i="15" s="1"/>
  <c r="BA33" i="15" s="1"/>
  <c r="AK47" i="16"/>
  <c r="AW47" i="16" s="1"/>
  <c r="BC47" i="16" s="1"/>
  <c r="AD22" i="12"/>
  <c r="AV22" i="12" s="1"/>
  <c r="BB22" i="12" s="1"/>
  <c r="W38" i="13"/>
  <c r="AU38" i="13" s="1"/>
  <c r="BA38" i="13" s="1"/>
  <c r="BJ45" i="15"/>
  <c r="BI45" i="15"/>
  <c r="BH45" i="15"/>
  <c r="AR38" i="15"/>
  <c r="AX38" i="15" s="1"/>
  <c r="BD38" i="15" s="1"/>
  <c r="P30" i="14"/>
  <c r="AT30" i="14" s="1"/>
  <c r="AK50" i="15"/>
  <c r="AW50" i="15" s="1"/>
  <c r="BC50" i="15" s="1"/>
  <c r="BH40" i="15"/>
  <c r="BI40" i="15"/>
  <c r="BJ40" i="15" s="1"/>
  <c r="BO40" i="15" s="1"/>
  <c r="BI21" i="12"/>
  <c r="BJ21" i="12" s="1"/>
  <c r="BH21" i="12"/>
  <c r="AD48" i="13"/>
  <c r="AV48" i="13" s="1"/>
  <c r="BB48" i="13" s="1"/>
  <c r="BI47" i="14"/>
  <c r="BJ47" i="14" s="1"/>
  <c r="BH47" i="14"/>
  <c r="AD25" i="16"/>
  <c r="AV25" i="16" s="1"/>
  <c r="BB25" i="16" s="1"/>
  <c r="BI46" i="14"/>
  <c r="BJ46" i="14" s="1"/>
  <c r="BH46" i="14"/>
  <c r="P46" i="12"/>
  <c r="AT46" i="12" s="1"/>
  <c r="AK44" i="13"/>
  <c r="AW44" i="13" s="1"/>
  <c r="BC44" i="13" s="1"/>
  <c r="AR26" i="15"/>
  <c r="AX26" i="15" s="1"/>
  <c r="BD26" i="15" s="1"/>
  <c r="AD44" i="14"/>
  <c r="AV44" i="14" s="1"/>
  <c r="BB44" i="14" s="1"/>
  <c r="AR28" i="15"/>
  <c r="AX28" i="15" s="1"/>
  <c r="BD28" i="15" s="1"/>
  <c r="BI41" i="15"/>
  <c r="BJ41" i="15" s="1"/>
  <c r="BH41" i="15"/>
  <c r="AK48" i="15"/>
  <c r="AW48" i="15" s="1"/>
  <c r="BC48" i="15" s="1"/>
  <c r="AK42" i="13"/>
  <c r="AW42" i="13" s="1"/>
  <c r="BC42" i="13" s="1"/>
  <c r="AD27" i="15"/>
  <c r="AV27" i="15" s="1"/>
  <c r="BB27" i="15" s="1"/>
  <c r="AK12" i="13"/>
  <c r="AW12" i="13" s="1"/>
  <c r="BC12" i="13" s="1"/>
  <c r="AR31" i="14"/>
  <c r="AX31" i="14" s="1"/>
  <c r="BD31" i="14" s="1"/>
  <c r="P43" i="16"/>
  <c r="AT43" i="16" s="1"/>
  <c r="AD49" i="13"/>
  <c r="AV49" i="13" s="1"/>
  <c r="BB49" i="13" s="1"/>
  <c r="AR42" i="16"/>
  <c r="AX42" i="16" s="1"/>
  <c r="BD42" i="16" s="1"/>
  <c r="W18" i="13"/>
  <c r="AU18" i="13" s="1"/>
  <c r="BA18" i="13" s="1"/>
  <c r="W16" i="16"/>
  <c r="AU16" i="16" s="1"/>
  <c r="BA16" i="16" s="1"/>
  <c r="AD15" i="12"/>
  <c r="AV15" i="12" s="1"/>
  <c r="BB15" i="12" s="1"/>
  <c r="AK26" i="12"/>
  <c r="AW26" i="12" s="1"/>
  <c r="BC26" i="12" s="1"/>
  <c r="W42" i="15"/>
  <c r="AU42" i="15" s="1"/>
  <c r="BA42" i="15" s="1"/>
  <c r="BI45" i="13"/>
  <c r="BJ45" i="13" s="1"/>
  <c r="BH45" i="13"/>
  <c r="AK40" i="16"/>
  <c r="AW40" i="16" s="1"/>
  <c r="BC40" i="16" s="1"/>
  <c r="AR44" i="12"/>
  <c r="AX44" i="12" s="1"/>
  <c r="BD44" i="12" s="1"/>
  <c r="AR45" i="12"/>
  <c r="AX45" i="12" s="1"/>
  <c r="BD45" i="12" s="1"/>
  <c r="P29" i="16"/>
  <c r="AT29" i="16" s="1"/>
  <c r="W46" i="13"/>
  <c r="AU46" i="13" s="1"/>
  <c r="BA46" i="13" s="1"/>
  <c r="BI26" i="16"/>
  <c r="BJ26" i="16" s="1"/>
  <c r="BO26" i="16" s="1"/>
  <c r="BH26" i="16"/>
  <c r="AK23" i="14"/>
  <c r="AW23" i="14" s="1"/>
  <c r="BC23" i="14" s="1"/>
  <c r="AD46" i="15"/>
  <c r="AV46" i="15" s="1"/>
  <c r="BB46" i="15" s="1"/>
  <c r="AD27" i="14"/>
  <c r="AV27" i="14" s="1"/>
  <c r="BB27" i="14" s="1"/>
  <c r="BI49" i="14"/>
  <c r="BJ49" i="14" s="1"/>
  <c r="BO49" i="14" s="1"/>
  <c r="BH49" i="14"/>
  <c r="AK49" i="16"/>
  <c r="AW49" i="16" s="1"/>
  <c r="BC49" i="16" s="1"/>
  <c r="AD13" i="12"/>
  <c r="AV13" i="12" s="1"/>
  <c r="BB13" i="12" s="1"/>
  <c r="W33" i="13"/>
  <c r="AU33" i="13" s="1"/>
  <c r="BA33" i="13" s="1"/>
  <c r="AK40" i="12"/>
  <c r="AW40" i="12" s="1"/>
  <c r="BC40" i="12" s="1"/>
  <c r="W48" i="14"/>
  <c r="AU48" i="14" s="1"/>
  <c r="BA48" i="14" s="1"/>
  <c r="BH25" i="14"/>
  <c r="BI25" i="14"/>
  <c r="BJ25" i="14" s="1"/>
  <c r="AD37" i="15"/>
  <c r="AV37" i="15" s="1"/>
  <c r="BB37" i="15" s="1"/>
  <c r="P41" i="14"/>
  <c r="AT41" i="14" s="1"/>
  <c r="P43" i="12"/>
  <c r="AT43" i="12" s="1"/>
  <c r="AK13" i="15"/>
  <c r="AW13" i="15" s="1"/>
  <c r="BC13" i="15" s="1"/>
  <c r="BI16" i="13"/>
  <c r="BJ16" i="13" s="1"/>
  <c r="BH16" i="13"/>
  <c r="AK24" i="13"/>
  <c r="AW24" i="13" s="1"/>
  <c r="BC24" i="13" s="1"/>
  <c r="W14" i="12"/>
  <c r="AU14" i="12" s="1"/>
  <c r="BA14" i="12" s="1"/>
  <c r="AR38" i="12"/>
  <c r="AX38" i="12" s="1"/>
  <c r="BD38" i="12" s="1"/>
  <c r="AR39" i="15"/>
  <c r="AX39" i="15" s="1"/>
  <c r="BD39" i="15" s="1"/>
  <c r="AD42" i="12"/>
  <c r="AV42" i="12" s="1"/>
  <c r="BB42" i="12" s="1"/>
  <c r="AD19" i="15"/>
  <c r="AV19" i="15" s="1"/>
  <c r="BB19" i="15" s="1"/>
  <c r="BI26" i="14"/>
  <c r="BJ26" i="14" s="1"/>
  <c r="BH26" i="14"/>
  <c r="P31" i="16"/>
  <c r="AT31" i="16" s="1"/>
  <c r="AD42" i="14"/>
  <c r="AV42" i="14" s="1"/>
  <c r="BB42" i="14" s="1"/>
  <c r="AD29" i="15"/>
  <c r="AV29" i="15" s="1"/>
  <c r="BB29" i="15" s="1"/>
  <c r="AK15" i="14"/>
  <c r="AW15" i="14" s="1"/>
  <c r="BC15" i="14" s="1"/>
  <c r="P23" i="15"/>
  <c r="AT23" i="15" s="1"/>
  <c r="BI30" i="12"/>
  <c r="BJ30" i="12" s="1"/>
  <c r="BH30" i="12"/>
  <c r="AK29" i="14"/>
  <c r="AW29" i="14" s="1"/>
  <c r="BC29" i="14" s="1"/>
  <c r="BI24" i="14"/>
  <c r="BJ24" i="14" s="1"/>
  <c r="BH24" i="14"/>
  <c r="W43" i="13"/>
  <c r="AU43" i="13" s="1"/>
  <c r="BA43" i="13" s="1"/>
  <c r="W40" i="13"/>
  <c r="AU40" i="13" s="1"/>
  <c r="BA40" i="13" s="1"/>
  <c r="AD46" i="16"/>
  <c r="AV46" i="16" s="1"/>
  <c r="BB46" i="16" s="1"/>
  <c r="AD39" i="16"/>
  <c r="AV39" i="16" s="1"/>
  <c r="BB39" i="16" s="1"/>
  <c r="W16" i="14"/>
  <c r="AU16" i="14" s="1"/>
  <c r="BA16" i="14" s="1"/>
  <c r="BI40" i="14"/>
  <c r="BJ40" i="14" s="1"/>
  <c r="BH40" i="14"/>
  <c r="P50" i="12"/>
  <c r="AT50" i="12" s="1"/>
  <c r="AJ51" i="12"/>
  <c r="AK11" i="12"/>
  <c r="AK34" i="12"/>
  <c r="AW34" i="12" s="1"/>
  <c r="BC34" i="12" s="1"/>
  <c r="AR30" i="13"/>
  <c r="AX30" i="13" s="1"/>
  <c r="BD30" i="13" s="1"/>
  <c r="AR43" i="15"/>
  <c r="AX43" i="15" s="1"/>
  <c r="BD43" i="15" s="1"/>
  <c r="AK29" i="13"/>
  <c r="AW29" i="13" s="1"/>
  <c r="BC29" i="13" s="1"/>
  <c r="W38" i="14"/>
  <c r="AU38" i="14" s="1"/>
  <c r="BA38" i="14" s="1"/>
  <c r="W50" i="13"/>
  <c r="AU50" i="13" s="1"/>
  <c r="BA50" i="13" s="1"/>
  <c r="BH30" i="16"/>
  <c r="BI30" i="16"/>
  <c r="BJ30" i="16" s="1"/>
  <c r="AR32" i="13"/>
  <c r="AX32" i="13" s="1"/>
  <c r="BD32" i="13" s="1"/>
  <c r="AD39" i="14"/>
  <c r="AV39" i="14" s="1"/>
  <c r="BB39" i="14" s="1"/>
  <c r="P12" i="15"/>
  <c r="AT12" i="15" s="1"/>
  <c r="P32" i="12"/>
  <c r="AT32" i="12" s="1"/>
  <c r="P15" i="15"/>
  <c r="AT15" i="15" s="1"/>
  <c r="W25" i="13"/>
  <c r="AU25" i="13" s="1"/>
  <c r="BA25" i="13" s="1"/>
  <c r="AK33" i="15"/>
  <c r="AW33" i="15" s="1"/>
  <c r="BC33" i="15" s="1"/>
  <c r="W34" i="16"/>
  <c r="AU34" i="16" s="1"/>
  <c r="BA34" i="16" s="1"/>
  <c r="AK38" i="13"/>
  <c r="AW38" i="13" s="1"/>
  <c r="BC38" i="13" s="1"/>
  <c r="AD45" i="15"/>
  <c r="AV45" i="15" s="1"/>
  <c r="BB45" i="15" s="1"/>
  <c r="AD38" i="15"/>
  <c r="AV38" i="15" s="1"/>
  <c r="BB38" i="15" s="1"/>
  <c r="AD30" i="14"/>
  <c r="AV30" i="14" s="1"/>
  <c r="BB30" i="14" s="1"/>
  <c r="W50" i="15"/>
  <c r="AU50" i="15" s="1"/>
  <c r="BA50" i="15" s="1"/>
  <c r="AR40" i="15"/>
  <c r="AX40" i="15" s="1"/>
  <c r="BD40" i="15" s="1"/>
  <c r="AK48" i="12"/>
  <c r="AW48" i="12" s="1"/>
  <c r="BC48" i="12" s="1"/>
  <c r="P21" i="12"/>
  <c r="AT21" i="12" s="1"/>
  <c r="AR48" i="13"/>
  <c r="AX48" i="13" s="1"/>
  <c r="BD48" i="13" s="1"/>
  <c r="AK47" i="14"/>
  <c r="AW47" i="14" s="1"/>
  <c r="BC47" i="14" s="1"/>
  <c r="W25" i="16"/>
  <c r="AU25" i="16" s="1"/>
  <c r="BA25" i="16" s="1"/>
  <c r="AD24" i="12"/>
  <c r="AV24" i="12" s="1"/>
  <c r="BB24" i="12" s="1"/>
  <c r="AK46" i="14"/>
  <c r="AW46" i="14" s="1"/>
  <c r="BC46" i="14" s="1"/>
  <c r="AD46" i="12"/>
  <c r="AV46" i="12" s="1"/>
  <c r="BB46" i="12" s="1"/>
  <c r="AD44" i="13"/>
  <c r="AV44" i="13" s="1"/>
  <c r="BB44" i="13" s="1"/>
  <c r="BI24" i="16"/>
  <c r="BJ24" i="16" s="1"/>
  <c r="BH24" i="16"/>
  <c r="AR44" i="14"/>
  <c r="AX44" i="14" s="1"/>
  <c r="BD44" i="14" s="1"/>
  <c r="BI36" i="13"/>
  <c r="BJ36" i="13" s="1"/>
  <c r="BH36" i="13"/>
  <c r="P20" i="15"/>
  <c r="AT20" i="15" s="1"/>
  <c r="AD18" i="14"/>
  <c r="AV18" i="14" s="1"/>
  <c r="BB18" i="14" s="1"/>
  <c r="W28" i="15"/>
  <c r="AU28" i="15" s="1"/>
  <c r="BA28" i="15" s="1"/>
  <c r="P41" i="15"/>
  <c r="AT41" i="15" s="1"/>
  <c r="W48" i="15"/>
  <c r="AU48" i="15" s="1"/>
  <c r="BA48" i="15" s="1"/>
  <c r="W42" i="13"/>
  <c r="AU42" i="13" s="1"/>
  <c r="BA42" i="13" s="1"/>
  <c r="W31" i="14"/>
  <c r="AU31" i="14" s="1"/>
  <c r="BA31" i="14" s="1"/>
  <c r="AR43" i="16"/>
  <c r="AX43" i="16" s="1"/>
  <c r="BD43" i="16" s="1"/>
  <c r="AK15" i="12"/>
  <c r="AW15" i="12" s="1"/>
  <c r="BC15" i="12" s="1"/>
  <c r="AK35" i="16"/>
  <c r="AW35" i="16" s="1"/>
  <c r="BC35" i="16" s="1"/>
  <c r="AK22" i="15"/>
  <c r="AW22" i="15" s="1"/>
  <c r="BC22" i="15" s="1"/>
  <c r="AD42" i="16"/>
  <c r="AV42" i="16" s="1"/>
  <c r="BB42" i="16" s="1"/>
  <c r="P22" i="16"/>
  <c r="AT22" i="16" s="1"/>
  <c r="W23" i="13"/>
  <c r="AU23" i="13" s="1"/>
  <c r="BA23" i="13" s="1"/>
  <c r="AD21" i="14"/>
  <c r="AV21" i="14" s="1"/>
  <c r="BB21" i="14" s="1"/>
  <c r="AK48" i="16"/>
  <c r="AW48" i="16" s="1"/>
  <c r="BC48" i="16" s="1"/>
  <c r="W47" i="12"/>
  <c r="AU47" i="12" s="1"/>
  <c r="BA47" i="12" s="1"/>
  <c r="AR28" i="14"/>
  <c r="AX28" i="14" s="1"/>
  <c r="BD28" i="14" s="1"/>
  <c r="W26" i="12"/>
  <c r="AU26" i="12" s="1"/>
  <c r="BA26" i="12" s="1"/>
  <c r="AD45" i="13"/>
  <c r="AV45" i="13" s="1"/>
  <c r="BB45" i="13" s="1"/>
  <c r="AK45" i="12"/>
  <c r="AW45" i="12" s="1"/>
  <c r="BC45" i="12" s="1"/>
  <c r="P36" i="15"/>
  <c r="AT36" i="15" s="1"/>
  <c r="AK29" i="16"/>
  <c r="AW29" i="16" s="1"/>
  <c r="BC29" i="16" s="1"/>
  <c r="BI39" i="13"/>
  <c r="BJ39" i="13" s="1"/>
  <c r="BH39" i="13"/>
  <c r="AR33" i="14"/>
  <c r="AX33" i="14" s="1"/>
  <c r="BD33" i="14" s="1"/>
  <c r="W26" i="16"/>
  <c r="AU26" i="16" s="1"/>
  <c r="BA26" i="16" s="1"/>
  <c r="AR46" i="15"/>
  <c r="AX46" i="15" s="1"/>
  <c r="BD46" i="15" s="1"/>
  <c r="P49" i="14"/>
  <c r="AT49" i="14" s="1"/>
  <c r="AR35" i="15"/>
  <c r="AX35" i="15" s="1"/>
  <c r="BD35" i="15" s="1"/>
  <c r="BI23" i="16"/>
  <c r="BJ23" i="16" s="1"/>
  <c r="BH23" i="16"/>
  <c r="AK33" i="13"/>
  <c r="AW33" i="13" s="1"/>
  <c r="BC33" i="13" s="1"/>
  <c r="AR40" i="12"/>
  <c r="AX40" i="12" s="1"/>
  <c r="BD40" i="12" s="1"/>
  <c r="AK48" i="14"/>
  <c r="AW48" i="14" s="1"/>
  <c r="BC48" i="14" s="1"/>
  <c r="AR25" i="14"/>
  <c r="AX25" i="14" s="1"/>
  <c r="BD25" i="14" s="1"/>
  <c r="AR37" i="15"/>
  <c r="AX37" i="15" s="1"/>
  <c r="BD37" i="15" s="1"/>
  <c r="BI33" i="16"/>
  <c r="BJ33" i="16" s="1"/>
  <c r="BH33" i="16"/>
  <c r="AK43" i="12"/>
  <c r="AW43" i="12" s="1"/>
  <c r="BC43" i="12" s="1"/>
  <c r="P16" i="13"/>
  <c r="AT16" i="13" s="1"/>
  <c r="AK14" i="12"/>
  <c r="AW14" i="12" s="1"/>
  <c r="BC14" i="12" s="1"/>
  <c r="AR19" i="15"/>
  <c r="AX19" i="15" s="1"/>
  <c r="BD19" i="15" s="1"/>
  <c r="AR44" i="15"/>
  <c r="AX44" i="15" s="1"/>
  <c r="BD44" i="15" s="1"/>
  <c r="AD31" i="16"/>
  <c r="AV31" i="16" s="1"/>
  <c r="BB31" i="16" s="1"/>
  <c r="W37" i="12"/>
  <c r="AU37" i="12" s="1"/>
  <c r="BA37" i="12" s="1"/>
  <c r="W42" i="14"/>
  <c r="AU42" i="14" s="1"/>
  <c r="BA42" i="14" s="1"/>
  <c r="P28" i="12"/>
  <c r="AT28" i="12" s="1"/>
  <c r="AR23" i="15"/>
  <c r="AX23" i="15" s="1"/>
  <c r="BD23" i="15" s="1"/>
  <c r="P29" i="14"/>
  <c r="AT29" i="14" s="1"/>
  <c r="AR43" i="13"/>
  <c r="AX43" i="13" s="1"/>
  <c r="BD43" i="13" s="1"/>
  <c r="W46" i="16"/>
  <c r="AU46" i="16" s="1"/>
  <c r="BA46" i="16" s="1"/>
  <c r="BI43" i="14"/>
  <c r="BJ43" i="14" s="1"/>
  <c r="BH43" i="14"/>
  <c r="P39" i="16"/>
  <c r="AT39" i="16" s="1"/>
  <c r="AD50" i="12"/>
  <c r="AV50" i="12" s="1"/>
  <c r="BB50" i="12" s="1"/>
  <c r="O51" i="13"/>
  <c r="P11" i="13"/>
  <c r="P34" i="13"/>
  <c r="AT34" i="13" s="1"/>
  <c r="AD30" i="13"/>
  <c r="AV30" i="13" s="1"/>
  <c r="BB30" i="13" s="1"/>
  <c r="P16" i="16"/>
  <c r="AT16" i="16" s="1"/>
  <c r="P32" i="15"/>
  <c r="AT32" i="15" s="1"/>
  <c r="W29" i="13"/>
  <c r="AU29" i="13" s="1"/>
  <c r="BA29" i="13" s="1"/>
  <c r="AD50" i="13"/>
  <c r="AV50" i="13" s="1"/>
  <c r="BB50" i="13" s="1"/>
  <c r="W30" i="16"/>
  <c r="AU30" i="16" s="1"/>
  <c r="BA30" i="16" s="1"/>
  <c r="W32" i="13"/>
  <c r="AU32" i="13" s="1"/>
  <c r="BA32" i="13" s="1"/>
  <c r="P39" i="14"/>
  <c r="AT39" i="14" s="1"/>
  <c r="P22" i="12"/>
  <c r="AT22" i="12" s="1"/>
  <c r="AK32" i="12"/>
  <c r="AW32" i="12" s="1"/>
  <c r="BC32" i="12" s="1"/>
  <c r="BH15" i="13"/>
  <c r="BI15" i="13"/>
  <c r="BJ15" i="13" s="1"/>
  <c r="AK25" i="13"/>
  <c r="AW25" i="13" s="1"/>
  <c r="BC25" i="13" s="1"/>
  <c r="BH28" i="13"/>
  <c r="BI28" i="13"/>
  <c r="BJ28" i="13" s="1"/>
  <c r="BI31" i="12"/>
  <c r="BJ31" i="12" s="1"/>
  <c r="BH31" i="12"/>
  <c r="BI12" i="12"/>
  <c r="BJ12" i="12" s="1"/>
  <c r="BH12" i="12"/>
  <c r="BH32" i="14"/>
  <c r="BI32" i="14"/>
  <c r="BJ32" i="14" s="1"/>
  <c r="W45" i="15"/>
  <c r="AU45" i="15" s="1"/>
  <c r="BA45" i="15" s="1"/>
  <c r="BI41" i="16"/>
  <c r="BJ41" i="16" s="1"/>
  <c r="BH41" i="16"/>
  <c r="AR30" i="14"/>
  <c r="AX30" i="14" s="1"/>
  <c r="BD30" i="14" s="1"/>
  <c r="W40" i="15"/>
  <c r="AU40" i="15" s="1"/>
  <c r="BA40" i="15" s="1"/>
  <c r="W21" i="12"/>
  <c r="AU21" i="12" s="1"/>
  <c r="BA21" i="12" s="1"/>
  <c r="AR50" i="14"/>
  <c r="AX50" i="14" s="1"/>
  <c r="BD50" i="14" s="1"/>
  <c r="AD47" i="14"/>
  <c r="AV47" i="14" s="1"/>
  <c r="BB47" i="14" s="1"/>
  <c r="AK25" i="16"/>
  <c r="AW25" i="16" s="1"/>
  <c r="BC25" i="16" s="1"/>
  <c r="AR24" i="12"/>
  <c r="AX24" i="12" s="1"/>
  <c r="BD24" i="12" s="1"/>
  <c r="W46" i="14"/>
  <c r="AU46" i="14" s="1"/>
  <c r="BA46" i="14" s="1"/>
  <c r="AR46" i="12"/>
  <c r="AX46" i="12" s="1"/>
  <c r="BD46" i="12" s="1"/>
  <c r="AR44" i="13"/>
  <c r="AX44" i="13" s="1"/>
  <c r="BD44" i="13" s="1"/>
  <c r="W24" i="16"/>
  <c r="AU24" i="16" s="1"/>
  <c r="BA24" i="16" s="1"/>
  <c r="W44" i="14"/>
  <c r="AU44" i="14" s="1"/>
  <c r="BA44" i="14" s="1"/>
  <c r="AR20" i="15"/>
  <c r="AX20" i="15" s="1"/>
  <c r="BD20" i="15" s="1"/>
  <c r="P18" i="14"/>
  <c r="AT18" i="14" s="1"/>
  <c r="AK28" i="15"/>
  <c r="AW28" i="15" s="1"/>
  <c r="BC28" i="15" s="1"/>
  <c r="AD41" i="15"/>
  <c r="AV41" i="15" s="1"/>
  <c r="BB41" i="15" s="1"/>
  <c r="P42" i="13"/>
  <c r="AT42" i="13" s="1"/>
  <c r="BI38" i="16"/>
  <c r="BJ38" i="16" s="1"/>
  <c r="BH38" i="16"/>
  <c r="AD12" i="13"/>
  <c r="AV12" i="13" s="1"/>
  <c r="BB12" i="13" s="1"/>
  <c r="BI49" i="15"/>
  <c r="BJ49" i="15" s="1"/>
  <c r="BH49" i="15"/>
  <c r="AK43" i="16"/>
  <c r="AW43" i="16" s="1"/>
  <c r="BC43" i="16" s="1"/>
  <c r="AD35" i="12"/>
  <c r="AV35" i="12" s="1"/>
  <c r="BB35" i="12" s="1"/>
  <c r="AR16" i="16"/>
  <c r="AX16" i="16" s="1"/>
  <c r="BD16" i="16" s="1"/>
  <c r="AK18" i="13"/>
  <c r="AW18" i="13" s="1"/>
  <c r="BC18" i="13" s="1"/>
  <c r="AR46" i="4"/>
  <c r="AX46" i="4" s="1"/>
  <c r="BD46" i="4" s="1"/>
  <c r="AD27" i="3"/>
  <c r="AV27" i="3" s="1"/>
  <c r="BB27" i="3" s="1"/>
  <c r="AD18" i="3"/>
  <c r="AV18" i="3" s="1"/>
  <c r="BB18" i="3" s="1"/>
  <c r="AZ39" i="4"/>
  <c r="W38" i="5"/>
  <c r="AU38" i="5" s="1"/>
  <c r="BA38" i="5" s="1"/>
  <c r="BH48" i="6"/>
  <c r="BI48" i="6"/>
  <c r="BJ48" i="6" s="1"/>
  <c r="AK41" i="6"/>
  <c r="AW41" i="6" s="1"/>
  <c r="BC41" i="6" s="1"/>
  <c r="AK24" i="6"/>
  <c r="AW24" i="6" s="1"/>
  <c r="BC24" i="6" s="1"/>
  <c r="AD44" i="3"/>
  <c r="AV44" i="3" s="1"/>
  <c r="BB44" i="3" s="1"/>
  <c r="BI19" i="3"/>
  <c r="BJ19" i="3" s="1"/>
  <c r="BH19" i="3"/>
  <c r="AD26" i="2"/>
  <c r="AV26" i="2" s="1"/>
  <c r="BB26" i="2" s="1"/>
  <c r="P20" i="5"/>
  <c r="AT20" i="5" s="1"/>
  <c r="P23" i="5"/>
  <c r="AT23" i="5" s="1"/>
  <c r="P48" i="2"/>
  <c r="AT48" i="2" s="1"/>
  <c r="P23" i="4"/>
  <c r="AT23" i="4" s="1"/>
  <c r="AR23" i="2"/>
  <c r="AX23" i="2" s="1"/>
  <c r="BD23" i="2" s="1"/>
  <c r="P21" i="5"/>
  <c r="AT21" i="5" s="1"/>
  <c r="AR24" i="2"/>
  <c r="AX24" i="2" s="1"/>
  <c r="BD24" i="2" s="1"/>
  <c r="P48" i="4"/>
  <c r="AT48" i="4" s="1"/>
  <c r="W36" i="2"/>
  <c r="AU36" i="2" s="1"/>
  <c r="BA36" i="2" s="1"/>
  <c r="W18" i="3"/>
  <c r="AU18" i="3" s="1"/>
  <c r="BA18" i="3" s="1"/>
  <c r="P36" i="4"/>
  <c r="AT36" i="4" s="1"/>
  <c r="AK36" i="4"/>
  <c r="AW36" i="4" s="1"/>
  <c r="BC36" i="4" s="1"/>
  <c r="P24" i="6"/>
  <c r="AT24" i="6" s="1"/>
  <c r="W40" i="5"/>
  <c r="AU40" i="5" s="1"/>
  <c r="BA40" i="5" s="1"/>
  <c r="P12" i="3"/>
  <c r="AT12" i="3" s="1"/>
  <c r="P18" i="3"/>
  <c r="AT18" i="3" s="1"/>
  <c r="W18" i="2"/>
  <c r="AU18" i="2" s="1"/>
  <c r="BA18" i="2" s="1"/>
  <c r="AR26" i="4"/>
  <c r="AX26" i="4" s="1"/>
  <c r="BD26" i="4" s="1"/>
  <c r="AR14" i="2"/>
  <c r="AX14" i="2" s="1"/>
  <c r="BD14" i="2" s="1"/>
  <c r="AR48" i="2"/>
  <c r="AX48" i="2" s="1"/>
  <c r="BD48" i="2" s="1"/>
  <c r="AR12" i="4"/>
  <c r="AX12" i="4" s="1"/>
  <c r="BD12" i="4" s="1"/>
  <c r="AR36" i="4"/>
  <c r="AX36" i="4" s="1"/>
  <c r="BD36" i="4" s="1"/>
  <c r="AR32" i="5"/>
  <c r="AX32" i="5" s="1"/>
  <c r="BD32" i="5" s="1"/>
  <c r="AK44" i="3"/>
  <c r="AW44" i="3" s="1"/>
  <c r="BC44" i="3" s="1"/>
  <c r="AK18" i="3"/>
  <c r="AW18" i="3" s="1"/>
  <c r="BC18" i="3" s="1"/>
  <c r="AR40" i="5"/>
  <c r="AX40" i="5" s="1"/>
  <c r="BD40" i="5" s="1"/>
  <c r="BI33" i="4"/>
  <c r="BJ33" i="4" s="1"/>
  <c r="BH33" i="4"/>
  <c r="P33" i="3"/>
  <c r="AT33" i="3" s="1"/>
  <c r="BI27" i="2"/>
  <c r="BJ27" i="2" s="1"/>
  <c r="BH27" i="2"/>
  <c r="AK33" i="6"/>
  <c r="AW33" i="6" s="1"/>
  <c r="BC33" i="6" s="1"/>
  <c r="W35" i="3"/>
  <c r="AU35" i="3" s="1"/>
  <c r="BA35" i="3" s="1"/>
  <c r="W49" i="3"/>
  <c r="AU49" i="3" s="1"/>
  <c r="BA49" i="3" s="1"/>
  <c r="W33" i="3"/>
  <c r="AU33" i="3" s="1"/>
  <c r="BA33" i="3" s="1"/>
  <c r="AZ16" i="6"/>
  <c r="AZ32" i="5"/>
  <c r="BI47" i="2"/>
  <c r="BJ47" i="2" s="1"/>
  <c r="BH47" i="2"/>
  <c r="W18" i="5"/>
  <c r="AU18" i="5" s="1"/>
  <c r="BA18" i="5" s="1"/>
  <c r="AR43" i="5"/>
  <c r="AX43" i="5" s="1"/>
  <c r="BD43" i="5" s="1"/>
  <c r="BI20" i="2"/>
  <c r="BJ20" i="2" s="1"/>
  <c r="BH20" i="2"/>
  <c r="BH38" i="6"/>
  <c r="BI38" i="6"/>
  <c r="BJ38" i="6" s="1"/>
  <c r="BO38" i="6" s="1"/>
  <c r="BQ38" i="6" s="1"/>
  <c r="W13" i="2"/>
  <c r="AU13" i="2" s="1"/>
  <c r="BA13" i="2" s="1"/>
  <c r="W48" i="2"/>
  <c r="AU48" i="2" s="1"/>
  <c r="BA48" i="2" s="1"/>
  <c r="W21" i="2"/>
  <c r="AU21" i="2" s="1"/>
  <c r="BA21" i="2" s="1"/>
  <c r="AK19" i="4"/>
  <c r="AW19" i="4" s="1"/>
  <c r="BC19" i="4" s="1"/>
  <c r="AK48" i="4"/>
  <c r="AW48" i="4" s="1"/>
  <c r="BC48" i="4" s="1"/>
  <c r="W19" i="5"/>
  <c r="AU19" i="5" s="1"/>
  <c r="BA19" i="5" s="1"/>
  <c r="BI47" i="3"/>
  <c r="BJ47" i="3" s="1"/>
  <c r="BH47" i="3"/>
  <c r="P43" i="4"/>
  <c r="AT43" i="4" s="1"/>
  <c r="AD33" i="3"/>
  <c r="AV33" i="3" s="1"/>
  <c r="BB33" i="3" s="1"/>
  <c r="AR38" i="2"/>
  <c r="AX38" i="2" s="1"/>
  <c r="BD38" i="2" s="1"/>
  <c r="BH41" i="6"/>
  <c r="BI41" i="6"/>
  <c r="BJ41" i="6" s="1"/>
  <c r="BI31" i="2"/>
  <c r="BJ31" i="2" s="1"/>
  <c r="BH31" i="2"/>
  <c r="P19" i="5"/>
  <c r="AT19" i="5" s="1"/>
  <c r="AD44" i="2"/>
  <c r="AV44" i="2" s="1"/>
  <c r="BB44" i="2" s="1"/>
  <c r="AD39" i="4"/>
  <c r="AV39" i="4" s="1"/>
  <c r="BB39" i="4" s="1"/>
  <c r="AD31" i="2"/>
  <c r="AV31" i="2" s="1"/>
  <c r="BB31" i="2" s="1"/>
  <c r="AD41" i="4"/>
  <c r="AV41" i="4" s="1"/>
  <c r="BB41" i="4" s="1"/>
  <c r="W14" i="2"/>
  <c r="AU14" i="2" s="1"/>
  <c r="BA14" i="2" s="1"/>
  <c r="AR42" i="5"/>
  <c r="AX42" i="5" s="1"/>
  <c r="BD42" i="5" s="1"/>
  <c r="W20" i="5"/>
  <c r="AU20" i="5" s="1"/>
  <c r="BA20" i="5" s="1"/>
  <c r="AD13" i="2"/>
  <c r="AV13" i="2" s="1"/>
  <c r="BB13" i="2" s="1"/>
  <c r="BI49" i="5"/>
  <c r="BJ49" i="5" s="1"/>
  <c r="BH49" i="5"/>
  <c r="BH31" i="4"/>
  <c r="BI31" i="4"/>
  <c r="BJ31" i="4" s="1"/>
  <c r="AD19" i="4"/>
  <c r="AV19" i="4" s="1"/>
  <c r="BB19" i="4" s="1"/>
  <c r="P27" i="2"/>
  <c r="AT27" i="2" s="1"/>
  <c r="AK12" i="4"/>
  <c r="AW12" i="4" s="1"/>
  <c r="BC12" i="4" s="1"/>
  <c r="AK24" i="2"/>
  <c r="AW24" i="2" s="1"/>
  <c r="BC24" i="2" s="1"/>
  <c r="BP51" i="4"/>
  <c r="CS11" i="4" s="1"/>
  <c r="AK21" i="6"/>
  <c r="AW21" i="6" s="1"/>
  <c r="BC21" i="6" s="1"/>
  <c r="AR40" i="6"/>
  <c r="AX40" i="6" s="1"/>
  <c r="BD40" i="6" s="1"/>
  <c r="W30" i="2"/>
  <c r="AU30" i="2" s="1"/>
  <c r="BA30" i="2" s="1"/>
  <c r="AR39" i="2"/>
  <c r="AX39" i="2" s="1"/>
  <c r="BD39" i="2" s="1"/>
  <c r="P50" i="3"/>
  <c r="AT50" i="3" s="1"/>
  <c r="AD20" i="3"/>
  <c r="AV20" i="3" s="1"/>
  <c r="BB20" i="3" s="1"/>
  <c r="P22" i="5"/>
  <c r="AT22" i="5" s="1"/>
  <c r="W13" i="4"/>
  <c r="AU13" i="4" s="1"/>
  <c r="BA13" i="4" s="1"/>
  <c r="W14" i="5"/>
  <c r="AU14" i="5" s="1"/>
  <c r="BA14" i="5" s="1"/>
  <c r="AR19" i="5"/>
  <c r="AX19" i="5" s="1"/>
  <c r="BD19" i="5" s="1"/>
  <c r="W16" i="3"/>
  <c r="AU16" i="3" s="1"/>
  <c r="BA16" i="3" s="1"/>
  <c r="BH16" i="4"/>
  <c r="BI16" i="4"/>
  <c r="BJ16" i="4" s="1"/>
  <c r="W46" i="2"/>
  <c r="AU46" i="2" s="1"/>
  <c r="BA46" i="2" s="1"/>
  <c r="P44" i="6"/>
  <c r="AT44" i="6" s="1"/>
  <c r="AR29" i="2"/>
  <c r="AX29" i="2" s="1"/>
  <c r="BD29" i="2" s="1"/>
  <c r="W22" i="6"/>
  <c r="AU22" i="6" s="1"/>
  <c r="BA22" i="6" s="1"/>
  <c r="AD48" i="4"/>
  <c r="AV48" i="4" s="1"/>
  <c r="BB48" i="4" s="1"/>
  <c r="AD42" i="6"/>
  <c r="AV42" i="6" s="1"/>
  <c r="BB42" i="6" s="1"/>
  <c r="BH49" i="2"/>
  <c r="BI49" i="2"/>
  <c r="BJ49" i="2" s="1"/>
  <c r="P48" i="3"/>
  <c r="AT48" i="3" s="1"/>
  <c r="W21" i="4"/>
  <c r="AU21" i="4" s="1"/>
  <c r="BA21" i="4" s="1"/>
  <c r="BI15" i="3"/>
  <c r="BJ15" i="3" s="1"/>
  <c r="BH15" i="3"/>
  <c r="W32" i="5"/>
  <c r="AU32" i="5" s="1"/>
  <c r="BA32" i="5" s="1"/>
  <c r="AK45" i="5"/>
  <c r="AW45" i="5" s="1"/>
  <c r="BC45" i="5" s="1"/>
  <c r="W21" i="3"/>
  <c r="AU21" i="3" s="1"/>
  <c r="BA21" i="3" s="1"/>
  <c r="AK40" i="2"/>
  <c r="AW40" i="2" s="1"/>
  <c r="BC40" i="2" s="1"/>
  <c r="AD15" i="6"/>
  <c r="AV15" i="6" s="1"/>
  <c r="BB15" i="6" s="1"/>
  <c r="W31" i="3"/>
  <c r="AU31" i="3" s="1"/>
  <c r="BA31" i="3" s="1"/>
  <c r="AR26" i="5"/>
  <c r="AX26" i="5" s="1"/>
  <c r="BD26" i="5" s="1"/>
  <c r="BH48" i="5"/>
  <c r="BI48" i="5"/>
  <c r="BJ48" i="5" s="1"/>
  <c r="BH50" i="5"/>
  <c r="BI50" i="5"/>
  <c r="BJ50" i="5" s="1"/>
  <c r="AD12" i="5"/>
  <c r="AV12" i="5" s="1"/>
  <c r="BB12" i="5" s="1"/>
  <c r="W50" i="4"/>
  <c r="AU50" i="4" s="1"/>
  <c r="BA50" i="4" s="1"/>
  <c r="BI35" i="4"/>
  <c r="BJ35" i="4" s="1"/>
  <c r="BH35" i="4"/>
  <c r="AR30" i="6"/>
  <c r="AX30" i="6" s="1"/>
  <c r="BD30" i="6" s="1"/>
  <c r="BP51" i="2"/>
  <c r="CS40" i="2" s="1"/>
  <c r="AR15" i="5"/>
  <c r="AX15" i="5" s="1"/>
  <c r="BD15" i="5" s="1"/>
  <c r="AK35" i="6"/>
  <c r="AW35" i="6" s="1"/>
  <c r="BC35" i="6" s="1"/>
  <c r="AD30" i="4"/>
  <c r="AV30" i="4" s="1"/>
  <c r="BB30" i="4" s="1"/>
  <c r="BI28" i="2"/>
  <c r="BJ28" i="2" s="1"/>
  <c r="BH28" i="2"/>
  <c r="W12" i="2"/>
  <c r="AU12" i="2" s="1"/>
  <c r="BA12" i="2" s="1"/>
  <c r="W22" i="2"/>
  <c r="AU22" i="2" s="1"/>
  <c r="BA22" i="2" s="1"/>
  <c r="AR45" i="4"/>
  <c r="AX45" i="4" s="1"/>
  <c r="BD45" i="4" s="1"/>
  <c r="AK27" i="4"/>
  <c r="AW27" i="4" s="1"/>
  <c r="BC27" i="4" s="1"/>
  <c r="AK29" i="3"/>
  <c r="AW29" i="3" s="1"/>
  <c r="BC29" i="3" s="1"/>
  <c r="AD47" i="4"/>
  <c r="AV47" i="4" s="1"/>
  <c r="BB47" i="4" s="1"/>
  <c r="AK35" i="2"/>
  <c r="AW35" i="2" s="1"/>
  <c r="BC35" i="2" s="1"/>
  <c r="W20" i="4"/>
  <c r="AU20" i="4" s="1"/>
  <c r="BA20" i="4" s="1"/>
  <c r="BI44" i="5"/>
  <c r="BJ44" i="5" s="1"/>
  <c r="BH44" i="5"/>
  <c r="AK27" i="5"/>
  <c r="AW27" i="5" s="1"/>
  <c r="BC27" i="5" s="1"/>
  <c r="AK39" i="6"/>
  <c r="AW39" i="6" s="1"/>
  <c r="BC39" i="6" s="1"/>
  <c r="AK30" i="5"/>
  <c r="AW30" i="5" s="1"/>
  <c r="BC30" i="5" s="1"/>
  <c r="W38" i="2"/>
  <c r="AU38" i="2" s="1"/>
  <c r="BA38" i="2" s="1"/>
  <c r="P12" i="6"/>
  <c r="AT12" i="6" s="1"/>
  <c r="W36" i="3"/>
  <c r="AU36" i="3" s="1"/>
  <c r="BA36" i="3" s="1"/>
  <c r="AD47" i="2"/>
  <c r="AV47" i="2" s="1"/>
  <c r="BB47" i="2" s="1"/>
  <c r="P47" i="3"/>
  <c r="AT47" i="3" s="1"/>
  <c r="BI32" i="6"/>
  <c r="BJ32" i="6" s="1"/>
  <c r="BH32" i="6"/>
  <c r="AK26" i="4"/>
  <c r="AW26" i="4" s="1"/>
  <c r="BC26" i="4" s="1"/>
  <c r="BI22" i="4"/>
  <c r="BJ22" i="4" s="1"/>
  <c r="BH22" i="4"/>
  <c r="AD12" i="6"/>
  <c r="AV12" i="6" s="1"/>
  <c r="BB12" i="6" s="1"/>
  <c r="AK37" i="5"/>
  <c r="AW37" i="5" s="1"/>
  <c r="BC37" i="5" s="1"/>
  <c r="AK33" i="4"/>
  <c r="AW33" i="4" s="1"/>
  <c r="BC33" i="4" s="1"/>
  <c r="W43" i="3"/>
  <c r="AU43" i="3" s="1"/>
  <c r="BA43" i="3" s="1"/>
  <c r="AR26" i="2"/>
  <c r="AX26" i="2" s="1"/>
  <c r="BD26" i="2" s="1"/>
  <c r="AK38" i="6"/>
  <c r="AW38" i="6" s="1"/>
  <c r="BC38" i="6" s="1"/>
  <c r="BP51" i="3"/>
  <c r="CS28" i="3" s="1"/>
  <c r="AR43" i="6"/>
  <c r="AX43" i="6" s="1"/>
  <c r="BD43" i="6" s="1"/>
  <c r="AK14" i="2"/>
  <c r="AW14" i="2" s="1"/>
  <c r="BC14" i="2" s="1"/>
  <c r="W42" i="5"/>
  <c r="AU42" i="5" s="1"/>
  <c r="BA42" i="5" s="1"/>
  <c r="AK20" i="5"/>
  <c r="AW20" i="5" s="1"/>
  <c r="BC20" i="5" s="1"/>
  <c r="AK19" i="3"/>
  <c r="AW19" i="3" s="1"/>
  <c r="BC19" i="3" s="1"/>
  <c r="AR13" i="2"/>
  <c r="AX13" i="2" s="1"/>
  <c r="BD13" i="2" s="1"/>
  <c r="BI38" i="3"/>
  <c r="BJ38" i="3" s="1"/>
  <c r="BH38" i="3"/>
  <c r="AR49" i="5"/>
  <c r="AX49" i="5" s="1"/>
  <c r="BD49" i="5" s="1"/>
  <c r="AK13" i="5"/>
  <c r="AW13" i="5" s="1"/>
  <c r="BC13" i="5" s="1"/>
  <c r="AR37" i="2"/>
  <c r="AX37" i="2" s="1"/>
  <c r="BD37" i="2" s="1"/>
  <c r="AK31" i="4"/>
  <c r="AW31" i="4" s="1"/>
  <c r="BC31" i="4" s="1"/>
  <c r="AR19" i="4"/>
  <c r="AX19" i="4" s="1"/>
  <c r="BD19" i="4" s="1"/>
  <c r="AD27" i="2"/>
  <c r="AV27" i="2" s="1"/>
  <c r="BB27" i="2" s="1"/>
  <c r="W12" i="4"/>
  <c r="AU12" i="4" s="1"/>
  <c r="BA12" i="4" s="1"/>
  <c r="AK15" i="4"/>
  <c r="AW15" i="4" s="1"/>
  <c r="BC15" i="4" s="1"/>
  <c r="AC51" i="4"/>
  <c r="AD11" i="4"/>
  <c r="AD34" i="4"/>
  <c r="AV34" i="4" s="1"/>
  <c r="BB34" i="4" s="1"/>
  <c r="W41" i="3"/>
  <c r="AU41" i="3" s="1"/>
  <c r="BA41" i="3" s="1"/>
  <c r="BI45" i="6"/>
  <c r="BJ45" i="6" s="1"/>
  <c r="BH45" i="6"/>
  <c r="P21" i="6"/>
  <c r="AT21" i="6" s="1"/>
  <c r="P40" i="6"/>
  <c r="AT40" i="6" s="1"/>
  <c r="P38" i="4"/>
  <c r="AT38" i="4" s="1"/>
  <c r="BI40" i="4"/>
  <c r="BJ40" i="4" s="1"/>
  <c r="BH40" i="4"/>
  <c r="AK50" i="3"/>
  <c r="AW50" i="3" s="1"/>
  <c r="BC50" i="3" s="1"/>
  <c r="AD22" i="5"/>
  <c r="AV22" i="5" s="1"/>
  <c r="BB22" i="5" s="1"/>
  <c r="AK19" i="6"/>
  <c r="AW19" i="6" s="1"/>
  <c r="BC19" i="6" s="1"/>
  <c r="P14" i="5"/>
  <c r="AT14" i="5" s="1"/>
  <c r="AD18" i="6"/>
  <c r="AV18" i="6" s="1"/>
  <c r="BB18" i="6" s="1"/>
  <c r="AD46" i="2"/>
  <c r="AV46" i="2" s="1"/>
  <c r="BB46" i="2" s="1"/>
  <c r="AK23" i="3"/>
  <c r="AW23" i="3" s="1"/>
  <c r="BC23" i="3" s="1"/>
  <c r="AK25" i="6"/>
  <c r="AW25" i="6" s="1"/>
  <c r="BC25" i="6" s="1"/>
  <c r="W29" i="2"/>
  <c r="AU29" i="2" s="1"/>
  <c r="BA29" i="2" s="1"/>
  <c r="AK22" i="6"/>
  <c r="AW22" i="6" s="1"/>
  <c r="BC22" i="6" s="1"/>
  <c r="AD14" i="4"/>
  <c r="AV14" i="4" s="1"/>
  <c r="BB14" i="4" s="1"/>
  <c r="P42" i="6"/>
  <c r="AT42" i="6" s="1"/>
  <c r="AD49" i="2"/>
  <c r="AV49" i="2" s="1"/>
  <c r="BB49" i="2" s="1"/>
  <c r="AD21" i="4"/>
  <c r="AV21" i="4" s="1"/>
  <c r="BB21" i="4" s="1"/>
  <c r="W15" i="3"/>
  <c r="AU15" i="3" s="1"/>
  <c r="BA15" i="3" s="1"/>
  <c r="AK32" i="5"/>
  <c r="AW32" i="5" s="1"/>
  <c r="BC32" i="5" s="1"/>
  <c r="BI35" i="5"/>
  <c r="BJ35" i="5" s="1"/>
  <c r="BH35" i="5"/>
  <c r="BH37" i="6"/>
  <c r="BI37" i="6"/>
  <c r="BJ37" i="6" s="1"/>
  <c r="AK21" i="3"/>
  <c r="AW21" i="3" s="1"/>
  <c r="BC21" i="3" s="1"/>
  <c r="BI30" i="3"/>
  <c r="BJ30" i="3" s="1"/>
  <c r="BH30" i="3"/>
  <c r="AR40" i="2"/>
  <c r="AX40" i="2" s="1"/>
  <c r="BD40" i="2" s="1"/>
  <c r="AK31" i="3"/>
  <c r="AW31" i="3" s="1"/>
  <c r="BC31" i="3" s="1"/>
  <c r="W26" i="5"/>
  <c r="AU26" i="5" s="1"/>
  <c r="BA26" i="5" s="1"/>
  <c r="W43" i="2"/>
  <c r="AU43" i="2" s="1"/>
  <c r="BA43" i="2" s="1"/>
  <c r="AR48" i="5"/>
  <c r="AX48" i="5" s="1"/>
  <c r="BD48" i="5" s="1"/>
  <c r="P50" i="5"/>
  <c r="AT50" i="5" s="1"/>
  <c r="AR12" i="5"/>
  <c r="AX12" i="5" s="1"/>
  <c r="BD12" i="5" s="1"/>
  <c r="P50" i="4"/>
  <c r="AT50" i="4" s="1"/>
  <c r="CS35" i="4"/>
  <c r="W30" i="6"/>
  <c r="AU30" i="6" s="1"/>
  <c r="BA30" i="6" s="1"/>
  <c r="BE51" i="2"/>
  <c r="BI11" i="2"/>
  <c r="BJ11" i="2" s="1"/>
  <c r="BH11" i="2"/>
  <c r="AD15" i="5"/>
  <c r="AV15" i="5" s="1"/>
  <c r="BB15" i="5" s="1"/>
  <c r="P13" i="3"/>
  <c r="AT13" i="3" s="1"/>
  <c r="W35" i="6"/>
  <c r="AU35" i="6" s="1"/>
  <c r="BA35" i="6" s="1"/>
  <c r="AD28" i="2"/>
  <c r="AV28" i="2" s="1"/>
  <c r="BB28" i="2" s="1"/>
  <c r="AK12" i="2"/>
  <c r="AW12" i="2" s="1"/>
  <c r="BC12" i="2" s="1"/>
  <c r="W29" i="3"/>
  <c r="AU29" i="3" s="1"/>
  <c r="BA29" i="3" s="1"/>
  <c r="P47" i="4"/>
  <c r="AT47" i="4" s="1"/>
  <c r="AR35" i="2"/>
  <c r="AX35" i="2" s="1"/>
  <c r="BD35" i="2" s="1"/>
  <c r="W39" i="5"/>
  <c r="AU39" i="5" s="1"/>
  <c r="BA39" i="5" s="1"/>
  <c r="AK20" i="4"/>
  <c r="AW20" i="4" s="1"/>
  <c r="BC20" i="4" s="1"/>
  <c r="AK40" i="3"/>
  <c r="AW40" i="3" s="1"/>
  <c r="BC40" i="3" s="1"/>
  <c r="W16" i="2"/>
  <c r="AU16" i="2" s="1"/>
  <c r="BA16" i="2" s="1"/>
  <c r="P27" i="5"/>
  <c r="AT27" i="5" s="1"/>
  <c r="BI26" i="3"/>
  <c r="BJ26" i="3" s="1"/>
  <c r="BH26" i="3"/>
  <c r="P14" i="6"/>
  <c r="AT14" i="6" s="1"/>
  <c r="P30" i="5"/>
  <c r="AT30" i="5" s="1"/>
  <c r="W27" i="6"/>
  <c r="AU27" i="6" s="1"/>
  <c r="BA27" i="6" s="1"/>
  <c r="BI13" i="6"/>
  <c r="BJ13" i="6" s="1"/>
  <c r="BH13" i="6"/>
  <c r="CS36" i="3"/>
  <c r="P20" i="2"/>
  <c r="AT20" i="2" s="1"/>
  <c r="AK47" i="2"/>
  <c r="AW47" i="2" s="1"/>
  <c r="BC47" i="2" s="1"/>
  <c r="AR41" i="6"/>
  <c r="AX41" i="6" s="1"/>
  <c r="BD41" i="6" s="1"/>
  <c r="BI31" i="5"/>
  <c r="BJ31" i="5" s="1"/>
  <c r="BH31" i="5"/>
  <c r="BI14" i="3"/>
  <c r="BJ14" i="3" s="1"/>
  <c r="BH14" i="3"/>
  <c r="W48" i="6"/>
  <c r="AU48" i="6" s="1"/>
  <c r="BA48" i="6" s="1"/>
  <c r="AD43" i="4"/>
  <c r="AV43" i="4" s="1"/>
  <c r="BB43" i="4" s="1"/>
  <c r="AR12" i="3"/>
  <c r="AX12" i="3" s="1"/>
  <c r="BD12" i="3" s="1"/>
  <c r="AR48" i="4"/>
  <c r="AX48" i="4" s="1"/>
  <c r="BD48" i="4" s="1"/>
  <c r="BJ37" i="3"/>
  <c r="BI37" i="3"/>
  <c r="BH37" i="3"/>
  <c r="W27" i="3"/>
  <c r="AU27" i="3" s="1"/>
  <c r="BA27" i="3" s="1"/>
  <c r="P41" i="2"/>
  <c r="AT41" i="2" s="1"/>
  <c r="W41" i="6"/>
  <c r="AU41" i="6" s="1"/>
  <c r="BA41" i="6" s="1"/>
  <c r="AR20" i="2"/>
  <c r="AX20" i="2" s="1"/>
  <c r="BD20" i="2" s="1"/>
  <c r="AD42" i="2"/>
  <c r="AV42" i="2" s="1"/>
  <c r="BB42" i="2" s="1"/>
  <c r="AD31" i="5"/>
  <c r="AV31" i="5" s="1"/>
  <c r="BB31" i="5" s="1"/>
  <c r="AR43" i="4"/>
  <c r="AX43" i="4" s="1"/>
  <c r="BD43" i="4" s="1"/>
  <c r="AK36" i="3"/>
  <c r="AW36" i="3" s="1"/>
  <c r="BC36" i="3" s="1"/>
  <c r="AR47" i="2"/>
  <c r="AX47" i="2" s="1"/>
  <c r="BD47" i="2" s="1"/>
  <c r="P37" i="3"/>
  <c r="AT37" i="3" s="1"/>
  <c r="AK27" i="3"/>
  <c r="AW27" i="3" s="1"/>
  <c r="BC27" i="3" s="1"/>
  <c r="AK47" i="3"/>
  <c r="AW47" i="3" s="1"/>
  <c r="BC47" i="3" s="1"/>
  <c r="BH23" i="2"/>
  <c r="BI23" i="2"/>
  <c r="BJ23" i="2" s="1"/>
  <c r="W44" i="2"/>
  <c r="AU44" i="2" s="1"/>
  <c r="BA44" i="2" s="1"/>
  <c r="BI41" i="5"/>
  <c r="BJ41" i="5" s="1"/>
  <c r="BO41" i="5" s="1"/>
  <c r="BQ41" i="5" s="1"/>
  <c r="BH41" i="5"/>
  <c r="W41" i="2"/>
  <c r="AU41" i="2" s="1"/>
  <c r="BA41" i="2" s="1"/>
  <c r="BI24" i="5"/>
  <c r="BH24" i="5"/>
  <c r="BJ24" i="5"/>
  <c r="W20" i="2"/>
  <c r="AU20" i="2" s="1"/>
  <c r="BA20" i="2" s="1"/>
  <c r="AD32" i="6"/>
  <c r="AV32" i="6" s="1"/>
  <c r="BB32" i="6" s="1"/>
  <c r="AR12" i="6"/>
  <c r="AX12" i="6" s="1"/>
  <c r="BD12" i="6" s="1"/>
  <c r="W33" i="4"/>
  <c r="AU33" i="4" s="1"/>
  <c r="BA33" i="4" s="1"/>
  <c r="AD18" i="4"/>
  <c r="AV18" i="4" s="1"/>
  <c r="BB18" i="4" s="1"/>
  <c r="AD43" i="3"/>
  <c r="AV43" i="3" s="1"/>
  <c r="BB43" i="3" s="1"/>
  <c r="W26" i="2"/>
  <c r="AU26" i="2" s="1"/>
  <c r="BA26" i="2" s="1"/>
  <c r="P42" i="2"/>
  <c r="AT42" i="2" s="1"/>
  <c r="AR31" i="2"/>
  <c r="AX31" i="2" s="1"/>
  <c r="BD31" i="2" s="1"/>
  <c r="P38" i="6"/>
  <c r="AT38" i="6" s="1"/>
  <c r="O51" i="3"/>
  <c r="P11" i="3"/>
  <c r="P34" i="3"/>
  <c r="AT34" i="3" s="1"/>
  <c r="AK42" i="5"/>
  <c r="AW42" i="5" s="1"/>
  <c r="BC42" i="5" s="1"/>
  <c r="W19" i="3"/>
  <c r="AU19" i="3" s="1"/>
  <c r="BA19" i="3" s="1"/>
  <c r="AK13" i="2"/>
  <c r="AW13" i="2" s="1"/>
  <c r="BC13" i="2" s="1"/>
  <c r="AK38" i="3"/>
  <c r="AW38" i="3" s="1"/>
  <c r="BC38" i="3" s="1"/>
  <c r="AD16" i="6"/>
  <c r="AV16" i="6" s="1"/>
  <c r="BB16" i="6" s="1"/>
  <c r="AD49" i="5"/>
  <c r="AV49" i="5" s="1"/>
  <c r="BB49" i="5" s="1"/>
  <c r="AD13" i="5"/>
  <c r="AV13" i="5" s="1"/>
  <c r="BB13" i="5" s="1"/>
  <c r="W14" i="4"/>
  <c r="AU14" i="4" s="1"/>
  <c r="BA14" i="4" s="1"/>
  <c r="W31" i="4"/>
  <c r="AU31" i="4" s="1"/>
  <c r="BA31" i="4" s="1"/>
  <c r="W27" i="2"/>
  <c r="AU27" i="2" s="1"/>
  <c r="BA27" i="2" s="1"/>
  <c r="BI37" i="4"/>
  <c r="BJ37" i="4" s="1"/>
  <c r="BH37" i="4"/>
  <c r="P15" i="4"/>
  <c r="AT15" i="4" s="1"/>
  <c r="O51" i="4"/>
  <c r="P11" i="4"/>
  <c r="P34" i="4"/>
  <c r="AT34" i="4" s="1"/>
  <c r="W48" i="4"/>
  <c r="AU48" i="4" s="1"/>
  <c r="BA48" i="4" s="1"/>
  <c r="P45" i="6"/>
  <c r="AT45" i="6" s="1"/>
  <c r="W21" i="6"/>
  <c r="AU21" i="6" s="1"/>
  <c r="BA21" i="6" s="1"/>
  <c r="BH46" i="5"/>
  <c r="BI46" i="5"/>
  <c r="BJ46" i="5" s="1"/>
  <c r="AK40" i="6"/>
  <c r="AW40" i="6" s="1"/>
  <c r="BC40" i="6" s="1"/>
  <c r="BI28" i="5"/>
  <c r="BJ28" i="5" s="1"/>
  <c r="BH28" i="5"/>
  <c r="AR38" i="4"/>
  <c r="AX38" i="4" s="1"/>
  <c r="BD38" i="4" s="1"/>
  <c r="BI49" i="4"/>
  <c r="BJ49" i="4" s="1"/>
  <c r="BH49" i="4"/>
  <c r="AR22" i="5"/>
  <c r="AX22" i="5" s="1"/>
  <c r="BD22" i="5" s="1"/>
  <c r="AD19" i="6"/>
  <c r="AV19" i="6" s="1"/>
  <c r="BB19" i="6" s="1"/>
  <c r="AK14" i="5"/>
  <c r="AW14" i="5" s="1"/>
  <c r="BC14" i="5" s="1"/>
  <c r="BI39" i="3"/>
  <c r="BJ39" i="3" s="1"/>
  <c r="BH39" i="3"/>
  <c r="BH16" i="3"/>
  <c r="BI16" i="3"/>
  <c r="BJ16" i="3" s="1"/>
  <c r="BH33" i="5"/>
  <c r="BI33" i="5"/>
  <c r="BJ33" i="5" s="1"/>
  <c r="AK16" i="4"/>
  <c r="AW16" i="4" s="1"/>
  <c r="BC16" i="4" s="1"/>
  <c r="AR46" i="2"/>
  <c r="AX46" i="2" s="1"/>
  <c r="BD46" i="2" s="1"/>
  <c r="W23" i="3"/>
  <c r="AU23" i="3" s="1"/>
  <c r="BA23" i="3" s="1"/>
  <c r="W25" i="6"/>
  <c r="AU25" i="6" s="1"/>
  <c r="BA25" i="6" s="1"/>
  <c r="AK44" i="6"/>
  <c r="AW44" i="6" s="1"/>
  <c r="BC44" i="6" s="1"/>
  <c r="BP51" i="5"/>
  <c r="CS11" i="5" s="1"/>
  <c r="AR42" i="6"/>
  <c r="AX42" i="6" s="1"/>
  <c r="BD42" i="6" s="1"/>
  <c r="W49" i="2"/>
  <c r="AU49" i="2" s="1"/>
  <c r="BA49" i="2" s="1"/>
  <c r="AK48" i="3"/>
  <c r="AW48" i="3" s="1"/>
  <c r="BC48" i="3" s="1"/>
  <c r="CS15" i="2"/>
  <c r="AR35" i="5"/>
  <c r="AX35" i="5" s="1"/>
  <c r="BD35" i="5" s="1"/>
  <c r="W45" i="5"/>
  <c r="AU45" i="5" s="1"/>
  <c r="BA45" i="5" s="1"/>
  <c r="W37" i="6"/>
  <c r="AU37" i="6" s="1"/>
  <c r="BA37" i="6" s="1"/>
  <c r="CS45" i="3"/>
  <c r="AK30" i="3"/>
  <c r="AW30" i="3" s="1"/>
  <c r="BC30" i="3" s="1"/>
  <c r="AK26" i="5"/>
  <c r="AW26" i="5" s="1"/>
  <c r="BC26" i="5" s="1"/>
  <c r="AR43" i="2"/>
  <c r="AX43" i="2" s="1"/>
  <c r="BD43" i="2" s="1"/>
  <c r="AD48" i="5"/>
  <c r="AV48" i="5" s="1"/>
  <c r="BB48" i="5" s="1"/>
  <c r="AD50" i="5"/>
  <c r="AV50" i="5" s="1"/>
  <c r="BB50" i="5" s="1"/>
  <c r="W12" i="5"/>
  <c r="AU12" i="5" s="1"/>
  <c r="BA12" i="5" s="1"/>
  <c r="BH33" i="2"/>
  <c r="BI33" i="2"/>
  <c r="BJ33" i="2" s="1"/>
  <c r="BO33" i="2" s="1"/>
  <c r="BQ33" i="2" s="1"/>
  <c r="AR50" i="4"/>
  <c r="AX50" i="4" s="1"/>
  <c r="BD50" i="4" s="1"/>
  <c r="P35" i="4"/>
  <c r="AT35" i="4" s="1"/>
  <c r="O51" i="2"/>
  <c r="P11" i="2"/>
  <c r="P34" i="2"/>
  <c r="AT34" i="2" s="1"/>
  <c r="P15" i="5"/>
  <c r="AT15" i="5" s="1"/>
  <c r="P35" i="6"/>
  <c r="AT35" i="6" s="1"/>
  <c r="BI28" i="6"/>
  <c r="BJ28" i="6" s="1"/>
  <c r="BO28" i="6" s="1"/>
  <c r="BQ28" i="6" s="1"/>
  <c r="BH28" i="6"/>
  <c r="AR28" i="2"/>
  <c r="AX28" i="2" s="1"/>
  <c r="BD28" i="2" s="1"/>
  <c r="AK25" i="2"/>
  <c r="AW25" i="2" s="1"/>
  <c r="BC25" i="2" s="1"/>
  <c r="BI22" i="3"/>
  <c r="BJ22" i="3" s="1"/>
  <c r="BH22" i="3"/>
  <c r="AK45" i="4"/>
  <c r="AW45" i="4" s="1"/>
  <c r="BC45" i="4" s="1"/>
  <c r="AD27" i="4"/>
  <c r="AV27" i="4" s="1"/>
  <c r="BB27" i="4" s="1"/>
  <c r="BI28" i="3"/>
  <c r="BJ28" i="3" s="1"/>
  <c r="BH28" i="3"/>
  <c r="AR47" i="4"/>
  <c r="AX47" i="4" s="1"/>
  <c r="BD47" i="4" s="1"/>
  <c r="P39" i="5"/>
  <c r="AT39" i="5" s="1"/>
  <c r="AD44" i="5"/>
  <c r="AV44" i="5" s="1"/>
  <c r="BB44" i="5" s="1"/>
  <c r="AD40" i="3"/>
  <c r="AV40" i="3" s="1"/>
  <c r="BB40" i="3" s="1"/>
  <c r="AK16" i="2"/>
  <c r="AW16" i="2" s="1"/>
  <c r="BC16" i="2" s="1"/>
  <c r="AD27" i="5"/>
  <c r="AV27" i="5" s="1"/>
  <c r="BB27" i="5" s="1"/>
  <c r="BH45" i="2"/>
  <c r="BI45" i="2"/>
  <c r="BJ45" i="2" s="1"/>
  <c r="CS26" i="3"/>
  <c r="P27" i="6"/>
  <c r="AT27" i="6" s="1"/>
  <c r="P13" i="6"/>
  <c r="AT13" i="6" s="1"/>
  <c r="AK21" i="4"/>
  <c r="AW21" i="4" s="1"/>
  <c r="BC21" i="4" s="1"/>
  <c r="BH41" i="2"/>
  <c r="BI41" i="2"/>
  <c r="BJ41" i="2" s="1"/>
  <c r="BI43" i="3"/>
  <c r="BJ43" i="3" s="1"/>
  <c r="BH43" i="3"/>
  <c r="W31" i="5"/>
  <c r="AU31" i="5" s="1"/>
  <c r="BA31" i="5" s="1"/>
  <c r="AR31" i="4"/>
  <c r="AX31" i="4" s="1"/>
  <c r="BD31" i="4" s="1"/>
  <c r="AK46" i="5"/>
  <c r="AW46" i="5" s="1"/>
  <c r="BC46" i="5" s="1"/>
  <c r="BI19" i="6"/>
  <c r="BJ19" i="6" s="1"/>
  <c r="BH19" i="6"/>
  <c r="AR39" i="3"/>
  <c r="AX39" i="3" s="1"/>
  <c r="BD39" i="3" s="1"/>
  <c r="P16" i="3"/>
  <c r="AT16" i="3" s="1"/>
  <c r="P16" i="4"/>
  <c r="AT16" i="4" s="1"/>
  <c r="AD23" i="3"/>
  <c r="AV23" i="3" s="1"/>
  <c r="BB23" i="3" s="1"/>
  <c r="BH29" i="5"/>
  <c r="BI29" i="5"/>
  <c r="BJ29" i="5" s="1"/>
  <c r="BO29" i="5" s="1"/>
  <c r="BQ29" i="5" s="1"/>
  <c r="W44" i="6"/>
  <c r="AU44" i="6" s="1"/>
  <c r="BA44" i="6" s="1"/>
  <c r="BE51" i="5"/>
  <c r="BI11" i="5"/>
  <c r="BH11" i="5"/>
  <c r="AD22" i="6"/>
  <c r="AV22" i="6" s="1"/>
  <c r="BB22" i="6" s="1"/>
  <c r="AR48" i="3"/>
  <c r="AX48" i="3" s="1"/>
  <c r="BD48" i="3" s="1"/>
  <c r="AR15" i="2"/>
  <c r="AX15" i="2" s="1"/>
  <c r="BD15" i="2" s="1"/>
  <c r="P15" i="3"/>
  <c r="AT15" i="3" s="1"/>
  <c r="AD35" i="5"/>
  <c r="AV35" i="5" s="1"/>
  <c r="BB35" i="5" s="1"/>
  <c r="AR45" i="5"/>
  <c r="AX45" i="5" s="1"/>
  <c r="BD45" i="5" s="1"/>
  <c r="AK37" i="6"/>
  <c r="AW37" i="6" s="1"/>
  <c r="BC37" i="6" s="1"/>
  <c r="AD21" i="3"/>
  <c r="AV21" i="3" s="1"/>
  <c r="BB21" i="3" s="1"/>
  <c r="BH45" i="3"/>
  <c r="BI45" i="3"/>
  <c r="BJ45" i="3" s="1"/>
  <c r="W30" i="3"/>
  <c r="AU30" i="3" s="1"/>
  <c r="BA30" i="3" s="1"/>
  <c r="AD40" i="2"/>
  <c r="AV40" i="2" s="1"/>
  <c r="BB40" i="2" s="1"/>
  <c r="BI25" i="4"/>
  <c r="BJ25" i="4" s="1"/>
  <c r="BH25" i="4"/>
  <c r="P31" i="3"/>
  <c r="AT31" i="3" s="1"/>
  <c r="AK48" i="5"/>
  <c r="AW48" i="5" s="1"/>
  <c r="BC48" i="5" s="1"/>
  <c r="AK50" i="5"/>
  <c r="AW50" i="5" s="1"/>
  <c r="BC50" i="5" s="1"/>
  <c r="AK12" i="5"/>
  <c r="AW12" i="5" s="1"/>
  <c r="BC12" i="5" s="1"/>
  <c r="P33" i="2"/>
  <c r="AT33" i="2" s="1"/>
  <c r="AK50" i="4"/>
  <c r="AW50" i="4" s="1"/>
  <c r="BC50" i="4" s="1"/>
  <c r="AR35" i="4"/>
  <c r="AX35" i="4" s="1"/>
  <c r="BD35" i="4" s="1"/>
  <c r="AC51" i="2"/>
  <c r="AD11" i="2"/>
  <c r="AD34" i="2"/>
  <c r="AV34" i="2" s="1"/>
  <c r="BB34" i="2" s="1"/>
  <c r="BI24" i="3"/>
  <c r="BJ24" i="3" s="1"/>
  <c r="BH24" i="3"/>
  <c r="AR35" i="6"/>
  <c r="AX35" i="6" s="1"/>
  <c r="BD35" i="6" s="1"/>
  <c r="P28" i="2"/>
  <c r="AT28" i="2" s="1"/>
  <c r="P25" i="2"/>
  <c r="AT25" i="2" s="1"/>
  <c r="BH12" i="2"/>
  <c r="BI12" i="2"/>
  <c r="BJ12" i="2" s="1"/>
  <c r="AK22" i="3"/>
  <c r="AW22" i="3" s="1"/>
  <c r="BC22" i="3" s="1"/>
  <c r="W45" i="4"/>
  <c r="AU45" i="4" s="1"/>
  <c r="BA45" i="4" s="1"/>
  <c r="AD29" i="3"/>
  <c r="AV29" i="3" s="1"/>
  <c r="BB29" i="3" s="1"/>
  <c r="BI32" i="2"/>
  <c r="BJ32" i="2" s="1"/>
  <c r="BH32" i="2"/>
  <c r="BI36" i="5"/>
  <c r="BJ36" i="5" s="1"/>
  <c r="BH36" i="5"/>
  <c r="P44" i="5"/>
  <c r="AT44" i="5" s="1"/>
  <c r="W40" i="3"/>
  <c r="AU40" i="3" s="1"/>
  <c r="BA40" i="3" s="1"/>
  <c r="W27" i="5"/>
  <c r="AU27" i="5" s="1"/>
  <c r="BA27" i="5" s="1"/>
  <c r="AR26" i="3"/>
  <c r="AX26" i="3" s="1"/>
  <c r="BD26" i="3" s="1"/>
  <c r="P44" i="3"/>
  <c r="AT44" i="3" s="1"/>
  <c r="AR13" i="6"/>
  <c r="AX13" i="6" s="1"/>
  <c r="BD13" i="6" s="1"/>
  <c r="CS14" i="3"/>
  <c r="CS37" i="3"/>
  <c r="W26" i="4"/>
  <c r="AU26" i="4" s="1"/>
  <c r="BA26" i="4" s="1"/>
  <c r="AK18" i="4"/>
  <c r="AW18" i="4" s="1"/>
  <c r="BC18" i="4" s="1"/>
  <c r="AK16" i="6"/>
  <c r="AW16" i="6" s="1"/>
  <c r="BC16" i="6" s="1"/>
  <c r="AD48" i="6"/>
  <c r="AV48" i="6" s="1"/>
  <c r="BB48" i="6" s="1"/>
  <c r="BI49" i="6"/>
  <c r="BJ49" i="6" s="1"/>
  <c r="BH49" i="6"/>
  <c r="AK43" i="6"/>
  <c r="AW43" i="6" s="1"/>
  <c r="BC43" i="6" s="1"/>
  <c r="P19" i="3"/>
  <c r="AT19" i="3" s="1"/>
  <c r="W40" i="6"/>
  <c r="AU40" i="6" s="1"/>
  <c r="BA40" i="6" s="1"/>
  <c r="W38" i="4"/>
  <c r="AU38" i="4" s="1"/>
  <c r="BA38" i="4" s="1"/>
  <c r="P40" i="4"/>
  <c r="AT40" i="4" s="1"/>
  <c r="W22" i="5"/>
  <c r="AU22" i="5" s="1"/>
  <c r="BA22" i="5" s="1"/>
  <c r="AR31" i="5"/>
  <c r="AX31" i="5" s="1"/>
  <c r="BD31" i="5" s="1"/>
  <c r="AR14" i="3"/>
  <c r="AX14" i="3" s="1"/>
  <c r="BD14" i="3" s="1"/>
  <c r="AR48" i="6"/>
  <c r="AX48" i="6" s="1"/>
  <c r="BD48" i="6" s="1"/>
  <c r="BI47" i="5"/>
  <c r="BJ47" i="5" s="1"/>
  <c r="BH47" i="5"/>
  <c r="P36" i="3"/>
  <c r="AT36" i="3" s="1"/>
  <c r="P47" i="2"/>
  <c r="AT47" i="2" s="1"/>
  <c r="AR23" i="4"/>
  <c r="AX23" i="4" s="1"/>
  <c r="BD23" i="4" s="1"/>
  <c r="CS46" i="4"/>
  <c r="AR37" i="3"/>
  <c r="AX37" i="3" s="1"/>
  <c r="BD37" i="3" s="1"/>
  <c r="BH18" i="5"/>
  <c r="BI18" i="5"/>
  <c r="BJ18" i="5" s="1"/>
  <c r="BH18" i="2"/>
  <c r="BI18" i="2"/>
  <c r="BJ18" i="2" s="1"/>
  <c r="W23" i="2"/>
  <c r="AU23" i="2" s="1"/>
  <c r="BA23" i="2" s="1"/>
  <c r="P44" i="2"/>
  <c r="AT44" i="2" s="1"/>
  <c r="P41" i="5"/>
  <c r="AT41" i="5" s="1"/>
  <c r="P24" i="5"/>
  <c r="AT24" i="5" s="1"/>
  <c r="AK20" i="2"/>
  <c r="AW20" i="2" s="1"/>
  <c r="BC20" i="2" s="1"/>
  <c r="W32" i="6"/>
  <c r="AU32" i="6" s="1"/>
  <c r="BA32" i="6" s="1"/>
  <c r="AK14" i="4"/>
  <c r="AW14" i="4" s="1"/>
  <c r="BC14" i="4" s="1"/>
  <c r="AR22" i="4"/>
  <c r="AX22" i="4" s="1"/>
  <c r="BD22" i="4" s="1"/>
  <c r="AK12" i="6"/>
  <c r="AW12" i="6" s="1"/>
  <c r="BC12" i="6" s="1"/>
  <c r="P31" i="6"/>
  <c r="AT31" i="6" s="1"/>
  <c r="AD33" i="4"/>
  <c r="AV33" i="4" s="1"/>
  <c r="BB33" i="4" s="1"/>
  <c r="P43" i="3"/>
  <c r="AT43" i="3" s="1"/>
  <c r="BI38" i="5"/>
  <c r="BJ38" i="5" s="1"/>
  <c r="BH38" i="5"/>
  <c r="AK42" i="2"/>
  <c r="AW42" i="2" s="1"/>
  <c r="BC42" i="2" s="1"/>
  <c r="AD49" i="6"/>
  <c r="AV49" i="6" s="1"/>
  <c r="BB49" i="6" s="1"/>
  <c r="W38" i="6"/>
  <c r="AU38" i="6" s="1"/>
  <c r="BA38" i="6" s="1"/>
  <c r="AC51" i="3"/>
  <c r="AD11" i="3"/>
  <c r="AD34" i="3"/>
  <c r="AV34" i="3" s="1"/>
  <c r="BB34" i="3" s="1"/>
  <c r="AD43" i="6"/>
  <c r="AV43" i="6" s="1"/>
  <c r="BB43" i="6" s="1"/>
  <c r="BI42" i="3"/>
  <c r="BJ42" i="3" s="1"/>
  <c r="BH42" i="3"/>
  <c r="AD42" i="5"/>
  <c r="AV42" i="5" s="1"/>
  <c r="BB42" i="5" s="1"/>
  <c r="P50" i="6"/>
  <c r="AT50" i="6" s="1"/>
  <c r="AD19" i="3"/>
  <c r="AV19" i="3" s="1"/>
  <c r="BB19" i="3" s="1"/>
  <c r="BI32" i="3"/>
  <c r="BJ32" i="3" s="1"/>
  <c r="BH32" i="3"/>
  <c r="P38" i="3"/>
  <c r="AT38" i="3" s="1"/>
  <c r="W49" i="5"/>
  <c r="AU49" i="5" s="1"/>
  <c r="BA49" i="5" s="1"/>
  <c r="P31" i="4"/>
  <c r="AT31" i="4" s="1"/>
  <c r="P36" i="6"/>
  <c r="AT36" i="6" s="1"/>
  <c r="AR37" i="4"/>
  <c r="AX37" i="4" s="1"/>
  <c r="BD37" i="4" s="1"/>
  <c r="AR15" i="4"/>
  <c r="AX15" i="4" s="1"/>
  <c r="BD15" i="4" s="1"/>
  <c r="BH47" i="6"/>
  <c r="BI47" i="6"/>
  <c r="BJ47" i="6" s="1"/>
  <c r="BE51" i="4"/>
  <c r="BH11" i="4"/>
  <c r="BI11" i="4"/>
  <c r="BJ11" i="4" s="1"/>
  <c r="AR23" i="6"/>
  <c r="AX23" i="6" s="1"/>
  <c r="BD23" i="6" s="1"/>
  <c r="AD45" i="6"/>
  <c r="AV45" i="6" s="1"/>
  <c r="BB45" i="6" s="1"/>
  <c r="BI24" i="4"/>
  <c r="BJ24" i="4" s="1"/>
  <c r="BH24" i="4"/>
  <c r="W46" i="5"/>
  <c r="AU46" i="5" s="1"/>
  <c r="BA46" i="5" s="1"/>
  <c r="AD40" i="6"/>
  <c r="AV40" i="6" s="1"/>
  <c r="BB40" i="6" s="1"/>
  <c r="AD28" i="5"/>
  <c r="AV28" i="5" s="1"/>
  <c r="BB28" i="5" s="1"/>
  <c r="AD38" i="4"/>
  <c r="AV38" i="4" s="1"/>
  <c r="BB38" i="4" s="1"/>
  <c r="AD40" i="4"/>
  <c r="AV40" i="4" s="1"/>
  <c r="BB40" i="4" s="1"/>
  <c r="AR50" i="3"/>
  <c r="AX50" i="3" s="1"/>
  <c r="BD50" i="3" s="1"/>
  <c r="W49" i="4"/>
  <c r="AU49" i="4" s="1"/>
  <c r="BA49" i="4" s="1"/>
  <c r="AK22" i="5"/>
  <c r="AW22" i="5" s="1"/>
  <c r="BC22" i="5" s="1"/>
  <c r="AR19" i="6"/>
  <c r="AX19" i="6" s="1"/>
  <c r="BD19" i="6" s="1"/>
  <c r="V51" i="6"/>
  <c r="W11" i="6"/>
  <c r="W34" i="6"/>
  <c r="AU34" i="6" s="1"/>
  <c r="BA34" i="6" s="1"/>
  <c r="AD39" i="3"/>
  <c r="AV39" i="3" s="1"/>
  <c r="BB39" i="3" s="1"/>
  <c r="AD16" i="3"/>
  <c r="AV16" i="3" s="1"/>
  <c r="BB16" i="3" s="1"/>
  <c r="W33" i="5"/>
  <c r="AU33" i="5" s="1"/>
  <c r="BA33" i="5" s="1"/>
  <c r="AD16" i="4"/>
  <c r="AV16" i="4" s="1"/>
  <c r="BB16" i="4" s="1"/>
  <c r="W19" i="2"/>
  <c r="AU19" i="2" s="1"/>
  <c r="BA19" i="2" s="1"/>
  <c r="AD44" i="6"/>
  <c r="AV44" i="6" s="1"/>
  <c r="BB44" i="6" s="1"/>
  <c r="AQ51" i="5"/>
  <c r="AR11" i="5"/>
  <c r="AR34" i="5"/>
  <c r="AX34" i="5" s="1"/>
  <c r="BD34" i="5" s="1"/>
  <c r="AR22" i="6"/>
  <c r="AX22" i="6" s="1"/>
  <c r="BD22" i="6" s="1"/>
  <c r="BH25" i="5"/>
  <c r="BI25" i="5"/>
  <c r="BJ25" i="5" s="1"/>
  <c r="P49" i="2"/>
  <c r="AT49" i="2" s="1"/>
  <c r="AD48" i="3"/>
  <c r="AV48" i="3" s="1"/>
  <c r="BB48" i="3" s="1"/>
  <c r="AD15" i="2"/>
  <c r="AV15" i="2" s="1"/>
  <c r="BB15" i="2" s="1"/>
  <c r="AR15" i="3"/>
  <c r="AX15" i="3" s="1"/>
  <c r="BD15" i="3" s="1"/>
  <c r="CS25" i="3"/>
  <c r="AD45" i="5"/>
  <c r="AV45" i="5" s="1"/>
  <c r="BB45" i="5" s="1"/>
  <c r="P37" i="6"/>
  <c r="AT37" i="6" s="1"/>
  <c r="BI46" i="6"/>
  <c r="BJ46" i="6" s="1"/>
  <c r="BH46" i="6"/>
  <c r="AK45" i="3"/>
  <c r="AW45" i="3" s="1"/>
  <c r="BC45" i="3" s="1"/>
  <c r="P30" i="3"/>
  <c r="AT30" i="3" s="1"/>
  <c r="W40" i="2"/>
  <c r="AU40" i="2" s="1"/>
  <c r="BA40" i="2" s="1"/>
  <c r="AR25" i="4"/>
  <c r="AX25" i="4" s="1"/>
  <c r="BD25" i="4" s="1"/>
  <c r="AD31" i="3"/>
  <c r="AV31" i="3" s="1"/>
  <c r="BB31" i="3" s="1"/>
  <c r="BI46" i="3"/>
  <c r="BJ46" i="3" s="1"/>
  <c r="BH46" i="3"/>
  <c r="AD43" i="2"/>
  <c r="AV43" i="2" s="1"/>
  <c r="BB43" i="2" s="1"/>
  <c r="W48" i="5"/>
  <c r="AU48" i="5" s="1"/>
  <c r="BA48" i="5" s="1"/>
  <c r="AD33" i="2"/>
  <c r="AV33" i="2" s="1"/>
  <c r="BB33" i="2" s="1"/>
  <c r="W35" i="4"/>
  <c r="AU35" i="4" s="1"/>
  <c r="BA35" i="4" s="1"/>
  <c r="BI16" i="5"/>
  <c r="BJ16" i="5" s="1"/>
  <c r="BH16" i="5"/>
  <c r="AQ51" i="2"/>
  <c r="AR11" i="2"/>
  <c r="AR34" i="2"/>
  <c r="AX34" i="2" s="1"/>
  <c r="BD34" i="2" s="1"/>
  <c r="W15" i="5"/>
  <c r="AU15" i="5" s="1"/>
  <c r="BA15" i="5" s="1"/>
  <c r="AR24" i="3"/>
  <c r="AX24" i="3" s="1"/>
  <c r="BD24" i="3" s="1"/>
  <c r="AR28" i="6"/>
  <c r="AX28" i="6" s="1"/>
  <c r="BD28" i="6" s="1"/>
  <c r="W28" i="2"/>
  <c r="AU28" i="2" s="1"/>
  <c r="BA28" i="2" s="1"/>
  <c r="BH25" i="2"/>
  <c r="BI25" i="2"/>
  <c r="BJ25" i="2" s="1"/>
  <c r="P12" i="2"/>
  <c r="AT12" i="2" s="1"/>
  <c r="W22" i="3"/>
  <c r="AU22" i="3" s="1"/>
  <c r="BA22" i="3" s="1"/>
  <c r="P45" i="4"/>
  <c r="AT45" i="4" s="1"/>
  <c r="CS32" i="4"/>
  <c r="AK28" i="3"/>
  <c r="AW28" i="3" s="1"/>
  <c r="BC28" i="3" s="1"/>
  <c r="W47" i="4"/>
  <c r="AU47" i="4" s="1"/>
  <c r="BA47" i="4" s="1"/>
  <c r="AR39" i="5"/>
  <c r="AX39" i="5" s="1"/>
  <c r="BD39" i="5" s="1"/>
  <c r="CS36" i="5"/>
  <c r="AR44" i="5"/>
  <c r="AX44" i="5" s="1"/>
  <c r="BD44" i="5" s="1"/>
  <c r="CS42" i="4"/>
  <c r="BI16" i="2"/>
  <c r="BJ16" i="2" s="1"/>
  <c r="BH16" i="2"/>
  <c r="AR27" i="5"/>
  <c r="AX27" i="5" s="1"/>
  <c r="BD27" i="5" s="1"/>
  <c r="P45" i="2"/>
  <c r="AT45" i="2" s="1"/>
  <c r="AD26" i="3"/>
  <c r="AV26" i="3" s="1"/>
  <c r="BB26" i="3" s="1"/>
  <c r="AD13" i="6"/>
  <c r="AV13" i="6" s="1"/>
  <c r="BB13" i="6" s="1"/>
  <c r="BH40" i="6"/>
  <c r="BI40" i="6"/>
  <c r="BJ40" i="6" s="1"/>
  <c r="BI45" i="5"/>
  <c r="BJ45" i="5" s="1"/>
  <c r="BH45" i="5"/>
  <c r="AK43" i="4"/>
  <c r="AW43" i="4" s="1"/>
  <c r="BC43" i="4" s="1"/>
  <c r="AD43" i="5"/>
  <c r="AV43" i="5" s="1"/>
  <c r="BB43" i="5" s="1"/>
  <c r="AK48" i="6"/>
  <c r="AW48" i="6" s="1"/>
  <c r="BC48" i="6" s="1"/>
  <c r="BI36" i="3"/>
  <c r="BJ36" i="3" s="1"/>
  <c r="BH36" i="3"/>
  <c r="AR27" i="3"/>
  <c r="AX27" i="3" s="1"/>
  <c r="BD27" i="3" s="1"/>
  <c r="AK26" i="2"/>
  <c r="AW26" i="2" s="1"/>
  <c r="BC26" i="2" s="1"/>
  <c r="AD26" i="4"/>
  <c r="AV26" i="4" s="1"/>
  <c r="BB26" i="4" s="1"/>
  <c r="W22" i="4"/>
  <c r="AU22" i="4" s="1"/>
  <c r="BA22" i="4" s="1"/>
  <c r="P33" i="4"/>
  <c r="AT33" i="4" s="1"/>
  <c r="BH21" i="5"/>
  <c r="BI21" i="5"/>
  <c r="BJ21" i="5" s="1"/>
  <c r="BO21" i="5" s="1"/>
  <c r="BQ21" i="5" s="1"/>
  <c r="CS38" i="5"/>
  <c r="AD38" i="6"/>
  <c r="AV38" i="6" s="1"/>
  <c r="BB38" i="6" s="1"/>
  <c r="W42" i="3"/>
  <c r="AU42" i="3" s="1"/>
  <c r="BA42" i="3" s="1"/>
  <c r="P42" i="5"/>
  <c r="AT42" i="5" s="1"/>
  <c r="BI50" i="6"/>
  <c r="BJ50" i="6" s="1"/>
  <c r="BH50" i="6"/>
  <c r="P13" i="2"/>
  <c r="AT13" i="2" s="1"/>
  <c r="W38" i="3"/>
  <c r="AU38" i="3" s="1"/>
  <c r="BA38" i="3" s="1"/>
  <c r="BI44" i="4"/>
  <c r="BJ44" i="4" s="1"/>
  <c r="BH44" i="4"/>
  <c r="AK27" i="2"/>
  <c r="AW27" i="2" s="1"/>
  <c r="BC27" i="2" s="1"/>
  <c r="AD15" i="4"/>
  <c r="AV15" i="4" s="1"/>
  <c r="BB15" i="4" s="1"/>
  <c r="BH23" i="6"/>
  <c r="BI23" i="6"/>
  <c r="BJ23" i="6" s="1"/>
  <c r="AR28" i="5"/>
  <c r="AX28" i="5" s="1"/>
  <c r="BD28" i="5" s="1"/>
  <c r="AK31" i="5"/>
  <c r="AW31" i="5" s="1"/>
  <c r="BC31" i="5" s="1"/>
  <c r="W14" i="3"/>
  <c r="AU14" i="3" s="1"/>
  <c r="BA14" i="3" s="1"/>
  <c r="W47" i="5"/>
  <c r="AU47" i="5" s="1"/>
  <c r="BA47" i="5" s="1"/>
  <c r="AR36" i="3"/>
  <c r="AX36" i="3" s="1"/>
  <c r="BD36" i="3" s="1"/>
  <c r="W23" i="4"/>
  <c r="AU23" i="4" s="1"/>
  <c r="BA23" i="4" s="1"/>
  <c r="P46" i="4"/>
  <c r="AT46" i="4" s="1"/>
  <c r="W37" i="3"/>
  <c r="AU37" i="3" s="1"/>
  <c r="BA37" i="3" s="1"/>
  <c r="BI38" i="2"/>
  <c r="BJ38" i="2" s="1"/>
  <c r="BH38" i="2"/>
  <c r="P18" i="2"/>
  <c r="AT18" i="2" s="1"/>
  <c r="P23" i="2"/>
  <c r="AT23" i="2" s="1"/>
  <c r="AK41" i="5"/>
  <c r="AW41" i="5" s="1"/>
  <c r="BC41" i="5" s="1"/>
  <c r="AD41" i="2"/>
  <c r="AV41" i="2" s="1"/>
  <c r="BB41" i="2" s="1"/>
  <c r="BI43" i="5"/>
  <c r="BJ43" i="5" s="1"/>
  <c r="BH43" i="5"/>
  <c r="AD24" i="5"/>
  <c r="AV24" i="5" s="1"/>
  <c r="BB24" i="5" s="1"/>
  <c r="CS35" i="3"/>
  <c r="P32" i="6"/>
  <c r="AT32" i="6" s="1"/>
  <c r="CS39" i="4"/>
  <c r="AK22" i="4"/>
  <c r="AW22" i="4" s="1"/>
  <c r="BC22" i="4" s="1"/>
  <c r="AR33" i="3"/>
  <c r="AX33" i="3" s="1"/>
  <c r="BD33" i="3" s="1"/>
  <c r="W31" i="6"/>
  <c r="AU31" i="6" s="1"/>
  <c r="BA31" i="6" s="1"/>
  <c r="AR33" i="4"/>
  <c r="AX33" i="4" s="1"/>
  <c r="BD33" i="4" s="1"/>
  <c r="AR21" i="5"/>
  <c r="AX21" i="5" s="1"/>
  <c r="BD21" i="5" s="1"/>
  <c r="AK43" i="3"/>
  <c r="AW43" i="3" s="1"/>
  <c r="BC43" i="3" s="1"/>
  <c r="AR42" i="2"/>
  <c r="AX42" i="2" s="1"/>
  <c r="BD42" i="2" s="1"/>
  <c r="AR49" i="6"/>
  <c r="AX49" i="6" s="1"/>
  <c r="BD49" i="6" s="1"/>
  <c r="BI41" i="4"/>
  <c r="BJ41" i="4" s="1"/>
  <c r="BH41" i="4"/>
  <c r="BE51" i="3"/>
  <c r="BH11" i="3"/>
  <c r="BI11" i="3"/>
  <c r="BJ11" i="3" s="1"/>
  <c r="W43" i="6"/>
  <c r="AU43" i="6" s="1"/>
  <c r="BA43" i="6" s="1"/>
  <c r="P42" i="3"/>
  <c r="AT42" i="3" s="1"/>
  <c r="W50" i="6"/>
  <c r="AU50" i="6" s="1"/>
  <c r="BA50" i="6" s="1"/>
  <c r="AR19" i="3"/>
  <c r="AX19" i="3" s="1"/>
  <c r="BD19" i="3" s="1"/>
  <c r="AD38" i="3"/>
  <c r="AV38" i="3" s="1"/>
  <c r="BB38" i="3" s="1"/>
  <c r="W44" i="4"/>
  <c r="AU44" i="4" s="1"/>
  <c r="BA44" i="4" s="1"/>
  <c r="P49" i="5"/>
  <c r="AT49" i="5" s="1"/>
  <c r="AD48" i="2"/>
  <c r="AV48" i="2" s="1"/>
  <c r="BB48" i="2" s="1"/>
  <c r="W36" i="6"/>
  <c r="AU36" i="6" s="1"/>
  <c r="BA36" i="6" s="1"/>
  <c r="AR27" i="2"/>
  <c r="AX27" i="2" s="1"/>
  <c r="BD27" i="2" s="1"/>
  <c r="AD37" i="4"/>
  <c r="AV37" i="4" s="1"/>
  <c r="BB37" i="4" s="1"/>
  <c r="W15" i="4"/>
  <c r="AU15" i="4" s="1"/>
  <c r="BA15" i="4" s="1"/>
  <c r="AR47" i="6"/>
  <c r="AX47" i="6" s="1"/>
  <c r="BD47" i="6" s="1"/>
  <c r="AJ51" i="4"/>
  <c r="AK11" i="4"/>
  <c r="AK34" i="4"/>
  <c r="AW34" i="4" s="1"/>
  <c r="BC34" i="4" s="1"/>
  <c r="W23" i="6"/>
  <c r="AU23" i="6" s="1"/>
  <c r="BA23" i="6" s="1"/>
  <c r="AR45" i="6"/>
  <c r="AX45" i="6" s="1"/>
  <c r="BD45" i="6" s="1"/>
  <c r="AR24" i="4"/>
  <c r="AX24" i="4" s="1"/>
  <c r="BD24" i="4" s="1"/>
  <c r="AD46" i="5"/>
  <c r="AV46" i="5" s="1"/>
  <c r="BB46" i="5" s="1"/>
  <c r="BH30" i="2"/>
  <c r="BI30" i="2"/>
  <c r="BJ30" i="2" s="1"/>
  <c r="CS39" i="2"/>
  <c r="AR40" i="4"/>
  <c r="AX40" i="4" s="1"/>
  <c r="BD40" i="4" s="1"/>
  <c r="CS20" i="3"/>
  <c r="AR49" i="4"/>
  <c r="AX49" i="4" s="1"/>
  <c r="BD49" i="4" s="1"/>
  <c r="CS13" i="4"/>
  <c r="W19" i="6"/>
  <c r="AU19" i="6" s="1"/>
  <c r="BA19" i="6" s="1"/>
  <c r="BE51" i="6"/>
  <c r="BH11" i="6"/>
  <c r="BI11" i="6"/>
  <c r="P39" i="3"/>
  <c r="AT39" i="3" s="1"/>
  <c r="AR16" i="3"/>
  <c r="AX16" i="3" s="1"/>
  <c r="BD16" i="3" s="1"/>
  <c r="AR33" i="5"/>
  <c r="AX33" i="5" s="1"/>
  <c r="BD33" i="5" s="1"/>
  <c r="AR16" i="4"/>
  <c r="AX16" i="4" s="1"/>
  <c r="BD16" i="4" s="1"/>
  <c r="AK19" i="2"/>
  <c r="AW19" i="2" s="1"/>
  <c r="BC19" i="2" s="1"/>
  <c r="P23" i="3"/>
  <c r="AT23" i="3" s="1"/>
  <c r="AK29" i="5"/>
  <c r="AW29" i="5" s="1"/>
  <c r="BC29" i="5" s="1"/>
  <c r="AR44" i="6"/>
  <c r="AX44" i="6" s="1"/>
  <c r="BD44" i="6" s="1"/>
  <c r="V51" i="5"/>
  <c r="W11" i="5"/>
  <c r="W34" i="5"/>
  <c r="AU34" i="5" s="1"/>
  <c r="BA34" i="5" s="1"/>
  <c r="P22" i="6"/>
  <c r="AT22" i="6" s="1"/>
  <c r="BO48" i="2"/>
  <c r="BQ48" i="2" s="1"/>
  <c r="AR49" i="2"/>
  <c r="AX49" i="2" s="1"/>
  <c r="BD49" i="2" s="1"/>
  <c r="W48" i="3"/>
  <c r="AU48" i="3" s="1"/>
  <c r="BA48" i="3" s="1"/>
  <c r="P15" i="2"/>
  <c r="AT15" i="2" s="1"/>
  <c r="AK15" i="3"/>
  <c r="AW15" i="3" s="1"/>
  <c r="BC15" i="3" s="1"/>
  <c r="BI25" i="3"/>
  <c r="BJ25" i="3" s="1"/>
  <c r="BH25" i="3"/>
  <c r="W35" i="5"/>
  <c r="AU35" i="5" s="1"/>
  <c r="BA35" i="5" s="1"/>
  <c r="BI29" i="4"/>
  <c r="BJ29" i="4" s="1"/>
  <c r="BH29" i="4"/>
  <c r="AD46" i="6"/>
  <c r="AV46" i="6" s="1"/>
  <c r="BB46" i="6" s="1"/>
  <c r="P45" i="3"/>
  <c r="AT45" i="3" s="1"/>
  <c r="AD30" i="3"/>
  <c r="AV30" i="3" s="1"/>
  <c r="BB30" i="3" s="1"/>
  <c r="P25" i="4"/>
  <c r="AT25" i="4" s="1"/>
  <c r="AR31" i="3"/>
  <c r="AX31" i="3" s="1"/>
  <c r="BD31" i="3" s="1"/>
  <c r="W46" i="3"/>
  <c r="AU46" i="3" s="1"/>
  <c r="BA46" i="3" s="1"/>
  <c r="AK43" i="2"/>
  <c r="AW43" i="2" s="1"/>
  <c r="BC43" i="2" s="1"/>
  <c r="AR50" i="5"/>
  <c r="AX50" i="5" s="1"/>
  <c r="BD50" i="5" s="1"/>
  <c r="CS28" i="4"/>
  <c r="AR33" i="2"/>
  <c r="AX33" i="2" s="1"/>
  <c r="BD33" i="2" s="1"/>
  <c r="BH29" i="6"/>
  <c r="BI29" i="6"/>
  <c r="BJ29" i="6" s="1"/>
  <c r="AK35" i="4"/>
  <c r="AW35" i="4" s="1"/>
  <c r="BC35" i="4" s="1"/>
  <c r="W11" i="2"/>
  <c r="V51" i="2"/>
  <c r="W34" i="2"/>
  <c r="AU34" i="2" s="1"/>
  <c r="BA34" i="2" s="1"/>
  <c r="AK15" i="5"/>
  <c r="AW15" i="5" s="1"/>
  <c r="BC15" i="5" s="1"/>
  <c r="P24" i="3"/>
  <c r="AT24" i="3" s="1"/>
  <c r="CS30" i="4"/>
  <c r="W28" i="6"/>
  <c r="AU28" i="6" s="1"/>
  <c r="BA28" i="6" s="1"/>
  <c r="BI20" i="6"/>
  <c r="BJ20" i="6" s="1"/>
  <c r="BH20" i="6"/>
  <c r="AD25" i="2"/>
  <c r="AV25" i="2" s="1"/>
  <c r="BB25" i="2" s="1"/>
  <c r="BH22" i="2"/>
  <c r="BI22" i="2"/>
  <c r="BJ22" i="2" s="1"/>
  <c r="AD22" i="3"/>
  <c r="AV22" i="3" s="1"/>
  <c r="BB22" i="3" s="1"/>
  <c r="AD45" i="4"/>
  <c r="AV45" i="4" s="1"/>
  <c r="BB45" i="4" s="1"/>
  <c r="BI32" i="4"/>
  <c r="BJ32" i="4" s="1"/>
  <c r="BH32" i="4"/>
  <c r="W28" i="3"/>
  <c r="AU28" i="3" s="1"/>
  <c r="BA28" i="3" s="1"/>
  <c r="AK47" i="4"/>
  <c r="AW47" i="4" s="1"/>
  <c r="BC47" i="4" s="1"/>
  <c r="W32" i="2"/>
  <c r="AU32" i="2" s="1"/>
  <c r="BA32" i="2" s="1"/>
  <c r="AK39" i="5"/>
  <c r="AW39" i="5" s="1"/>
  <c r="BC39" i="5" s="1"/>
  <c r="AR36" i="5"/>
  <c r="AX36" i="5" s="1"/>
  <c r="BD36" i="5" s="1"/>
  <c r="W44" i="5"/>
  <c r="AU44" i="5" s="1"/>
  <c r="BA44" i="5" s="1"/>
  <c r="BI42" i="4"/>
  <c r="BJ42" i="4" s="1"/>
  <c r="BH42" i="4"/>
  <c r="AD16" i="2"/>
  <c r="AV16" i="2" s="1"/>
  <c r="BB16" i="2" s="1"/>
  <c r="AK49" i="3"/>
  <c r="AW49" i="3" s="1"/>
  <c r="BC49" i="3" s="1"/>
  <c r="W26" i="3"/>
  <c r="AU26" i="3" s="1"/>
  <c r="BA26" i="3" s="1"/>
  <c r="W14" i="6"/>
  <c r="AU14" i="6" s="1"/>
  <c r="BA14" i="6" s="1"/>
  <c r="BI26" i="6"/>
  <c r="BJ26" i="6" s="1"/>
  <c r="BH26" i="6"/>
  <c r="AK13" i="6"/>
  <c r="AW13" i="6" s="1"/>
  <c r="BC13" i="6" s="1"/>
  <c r="BI50" i="3"/>
  <c r="BJ50" i="3" s="1"/>
  <c r="BH50" i="3"/>
  <c r="AJ51" i="6"/>
  <c r="AK11" i="6"/>
  <c r="AK34" i="6"/>
  <c r="AW34" i="6" s="1"/>
  <c r="BC34" i="6" s="1"/>
  <c r="BI18" i="6"/>
  <c r="BJ18" i="6" s="1"/>
  <c r="BO18" i="6" s="1"/>
  <c r="BQ18" i="6" s="1"/>
  <c r="BH18" i="6"/>
  <c r="P46" i="2"/>
  <c r="AT46" i="2" s="1"/>
  <c r="P25" i="6"/>
  <c r="AT25" i="6" s="1"/>
  <c r="AK29" i="2"/>
  <c r="AW29" i="2" s="1"/>
  <c r="BC29" i="2" s="1"/>
  <c r="W42" i="6"/>
  <c r="AU42" i="6" s="1"/>
  <c r="BA42" i="6" s="1"/>
  <c r="P25" i="5"/>
  <c r="AT25" i="5" s="1"/>
  <c r="CS48" i="3"/>
  <c r="BO19" i="5"/>
  <c r="BQ19" i="5" s="1"/>
  <c r="W47" i="2"/>
  <c r="AU47" i="2" s="1"/>
  <c r="BA47" i="2" s="1"/>
  <c r="AK18" i="5"/>
  <c r="AW18" i="5" s="1"/>
  <c r="BC18" i="5" s="1"/>
  <c r="AR37" i="5"/>
  <c r="AX37" i="5" s="1"/>
  <c r="BD37" i="5" s="1"/>
  <c r="CS42" i="2"/>
  <c r="AR13" i="5"/>
  <c r="AX13" i="5" s="1"/>
  <c r="BD13" i="5" s="1"/>
  <c r="AD14" i="3"/>
  <c r="AV14" i="3" s="1"/>
  <c r="BB14" i="3" s="1"/>
  <c r="BI23" i="4"/>
  <c r="BJ23" i="4" s="1"/>
  <c r="BH23" i="4"/>
  <c r="BH46" i="4"/>
  <c r="BI46" i="4"/>
  <c r="BJ46" i="4" s="1"/>
  <c r="AK37" i="3"/>
  <c r="AW37" i="3" s="1"/>
  <c r="BC37" i="3" s="1"/>
  <c r="AK18" i="2"/>
  <c r="AW18" i="2" s="1"/>
  <c r="BC18" i="2" s="1"/>
  <c r="W47" i="3"/>
  <c r="AU47" i="3" s="1"/>
  <c r="BA47" i="3" s="1"/>
  <c r="AK44" i="2"/>
  <c r="AW44" i="2" s="1"/>
  <c r="BC44" i="2" s="1"/>
  <c r="AR41" i="5"/>
  <c r="AX41" i="5" s="1"/>
  <c r="BD41" i="5" s="1"/>
  <c r="AK41" i="2"/>
  <c r="AW41" i="2" s="1"/>
  <c r="BC41" i="2" s="1"/>
  <c r="W12" i="6"/>
  <c r="AU12" i="6" s="1"/>
  <c r="BA12" i="6" s="1"/>
  <c r="BI31" i="6"/>
  <c r="BJ31" i="6" s="1"/>
  <c r="BH31" i="6"/>
  <c r="AR43" i="3"/>
  <c r="AX43" i="3" s="1"/>
  <c r="BD43" i="3" s="1"/>
  <c r="BI36" i="6"/>
  <c r="BJ36" i="6" s="1"/>
  <c r="BH36" i="6"/>
  <c r="CS37" i="4"/>
  <c r="AK45" i="6"/>
  <c r="AW45" i="6" s="1"/>
  <c r="BC45" i="6" s="1"/>
  <c r="AD50" i="3"/>
  <c r="AV50" i="3" s="1"/>
  <c r="BB50" i="3" s="1"/>
  <c r="AR14" i="4"/>
  <c r="AX14" i="4" s="1"/>
  <c r="BD14" i="4" s="1"/>
  <c r="AK14" i="3"/>
  <c r="AW14" i="3" s="1"/>
  <c r="BC14" i="3" s="1"/>
  <c r="P47" i="5"/>
  <c r="AT47" i="5" s="1"/>
  <c r="AD36" i="3"/>
  <c r="AV36" i="3" s="1"/>
  <c r="BB36" i="3" s="1"/>
  <c r="CS12" i="3"/>
  <c r="AK23" i="4"/>
  <c r="AW23" i="4" s="1"/>
  <c r="BC23" i="4" s="1"/>
  <c r="W46" i="4"/>
  <c r="AU46" i="4" s="1"/>
  <c r="BA46" i="4" s="1"/>
  <c r="CS38" i="2"/>
  <c r="AD18" i="5"/>
  <c r="AV18" i="5" s="1"/>
  <c r="BB18" i="5" s="1"/>
  <c r="AD18" i="2"/>
  <c r="AV18" i="2" s="1"/>
  <c r="BB18" i="2" s="1"/>
  <c r="BI40" i="5"/>
  <c r="BJ40" i="5" s="1"/>
  <c r="BH40" i="5"/>
  <c r="AD23" i="2"/>
  <c r="AV23" i="2" s="1"/>
  <c r="BB23" i="2" s="1"/>
  <c r="BH36" i="2"/>
  <c r="BI36" i="2"/>
  <c r="BJ36" i="2" s="1"/>
  <c r="W41" i="5"/>
  <c r="AU41" i="5" s="1"/>
  <c r="BA41" i="5" s="1"/>
  <c r="AR41" i="2"/>
  <c r="AX41" i="2" s="1"/>
  <c r="BD41" i="2" s="1"/>
  <c r="P43" i="5"/>
  <c r="AT43" i="5" s="1"/>
  <c r="AR24" i="5"/>
  <c r="AX24" i="5" s="1"/>
  <c r="BD24" i="5" s="1"/>
  <c r="BI35" i="3"/>
  <c r="BJ35" i="3" s="1"/>
  <c r="BH35" i="3"/>
  <c r="AR32" i="6"/>
  <c r="AX32" i="6" s="1"/>
  <c r="BD32" i="6" s="1"/>
  <c r="BI39" i="4"/>
  <c r="BJ39" i="4" s="1"/>
  <c r="BH39" i="4"/>
  <c r="P22" i="4"/>
  <c r="AT22" i="4" s="1"/>
  <c r="BI37" i="5"/>
  <c r="BJ37" i="5" s="1"/>
  <c r="BH37" i="5"/>
  <c r="AK31" i="6"/>
  <c r="AW31" i="6" s="1"/>
  <c r="BC31" i="6" s="1"/>
  <c r="P38" i="5"/>
  <c r="AT38" i="5" s="1"/>
  <c r="W42" i="2"/>
  <c r="AU42" i="2" s="1"/>
  <c r="BA42" i="2" s="1"/>
  <c r="W49" i="6"/>
  <c r="AU49" i="6" s="1"/>
  <c r="BA49" i="6" s="1"/>
  <c r="CS41" i="4"/>
  <c r="AQ51" i="3"/>
  <c r="AR11" i="3"/>
  <c r="AR34" i="3"/>
  <c r="AX34" i="3" s="1"/>
  <c r="BD34" i="3" s="1"/>
  <c r="AK42" i="3"/>
  <c r="AW42" i="3" s="1"/>
  <c r="BC42" i="3" s="1"/>
  <c r="CS20" i="5"/>
  <c r="AD50" i="6"/>
  <c r="AV50" i="6" s="1"/>
  <c r="BB50" i="6" s="1"/>
  <c r="P32" i="3"/>
  <c r="AT32" i="3" s="1"/>
  <c r="AR38" i="3"/>
  <c r="AX38" i="3" s="1"/>
  <c r="BD38" i="3" s="1"/>
  <c r="AR44" i="4"/>
  <c r="AX44" i="4" s="1"/>
  <c r="BD44" i="4" s="1"/>
  <c r="AK49" i="5"/>
  <c r="AW49" i="5" s="1"/>
  <c r="BC49" i="5" s="1"/>
  <c r="CS37" i="2"/>
  <c r="AD31" i="4"/>
  <c r="AV31" i="4" s="1"/>
  <c r="BB31" i="4" s="1"/>
  <c r="AR36" i="6"/>
  <c r="AX36" i="6" s="1"/>
  <c r="BD36" i="6" s="1"/>
  <c r="BH12" i="4"/>
  <c r="BI12" i="4"/>
  <c r="BJ12" i="4" s="1"/>
  <c r="P37" i="4"/>
  <c r="AT37" i="4" s="1"/>
  <c r="BH24" i="2"/>
  <c r="BI24" i="2"/>
  <c r="BJ24" i="2" s="1"/>
  <c r="P47" i="6"/>
  <c r="AT47" i="6" s="1"/>
  <c r="V51" i="4"/>
  <c r="W11" i="4"/>
  <c r="W34" i="4"/>
  <c r="AU34" i="4" s="1"/>
  <c r="BA34" i="4" s="1"/>
  <c r="AK23" i="6"/>
  <c r="AW23" i="6" s="1"/>
  <c r="BC23" i="6" s="1"/>
  <c r="W45" i="6"/>
  <c r="AU45" i="6" s="1"/>
  <c r="BA45" i="6" s="1"/>
  <c r="AD24" i="4"/>
  <c r="AV24" i="4" s="1"/>
  <c r="BB24" i="4" s="1"/>
  <c r="AR46" i="5"/>
  <c r="AX46" i="5" s="1"/>
  <c r="BD46" i="5" s="1"/>
  <c r="P28" i="5"/>
  <c r="AT28" i="5" s="1"/>
  <c r="BI39" i="2"/>
  <c r="BJ39" i="2" s="1"/>
  <c r="BH39" i="2"/>
  <c r="W40" i="4"/>
  <c r="AU40" i="4" s="1"/>
  <c r="BA40" i="4" s="1"/>
  <c r="BI20" i="3"/>
  <c r="BJ20" i="3" s="1"/>
  <c r="BH20" i="3"/>
  <c r="AK49" i="4"/>
  <c r="AW49" i="4" s="1"/>
  <c r="BC49" i="4" s="1"/>
  <c r="BH13" i="4"/>
  <c r="BI13" i="4"/>
  <c r="BJ13" i="4" s="1"/>
  <c r="P19" i="6"/>
  <c r="AT19" i="6" s="1"/>
  <c r="AQ51" i="6"/>
  <c r="AR11" i="6"/>
  <c r="AR34" i="6"/>
  <c r="AX34" i="6" s="1"/>
  <c r="BD34" i="6" s="1"/>
  <c r="AK39" i="3"/>
  <c r="AW39" i="3" s="1"/>
  <c r="BC39" i="3" s="1"/>
  <c r="AK16" i="3"/>
  <c r="AW16" i="3" s="1"/>
  <c r="BC16" i="3" s="1"/>
  <c r="AD33" i="5"/>
  <c r="AV33" i="5" s="1"/>
  <c r="BB33" i="5" s="1"/>
  <c r="W16" i="4"/>
  <c r="AU16" i="4" s="1"/>
  <c r="BA16" i="4" s="1"/>
  <c r="BI19" i="2"/>
  <c r="BJ19" i="2" s="1"/>
  <c r="BH19" i="2"/>
  <c r="AR23" i="3"/>
  <c r="AX23" i="3" s="1"/>
  <c r="BD23" i="3" s="1"/>
  <c r="AJ51" i="5"/>
  <c r="AK11" i="5"/>
  <c r="AK34" i="5"/>
  <c r="AW34" i="5" s="1"/>
  <c r="BC34" i="5" s="1"/>
  <c r="AD41" i="3"/>
  <c r="AV41" i="3" s="1"/>
  <c r="BB41" i="3" s="1"/>
  <c r="AK25" i="5"/>
  <c r="AW25" i="5" s="1"/>
  <c r="BC25" i="5" s="1"/>
  <c r="AK49" i="2"/>
  <c r="AW49" i="2" s="1"/>
  <c r="BC49" i="2" s="1"/>
  <c r="CS21" i="4"/>
  <c r="W15" i="2"/>
  <c r="AU15" i="2" s="1"/>
  <c r="BA15" i="2" s="1"/>
  <c r="CS32" i="5"/>
  <c r="W25" i="3"/>
  <c r="AU25" i="3" s="1"/>
  <c r="BA25" i="3" s="1"/>
  <c r="AK35" i="5"/>
  <c r="AW35" i="5" s="1"/>
  <c r="BC35" i="5" s="1"/>
  <c r="CS29" i="4"/>
  <c r="AD37" i="6"/>
  <c r="AV37" i="6" s="1"/>
  <c r="BB37" i="6" s="1"/>
  <c r="P46" i="6"/>
  <c r="AT46" i="6" s="1"/>
  <c r="AR30" i="3"/>
  <c r="AX30" i="3" s="1"/>
  <c r="BD30" i="3" s="1"/>
  <c r="BI15" i="6"/>
  <c r="BJ15" i="6" s="1"/>
  <c r="BH15" i="6"/>
  <c r="P21" i="2"/>
  <c r="AT21" i="2" s="1"/>
  <c r="P46" i="3"/>
  <c r="AT46" i="3" s="1"/>
  <c r="P43" i="2"/>
  <c r="AT43" i="2" s="1"/>
  <c r="P48" i="5"/>
  <c r="AT48" i="5" s="1"/>
  <c r="W50" i="5"/>
  <c r="AU50" i="5" s="1"/>
  <c r="BA50" i="5" s="1"/>
  <c r="BI28" i="4"/>
  <c r="BJ28" i="4" s="1"/>
  <c r="BH28" i="4"/>
  <c r="P29" i="6"/>
  <c r="AT29" i="6" s="1"/>
  <c r="AK16" i="5"/>
  <c r="AW16" i="5" s="1"/>
  <c r="BC16" i="5" s="1"/>
  <c r="CS13" i="3"/>
  <c r="BI30" i="4"/>
  <c r="BJ30" i="4" s="1"/>
  <c r="BH30" i="4"/>
  <c r="P28" i="6"/>
  <c r="AT28" i="6" s="1"/>
  <c r="W20" i="6"/>
  <c r="AU20" i="6" s="1"/>
  <c r="BA20" i="6" s="1"/>
  <c r="AR25" i="2"/>
  <c r="AX25" i="2" s="1"/>
  <c r="BD25" i="2" s="1"/>
  <c r="CS22" i="2"/>
  <c r="AR22" i="3"/>
  <c r="AX22" i="3" s="1"/>
  <c r="BD22" i="3" s="1"/>
  <c r="AR21" i="2"/>
  <c r="AX21" i="2" s="1"/>
  <c r="BD21" i="2" s="1"/>
  <c r="BI50" i="2"/>
  <c r="BJ50" i="2" s="1"/>
  <c r="BH50" i="2"/>
  <c r="P41" i="3"/>
  <c r="AT41" i="3" s="1"/>
  <c r="P32" i="4"/>
  <c r="AT32" i="4" s="1"/>
  <c r="P28" i="3"/>
  <c r="AT28" i="3" s="1"/>
  <c r="CS35" i="2"/>
  <c r="AD39" i="5"/>
  <c r="AV39" i="5" s="1"/>
  <c r="BB39" i="5" s="1"/>
  <c r="W36" i="5"/>
  <c r="AU36" i="5" s="1"/>
  <c r="BA36" i="5" s="1"/>
  <c r="AK44" i="5"/>
  <c r="AW44" i="5" s="1"/>
  <c r="BC44" i="5" s="1"/>
  <c r="W42" i="4"/>
  <c r="AU42" i="4" s="1"/>
  <c r="BA42" i="4" s="1"/>
  <c r="AR16" i="2"/>
  <c r="AX16" i="2" s="1"/>
  <c r="BD16" i="2" s="1"/>
  <c r="AD45" i="2"/>
  <c r="AV45" i="2" s="1"/>
  <c r="BB45" i="2" s="1"/>
  <c r="AK26" i="3"/>
  <c r="AW26" i="3" s="1"/>
  <c r="BC26" i="3" s="1"/>
  <c r="BH30" i="5"/>
  <c r="BI30" i="5"/>
  <c r="BJ30" i="5" s="1"/>
  <c r="P26" i="6"/>
  <c r="AT26" i="6" s="1"/>
  <c r="W13" i="6"/>
  <c r="AU13" i="6" s="1"/>
  <c r="BA13" i="6" s="1"/>
  <c r="AD14" i="5"/>
  <c r="AV14" i="5" s="1"/>
  <c r="BB14" i="5" s="1"/>
  <c r="AR19" i="2"/>
  <c r="AX19" i="2" s="1"/>
  <c r="BD19" i="2" s="1"/>
  <c r="P29" i="5"/>
  <c r="AT29" i="5" s="1"/>
  <c r="P21" i="3"/>
  <c r="AT21" i="3" s="1"/>
  <c r="P48" i="6"/>
  <c r="AT48" i="6" s="1"/>
  <c r="AD47" i="3"/>
  <c r="AV47" i="3" s="1"/>
  <c r="BB47" i="3" s="1"/>
  <c r="P26" i="4"/>
  <c r="AT26" i="4" s="1"/>
  <c r="W43" i="4"/>
  <c r="AU43" i="4" s="1"/>
  <c r="BA43" i="4" s="1"/>
  <c r="AD12" i="3"/>
  <c r="AV12" i="3" s="1"/>
  <c r="BB12" i="3" s="1"/>
  <c r="AR47" i="3"/>
  <c r="AX47" i="3" s="1"/>
  <c r="BD47" i="3" s="1"/>
  <c r="AR44" i="2"/>
  <c r="AX44" i="2" s="1"/>
  <c r="BD44" i="2" s="1"/>
  <c r="AD20" i="2"/>
  <c r="AV20" i="2" s="1"/>
  <c r="BB20" i="2" s="1"/>
  <c r="P43" i="6"/>
  <c r="AT43" i="6" s="1"/>
  <c r="AR44" i="3"/>
  <c r="AX44" i="3" s="1"/>
  <c r="BD44" i="3" s="1"/>
  <c r="P31" i="5"/>
  <c r="AT31" i="5" s="1"/>
  <c r="P14" i="3"/>
  <c r="AT14" i="3" s="1"/>
  <c r="BI43" i="4"/>
  <c r="BJ43" i="4" s="1"/>
  <c r="BH43" i="4"/>
  <c r="AD47" i="5"/>
  <c r="AV47" i="5" s="1"/>
  <c r="BB47" i="5" s="1"/>
  <c r="BP51" i="6"/>
  <c r="CS29" i="6" s="1"/>
  <c r="BI12" i="3"/>
  <c r="BJ12" i="3" s="1"/>
  <c r="BH12" i="3"/>
  <c r="AD46" i="4"/>
  <c r="AV46" i="4" s="1"/>
  <c r="BB46" i="4" s="1"/>
  <c r="AD37" i="3"/>
  <c r="AV37" i="3" s="1"/>
  <c r="BB37" i="3" s="1"/>
  <c r="P38" i="2"/>
  <c r="AT38" i="2" s="1"/>
  <c r="AR18" i="5"/>
  <c r="AX18" i="5" s="1"/>
  <c r="BD18" i="5" s="1"/>
  <c r="AR18" i="2"/>
  <c r="AX18" i="2" s="1"/>
  <c r="BD18" i="2" s="1"/>
  <c r="AK40" i="5"/>
  <c r="AW40" i="5" s="1"/>
  <c r="BC40" i="5" s="1"/>
  <c r="AK23" i="2"/>
  <c r="AW23" i="2" s="1"/>
  <c r="BC23" i="2" s="1"/>
  <c r="AD36" i="2"/>
  <c r="AV36" i="2" s="1"/>
  <c r="BB36" i="2" s="1"/>
  <c r="AK43" i="5"/>
  <c r="AW43" i="5" s="1"/>
  <c r="BC43" i="5" s="1"/>
  <c r="W24" i="5"/>
  <c r="AU24" i="5" s="1"/>
  <c r="BA24" i="5" s="1"/>
  <c r="P35" i="3"/>
  <c r="AT35" i="3" s="1"/>
  <c r="AK32" i="6"/>
  <c r="AW32" i="6" s="1"/>
  <c r="BC32" i="6" s="1"/>
  <c r="AR39" i="4"/>
  <c r="AX39" i="4" s="1"/>
  <c r="BD39" i="4" s="1"/>
  <c r="CS37" i="5"/>
  <c r="BI18" i="4"/>
  <c r="BJ18" i="4" s="1"/>
  <c r="BO18" i="4" s="1"/>
  <c r="BQ18" i="4" s="1"/>
  <c r="BH18" i="4"/>
  <c r="AD21" i="5"/>
  <c r="AV21" i="5" s="1"/>
  <c r="BB21" i="5" s="1"/>
  <c r="CS26" i="2"/>
  <c r="AK38" i="5"/>
  <c r="AW38" i="5" s="1"/>
  <c r="BC38" i="5" s="1"/>
  <c r="AK49" i="6"/>
  <c r="AW49" i="6" s="1"/>
  <c r="BC49" i="6" s="1"/>
  <c r="W41" i="4"/>
  <c r="AU41" i="4" s="1"/>
  <c r="BA41" i="4" s="1"/>
  <c r="V51" i="3"/>
  <c r="W11" i="3"/>
  <c r="W34" i="3"/>
  <c r="AU34" i="3" s="1"/>
  <c r="BA34" i="3" s="1"/>
  <c r="BH14" i="2"/>
  <c r="BI14" i="2"/>
  <c r="BJ14" i="2" s="1"/>
  <c r="BI20" i="5"/>
  <c r="BJ20" i="5" s="1"/>
  <c r="BO20" i="5" s="1"/>
  <c r="BQ20" i="5" s="1"/>
  <c r="BH20" i="5"/>
  <c r="AR50" i="6"/>
  <c r="AX50" i="6" s="1"/>
  <c r="BD50" i="6" s="1"/>
  <c r="W32" i="3"/>
  <c r="AU32" i="3" s="1"/>
  <c r="BA32" i="3" s="1"/>
  <c r="AD44" i="4"/>
  <c r="AV44" i="4" s="1"/>
  <c r="BB44" i="4" s="1"/>
  <c r="CS13" i="5"/>
  <c r="BH37" i="2"/>
  <c r="BI37" i="2"/>
  <c r="BJ37" i="2" s="1"/>
  <c r="CS19" i="4"/>
  <c r="AK36" i="6"/>
  <c r="AW36" i="6" s="1"/>
  <c r="BC36" i="6" s="1"/>
  <c r="CS12" i="4"/>
  <c r="W37" i="4"/>
  <c r="AU37" i="4" s="1"/>
  <c r="BA37" i="4" s="1"/>
  <c r="AQ51" i="4"/>
  <c r="AR11" i="4"/>
  <c r="AR34" i="4"/>
  <c r="AX34" i="4" s="1"/>
  <c r="BD34" i="4" s="1"/>
  <c r="AK24" i="4"/>
  <c r="AW24" i="4" s="1"/>
  <c r="BC24" i="4" s="1"/>
  <c r="P30" i="2"/>
  <c r="AT30" i="2" s="1"/>
  <c r="W28" i="5"/>
  <c r="AU28" i="5" s="1"/>
  <c r="BA28" i="5" s="1"/>
  <c r="AK39" i="2"/>
  <c r="AW39" i="2" s="1"/>
  <c r="BC39" i="2" s="1"/>
  <c r="AK40" i="4"/>
  <c r="AW40" i="4" s="1"/>
  <c r="BC40" i="4" s="1"/>
  <c r="P49" i="4"/>
  <c r="AT49" i="4" s="1"/>
  <c r="AK13" i="4"/>
  <c r="AW13" i="4" s="1"/>
  <c r="BC13" i="4" s="1"/>
  <c r="W39" i="3"/>
  <c r="AU39" i="3" s="1"/>
  <c r="BA39" i="3" s="1"/>
  <c r="P18" i="6"/>
  <c r="AT18" i="6" s="1"/>
  <c r="BI46" i="2"/>
  <c r="BJ46" i="2" s="1"/>
  <c r="BH46" i="2"/>
  <c r="P19" i="2"/>
  <c r="AT19" i="2" s="1"/>
  <c r="AD49" i="3"/>
  <c r="AV49" i="3" s="1"/>
  <c r="BB49" i="3" s="1"/>
  <c r="AD29" i="5"/>
  <c r="AV29" i="5" s="1"/>
  <c r="BB29" i="5" s="1"/>
  <c r="BH29" i="2"/>
  <c r="BI29" i="2"/>
  <c r="BJ29" i="2" s="1"/>
  <c r="W25" i="5"/>
  <c r="AU25" i="5" s="1"/>
  <c r="BA25" i="5" s="1"/>
  <c r="BO33" i="3"/>
  <c r="BQ33" i="3" s="1"/>
  <c r="BI21" i="4"/>
  <c r="BJ21" i="4" s="1"/>
  <c r="BH21" i="4"/>
  <c r="BI32" i="5"/>
  <c r="BJ32" i="5" s="1"/>
  <c r="BH32" i="5"/>
  <c r="AK25" i="3"/>
  <c r="AW25" i="3" s="1"/>
  <c r="BC25" i="3" s="1"/>
  <c r="P35" i="5"/>
  <c r="AT35" i="5" s="1"/>
  <c r="AR29" i="4"/>
  <c r="AX29" i="4" s="1"/>
  <c r="BD29" i="4" s="1"/>
  <c r="AR37" i="6"/>
  <c r="AX37" i="6" s="1"/>
  <c r="BD37" i="6" s="1"/>
  <c r="AD45" i="3"/>
  <c r="AV45" i="3" s="1"/>
  <c r="BB45" i="3" s="1"/>
  <c r="AD25" i="4"/>
  <c r="AV25" i="4" s="1"/>
  <c r="BB25" i="4" s="1"/>
  <c r="BH26" i="5"/>
  <c r="BI26" i="5"/>
  <c r="BJ26" i="5" s="1"/>
  <c r="AK46" i="3"/>
  <c r="AW46" i="3" s="1"/>
  <c r="BC46" i="3" s="1"/>
  <c r="W44" i="3"/>
  <c r="AU44" i="3" s="1"/>
  <c r="BA44" i="3" s="1"/>
  <c r="AD19" i="5"/>
  <c r="AV19" i="5" s="1"/>
  <c r="BB19" i="5" s="1"/>
  <c r="W28" i="4"/>
  <c r="AU28" i="4" s="1"/>
  <c r="BA28" i="4" s="1"/>
  <c r="AK33" i="2"/>
  <c r="AW33" i="2" s="1"/>
  <c r="BC33" i="2" s="1"/>
  <c r="AK29" i="6"/>
  <c r="AW29" i="6" s="1"/>
  <c r="BC29" i="6" s="1"/>
  <c r="AD35" i="4"/>
  <c r="AV35" i="4" s="1"/>
  <c r="BB35" i="4" s="1"/>
  <c r="W16" i="5"/>
  <c r="AU16" i="5" s="1"/>
  <c r="BA16" i="5" s="1"/>
  <c r="AJ51" i="2"/>
  <c r="AK11" i="2"/>
  <c r="AK34" i="2"/>
  <c r="AW34" i="2" s="1"/>
  <c r="BC34" i="2" s="1"/>
  <c r="BI13" i="3"/>
  <c r="BJ13" i="3" s="1"/>
  <c r="BH13" i="3"/>
  <c r="W24" i="3"/>
  <c r="AU24" i="3" s="1"/>
  <c r="BA24" i="3" s="1"/>
  <c r="AK30" i="4"/>
  <c r="AW30" i="4" s="1"/>
  <c r="BC30" i="4" s="1"/>
  <c r="AD28" i="6"/>
  <c r="AV28" i="6" s="1"/>
  <c r="BB28" i="6" s="1"/>
  <c r="W25" i="2"/>
  <c r="AU25" i="2" s="1"/>
  <c r="BA25" i="2" s="1"/>
  <c r="P22" i="3"/>
  <c r="AT22" i="3" s="1"/>
  <c r="CS27" i="4"/>
  <c r="AD50" i="2"/>
  <c r="AV50" i="2" s="1"/>
  <c r="BB50" i="2" s="1"/>
  <c r="AD32" i="4"/>
  <c r="AV32" i="4" s="1"/>
  <c r="BB32" i="4" s="1"/>
  <c r="AR28" i="3"/>
  <c r="AX28" i="3" s="1"/>
  <c r="BD28" i="3" s="1"/>
  <c r="BI35" i="2"/>
  <c r="BJ35" i="2" s="1"/>
  <c r="BH35" i="2"/>
  <c r="AK32" i="2"/>
  <c r="AW32" i="2" s="1"/>
  <c r="BC32" i="2" s="1"/>
  <c r="BI20" i="4"/>
  <c r="BJ20" i="4" s="1"/>
  <c r="BH20" i="4"/>
  <c r="AK36" i="5"/>
  <c r="AW36" i="5" s="1"/>
  <c r="BC36" i="5" s="1"/>
  <c r="P42" i="4"/>
  <c r="AT42" i="4" s="1"/>
  <c r="P16" i="2"/>
  <c r="AT16" i="2" s="1"/>
  <c r="BI39" i="6"/>
  <c r="BJ39" i="6" s="1"/>
  <c r="BH39" i="6"/>
  <c r="AR45" i="2"/>
  <c r="AX45" i="2" s="1"/>
  <c r="BD45" i="2" s="1"/>
  <c r="P26" i="3"/>
  <c r="AT26" i="3" s="1"/>
  <c r="AR18" i="3"/>
  <c r="AX18" i="3" s="1"/>
  <c r="BD18" i="3" s="1"/>
  <c r="AK26" i="6"/>
  <c r="AW26" i="6" s="1"/>
  <c r="BC26" i="6" s="1"/>
  <c r="P25" i="3"/>
  <c r="AT25" i="3" s="1"/>
  <c r="AD21" i="2"/>
  <c r="AV21" i="2" s="1"/>
  <c r="BB21" i="2" s="1"/>
  <c r="AD29" i="4"/>
  <c r="AV29" i="4" s="1"/>
  <c r="BB29" i="4" s="1"/>
  <c r="CS21" i="3"/>
  <c r="AK46" i="6"/>
  <c r="AW46" i="6" s="1"/>
  <c r="BC46" i="6" s="1"/>
  <c r="AR45" i="3"/>
  <c r="AX45" i="3" s="1"/>
  <c r="BD45" i="3" s="1"/>
  <c r="W15" i="6"/>
  <c r="AU15" i="6" s="1"/>
  <c r="BA15" i="6" s="1"/>
  <c r="W25" i="4"/>
  <c r="AU25" i="4" s="1"/>
  <c r="BA25" i="4" s="1"/>
  <c r="CS26" i="5"/>
  <c r="AD24" i="6"/>
  <c r="AV24" i="6" s="1"/>
  <c r="BB24" i="6" s="1"/>
  <c r="AK28" i="4"/>
  <c r="AW28" i="4" s="1"/>
  <c r="BC28" i="4" s="1"/>
  <c r="W33" i="2"/>
  <c r="AU33" i="2" s="1"/>
  <c r="BA33" i="2" s="1"/>
  <c r="W29" i="6"/>
  <c r="AU29" i="6" s="1"/>
  <c r="BA29" i="6" s="1"/>
  <c r="BH30" i="6"/>
  <c r="BI30" i="6"/>
  <c r="BJ30" i="6" s="1"/>
  <c r="P16" i="5"/>
  <c r="AT16" i="5" s="1"/>
  <c r="W13" i="3"/>
  <c r="AU13" i="3" s="1"/>
  <c r="BA13" i="3" s="1"/>
  <c r="AK24" i="3"/>
  <c r="AW24" i="3" s="1"/>
  <c r="BC24" i="3" s="1"/>
  <c r="P30" i="4"/>
  <c r="AT30" i="4" s="1"/>
  <c r="AK28" i="6"/>
  <c r="AW28" i="6" s="1"/>
  <c r="BC28" i="6" s="1"/>
  <c r="AK20" i="6"/>
  <c r="AW20" i="6" s="1"/>
  <c r="BC20" i="6" s="1"/>
  <c r="W33" i="6"/>
  <c r="AU33" i="6" s="1"/>
  <c r="BA33" i="6" s="1"/>
  <c r="AK22" i="2"/>
  <c r="AW22" i="2" s="1"/>
  <c r="BC22" i="2" s="1"/>
  <c r="BI27" i="4"/>
  <c r="BJ27" i="4" s="1"/>
  <c r="BH27" i="4"/>
  <c r="W50" i="2"/>
  <c r="AU50" i="2" s="1"/>
  <c r="BA50" i="2" s="1"/>
  <c r="CS29" i="3"/>
  <c r="AR32" i="4"/>
  <c r="AX32" i="4" s="1"/>
  <c r="BD32" i="4" s="1"/>
  <c r="AD28" i="3"/>
  <c r="AV28" i="3" s="1"/>
  <c r="BB28" i="3" s="1"/>
  <c r="P32" i="2"/>
  <c r="AT32" i="2" s="1"/>
  <c r="CS20" i="4"/>
  <c r="BI40" i="3"/>
  <c r="BJ40" i="3" s="1"/>
  <c r="BH40" i="3"/>
  <c r="AD42" i="4"/>
  <c r="AV42" i="4" s="1"/>
  <c r="BB42" i="4" s="1"/>
  <c r="W39" i="6"/>
  <c r="AU39" i="6" s="1"/>
  <c r="BA39" i="6" s="1"/>
  <c r="W45" i="2"/>
  <c r="AU45" i="2" s="1"/>
  <c r="BA45" i="2" s="1"/>
  <c r="AR30" i="5"/>
  <c r="AX30" i="5" s="1"/>
  <c r="BD30" i="5" s="1"/>
  <c r="BI27" i="6"/>
  <c r="BJ27" i="6" s="1"/>
  <c r="BH27" i="6"/>
  <c r="AR26" i="6"/>
  <c r="AX26" i="6" s="1"/>
  <c r="BD26" i="6" s="1"/>
  <c r="AD35" i="3"/>
  <c r="AV35" i="3" s="1"/>
  <c r="BB35" i="3" s="1"/>
  <c r="CS26" i="4"/>
  <c r="W39" i="4"/>
  <c r="AU39" i="4" s="1"/>
  <c r="BA39" i="4" s="1"/>
  <c r="AD22" i="4"/>
  <c r="AV22" i="4" s="1"/>
  <c r="BB22" i="4" s="1"/>
  <c r="AD37" i="5"/>
  <c r="AV37" i="5" s="1"/>
  <c r="BB37" i="5" s="1"/>
  <c r="AD31" i="6"/>
  <c r="AV31" i="6" s="1"/>
  <c r="BB31" i="6" s="1"/>
  <c r="CS18" i="4"/>
  <c r="AK21" i="5"/>
  <c r="AW21" i="5" s="1"/>
  <c r="BC21" i="5" s="1"/>
  <c r="BH26" i="2"/>
  <c r="BI26" i="2"/>
  <c r="BJ26" i="2" s="1"/>
  <c r="AD38" i="5"/>
  <c r="AV38" i="5" s="1"/>
  <c r="BB38" i="5" s="1"/>
  <c r="AK31" i="2"/>
  <c r="AW31" i="2" s="1"/>
  <c r="BC31" i="2" s="1"/>
  <c r="P41" i="4"/>
  <c r="AT41" i="4" s="1"/>
  <c r="AJ51" i="3"/>
  <c r="AK11" i="3"/>
  <c r="AK34" i="3"/>
  <c r="AW34" i="3" s="1"/>
  <c r="BC34" i="3" s="1"/>
  <c r="P14" i="2"/>
  <c r="AT14" i="2" s="1"/>
  <c r="AD42" i="3"/>
  <c r="AV42" i="3" s="1"/>
  <c r="BB42" i="3" s="1"/>
  <c r="AD20" i="5"/>
  <c r="AV20" i="5" s="1"/>
  <c r="BB20" i="5" s="1"/>
  <c r="AK50" i="6"/>
  <c r="AW50" i="6" s="1"/>
  <c r="BC50" i="6" s="1"/>
  <c r="CS13" i="2"/>
  <c r="AR32" i="3"/>
  <c r="AX32" i="3" s="1"/>
  <c r="BD32" i="3" s="1"/>
  <c r="BI16" i="6"/>
  <c r="BJ16" i="6" s="1"/>
  <c r="BH16" i="6"/>
  <c r="P44" i="4"/>
  <c r="AT44" i="4" s="1"/>
  <c r="BI13" i="5"/>
  <c r="BJ13" i="5" s="1"/>
  <c r="BH13" i="5"/>
  <c r="AD37" i="2"/>
  <c r="AV37" i="2" s="1"/>
  <c r="BB37" i="2" s="1"/>
  <c r="BI19" i="4"/>
  <c r="BJ19" i="4" s="1"/>
  <c r="BH19" i="4"/>
  <c r="P12" i="4"/>
  <c r="AT12" i="4" s="1"/>
  <c r="AK37" i="4"/>
  <c r="AW37" i="4" s="1"/>
  <c r="BC37" i="4" s="1"/>
  <c r="W24" i="2"/>
  <c r="AU24" i="2" s="1"/>
  <c r="BA24" i="2" s="1"/>
  <c r="AK47" i="6"/>
  <c r="AW47" i="6" s="1"/>
  <c r="BC47" i="6" s="1"/>
  <c r="AD23" i="6"/>
  <c r="AV23" i="6" s="1"/>
  <c r="BB23" i="6" s="1"/>
  <c r="BH21" i="6"/>
  <c r="BI21" i="6"/>
  <c r="BJ21" i="6" s="1"/>
  <c r="W24" i="4"/>
  <c r="AU24" i="4" s="1"/>
  <c r="BA24" i="4" s="1"/>
  <c r="P46" i="5"/>
  <c r="AT46" i="5" s="1"/>
  <c r="AD30" i="2"/>
  <c r="AV30" i="2" s="1"/>
  <c r="BB30" i="2" s="1"/>
  <c r="AK28" i="5"/>
  <c r="AW28" i="5" s="1"/>
  <c r="BC28" i="5" s="1"/>
  <c r="W39" i="2"/>
  <c r="AU39" i="2" s="1"/>
  <c r="BA39" i="2" s="1"/>
  <c r="AK20" i="3"/>
  <c r="AW20" i="3" s="1"/>
  <c r="BC20" i="3" s="1"/>
  <c r="AD49" i="4"/>
  <c r="AV49" i="4" s="1"/>
  <c r="BB49" i="4" s="1"/>
  <c r="CS14" i="5"/>
  <c r="O51" i="6"/>
  <c r="P11" i="6"/>
  <c r="P34" i="6"/>
  <c r="AT34" i="6" s="1"/>
  <c r="AK18" i="6"/>
  <c r="AW18" i="6" s="1"/>
  <c r="BC18" i="6" s="1"/>
  <c r="AK33" i="5"/>
  <c r="AW33" i="5" s="1"/>
  <c r="BC33" i="5" s="1"/>
  <c r="AD19" i="2"/>
  <c r="AV19" i="2" s="1"/>
  <c r="BB19" i="2" s="1"/>
  <c r="BI25" i="6"/>
  <c r="BJ25" i="6" s="1"/>
  <c r="BH25" i="6"/>
  <c r="AR29" i="5"/>
  <c r="AX29" i="5" s="1"/>
  <c r="BD29" i="5" s="1"/>
  <c r="P29" i="2"/>
  <c r="AT29" i="2" s="1"/>
  <c r="O51" i="5"/>
  <c r="P11" i="5"/>
  <c r="P34" i="5"/>
  <c r="AT34" i="5" s="1"/>
  <c r="BI42" i="6"/>
  <c r="BJ42" i="6" s="1"/>
  <c r="BH42" i="6"/>
  <c r="AD25" i="5"/>
  <c r="AV25" i="5" s="1"/>
  <c r="BB25" i="5" s="1"/>
  <c r="P21" i="4"/>
  <c r="AT21" i="4" s="1"/>
  <c r="AK15" i="2"/>
  <c r="AW15" i="2" s="1"/>
  <c r="BC15" i="2" s="1"/>
  <c r="AK14" i="6"/>
  <c r="AW14" i="6" s="1"/>
  <c r="BC14" i="6" s="1"/>
  <c r="AK47" i="5"/>
  <c r="AW47" i="5" s="1"/>
  <c r="BC47" i="5" s="1"/>
  <c r="CS47" i="2"/>
  <c r="AD23" i="4"/>
  <c r="AV23" i="4" s="1"/>
  <c r="BB23" i="4" s="1"/>
  <c r="AK46" i="4"/>
  <c r="AW46" i="4" s="1"/>
  <c r="BC46" i="4" s="1"/>
  <c r="BI27" i="3"/>
  <c r="BJ27" i="3" s="1"/>
  <c r="BH27" i="3"/>
  <c r="AK38" i="2"/>
  <c r="AW38" i="2" s="1"/>
  <c r="BC38" i="2" s="1"/>
  <c r="P18" i="5"/>
  <c r="AT18" i="5" s="1"/>
  <c r="CS47" i="3"/>
  <c r="P40" i="5"/>
  <c r="AT40" i="5" s="1"/>
  <c r="BH44" i="2"/>
  <c r="BI44" i="2"/>
  <c r="BJ44" i="2" s="1"/>
  <c r="BO44" i="2" s="1"/>
  <c r="BQ44" i="2" s="1"/>
  <c r="P36" i="2"/>
  <c r="AT36" i="2" s="1"/>
  <c r="AD41" i="6"/>
  <c r="AV41" i="6" s="1"/>
  <c r="BB41" i="6" s="1"/>
  <c r="W43" i="5"/>
  <c r="AU43" i="5" s="1"/>
  <c r="BA43" i="5" s="1"/>
  <c r="CS20" i="2"/>
  <c r="AR35" i="3"/>
  <c r="AX35" i="3" s="1"/>
  <c r="BD35" i="3" s="1"/>
  <c r="BI26" i="4"/>
  <c r="BJ26" i="4" s="1"/>
  <c r="BH26" i="4"/>
  <c r="AK39" i="4"/>
  <c r="AW39" i="4" s="1"/>
  <c r="BC39" i="4" s="1"/>
  <c r="AR31" i="6"/>
  <c r="AX31" i="6" s="1"/>
  <c r="BD31" i="6" s="1"/>
  <c r="P18" i="4"/>
  <c r="AT18" i="4" s="1"/>
  <c r="W21" i="5"/>
  <c r="AU21" i="5" s="1"/>
  <c r="BA21" i="5" s="1"/>
  <c r="P26" i="2"/>
  <c r="AT26" i="2" s="1"/>
  <c r="AR38" i="5"/>
  <c r="AX38" i="5" s="1"/>
  <c r="BD38" i="5" s="1"/>
  <c r="W31" i="2"/>
  <c r="AU31" i="2" s="1"/>
  <c r="BA31" i="2" s="1"/>
  <c r="P49" i="6"/>
  <c r="AT49" i="6" s="1"/>
  <c r="AR41" i="4"/>
  <c r="AX41" i="4" s="1"/>
  <c r="BD41" i="4" s="1"/>
  <c r="AD14" i="2"/>
  <c r="AV14" i="2" s="1"/>
  <c r="BB14" i="2" s="1"/>
  <c r="AR42" i="3"/>
  <c r="AX42" i="3" s="1"/>
  <c r="BD42" i="3" s="1"/>
  <c r="AK32" i="3"/>
  <c r="AW32" i="3" s="1"/>
  <c r="BC32" i="3" s="1"/>
  <c r="W16" i="6"/>
  <c r="AU16" i="6" s="1"/>
  <c r="BA16" i="6" s="1"/>
  <c r="AK44" i="4"/>
  <c r="AW44" i="4" s="1"/>
  <c r="BC44" i="4" s="1"/>
  <c r="W13" i="5"/>
  <c r="AU13" i="5" s="1"/>
  <c r="BA13" i="5" s="1"/>
  <c r="AK37" i="2"/>
  <c r="AW37" i="2" s="1"/>
  <c r="BC37" i="2" s="1"/>
  <c r="W19" i="4"/>
  <c r="AU19" i="4" s="1"/>
  <c r="BA19" i="4" s="1"/>
  <c r="AD36" i="6"/>
  <c r="AV36" i="6" s="1"/>
  <c r="BB36" i="6" s="1"/>
  <c r="AD12" i="4"/>
  <c r="AV12" i="4" s="1"/>
  <c r="BB12" i="4" s="1"/>
  <c r="AD24" i="2"/>
  <c r="AV24" i="2" s="1"/>
  <c r="BB24" i="2" s="1"/>
  <c r="AD47" i="6"/>
  <c r="AV47" i="6" s="1"/>
  <c r="BB47" i="6" s="1"/>
  <c r="P14" i="4"/>
  <c r="AT14" i="4" s="1"/>
  <c r="P23" i="6"/>
  <c r="AT23" i="6" s="1"/>
  <c r="AR21" i="6"/>
  <c r="AX21" i="6" s="1"/>
  <c r="BD21" i="6" s="1"/>
  <c r="P24" i="4"/>
  <c r="AT24" i="4" s="1"/>
  <c r="BI38" i="4"/>
  <c r="BJ38" i="4" s="1"/>
  <c r="BH38" i="4"/>
  <c r="AD39" i="2"/>
  <c r="AV39" i="2" s="1"/>
  <c r="BB39" i="2" s="1"/>
  <c r="CS50" i="3"/>
  <c r="P20" i="3"/>
  <c r="AT20" i="3" s="1"/>
  <c r="BH22" i="5"/>
  <c r="BI22" i="5"/>
  <c r="BJ22" i="5" s="1"/>
  <c r="P13" i="4"/>
  <c r="AT13" i="4" s="1"/>
  <c r="BI14" i="5"/>
  <c r="BJ14" i="5" s="1"/>
  <c r="BH14" i="5"/>
  <c r="AC51" i="6"/>
  <c r="AD11" i="6"/>
  <c r="AD34" i="6"/>
  <c r="AV34" i="6" s="1"/>
  <c r="BB34" i="6" s="1"/>
  <c r="W18" i="6"/>
  <c r="AU18" i="6" s="1"/>
  <c r="BA18" i="6" s="1"/>
  <c r="P33" i="5"/>
  <c r="AT33" i="5" s="1"/>
  <c r="AR25" i="6"/>
  <c r="AX25" i="6" s="1"/>
  <c r="BD25" i="6" s="1"/>
  <c r="W29" i="5"/>
  <c r="AU29" i="5" s="1"/>
  <c r="BA29" i="5" s="1"/>
  <c r="AD29" i="2"/>
  <c r="AV29" i="2" s="1"/>
  <c r="BB29" i="2" s="1"/>
  <c r="AC51" i="5"/>
  <c r="AD11" i="5"/>
  <c r="AD34" i="5"/>
  <c r="AV34" i="5" s="1"/>
  <c r="BB34" i="5" s="1"/>
  <c r="AR24" i="6"/>
  <c r="AX24" i="6" s="1"/>
  <c r="BD24" i="6" s="1"/>
  <c r="AK42" i="6"/>
  <c r="AW42" i="6" s="1"/>
  <c r="BC42" i="6" s="1"/>
  <c r="AR25" i="5"/>
  <c r="AX25" i="5" s="1"/>
  <c r="BD25" i="5" s="1"/>
  <c r="BI15" i="2"/>
  <c r="BJ15" i="2" s="1"/>
  <c r="BH15" i="2"/>
  <c r="AD32" i="5"/>
  <c r="AV32" i="5" s="1"/>
  <c r="BB32" i="5" s="1"/>
  <c r="AR25" i="3"/>
  <c r="AX25" i="3" s="1"/>
  <c r="BD25" i="3" s="1"/>
  <c r="CS45" i="5"/>
  <c r="P29" i="4"/>
  <c r="AT29" i="4" s="1"/>
  <c r="BI21" i="3"/>
  <c r="BJ21" i="3" s="1"/>
  <c r="BO21" i="3" s="1"/>
  <c r="BQ21" i="3" s="1"/>
  <c r="BH21" i="3"/>
  <c r="W46" i="6"/>
  <c r="AU46" i="6" s="1"/>
  <c r="BA46" i="6" s="1"/>
  <c r="W45" i="3"/>
  <c r="AU45" i="3" s="1"/>
  <c r="BA45" i="3" s="1"/>
  <c r="BH40" i="2"/>
  <c r="BI40" i="2"/>
  <c r="BJ40" i="2" s="1"/>
  <c r="AR15" i="6"/>
  <c r="AX15" i="6" s="1"/>
  <c r="BD15" i="6" s="1"/>
  <c r="AK25" i="4"/>
  <c r="AW25" i="4" s="1"/>
  <c r="BC25" i="4" s="1"/>
  <c r="AD46" i="3"/>
  <c r="AV46" i="3" s="1"/>
  <c r="BB46" i="3" s="1"/>
  <c r="AK23" i="5"/>
  <c r="AW23" i="5" s="1"/>
  <c r="BC23" i="5" s="1"/>
  <c r="W23" i="5"/>
  <c r="AU23" i="5" s="1"/>
  <c r="BA23" i="5" s="1"/>
  <c r="CS12" i="5"/>
  <c r="P28" i="4"/>
  <c r="AT28" i="4" s="1"/>
  <c r="CS50" i="4"/>
  <c r="AD29" i="6"/>
  <c r="AV29" i="6" s="1"/>
  <c r="BB29" i="6" s="1"/>
  <c r="P30" i="6"/>
  <c r="AT30" i="6" s="1"/>
  <c r="AD16" i="5"/>
  <c r="AV16" i="5" s="1"/>
  <c r="BB16" i="5" s="1"/>
  <c r="AK21" i="2"/>
  <c r="AW21" i="2" s="1"/>
  <c r="BC21" i="2" s="1"/>
  <c r="AK13" i="3"/>
  <c r="AW13" i="3" s="1"/>
  <c r="BC13" i="3" s="1"/>
  <c r="AD24" i="3"/>
  <c r="AV24" i="3" s="1"/>
  <c r="BB24" i="3" s="1"/>
  <c r="CS28" i="2"/>
  <c r="P20" i="6"/>
  <c r="AT20" i="6" s="1"/>
  <c r="CS12" i="2"/>
  <c r="P22" i="2"/>
  <c r="AT22" i="2" s="1"/>
  <c r="W27" i="4"/>
  <c r="AU27" i="4" s="1"/>
  <c r="BA27" i="4" s="1"/>
  <c r="AR50" i="2"/>
  <c r="AX50" i="2" s="1"/>
  <c r="BD50" i="2" s="1"/>
  <c r="BI29" i="3"/>
  <c r="BJ29" i="3" s="1"/>
  <c r="BH29" i="3"/>
  <c r="W32" i="4"/>
  <c r="AU32" i="4" s="1"/>
  <c r="BA32" i="4" s="1"/>
  <c r="W35" i="2"/>
  <c r="AU35" i="2" s="1"/>
  <c r="BA35" i="2" s="1"/>
  <c r="AD32" i="2"/>
  <c r="AV32" i="2" s="1"/>
  <c r="BB32" i="2" s="1"/>
  <c r="AD20" i="4"/>
  <c r="AV20" i="4" s="1"/>
  <c r="BB20" i="4" s="1"/>
  <c r="AD36" i="5"/>
  <c r="AV36" i="5" s="1"/>
  <c r="BB36" i="5" s="1"/>
  <c r="CS40" i="3"/>
  <c r="AR42" i="4"/>
  <c r="AX42" i="4" s="1"/>
  <c r="BD42" i="4" s="1"/>
  <c r="BI27" i="5"/>
  <c r="BJ27" i="5" s="1"/>
  <c r="BH27" i="5"/>
  <c r="P39" i="6"/>
  <c r="AT39" i="6" s="1"/>
  <c r="AK45" i="2"/>
  <c r="AW45" i="2" s="1"/>
  <c r="BC45" i="2" s="1"/>
  <c r="AD30" i="5"/>
  <c r="AV30" i="5" s="1"/>
  <c r="BB30" i="5" s="1"/>
  <c r="AR27" i="6"/>
  <c r="AX27" i="6" s="1"/>
  <c r="BD27" i="6" s="1"/>
  <c r="AD26" i="6"/>
  <c r="AV26" i="6" s="1"/>
  <c r="BB26" i="6" s="1"/>
  <c r="AK15" i="6"/>
  <c r="AW15" i="6" s="1"/>
  <c r="BC15" i="6" s="1"/>
  <c r="BI31" i="3"/>
  <c r="BJ31" i="3" s="1"/>
  <c r="BH31" i="3"/>
  <c r="AD26" i="5"/>
  <c r="AV26" i="5" s="1"/>
  <c r="BB26" i="5" s="1"/>
  <c r="AR46" i="3"/>
  <c r="AX46" i="3" s="1"/>
  <c r="BD46" i="3" s="1"/>
  <c r="AK41" i="3"/>
  <c r="AW41" i="3" s="1"/>
  <c r="BC41" i="3" s="1"/>
  <c r="BI12" i="5"/>
  <c r="BJ12" i="5" s="1"/>
  <c r="BH12" i="5"/>
  <c r="AD28" i="4"/>
  <c r="AV28" i="4" s="1"/>
  <c r="BB28" i="4" s="1"/>
  <c r="BI50" i="4"/>
  <c r="BJ50" i="4" s="1"/>
  <c r="BH50" i="4"/>
  <c r="AR29" i="6"/>
  <c r="AX29" i="6" s="1"/>
  <c r="BD29" i="6" s="1"/>
  <c r="AK30" i="6"/>
  <c r="AW30" i="6" s="1"/>
  <c r="BC30" i="6" s="1"/>
  <c r="AR16" i="5"/>
  <c r="AX16" i="5" s="1"/>
  <c r="BD16" i="5" s="1"/>
  <c r="CS15" i="5"/>
  <c r="AD13" i="3"/>
  <c r="AV13" i="3" s="1"/>
  <c r="BB13" i="3" s="1"/>
  <c r="BI35" i="6"/>
  <c r="BJ35" i="6" s="1"/>
  <c r="BH35" i="6"/>
  <c r="AR30" i="4"/>
  <c r="AX30" i="4" s="1"/>
  <c r="BD30" i="4" s="1"/>
  <c r="AD20" i="6"/>
  <c r="AV20" i="6" s="1"/>
  <c r="BB20" i="6" s="1"/>
  <c r="AD12" i="2"/>
  <c r="AV12" i="2" s="1"/>
  <c r="BB12" i="2" s="1"/>
  <c r="AD22" i="2"/>
  <c r="AV22" i="2" s="1"/>
  <c r="BB22" i="2" s="1"/>
  <c r="CS45" i="4"/>
  <c r="P27" i="4"/>
  <c r="AT27" i="4" s="1"/>
  <c r="P50" i="2"/>
  <c r="AT50" i="2" s="1"/>
  <c r="AR29" i="3"/>
  <c r="AX29" i="3" s="1"/>
  <c r="BD29" i="3" s="1"/>
  <c r="AK32" i="4"/>
  <c r="AW32" i="4" s="1"/>
  <c r="BC32" i="4" s="1"/>
  <c r="CS47" i="4"/>
  <c r="P35" i="2"/>
  <c r="AT35" i="2" s="1"/>
  <c r="AR32" i="2"/>
  <c r="AX32" i="2" s="1"/>
  <c r="BD32" i="2" s="1"/>
  <c r="P20" i="4"/>
  <c r="AT20" i="4" s="1"/>
  <c r="P36" i="5"/>
  <c r="AT36" i="5" s="1"/>
  <c r="AR40" i="3"/>
  <c r="AX40" i="3" s="1"/>
  <c r="BD40" i="3" s="1"/>
  <c r="AK42" i="4"/>
  <c r="AW42" i="4" s="1"/>
  <c r="BC42" i="4" s="1"/>
  <c r="CS27" i="5"/>
  <c r="AD39" i="6"/>
  <c r="AV39" i="6" s="1"/>
  <c r="BB39" i="6" s="1"/>
  <c r="BO21" i="2"/>
  <c r="BQ21" i="2" s="1"/>
  <c r="AD27" i="6"/>
  <c r="AV27" i="6" s="1"/>
  <c r="BB27" i="6" s="1"/>
  <c r="AK38" i="4"/>
  <c r="AW38" i="4" s="1"/>
  <c r="BC38" i="4" s="1"/>
  <c r="CS22" i="5"/>
  <c r="CS15" i="3"/>
  <c r="W12" i="3"/>
  <c r="AU12" i="3" s="1"/>
  <c r="BA12" i="3" s="1"/>
  <c r="P27" i="3"/>
  <c r="AT27" i="3" s="1"/>
  <c r="AD40" i="5"/>
  <c r="AV40" i="5" s="1"/>
  <c r="BB40" i="5" s="1"/>
  <c r="AK36" i="2"/>
  <c r="AW36" i="2" s="1"/>
  <c r="BC36" i="2" s="1"/>
  <c r="P41" i="6"/>
  <c r="AT41" i="6" s="1"/>
  <c r="AK35" i="3"/>
  <c r="AW35" i="3" s="1"/>
  <c r="BC35" i="3" s="1"/>
  <c r="BH12" i="6"/>
  <c r="BI12" i="6"/>
  <c r="BJ12" i="6" s="1"/>
  <c r="P37" i="5"/>
  <c r="AT37" i="5" s="1"/>
  <c r="CS33" i="4"/>
  <c r="W18" i="4"/>
  <c r="AU18" i="4" s="1"/>
  <c r="BA18" i="4" s="1"/>
  <c r="CS43" i="3"/>
  <c r="BI42" i="2"/>
  <c r="BJ42" i="2" s="1"/>
  <c r="BH42" i="2"/>
  <c r="P31" i="2"/>
  <c r="AT31" i="2" s="1"/>
  <c r="AR38" i="6"/>
  <c r="AX38" i="6" s="1"/>
  <c r="BD38" i="6" s="1"/>
  <c r="AK41" i="4"/>
  <c r="AW41" i="4" s="1"/>
  <c r="BC41" i="4" s="1"/>
  <c r="BH43" i="6"/>
  <c r="BI43" i="6"/>
  <c r="BJ43" i="6" s="1"/>
  <c r="BI42" i="5"/>
  <c r="BJ42" i="5" s="1"/>
  <c r="BH42" i="5"/>
  <c r="AR20" i="5"/>
  <c r="AX20" i="5" s="1"/>
  <c r="BD20" i="5" s="1"/>
  <c r="BI13" i="2"/>
  <c r="BJ13" i="2" s="1"/>
  <c r="BH13" i="2"/>
  <c r="AD32" i="3"/>
  <c r="AV32" i="3" s="1"/>
  <c r="BB32" i="3" s="1"/>
  <c r="AR16" i="6"/>
  <c r="AX16" i="6" s="1"/>
  <c r="BD16" i="6" s="1"/>
  <c r="P13" i="5"/>
  <c r="AT13" i="5" s="1"/>
  <c r="W37" i="2"/>
  <c r="AU37" i="2" s="1"/>
  <c r="BA37" i="2" s="1"/>
  <c r="CS31" i="4"/>
  <c r="P19" i="4"/>
  <c r="AT19" i="4" s="1"/>
  <c r="CS27" i="2"/>
  <c r="BI15" i="4"/>
  <c r="BJ15" i="4" s="1"/>
  <c r="BH15" i="4"/>
  <c r="P24" i="2"/>
  <c r="AT24" i="2" s="1"/>
  <c r="P33" i="6"/>
  <c r="AT33" i="6" s="1"/>
  <c r="AD23" i="5"/>
  <c r="AV23" i="5" s="1"/>
  <c r="BB23" i="5" s="1"/>
  <c r="AK33" i="3"/>
  <c r="AW33" i="3" s="1"/>
  <c r="BC33" i="3" s="1"/>
  <c r="AR30" i="2"/>
  <c r="AX30" i="2" s="1"/>
  <c r="BD30" i="2" s="1"/>
  <c r="CS38" i="4"/>
  <c r="P39" i="2"/>
  <c r="AT39" i="2" s="1"/>
  <c r="W50" i="3"/>
  <c r="AU50" i="3" s="1"/>
  <c r="BA50" i="3" s="1"/>
  <c r="W20" i="3"/>
  <c r="AU20" i="3" s="1"/>
  <c r="BA20" i="3" s="1"/>
  <c r="AR13" i="4"/>
  <c r="AX13" i="4" s="1"/>
  <c r="BD13" i="4" s="1"/>
  <c r="AR14" i="5"/>
  <c r="AX14" i="5" s="1"/>
  <c r="BD14" i="5" s="1"/>
  <c r="CS16" i="3"/>
  <c r="AR18" i="6"/>
  <c r="AX18" i="6" s="1"/>
  <c r="BD18" i="6" s="1"/>
  <c r="CS16" i="4"/>
  <c r="AK46" i="2"/>
  <c r="AW46" i="2" s="1"/>
  <c r="BC46" i="2" s="1"/>
  <c r="BI23" i="3"/>
  <c r="BJ23" i="3" s="1"/>
  <c r="BH23" i="3"/>
  <c r="AD25" i="6"/>
  <c r="AV25" i="6" s="1"/>
  <c r="BB25" i="6" s="1"/>
  <c r="BH44" i="6"/>
  <c r="BI44" i="6"/>
  <c r="BJ44" i="6" s="1"/>
  <c r="BO44" i="6" s="1"/>
  <c r="BQ44" i="6" s="1"/>
  <c r="BI22" i="6"/>
  <c r="BJ22" i="6" s="1"/>
  <c r="BH22" i="6"/>
  <c r="AR41" i="3"/>
  <c r="AX41" i="3" s="1"/>
  <c r="BD41" i="3" s="1"/>
  <c r="CS49" i="2"/>
  <c r="BI48" i="3"/>
  <c r="BJ48" i="3" s="1"/>
  <c r="BH48" i="3"/>
  <c r="AR21" i="4"/>
  <c r="AX21" i="4" s="1"/>
  <c r="BD21" i="4" s="1"/>
  <c r="AD15" i="3"/>
  <c r="AV15" i="3" s="1"/>
  <c r="BB15" i="3" s="1"/>
  <c r="AD25" i="3"/>
  <c r="AV25" i="3" s="1"/>
  <c r="BB25" i="3" s="1"/>
  <c r="P45" i="5"/>
  <c r="AT45" i="5" s="1"/>
  <c r="AK29" i="4"/>
  <c r="AW29" i="4" s="1"/>
  <c r="BC29" i="4" s="1"/>
  <c r="AR21" i="3"/>
  <c r="AX21" i="3" s="1"/>
  <c r="BD21" i="3" s="1"/>
  <c r="AK19" i="5"/>
  <c r="AW19" i="5" s="1"/>
  <c r="BC19" i="5" s="1"/>
  <c r="P40" i="2"/>
  <c r="AT40" i="2" s="1"/>
  <c r="P15" i="6"/>
  <c r="AT15" i="6" s="1"/>
  <c r="CS31" i="3"/>
  <c r="P26" i="5"/>
  <c r="AT26" i="5" s="1"/>
  <c r="BH43" i="2"/>
  <c r="BI43" i="2"/>
  <c r="BJ43" i="2" s="1"/>
  <c r="CS48" i="5"/>
  <c r="CS50" i="5"/>
  <c r="P12" i="5"/>
  <c r="AT12" i="5" s="1"/>
  <c r="AR28" i="4"/>
  <c r="AX28" i="4" s="1"/>
  <c r="BD28" i="4" s="1"/>
  <c r="AD50" i="4"/>
  <c r="AV50" i="4" s="1"/>
  <c r="BB50" i="4" s="1"/>
  <c r="AD30" i="6"/>
  <c r="AV30" i="6" s="1"/>
  <c r="BB30" i="6" s="1"/>
  <c r="P49" i="3"/>
  <c r="AT49" i="3" s="1"/>
  <c r="BI15" i="5"/>
  <c r="BJ15" i="5" s="1"/>
  <c r="BH15" i="5"/>
  <c r="AR13" i="3"/>
  <c r="AX13" i="3" s="1"/>
  <c r="BD13" i="3" s="1"/>
  <c r="AD35" i="6"/>
  <c r="AV35" i="6" s="1"/>
  <c r="BB35" i="6" s="1"/>
  <c r="W30" i="4"/>
  <c r="AU30" i="4" s="1"/>
  <c r="BA30" i="4" s="1"/>
  <c r="AK28" i="2"/>
  <c r="AW28" i="2" s="1"/>
  <c r="BC28" i="2" s="1"/>
  <c r="AR20" i="6"/>
  <c r="AX20" i="6" s="1"/>
  <c r="BD20" i="6" s="1"/>
  <c r="AR12" i="2"/>
  <c r="AX12" i="2" s="1"/>
  <c r="BD12" i="2" s="1"/>
  <c r="AR22" i="2"/>
  <c r="AX22" i="2" s="1"/>
  <c r="BD22" i="2" s="1"/>
  <c r="BI45" i="4"/>
  <c r="BJ45" i="4" s="1"/>
  <c r="BH45" i="4"/>
  <c r="AR27" i="4"/>
  <c r="AX27" i="4" s="1"/>
  <c r="BD27" i="4" s="1"/>
  <c r="AK50" i="2"/>
  <c r="AW50" i="2" s="1"/>
  <c r="BC50" i="2" s="1"/>
  <c r="P29" i="3"/>
  <c r="AT29" i="3" s="1"/>
  <c r="BI47" i="4"/>
  <c r="BJ47" i="4" s="1"/>
  <c r="BH47" i="4"/>
  <c r="AD35" i="2"/>
  <c r="AV35" i="2" s="1"/>
  <c r="BB35" i="2" s="1"/>
  <c r="BH39" i="5"/>
  <c r="BI39" i="5"/>
  <c r="BJ39" i="5" s="1"/>
  <c r="AR20" i="4"/>
  <c r="AX20" i="4" s="1"/>
  <c r="BD20" i="4" s="1"/>
  <c r="P40" i="3"/>
  <c r="AT40" i="3" s="1"/>
  <c r="AR39" i="6"/>
  <c r="AX39" i="6" s="1"/>
  <c r="BD39" i="6" s="1"/>
  <c r="W30" i="5"/>
  <c r="AU30" i="5" s="1"/>
  <c r="BA30" i="5" s="1"/>
  <c r="AK27" i="6"/>
  <c r="AW27" i="6" s="1"/>
  <c r="BC27" i="6" s="1"/>
  <c r="W26" i="6"/>
  <c r="AU26" i="6" s="1"/>
  <c r="BA26" i="6" s="1"/>
  <c r="BO30" i="5" l="1"/>
  <c r="BQ30" i="5" s="1"/>
  <c r="BO23" i="6"/>
  <c r="BQ23" i="6" s="1"/>
  <c r="BO42" i="3"/>
  <c r="BQ42" i="3" s="1"/>
  <c r="BO25" i="6"/>
  <c r="BQ25" i="6" s="1"/>
  <c r="BO44" i="4"/>
  <c r="BQ44" i="4" s="1"/>
  <c r="BO25" i="5"/>
  <c r="BQ25" i="5" s="1"/>
  <c r="BO46" i="5"/>
  <c r="BQ46" i="5" s="1"/>
  <c r="BO19" i="3"/>
  <c r="BQ19" i="3" s="1"/>
  <c r="CS22" i="3"/>
  <c r="BO19" i="4"/>
  <c r="BQ19" i="4" s="1"/>
  <c r="CS37" i="6"/>
  <c r="BO39" i="2"/>
  <c r="BQ39" i="2" s="1"/>
  <c r="CS45" i="2"/>
  <c r="CS24" i="3"/>
  <c r="BO42" i="6"/>
  <c r="BQ42" i="6" s="1"/>
  <c r="BO32" i="5"/>
  <c r="BQ32" i="5" s="1"/>
  <c r="CS30" i="2"/>
  <c r="CS14" i="2"/>
  <c r="CS32" i="3"/>
  <c r="BO32" i="3"/>
  <c r="BQ32" i="3" s="1"/>
  <c r="BO23" i="3"/>
  <c r="BQ23" i="3" s="1"/>
  <c r="BO47" i="4"/>
  <c r="BQ47" i="4" s="1"/>
  <c r="BO20" i="4"/>
  <c r="BQ20" i="4" s="1"/>
  <c r="CS46" i="3"/>
  <c r="CS19" i="3"/>
  <c r="BO42" i="4"/>
  <c r="BQ42" i="4" s="1"/>
  <c r="BO49" i="2"/>
  <c r="BQ49" i="2" s="1"/>
  <c r="BO12" i="2"/>
  <c r="BQ12" i="2" s="1"/>
  <c r="BO31" i="4"/>
  <c r="BQ31" i="4" s="1"/>
  <c r="CS46" i="2"/>
  <c r="BO50" i="2"/>
  <c r="BQ50" i="2" s="1"/>
  <c r="CS29" i="2"/>
  <c r="CS36" i="2"/>
  <c r="CS19" i="2"/>
  <c r="CS33" i="2"/>
  <c r="BO45" i="4"/>
  <c r="BQ45" i="4" s="1"/>
  <c r="CS31" i="2"/>
  <c r="CS41" i="2"/>
  <c r="BO14" i="3"/>
  <c r="BQ14" i="3" s="1"/>
  <c r="CS24" i="2"/>
  <c r="CS50" i="2"/>
  <c r="CS32" i="2"/>
  <c r="BO49" i="4"/>
  <c r="BQ49" i="4" s="1"/>
  <c r="BO38" i="3"/>
  <c r="BQ38" i="3" s="1"/>
  <c r="BO27" i="2"/>
  <c r="BQ27" i="2" s="1"/>
  <c r="BO45" i="2"/>
  <c r="BQ45" i="2" s="1"/>
  <c r="CS42" i="3"/>
  <c r="CS49" i="4"/>
  <c r="BO24" i="14"/>
  <c r="BO12" i="16"/>
  <c r="BO30" i="12"/>
  <c r="BO42" i="13"/>
  <c r="BO24" i="13"/>
  <c r="BO49" i="13"/>
  <c r="BO32" i="12"/>
  <c r="BO37" i="13"/>
  <c r="BO22" i="14"/>
  <c r="BO21" i="15"/>
  <c r="BO25" i="15"/>
  <c r="BR25" i="15" s="1"/>
  <c r="BO25" i="12"/>
  <c r="BO39" i="15"/>
  <c r="BO14" i="13"/>
  <c r="BO27" i="16"/>
  <c r="BO33" i="15"/>
  <c r="BO29" i="13"/>
  <c r="BO39" i="14"/>
  <c r="BO38" i="13"/>
  <c r="BO12" i="14"/>
  <c r="BO27" i="13"/>
  <c r="BO48" i="13"/>
  <c r="BO27" i="12"/>
  <c r="BR27" i="12" s="1"/>
  <c r="BO24" i="2"/>
  <c r="BQ24" i="2" s="1"/>
  <c r="BO36" i="2"/>
  <c r="BQ36" i="2" s="1"/>
  <c r="CS26" i="6"/>
  <c r="BO23" i="2"/>
  <c r="BQ23" i="2" s="1"/>
  <c r="CS48" i="6"/>
  <c r="BO42" i="5"/>
  <c r="BQ42" i="5" s="1"/>
  <c r="BO35" i="2"/>
  <c r="BQ35" i="2" s="1"/>
  <c r="BO19" i="6"/>
  <c r="BQ19" i="6" s="1"/>
  <c r="BO16" i="4"/>
  <c r="BQ16" i="4" s="1"/>
  <c r="BO39" i="4"/>
  <c r="BQ39" i="4" s="1"/>
  <c r="BO40" i="5"/>
  <c r="BQ40" i="5" s="1"/>
  <c r="BO29" i="6"/>
  <c r="BQ29" i="6" s="1"/>
  <c r="BO43" i="5"/>
  <c r="BQ43" i="5" s="1"/>
  <c r="BO45" i="3"/>
  <c r="BQ45" i="3" s="1"/>
  <c r="BO28" i="5"/>
  <c r="BQ28" i="5" s="1"/>
  <c r="BO37" i="4"/>
  <c r="BQ37" i="4" s="1"/>
  <c r="BO40" i="3"/>
  <c r="BQ40" i="3" s="1"/>
  <c r="BO39" i="6"/>
  <c r="BQ39" i="6" s="1"/>
  <c r="BO29" i="3"/>
  <c r="BQ29" i="3" s="1"/>
  <c r="BO13" i="5"/>
  <c r="BQ13" i="5" s="1"/>
  <c r="BO21" i="6"/>
  <c r="BQ21" i="6" s="1"/>
  <c r="BO47" i="2"/>
  <c r="BQ47" i="2" s="1"/>
  <c r="BO48" i="3"/>
  <c r="BQ48" i="3" s="1"/>
  <c r="BO27" i="5"/>
  <c r="BQ27" i="5" s="1"/>
  <c r="BO16" i="6"/>
  <c r="BQ16" i="6" s="1"/>
  <c r="BO30" i="6"/>
  <c r="BQ30" i="6" s="1"/>
  <c r="BO20" i="3"/>
  <c r="BQ20" i="3" s="1"/>
  <c r="BO37" i="6"/>
  <c r="BQ37" i="6" s="1"/>
  <c r="CS47" i="6"/>
  <c r="BO38" i="2"/>
  <c r="BQ38" i="2" s="1"/>
  <c r="BO49" i="5"/>
  <c r="BQ49" i="5" s="1"/>
  <c r="BO41" i="6"/>
  <c r="BQ41" i="6" s="1"/>
  <c r="BO27" i="3"/>
  <c r="BQ27" i="3" s="1"/>
  <c r="BO50" i="6"/>
  <c r="BQ50" i="6" s="1"/>
  <c r="BO24" i="4"/>
  <c r="BQ24" i="4" s="1"/>
  <c r="BO32" i="2"/>
  <c r="BQ32" i="2" s="1"/>
  <c r="BO25" i="4"/>
  <c r="BQ25" i="4" s="1"/>
  <c r="BO22" i="4"/>
  <c r="BQ22" i="4" s="1"/>
  <c r="BO36" i="3"/>
  <c r="BQ36" i="3" s="1"/>
  <c r="CS25" i="5"/>
  <c r="BO40" i="4"/>
  <c r="BQ40" i="4" s="1"/>
  <c r="BO31" i="3"/>
  <c r="BQ31" i="3" s="1"/>
  <c r="BO26" i="2"/>
  <c r="BQ26" i="2" s="1"/>
  <c r="CS16" i="6"/>
  <c r="CS11" i="6"/>
  <c r="CS40" i="5"/>
  <c r="BO16" i="2"/>
  <c r="BQ16" i="2" s="1"/>
  <c r="BO25" i="2"/>
  <c r="BQ25" i="2" s="1"/>
  <c r="BO46" i="6"/>
  <c r="BQ46" i="6" s="1"/>
  <c r="CS24" i="4"/>
  <c r="CS16" i="5"/>
  <c r="BO28" i="3"/>
  <c r="BQ28" i="3" s="1"/>
  <c r="CS25" i="4"/>
  <c r="BO44" i="5"/>
  <c r="BQ44" i="5" s="1"/>
  <c r="BO20" i="2"/>
  <c r="BQ20" i="2" s="1"/>
  <c r="CS19" i="6"/>
  <c r="BO40" i="2"/>
  <c r="BQ40" i="2" s="1"/>
  <c r="BO27" i="4"/>
  <c r="BQ27" i="4" s="1"/>
  <c r="BO28" i="4"/>
  <c r="BQ28" i="4" s="1"/>
  <c r="BO22" i="2"/>
  <c r="BQ22" i="2" s="1"/>
  <c r="BO31" i="5"/>
  <c r="BQ31" i="5" s="1"/>
  <c r="CS40" i="6"/>
  <c r="BO13" i="3"/>
  <c r="BQ13" i="3" s="1"/>
  <c r="BO43" i="4"/>
  <c r="BQ43" i="4" s="1"/>
  <c r="BO46" i="4"/>
  <c r="BQ46" i="4" s="1"/>
  <c r="BO47" i="5"/>
  <c r="BQ47" i="5" s="1"/>
  <c r="BO49" i="6"/>
  <c r="BQ49" i="6" s="1"/>
  <c r="BO33" i="5"/>
  <c r="BQ33" i="5" s="1"/>
  <c r="BO35" i="5"/>
  <c r="BQ35" i="5" s="1"/>
  <c r="CS30" i="3"/>
  <c r="BO40" i="6"/>
  <c r="BQ40" i="6" s="1"/>
  <c r="CS38" i="3"/>
  <c r="BO43" i="2"/>
  <c r="BQ43" i="2" s="1"/>
  <c r="BO14" i="5"/>
  <c r="BQ14" i="5" s="1"/>
  <c r="BO29" i="2"/>
  <c r="BQ29" i="2" s="1"/>
  <c r="BO41" i="2"/>
  <c r="BQ41" i="2" s="1"/>
  <c r="BO37" i="2"/>
  <c r="BQ37" i="2" s="1"/>
  <c r="BO50" i="5"/>
  <c r="BQ50" i="5" s="1"/>
  <c r="BO20" i="13"/>
  <c r="BO45" i="12"/>
  <c r="BO40" i="12"/>
  <c r="BO39" i="13"/>
  <c r="BO31" i="12"/>
  <c r="BO28" i="13"/>
  <c r="BR28" i="13" s="1"/>
  <c r="BO33" i="16"/>
  <c r="BO26" i="14"/>
  <c r="BR26" i="14" s="1"/>
  <c r="BO47" i="14"/>
  <c r="BO25" i="16"/>
  <c r="BO15" i="15"/>
  <c r="BR15" i="15" s="1"/>
  <c r="BO43" i="12"/>
  <c r="BR43" i="12" s="1"/>
  <c r="BO16" i="12"/>
  <c r="BO36" i="12"/>
  <c r="BO25" i="13"/>
  <c r="BO14" i="16"/>
  <c r="BO45" i="14"/>
  <c r="BR45" i="14" s="1"/>
  <c r="BO31" i="15"/>
  <c r="BR31" i="15" s="1"/>
  <c r="BO30" i="13"/>
  <c r="BR30" i="13" s="1"/>
  <c r="BO40" i="13"/>
  <c r="BR40" i="13" s="1"/>
  <c r="BO21" i="12"/>
  <c r="BR21" i="12" s="1"/>
  <c r="BO12" i="15"/>
  <c r="BO41" i="16"/>
  <c r="BR41" i="16" s="1"/>
  <c r="BO29" i="16"/>
  <c r="BO49" i="16"/>
  <c r="BO41" i="14"/>
  <c r="BR41" i="14" s="1"/>
  <c r="BO37" i="12"/>
  <c r="BR37" i="12" s="1"/>
  <c r="BO28" i="14"/>
  <c r="BR28" i="14" s="1"/>
  <c r="BO14" i="12"/>
  <c r="BO29" i="14"/>
  <c r="BR29" i="14" s="1"/>
  <c r="BO38" i="15"/>
  <c r="BR38" i="15" s="1"/>
  <c r="BO32" i="14"/>
  <c r="BO24" i="16"/>
  <c r="BR24" i="16" s="1"/>
  <c r="BO30" i="16"/>
  <c r="BO40" i="14"/>
  <c r="BO33" i="14"/>
  <c r="BO28" i="16"/>
  <c r="BO15" i="16"/>
  <c r="BO21" i="16"/>
  <c r="BR21" i="16" s="1"/>
  <c r="BO45" i="16"/>
  <c r="BR45" i="16" s="1"/>
  <c r="BO44" i="12"/>
  <c r="BO26" i="12"/>
  <c r="BR26" i="12" s="1"/>
  <c r="BO16" i="15"/>
  <c r="BR16" i="15" s="1"/>
  <c r="BO26" i="13"/>
  <c r="BO41" i="15"/>
  <c r="BR41" i="15" s="1"/>
  <c r="BO30" i="14"/>
  <c r="BO16" i="13"/>
  <c r="BR16" i="13" s="1"/>
  <c r="BO46" i="12"/>
  <c r="BR46" i="12" s="1"/>
  <c r="BO14" i="15"/>
  <c r="BR14" i="15" s="1"/>
  <c r="BO38" i="16"/>
  <c r="BR38" i="16" s="1"/>
  <c r="BO12" i="12"/>
  <c r="BO43" i="14"/>
  <c r="BO46" i="14"/>
  <c r="BO32" i="15"/>
  <c r="BR32" i="15" s="1"/>
  <c r="BO42" i="14"/>
  <c r="BR42" i="14" s="1"/>
  <c r="BO43" i="13"/>
  <c r="BO46" i="15"/>
  <c r="BR46" i="15" s="1"/>
  <c r="BO23" i="16"/>
  <c r="BO13" i="16"/>
  <c r="BR13" i="16" s="1"/>
  <c r="BO32" i="16"/>
  <c r="BO21" i="14"/>
  <c r="BR21" i="14" s="1"/>
  <c r="BO22" i="15"/>
  <c r="BO43" i="16"/>
  <c r="BO32" i="13"/>
  <c r="BR32" i="13" s="1"/>
  <c r="BO20" i="14"/>
  <c r="BO19" i="14"/>
  <c r="BR19" i="14" s="1"/>
  <c r="BO15" i="14"/>
  <c r="BR15" i="14" s="1"/>
  <c r="BO50" i="13"/>
  <c r="BO37" i="15"/>
  <c r="BR37" i="15" s="1"/>
  <c r="BO36" i="15"/>
  <c r="BO26" i="15"/>
  <c r="BR26" i="15" s="1"/>
  <c r="BO15" i="13"/>
  <c r="BO23" i="15"/>
  <c r="BO44" i="15"/>
  <c r="BR44" i="15" s="1"/>
  <c r="BO35" i="14"/>
  <c r="BR35" i="14" s="1"/>
  <c r="BO31" i="16"/>
  <c r="BR31" i="16" s="1"/>
  <c r="BO46" i="13"/>
  <c r="BR46" i="13" s="1"/>
  <c r="BO22" i="13"/>
  <c r="BR22" i="13" s="1"/>
  <c r="BO49" i="15"/>
  <c r="BR49" i="15" s="1"/>
  <c r="BO36" i="13"/>
  <c r="BR36" i="13" s="1"/>
  <c r="BO45" i="13"/>
  <c r="BR45" i="13" s="1"/>
  <c r="BO35" i="15"/>
  <c r="BO20" i="15"/>
  <c r="BR20" i="15" s="1"/>
  <c r="BO23" i="14"/>
  <c r="BR23" i="14" s="1"/>
  <c r="BO20" i="16"/>
  <c r="BO19" i="13"/>
  <c r="BO18" i="14"/>
  <c r="BR18" i="14" s="1"/>
  <c r="BO44" i="13"/>
  <c r="BR44" i="13" s="1"/>
  <c r="BO19" i="15"/>
  <c r="BR19" i="15" s="1"/>
  <c r="BO44" i="14"/>
  <c r="BR44" i="14" s="1"/>
  <c r="BO27" i="15"/>
  <c r="BR27" i="15" s="1"/>
  <c r="BI51" i="14"/>
  <c r="BO46" i="16"/>
  <c r="BR46" i="16" s="1"/>
  <c r="BO33" i="13"/>
  <c r="BO13" i="15"/>
  <c r="BR13" i="15" s="1"/>
  <c r="BO42" i="15"/>
  <c r="BR42" i="15" s="1"/>
  <c r="BO13" i="13"/>
  <c r="BR13" i="13" s="1"/>
  <c r="BO18" i="12"/>
  <c r="BR18" i="12" s="1"/>
  <c r="BO47" i="12"/>
  <c r="BO24" i="12"/>
  <c r="BR24" i="12" s="1"/>
  <c r="BO48" i="12"/>
  <c r="BR48" i="12" s="1"/>
  <c r="BO41" i="12"/>
  <c r="BR41" i="12" s="1"/>
  <c r="BO23" i="12"/>
  <c r="BR23" i="12" s="1"/>
  <c r="BO28" i="12"/>
  <c r="BO42" i="2"/>
  <c r="BQ42" i="2" s="1"/>
  <c r="BO12" i="5"/>
  <c r="BQ12" i="5" s="1"/>
  <c r="BO30" i="4"/>
  <c r="BQ30" i="4" s="1"/>
  <c r="BO31" i="6"/>
  <c r="BQ31" i="6" s="1"/>
  <c r="BO23" i="4"/>
  <c r="BQ23" i="4" s="1"/>
  <c r="BO26" i="6"/>
  <c r="BQ26" i="6" s="1"/>
  <c r="BO20" i="6"/>
  <c r="BQ20" i="6" s="1"/>
  <c r="BO24" i="3"/>
  <c r="BQ24" i="3" s="1"/>
  <c r="BO38" i="4"/>
  <c r="BQ38" i="4" s="1"/>
  <c r="BO13" i="2"/>
  <c r="BQ13" i="2" s="1"/>
  <c r="BO46" i="2"/>
  <c r="BQ46" i="2" s="1"/>
  <c r="BO15" i="6"/>
  <c r="BQ15" i="6" s="1"/>
  <c r="BO45" i="5"/>
  <c r="BQ45" i="5" s="1"/>
  <c r="BO16" i="3"/>
  <c r="BQ16" i="3" s="1"/>
  <c r="BO26" i="3"/>
  <c r="BQ26" i="3" s="1"/>
  <c r="BO26" i="4"/>
  <c r="BQ26" i="4" s="1"/>
  <c r="BO37" i="5"/>
  <c r="BQ37" i="5" s="1"/>
  <c r="BO25" i="3"/>
  <c r="BQ25" i="3" s="1"/>
  <c r="CS11" i="3"/>
  <c r="BO32" i="6"/>
  <c r="BQ32" i="6" s="1"/>
  <c r="CS16" i="2"/>
  <c r="BO28" i="2"/>
  <c r="BQ28" i="2" s="1"/>
  <c r="BO48" i="6"/>
  <c r="BQ48" i="6" s="1"/>
  <c r="BO27" i="6"/>
  <c r="BQ27" i="6" s="1"/>
  <c r="BO22" i="6"/>
  <c r="BQ22" i="6" s="1"/>
  <c r="BO15" i="4"/>
  <c r="BQ15" i="4" s="1"/>
  <c r="BO22" i="5"/>
  <c r="BQ22" i="5" s="1"/>
  <c r="CS23" i="2"/>
  <c r="BO31" i="2"/>
  <c r="BQ31" i="2" s="1"/>
  <c r="BO33" i="4"/>
  <c r="BQ33" i="4" s="1"/>
  <c r="BO12" i="6"/>
  <c r="BQ12" i="6" s="1"/>
  <c r="BO26" i="5"/>
  <c r="BQ26" i="5" s="1"/>
  <c r="BO12" i="4"/>
  <c r="BQ12" i="4" s="1"/>
  <c r="BO47" i="6"/>
  <c r="BQ47" i="6" s="1"/>
  <c r="BO43" i="6"/>
  <c r="BQ43" i="6" s="1"/>
  <c r="BO13" i="4"/>
  <c r="BQ13" i="4" s="1"/>
  <c r="BO45" i="6"/>
  <c r="BQ45" i="6" s="1"/>
  <c r="CS18" i="2"/>
  <c r="BO14" i="2"/>
  <c r="BQ14" i="2" s="1"/>
  <c r="BO18" i="2"/>
  <c r="BQ18" i="2" s="1"/>
  <c r="CS11" i="2"/>
  <c r="BO15" i="3"/>
  <c r="BQ15" i="3" s="1"/>
  <c r="CS43" i="2"/>
  <c r="BO50" i="4"/>
  <c r="BQ50" i="4" s="1"/>
  <c r="BO35" i="3"/>
  <c r="BQ35" i="3" s="1"/>
  <c r="BO36" i="6"/>
  <c r="BQ36" i="6" s="1"/>
  <c r="BO50" i="3"/>
  <c r="BQ50" i="3" s="1"/>
  <c r="BO16" i="5"/>
  <c r="BQ16" i="5" s="1"/>
  <c r="BO36" i="5"/>
  <c r="BQ36" i="5" s="1"/>
  <c r="BO43" i="3"/>
  <c r="BQ43" i="3" s="1"/>
  <c r="BO30" i="3"/>
  <c r="BQ30" i="3" s="1"/>
  <c r="BO35" i="4"/>
  <c r="BQ35" i="4" s="1"/>
  <c r="AX50" i="24"/>
  <c r="BD50" i="24" s="1"/>
  <c r="BD12" i="24"/>
  <c r="AW50" i="24"/>
  <c r="BC50" i="24" s="1"/>
  <c r="BC12" i="24"/>
  <c r="AY50" i="23"/>
  <c r="BE50" i="23" s="1"/>
  <c r="BE12" i="23"/>
  <c r="BR41" i="24"/>
  <c r="BR23" i="26"/>
  <c r="AY50" i="22"/>
  <c r="BE50" i="22" s="1"/>
  <c r="BE12" i="22"/>
  <c r="BR36" i="24"/>
  <c r="AX50" i="25"/>
  <c r="BD50" i="25" s="1"/>
  <c r="BD12" i="25"/>
  <c r="BR40" i="26"/>
  <c r="AV50" i="24"/>
  <c r="BB50" i="24" s="1"/>
  <c r="BB12" i="24"/>
  <c r="BR32" i="26"/>
  <c r="BR24" i="24"/>
  <c r="BR25" i="24"/>
  <c r="BR25" i="26"/>
  <c r="BR25" i="25"/>
  <c r="BP50" i="24"/>
  <c r="CA33" i="24" s="1"/>
  <c r="CB33" i="24" s="1"/>
  <c r="CC33" i="24" s="1"/>
  <c r="BR12" i="24"/>
  <c r="AV50" i="25"/>
  <c r="BB50" i="25" s="1"/>
  <c r="BB12" i="25"/>
  <c r="AX50" i="26"/>
  <c r="BD50" i="26" s="1"/>
  <c r="BD12" i="26"/>
  <c r="BR18" i="24"/>
  <c r="AX50" i="23"/>
  <c r="BD50" i="23" s="1"/>
  <c r="BD12" i="23"/>
  <c r="BR33" i="24"/>
  <c r="BP50" i="25"/>
  <c r="CA25" i="25" s="1"/>
  <c r="CB25" i="25" s="1"/>
  <c r="CC25" i="25" s="1"/>
  <c r="BR12" i="25"/>
  <c r="AU50" i="26"/>
  <c r="BA50" i="26" s="1"/>
  <c r="BA12" i="26"/>
  <c r="AZ12" i="26"/>
  <c r="BK50" i="22"/>
  <c r="BP6" i="22" s="1"/>
  <c r="BP12" i="22"/>
  <c r="BR42" i="26"/>
  <c r="BR41" i="26"/>
  <c r="AU50" i="24"/>
  <c r="BA50" i="24" s="1"/>
  <c r="BA12" i="24"/>
  <c r="AZ12" i="24"/>
  <c r="BK50" i="23"/>
  <c r="BP6" i="23" s="1"/>
  <c r="BP12" i="23"/>
  <c r="BR45" i="24"/>
  <c r="AU50" i="22"/>
  <c r="BA50" i="22" s="1"/>
  <c r="BA12" i="22"/>
  <c r="AZ12" i="22"/>
  <c r="AW50" i="25"/>
  <c r="BC50" i="25" s="1"/>
  <c r="BC12" i="25"/>
  <c r="BR18" i="23"/>
  <c r="BR49" i="24"/>
  <c r="AV50" i="22"/>
  <c r="BB50" i="22" s="1"/>
  <c r="BB12" i="22"/>
  <c r="AU50" i="25"/>
  <c r="BA50" i="25" s="1"/>
  <c r="BA12" i="25"/>
  <c r="AZ12" i="25"/>
  <c r="AY50" i="25"/>
  <c r="BE50" i="25" s="1"/>
  <c r="BE12" i="25"/>
  <c r="BR24" i="25"/>
  <c r="AW50" i="22"/>
  <c r="BC50" i="22" s="1"/>
  <c r="BC12" i="22"/>
  <c r="AY50" i="24"/>
  <c r="BE50" i="24" s="1"/>
  <c r="BE12" i="24"/>
  <c r="BR34" i="25"/>
  <c r="BK50" i="26"/>
  <c r="BP6" i="26" s="1"/>
  <c r="BP12" i="26"/>
  <c r="BR15" i="24"/>
  <c r="AW50" i="26"/>
  <c r="BC50" i="26" s="1"/>
  <c r="BC12" i="26"/>
  <c r="AV50" i="23"/>
  <c r="BB50" i="23" s="1"/>
  <c r="BB12" i="23"/>
  <c r="AY50" i="26"/>
  <c r="BE50" i="26" s="1"/>
  <c r="BE12" i="26"/>
  <c r="BR38" i="22"/>
  <c r="BR35" i="24"/>
  <c r="BR28" i="22"/>
  <c r="AW50" i="23"/>
  <c r="BC50" i="23" s="1"/>
  <c r="BC12" i="23"/>
  <c r="BR36" i="22"/>
  <c r="BR15" i="26"/>
  <c r="BR20" i="25"/>
  <c r="AU50" i="23"/>
  <c r="BA50" i="23" s="1"/>
  <c r="BA12" i="23"/>
  <c r="AZ12" i="23"/>
  <c r="AV50" i="26"/>
  <c r="BB50" i="26" s="1"/>
  <c r="BB12" i="26"/>
  <c r="AX50" i="22"/>
  <c r="BD50" i="22" s="1"/>
  <c r="BD12" i="22"/>
  <c r="BR14" i="22"/>
  <c r="BR27" i="16"/>
  <c r="BR18" i="16"/>
  <c r="BR15" i="13"/>
  <c r="BR23" i="15"/>
  <c r="BR28" i="12"/>
  <c r="BR12" i="14"/>
  <c r="BR39" i="13"/>
  <c r="BR14" i="12"/>
  <c r="BR30" i="14"/>
  <c r="BR16" i="12"/>
  <c r="BR36" i="15"/>
  <c r="BR28" i="16"/>
  <c r="BR29" i="15"/>
  <c r="BR48" i="13"/>
  <c r="BR35" i="15"/>
  <c r="BR20" i="14"/>
  <c r="BR44" i="12"/>
  <c r="BR35" i="13"/>
  <c r="BR30" i="16"/>
  <c r="BR28" i="15"/>
  <c r="BR50" i="16"/>
  <c r="BR20" i="16"/>
  <c r="BR50" i="13"/>
  <c r="BR40" i="12"/>
  <c r="BR47" i="12"/>
  <c r="BR23" i="16"/>
  <c r="BR33" i="14"/>
  <c r="BR47" i="16"/>
  <c r="BR39" i="16"/>
  <c r="BR12" i="16"/>
  <c r="BR37" i="13"/>
  <c r="BR31" i="12"/>
  <c r="BR22" i="15"/>
  <c r="BR43" i="16"/>
  <c r="BR20" i="13"/>
  <c r="BR19" i="12"/>
  <c r="BR48" i="14"/>
  <c r="BR32" i="16"/>
  <c r="BR44" i="16"/>
  <c r="AZ23" i="15"/>
  <c r="AY23" i="15"/>
  <c r="AZ16" i="15"/>
  <c r="AY16" i="15"/>
  <c r="AZ18" i="14"/>
  <c r="AY18" i="14"/>
  <c r="AZ39" i="14"/>
  <c r="AY39" i="14"/>
  <c r="AZ39" i="16"/>
  <c r="AY39" i="16"/>
  <c r="AZ15" i="15"/>
  <c r="AY15" i="15"/>
  <c r="AZ31" i="16"/>
  <c r="AY31" i="16"/>
  <c r="AZ44" i="14"/>
  <c r="AY44" i="14"/>
  <c r="BR39" i="14"/>
  <c r="AZ47" i="12"/>
  <c r="AY47" i="12"/>
  <c r="AZ31" i="14"/>
  <c r="AY31" i="14"/>
  <c r="AZ49" i="12"/>
  <c r="AY49" i="12"/>
  <c r="AZ13" i="15"/>
  <c r="AY13" i="15"/>
  <c r="AZ22" i="13"/>
  <c r="AY22" i="13"/>
  <c r="BR25" i="13"/>
  <c r="AT11" i="12"/>
  <c r="P51" i="12"/>
  <c r="BR24" i="13"/>
  <c r="AZ21" i="16"/>
  <c r="AY21" i="16"/>
  <c r="AK51" i="13"/>
  <c r="AW11" i="13"/>
  <c r="AZ12" i="16"/>
  <c r="AY12" i="16"/>
  <c r="BO39" i="12"/>
  <c r="AZ24" i="12"/>
  <c r="AY24" i="12"/>
  <c r="AZ29" i="13"/>
  <c r="AY29" i="13"/>
  <c r="AZ35" i="14"/>
  <c r="AY35" i="14"/>
  <c r="BO47" i="13"/>
  <c r="BR12" i="15"/>
  <c r="AZ46" i="13"/>
  <c r="AY46" i="13"/>
  <c r="AY45" i="12"/>
  <c r="AZ33" i="13"/>
  <c r="AY33" i="13"/>
  <c r="AZ16" i="12"/>
  <c r="AY16" i="12"/>
  <c r="AD51" i="14"/>
  <c r="AV11" i="14"/>
  <c r="AZ36" i="15"/>
  <c r="AY36" i="15"/>
  <c r="AZ21" i="12"/>
  <c r="AY21" i="12"/>
  <c r="AZ32" i="12"/>
  <c r="AY32" i="12"/>
  <c r="AZ43" i="16"/>
  <c r="AY43" i="16"/>
  <c r="AZ32" i="13"/>
  <c r="AY32" i="13"/>
  <c r="AZ12" i="14"/>
  <c r="AY12" i="14"/>
  <c r="AZ26" i="15"/>
  <c r="AY26" i="15"/>
  <c r="AK51" i="16"/>
  <c r="AW11" i="16"/>
  <c r="BR50" i="14"/>
  <c r="AZ15" i="13"/>
  <c r="AY15" i="13"/>
  <c r="AZ15" i="14"/>
  <c r="AY15" i="14"/>
  <c r="AZ15" i="12"/>
  <c r="AY15" i="12"/>
  <c r="BR49" i="13"/>
  <c r="AZ24" i="16"/>
  <c r="AY24" i="16"/>
  <c r="AZ32" i="16"/>
  <c r="AY32" i="16"/>
  <c r="AZ21" i="15"/>
  <c r="AY21" i="15"/>
  <c r="BR19" i="13"/>
  <c r="BR19" i="16"/>
  <c r="BR14" i="13"/>
  <c r="AZ28" i="15"/>
  <c r="AY28" i="15"/>
  <c r="AZ19" i="16"/>
  <c r="AY19" i="16"/>
  <c r="AZ30" i="13"/>
  <c r="AY30" i="13"/>
  <c r="AZ24" i="14"/>
  <c r="AY24" i="14"/>
  <c r="AZ44" i="15"/>
  <c r="AY44" i="15"/>
  <c r="AK51" i="15"/>
  <c r="AW11" i="15"/>
  <c r="AZ47" i="15"/>
  <c r="AY47" i="15"/>
  <c r="AZ14" i="12"/>
  <c r="AY14" i="12"/>
  <c r="AZ22" i="14"/>
  <c r="AY22" i="14"/>
  <c r="AZ12" i="15"/>
  <c r="AY12" i="15"/>
  <c r="AK51" i="12"/>
  <c r="AW11" i="12"/>
  <c r="AZ43" i="12"/>
  <c r="AY43" i="12"/>
  <c r="AZ46" i="12"/>
  <c r="AY46" i="12"/>
  <c r="AZ27" i="15"/>
  <c r="AY27" i="15"/>
  <c r="AZ38" i="12"/>
  <c r="AY38" i="12"/>
  <c r="AZ27" i="14"/>
  <c r="AY27" i="14"/>
  <c r="AZ24" i="13"/>
  <c r="AY24" i="13"/>
  <c r="AZ18" i="13"/>
  <c r="AY18" i="13"/>
  <c r="AZ20" i="13"/>
  <c r="AY20" i="13"/>
  <c r="AZ50" i="16"/>
  <c r="AY50" i="16"/>
  <c r="AZ27" i="13"/>
  <c r="AY27" i="13"/>
  <c r="AZ26" i="13"/>
  <c r="AY26" i="13"/>
  <c r="AZ18" i="12"/>
  <c r="AY18" i="12"/>
  <c r="AZ33" i="15"/>
  <c r="AY33" i="15"/>
  <c r="AZ30" i="12"/>
  <c r="AY30" i="12"/>
  <c r="BR37" i="14"/>
  <c r="BR21" i="13"/>
  <c r="AZ35" i="15"/>
  <c r="AY35" i="15"/>
  <c r="AY35" i="16"/>
  <c r="BR43" i="13"/>
  <c r="AZ44" i="16"/>
  <c r="AY44" i="16"/>
  <c r="BR22" i="14"/>
  <c r="BJ51" i="13"/>
  <c r="BO6" i="13" s="1"/>
  <c r="BO11" i="13"/>
  <c r="BR27" i="13"/>
  <c r="BR43" i="14"/>
  <c r="AZ16" i="13"/>
  <c r="AY16" i="13"/>
  <c r="BR24" i="14"/>
  <c r="AZ41" i="14"/>
  <c r="AY41" i="14"/>
  <c r="BR49" i="14"/>
  <c r="BR46" i="14"/>
  <c r="BR42" i="13"/>
  <c r="BR33" i="15"/>
  <c r="AZ38" i="14"/>
  <c r="AY38" i="14"/>
  <c r="AZ44" i="12"/>
  <c r="AY44" i="12"/>
  <c r="AZ23" i="13"/>
  <c r="AY23" i="13"/>
  <c r="BR12" i="13"/>
  <c r="AR51" i="12"/>
  <c r="AX11" i="12"/>
  <c r="AZ37" i="12"/>
  <c r="AY37" i="12"/>
  <c r="AZ38" i="16"/>
  <c r="AY38" i="16"/>
  <c r="AZ14" i="14"/>
  <c r="AY14" i="14"/>
  <c r="AZ39" i="12"/>
  <c r="AY39" i="12"/>
  <c r="AZ45" i="14"/>
  <c r="AY45" i="14"/>
  <c r="AZ13" i="12"/>
  <c r="AY13" i="12"/>
  <c r="AZ36" i="12"/>
  <c r="AY36" i="12"/>
  <c r="AZ45" i="15"/>
  <c r="AY45" i="15"/>
  <c r="BI51" i="12"/>
  <c r="P51" i="14"/>
  <c r="AT11" i="14"/>
  <c r="AZ29" i="12"/>
  <c r="AY29" i="12"/>
  <c r="AZ43" i="13"/>
  <c r="AY43" i="13"/>
  <c r="AZ20" i="14"/>
  <c r="AY20" i="14"/>
  <c r="AZ45" i="16"/>
  <c r="AY45" i="16"/>
  <c r="BR29" i="12"/>
  <c r="AZ14" i="15"/>
  <c r="AY14" i="15"/>
  <c r="AR51" i="13"/>
  <c r="AX11" i="13"/>
  <c r="AZ39" i="13"/>
  <c r="AY39" i="13"/>
  <c r="AZ23" i="14"/>
  <c r="AY23" i="14"/>
  <c r="BR48" i="16"/>
  <c r="AZ30" i="15"/>
  <c r="AY30" i="15"/>
  <c r="AZ48" i="13"/>
  <c r="AY48" i="13"/>
  <c r="AZ50" i="12"/>
  <c r="AY50" i="12"/>
  <c r="AZ34" i="16"/>
  <c r="AY34" i="16"/>
  <c r="AZ19" i="15"/>
  <c r="AY19" i="15"/>
  <c r="AZ21" i="13"/>
  <c r="AY21" i="13"/>
  <c r="AZ27" i="16"/>
  <c r="AY27" i="16"/>
  <c r="BR38" i="13"/>
  <c r="AZ20" i="16"/>
  <c r="AY20" i="16"/>
  <c r="BR49" i="16"/>
  <c r="AR51" i="15"/>
  <c r="AX11" i="15"/>
  <c r="BO48" i="15"/>
  <c r="AZ37" i="14"/>
  <c r="AY37" i="14"/>
  <c r="AZ34" i="14"/>
  <c r="AY34" i="14"/>
  <c r="AZ40" i="15"/>
  <c r="AY40" i="15"/>
  <c r="AZ14" i="16"/>
  <c r="AY14" i="16"/>
  <c r="AV11" i="13"/>
  <c r="AD51" i="13"/>
  <c r="BO27" i="14"/>
  <c r="AZ47" i="13"/>
  <c r="AY47" i="13"/>
  <c r="BO43" i="15"/>
  <c r="AY22" i="15"/>
  <c r="AZ26" i="12"/>
  <c r="AY26" i="12"/>
  <c r="BR35" i="12"/>
  <c r="BI51" i="13"/>
  <c r="AZ42" i="16"/>
  <c r="AY42" i="16"/>
  <c r="AZ32" i="15"/>
  <c r="AY32" i="15"/>
  <c r="AZ49" i="14"/>
  <c r="AY49" i="14"/>
  <c r="BO25" i="14"/>
  <c r="AZ25" i="13"/>
  <c r="AY25" i="13"/>
  <c r="P51" i="16"/>
  <c r="AT11" i="16"/>
  <c r="AZ15" i="16"/>
  <c r="AY15" i="16"/>
  <c r="AZ34" i="15"/>
  <c r="AY34" i="15"/>
  <c r="AZ40" i="13"/>
  <c r="AY40" i="13"/>
  <c r="AZ13" i="14"/>
  <c r="AY13" i="14"/>
  <c r="AZ50" i="13"/>
  <c r="AY50" i="13"/>
  <c r="BJ11" i="12"/>
  <c r="BR14" i="16"/>
  <c r="AZ36" i="14"/>
  <c r="AY36" i="14"/>
  <c r="W51" i="13"/>
  <c r="AU11" i="13"/>
  <c r="BO20" i="12"/>
  <c r="BO37" i="16"/>
  <c r="BR39" i="15"/>
  <c r="AY21" i="14"/>
  <c r="AZ27" i="12"/>
  <c r="AY27" i="12"/>
  <c r="BO33" i="12"/>
  <c r="AZ33" i="14"/>
  <c r="AY33" i="14"/>
  <c r="AZ46" i="15"/>
  <c r="AY46" i="15"/>
  <c r="BO13" i="14"/>
  <c r="BR47" i="14"/>
  <c r="BR40" i="15"/>
  <c r="AZ43" i="15"/>
  <c r="AY43" i="15"/>
  <c r="AZ16" i="16"/>
  <c r="AY16" i="16"/>
  <c r="AZ29" i="14"/>
  <c r="AY29" i="14"/>
  <c r="AZ30" i="14"/>
  <c r="AY30" i="14"/>
  <c r="AZ25" i="16"/>
  <c r="AY25" i="16"/>
  <c r="AZ47" i="16"/>
  <c r="AY47" i="16"/>
  <c r="AZ31" i="13"/>
  <c r="AY31" i="13"/>
  <c r="P51" i="15"/>
  <c r="AT11" i="15"/>
  <c r="AZ19" i="13"/>
  <c r="AY19" i="13"/>
  <c r="BR30" i="15"/>
  <c r="AZ33" i="16"/>
  <c r="AY33" i="16"/>
  <c r="AZ28" i="13"/>
  <c r="AY28" i="13"/>
  <c r="AZ26" i="14"/>
  <c r="AY26" i="14"/>
  <c r="AZ24" i="15"/>
  <c r="AY24" i="15"/>
  <c r="AZ41" i="16"/>
  <c r="AY41" i="16"/>
  <c r="W51" i="15"/>
  <c r="AU11" i="15"/>
  <c r="AZ18" i="16"/>
  <c r="AY18" i="16"/>
  <c r="AD51" i="12"/>
  <c r="AV11" i="12"/>
  <c r="W51" i="16"/>
  <c r="AU11" i="16"/>
  <c r="BR36" i="12"/>
  <c r="AZ23" i="12"/>
  <c r="AY23" i="12"/>
  <c r="BR40" i="16"/>
  <c r="AZ37" i="16"/>
  <c r="AY37" i="16"/>
  <c r="BO14" i="14"/>
  <c r="BO49" i="12"/>
  <c r="BR15" i="16"/>
  <c r="AZ26" i="16"/>
  <c r="AY26" i="16"/>
  <c r="AZ18" i="15"/>
  <c r="AY18" i="15"/>
  <c r="AZ36" i="13"/>
  <c r="AY36" i="13"/>
  <c r="BR18" i="15"/>
  <c r="BO23" i="13"/>
  <c r="AZ19" i="14"/>
  <c r="AY19" i="14"/>
  <c r="AZ40" i="16"/>
  <c r="AY40" i="16"/>
  <c r="BR45" i="12"/>
  <c r="BR47" i="15"/>
  <c r="AZ49" i="16"/>
  <c r="AY49" i="16"/>
  <c r="AZ28" i="14"/>
  <c r="AY28" i="14"/>
  <c r="BO35" i="16"/>
  <c r="AZ14" i="13"/>
  <c r="AY14" i="13"/>
  <c r="BR21" i="15"/>
  <c r="AZ50" i="14"/>
  <c r="AY50" i="14"/>
  <c r="AZ28" i="12"/>
  <c r="AY28" i="12"/>
  <c r="AD51" i="16"/>
  <c r="AV11" i="16"/>
  <c r="AZ32" i="14"/>
  <c r="AY32" i="14"/>
  <c r="BR32" i="12"/>
  <c r="BR26" i="13"/>
  <c r="AZ42" i="12"/>
  <c r="AY42" i="12"/>
  <c r="BI51" i="15"/>
  <c r="AZ36" i="16"/>
  <c r="AY36" i="16"/>
  <c r="BR29" i="13"/>
  <c r="BR41" i="13"/>
  <c r="W51" i="12"/>
  <c r="AU11" i="12"/>
  <c r="AZ37" i="13"/>
  <c r="AY37" i="13"/>
  <c r="AZ37" i="15"/>
  <c r="AY37" i="15"/>
  <c r="AD51" i="15"/>
  <c r="AV11" i="15"/>
  <c r="BR32" i="14"/>
  <c r="BR30" i="12"/>
  <c r="AZ33" i="12"/>
  <c r="AY33" i="12"/>
  <c r="AZ41" i="12"/>
  <c r="AY41" i="12"/>
  <c r="BR31" i="13"/>
  <c r="AZ42" i="13"/>
  <c r="AY42" i="13"/>
  <c r="BR12" i="12"/>
  <c r="P51" i="13"/>
  <c r="AT11" i="13"/>
  <c r="BO16" i="14"/>
  <c r="AZ29" i="15"/>
  <c r="AY29" i="15"/>
  <c r="AZ38" i="15"/>
  <c r="AY38" i="15"/>
  <c r="AZ42" i="15"/>
  <c r="AY42" i="15"/>
  <c r="AZ49" i="15"/>
  <c r="AY49" i="15"/>
  <c r="AR51" i="14"/>
  <c r="AX11" i="14"/>
  <c r="AZ23" i="16"/>
  <c r="AY23" i="16"/>
  <c r="AZ46" i="14"/>
  <c r="AY46" i="14"/>
  <c r="AZ40" i="14"/>
  <c r="AY40" i="14"/>
  <c r="AZ46" i="16"/>
  <c r="AY46" i="16"/>
  <c r="AZ38" i="13"/>
  <c r="AY38" i="13"/>
  <c r="AZ16" i="14"/>
  <c r="AY16" i="14"/>
  <c r="BR22" i="16"/>
  <c r="AZ42" i="14"/>
  <c r="AY42" i="14"/>
  <c r="BI51" i="16"/>
  <c r="BJ11" i="15"/>
  <c r="AZ13" i="16"/>
  <c r="AY13" i="16"/>
  <c r="AZ45" i="13"/>
  <c r="AY45" i="13"/>
  <c r="BR38" i="14"/>
  <c r="BR13" i="12"/>
  <c r="AZ41" i="15"/>
  <c r="AY41" i="15"/>
  <c r="BR40" i="14"/>
  <c r="AZ35" i="12"/>
  <c r="AY35" i="12"/>
  <c r="BR33" i="13"/>
  <c r="BR42" i="12"/>
  <c r="AZ44" i="13"/>
  <c r="AY44" i="13"/>
  <c r="BO45" i="15"/>
  <c r="AR51" i="16"/>
  <c r="AX11" i="16"/>
  <c r="BO31" i="14"/>
  <c r="AZ25" i="15"/>
  <c r="AY25" i="15"/>
  <c r="AZ47" i="14"/>
  <c r="AY47" i="14"/>
  <c r="AZ39" i="15"/>
  <c r="AY39" i="15"/>
  <c r="BR25" i="12"/>
  <c r="AZ13" i="13"/>
  <c r="AY13" i="13"/>
  <c r="AZ12" i="12"/>
  <c r="AY12" i="12"/>
  <c r="AK51" i="14"/>
  <c r="AW11" i="14"/>
  <c r="BJ11" i="16"/>
  <c r="AZ25" i="14"/>
  <c r="AY25" i="14"/>
  <c r="W51" i="14"/>
  <c r="AU11" i="14"/>
  <c r="AZ28" i="16"/>
  <c r="AY28" i="16"/>
  <c r="AZ25" i="12"/>
  <c r="AY25" i="12"/>
  <c r="BR33" i="16"/>
  <c r="BR26" i="16"/>
  <c r="AZ40" i="12"/>
  <c r="AY40" i="12"/>
  <c r="BR50" i="15"/>
  <c r="AZ34" i="13"/>
  <c r="AY34" i="13"/>
  <c r="BR29" i="16"/>
  <c r="AY35" i="13"/>
  <c r="AZ22" i="16"/>
  <c r="AY22" i="16"/>
  <c r="AZ20" i="15"/>
  <c r="AY20" i="15"/>
  <c r="AZ49" i="13"/>
  <c r="AY49" i="13"/>
  <c r="AZ50" i="15"/>
  <c r="AY50" i="15"/>
  <c r="BR25" i="16"/>
  <c r="AZ48" i="15"/>
  <c r="AY48" i="15"/>
  <c r="BO50" i="12"/>
  <c r="AZ22" i="12"/>
  <c r="AY22" i="12"/>
  <c r="AZ29" i="16"/>
  <c r="AY29" i="16"/>
  <c r="BJ51" i="14"/>
  <c r="BO6" i="14" s="1"/>
  <c r="BO11" i="14"/>
  <c r="AZ20" i="12"/>
  <c r="AY20" i="12"/>
  <c r="AZ48" i="12"/>
  <c r="AY48" i="12"/>
  <c r="AZ34" i="12"/>
  <c r="AY34" i="12"/>
  <c r="AZ41" i="13"/>
  <c r="AY41" i="13"/>
  <c r="AZ30" i="16"/>
  <c r="AY30" i="16"/>
  <c r="AZ12" i="13"/>
  <c r="AY12" i="13"/>
  <c r="AZ31" i="12"/>
  <c r="AY31" i="12"/>
  <c r="AZ43" i="14"/>
  <c r="AY43" i="14"/>
  <c r="AZ31" i="15"/>
  <c r="AY31" i="15"/>
  <c r="AZ48" i="14"/>
  <c r="AY48" i="14"/>
  <c r="AZ48" i="16"/>
  <c r="AY48" i="16"/>
  <c r="AZ19" i="12"/>
  <c r="AY19" i="12"/>
  <c r="AZ26" i="3"/>
  <c r="AY26" i="3"/>
  <c r="AZ22" i="6"/>
  <c r="AY22" i="6"/>
  <c r="BI51" i="6"/>
  <c r="BJ51" i="3"/>
  <c r="BO6" i="3" s="1"/>
  <c r="BO11" i="3"/>
  <c r="AZ36" i="6"/>
  <c r="AY36" i="6"/>
  <c r="AZ43" i="3"/>
  <c r="AY43" i="3"/>
  <c r="AZ44" i="2"/>
  <c r="AY44" i="2"/>
  <c r="AZ47" i="2"/>
  <c r="AY47" i="2"/>
  <c r="CS20" i="6"/>
  <c r="CS41" i="5"/>
  <c r="AZ30" i="5"/>
  <c r="AY30" i="5"/>
  <c r="AZ47" i="4"/>
  <c r="AY47" i="4"/>
  <c r="BJ51" i="2"/>
  <c r="BO6" i="2" s="1"/>
  <c r="BO11" i="2"/>
  <c r="CS13" i="6"/>
  <c r="AZ44" i="6"/>
  <c r="AY44" i="6"/>
  <c r="AZ50" i="3"/>
  <c r="AY50" i="3"/>
  <c r="AZ48" i="2"/>
  <c r="AY48" i="2"/>
  <c r="AZ12" i="4"/>
  <c r="AY12" i="4"/>
  <c r="AZ32" i="2"/>
  <c r="AY32" i="2"/>
  <c r="AZ35" i="3"/>
  <c r="AY35" i="3"/>
  <c r="AZ43" i="6"/>
  <c r="AY43" i="6"/>
  <c r="AZ48" i="5"/>
  <c r="AY48" i="5"/>
  <c r="AZ37" i="6"/>
  <c r="AY37" i="6"/>
  <c r="AR51" i="5"/>
  <c r="AX11" i="5"/>
  <c r="AZ31" i="4"/>
  <c r="AY31" i="4"/>
  <c r="CS21" i="5"/>
  <c r="AZ36" i="3"/>
  <c r="AY36" i="3"/>
  <c r="AZ19" i="3"/>
  <c r="AY19" i="3"/>
  <c r="AZ13" i="6"/>
  <c r="AY13" i="6"/>
  <c r="AZ45" i="6"/>
  <c r="AY45" i="6"/>
  <c r="AZ38" i="6"/>
  <c r="AY38" i="6"/>
  <c r="BO24" i="5"/>
  <c r="BQ24" i="5" s="1"/>
  <c r="AZ14" i="6"/>
  <c r="AY14" i="6"/>
  <c r="BP52" i="3"/>
  <c r="CS17" i="3"/>
  <c r="CS34" i="3"/>
  <c r="CS33" i="3"/>
  <c r="CS18" i="3"/>
  <c r="CS41" i="3"/>
  <c r="CS49" i="3"/>
  <c r="CS44" i="3"/>
  <c r="BP52" i="2"/>
  <c r="CS17" i="2"/>
  <c r="CS34" i="2"/>
  <c r="CS48" i="2"/>
  <c r="CS21" i="2"/>
  <c r="BO48" i="5"/>
  <c r="BQ48" i="5" s="1"/>
  <c r="CS23" i="3"/>
  <c r="CS27" i="3"/>
  <c r="CS43" i="4"/>
  <c r="AZ23" i="6"/>
  <c r="AY23" i="6"/>
  <c r="AZ36" i="5"/>
  <c r="AY36" i="5"/>
  <c r="AZ30" i="4"/>
  <c r="AY30" i="4"/>
  <c r="AZ18" i="2"/>
  <c r="AY18" i="2"/>
  <c r="AZ45" i="5"/>
  <c r="AY45" i="5"/>
  <c r="AZ27" i="3"/>
  <c r="AY27" i="3"/>
  <c r="AZ20" i="4"/>
  <c r="AY20" i="4"/>
  <c r="AZ18" i="5"/>
  <c r="AY18" i="5"/>
  <c r="AZ21" i="4"/>
  <c r="AY21" i="4"/>
  <c r="AR51" i="4"/>
  <c r="AX11" i="4"/>
  <c r="BO12" i="3"/>
  <c r="BQ12" i="3" s="1"/>
  <c r="AZ28" i="6"/>
  <c r="AY28" i="6"/>
  <c r="AZ43" i="2"/>
  <c r="AY43" i="2"/>
  <c r="BO19" i="2"/>
  <c r="BQ19" i="2" s="1"/>
  <c r="AZ22" i="4"/>
  <c r="AY22" i="4"/>
  <c r="BO32" i="4"/>
  <c r="BQ32" i="4" s="1"/>
  <c r="W51" i="5"/>
  <c r="AU11" i="5"/>
  <c r="BJ11" i="6"/>
  <c r="AZ49" i="5"/>
  <c r="AY49" i="5"/>
  <c r="AZ32" i="6"/>
  <c r="AY32" i="6"/>
  <c r="CS18" i="5"/>
  <c r="AZ44" i="3"/>
  <c r="AY44" i="3"/>
  <c r="AZ31" i="3"/>
  <c r="AY31" i="3"/>
  <c r="AZ27" i="6"/>
  <c r="AY27" i="6"/>
  <c r="AZ35" i="6"/>
  <c r="AY35" i="6"/>
  <c r="AZ37" i="3"/>
  <c r="AY37" i="3"/>
  <c r="AZ42" i="6"/>
  <c r="AY42" i="6"/>
  <c r="AZ43" i="4"/>
  <c r="AY43" i="4"/>
  <c r="CS15" i="4"/>
  <c r="AZ23" i="5"/>
  <c r="AY23" i="5"/>
  <c r="BO29" i="4"/>
  <c r="BQ29" i="4" s="1"/>
  <c r="AZ33" i="5"/>
  <c r="AY33" i="5"/>
  <c r="AZ20" i="3"/>
  <c r="AY20" i="3"/>
  <c r="AZ49" i="6"/>
  <c r="AY49" i="6"/>
  <c r="AZ26" i="6"/>
  <c r="AY26" i="6"/>
  <c r="AZ28" i="3"/>
  <c r="AY28" i="3"/>
  <c r="AZ46" i="3"/>
  <c r="AY46" i="3"/>
  <c r="AK51" i="6"/>
  <c r="AW11" i="6"/>
  <c r="AZ42" i="5"/>
  <c r="AY42" i="5"/>
  <c r="BI51" i="4"/>
  <c r="CS44" i="4"/>
  <c r="AZ31" i="6"/>
  <c r="AY31" i="6"/>
  <c r="AZ15" i="3"/>
  <c r="AY15" i="3"/>
  <c r="CS40" i="4"/>
  <c r="AZ34" i="4"/>
  <c r="AY34" i="4"/>
  <c r="AZ42" i="2"/>
  <c r="AY42" i="2"/>
  <c r="CS23" i="4"/>
  <c r="AZ50" i="4"/>
  <c r="AY50" i="4"/>
  <c r="CS24" i="5"/>
  <c r="AZ19" i="5"/>
  <c r="AY19" i="5"/>
  <c r="BO47" i="3"/>
  <c r="BQ47" i="3" s="1"/>
  <c r="AY32" i="5"/>
  <c r="AZ33" i="3"/>
  <c r="AY33" i="3"/>
  <c r="AZ36" i="4"/>
  <c r="AY36" i="4"/>
  <c r="AZ20" i="5"/>
  <c r="AY20" i="5"/>
  <c r="AZ19" i="4"/>
  <c r="AY19" i="4"/>
  <c r="AZ35" i="2"/>
  <c r="AY35" i="2"/>
  <c r="BO35" i="6"/>
  <c r="BQ35" i="6" s="1"/>
  <c r="BO15" i="2"/>
  <c r="BQ15" i="2" s="1"/>
  <c r="AZ46" i="5"/>
  <c r="AY46" i="5"/>
  <c r="AZ16" i="5"/>
  <c r="AY16" i="5"/>
  <c r="AW11" i="2"/>
  <c r="AK51" i="2"/>
  <c r="BO21" i="4"/>
  <c r="BQ21" i="4" s="1"/>
  <c r="AZ18" i="6"/>
  <c r="AY18" i="6"/>
  <c r="AZ32" i="4"/>
  <c r="AY32" i="4"/>
  <c r="AZ21" i="2"/>
  <c r="AY21" i="2"/>
  <c r="AR51" i="3"/>
  <c r="AX11" i="3"/>
  <c r="AZ47" i="5"/>
  <c r="AY47" i="5"/>
  <c r="AZ24" i="3"/>
  <c r="AY24" i="3"/>
  <c r="BO41" i="4"/>
  <c r="BQ41" i="4" s="1"/>
  <c r="BO46" i="3"/>
  <c r="BQ46" i="3" s="1"/>
  <c r="CS29" i="5"/>
  <c r="BJ51" i="4"/>
  <c r="BO6" i="4" s="1"/>
  <c r="BO11" i="4"/>
  <c r="AZ38" i="3"/>
  <c r="AY38" i="3"/>
  <c r="AD51" i="3"/>
  <c r="AV11" i="3"/>
  <c r="AD51" i="2"/>
  <c r="AV11" i="2"/>
  <c r="AZ15" i="5"/>
  <c r="AY15" i="5"/>
  <c r="P51" i="4"/>
  <c r="AT11" i="4"/>
  <c r="BO37" i="3"/>
  <c r="BQ37" i="3" s="1"/>
  <c r="AZ48" i="3"/>
  <c r="AY48" i="3"/>
  <c r="CS42" i="5"/>
  <c r="AZ29" i="3"/>
  <c r="AY29" i="3"/>
  <c r="AZ39" i="2"/>
  <c r="AY39" i="2"/>
  <c r="AZ39" i="6"/>
  <c r="AY39" i="6"/>
  <c r="AZ30" i="6"/>
  <c r="AY30" i="6"/>
  <c r="AZ16" i="2"/>
  <c r="AY16" i="2"/>
  <c r="BP52" i="6"/>
  <c r="CS17" i="6"/>
  <c r="CS44" i="6"/>
  <c r="CS49" i="6"/>
  <c r="CS43" i="6"/>
  <c r="CS23" i="6"/>
  <c r="CS21" i="6"/>
  <c r="CS34" i="6"/>
  <c r="CS32" i="6"/>
  <c r="CS45" i="6"/>
  <c r="CS14" i="6"/>
  <c r="CS46" i="6"/>
  <c r="CS35" i="6"/>
  <c r="CS12" i="6"/>
  <c r="CS42" i="6"/>
  <c r="CS28" i="6"/>
  <c r="CS30" i="6"/>
  <c r="CS24" i="6"/>
  <c r="CS41" i="6"/>
  <c r="CS33" i="6"/>
  <c r="CS38" i="6"/>
  <c r="CS31" i="6"/>
  <c r="CS36" i="6"/>
  <c r="AZ41" i="3"/>
  <c r="AY41" i="3"/>
  <c r="CS27" i="6"/>
  <c r="AZ45" i="2"/>
  <c r="AY45" i="2"/>
  <c r="AR51" i="2"/>
  <c r="AX11" i="2"/>
  <c r="AZ34" i="2"/>
  <c r="AY34" i="2"/>
  <c r="AZ27" i="5"/>
  <c r="AY27" i="5"/>
  <c r="AD51" i="4"/>
  <c r="AV11" i="4"/>
  <c r="AZ47" i="3"/>
  <c r="AY47" i="3"/>
  <c r="CS25" i="2"/>
  <c r="AY16" i="6"/>
  <c r="CS25" i="6"/>
  <c r="AZ19" i="2"/>
  <c r="AY19" i="2"/>
  <c r="AZ37" i="5"/>
  <c r="AY37" i="5"/>
  <c r="AZ26" i="2"/>
  <c r="AY26" i="2"/>
  <c r="AZ25" i="5"/>
  <c r="AY25" i="5"/>
  <c r="AK51" i="4"/>
  <c r="AW11" i="4"/>
  <c r="AZ16" i="4"/>
  <c r="AY16" i="4"/>
  <c r="P51" i="2"/>
  <c r="AT11" i="2"/>
  <c r="BP52" i="5"/>
  <c r="CS17" i="5"/>
  <c r="CS34" i="5"/>
  <c r="CS19" i="5"/>
  <c r="CS23" i="5"/>
  <c r="AZ15" i="4"/>
  <c r="AY15" i="4"/>
  <c r="AZ20" i="2"/>
  <c r="AY20" i="2"/>
  <c r="AZ50" i="5"/>
  <c r="AY50" i="5"/>
  <c r="AZ18" i="3"/>
  <c r="AY18" i="3"/>
  <c r="AZ37" i="4"/>
  <c r="AY37" i="4"/>
  <c r="AZ14" i="2"/>
  <c r="AY14" i="2"/>
  <c r="W51" i="4"/>
  <c r="AU11" i="4"/>
  <c r="AZ23" i="3"/>
  <c r="AY23" i="3"/>
  <c r="AZ45" i="4"/>
  <c r="AY45" i="4"/>
  <c r="BO15" i="5"/>
  <c r="BQ15" i="5" s="1"/>
  <c r="AZ34" i="6"/>
  <c r="AY34" i="6"/>
  <c r="AZ22" i="3"/>
  <c r="AY22" i="3"/>
  <c r="AZ26" i="4"/>
  <c r="AY26" i="4"/>
  <c r="AZ25" i="4"/>
  <c r="AY25" i="4"/>
  <c r="AZ46" i="4"/>
  <c r="AY46" i="4"/>
  <c r="AZ49" i="2"/>
  <c r="AY49" i="2"/>
  <c r="BO18" i="5"/>
  <c r="BQ18" i="5" s="1"/>
  <c r="AZ44" i="5"/>
  <c r="AY44" i="5"/>
  <c r="CS33" i="5"/>
  <c r="BO22" i="3"/>
  <c r="BQ22" i="3" s="1"/>
  <c r="BO39" i="3"/>
  <c r="BQ39" i="3" s="1"/>
  <c r="CS50" i="6"/>
  <c r="AZ13" i="3"/>
  <c r="AY13" i="3"/>
  <c r="AZ38" i="4"/>
  <c r="AY38" i="4"/>
  <c r="BP52" i="4"/>
  <c r="CS17" i="4"/>
  <c r="CS34" i="4"/>
  <c r="CS14" i="4"/>
  <c r="CS48" i="4"/>
  <c r="CS36" i="4"/>
  <c r="AZ12" i="3"/>
  <c r="AY12" i="3"/>
  <c r="AZ48" i="4"/>
  <c r="AY48" i="4"/>
  <c r="AY39" i="4"/>
  <c r="AZ40" i="5"/>
  <c r="AY40" i="5"/>
  <c r="AZ12" i="5"/>
  <c r="AY12" i="5"/>
  <c r="AZ14" i="4"/>
  <c r="AY14" i="4"/>
  <c r="AD51" i="6"/>
  <c r="AV11" i="6"/>
  <c r="AZ42" i="4"/>
  <c r="AY42" i="4"/>
  <c r="AZ26" i="5"/>
  <c r="AY26" i="5"/>
  <c r="AZ13" i="5"/>
  <c r="AY13" i="5"/>
  <c r="AZ34" i="5"/>
  <c r="AY34" i="5"/>
  <c r="AZ49" i="4"/>
  <c r="AY49" i="4"/>
  <c r="AZ40" i="3"/>
  <c r="AY40" i="3"/>
  <c r="CS49" i="5"/>
  <c r="AZ50" i="2"/>
  <c r="AY50" i="2"/>
  <c r="AZ28" i="4"/>
  <c r="AY28" i="4"/>
  <c r="AZ18" i="4"/>
  <c r="AY18" i="4"/>
  <c r="AZ36" i="2"/>
  <c r="AY36" i="2"/>
  <c r="P51" i="5"/>
  <c r="AT11" i="5"/>
  <c r="P51" i="6"/>
  <c r="AT11" i="6"/>
  <c r="AW11" i="3"/>
  <c r="AK51" i="3"/>
  <c r="AZ25" i="3"/>
  <c r="AY25" i="3"/>
  <c r="AZ29" i="6"/>
  <c r="AY29" i="6"/>
  <c r="AZ47" i="6"/>
  <c r="AY47" i="6"/>
  <c r="CS47" i="5"/>
  <c r="W51" i="2"/>
  <c r="AU11" i="2"/>
  <c r="CS15" i="6"/>
  <c r="AZ15" i="2"/>
  <c r="AY15" i="2"/>
  <c r="AZ42" i="3"/>
  <c r="AY42" i="3"/>
  <c r="AZ12" i="2"/>
  <c r="AY12" i="2"/>
  <c r="AZ30" i="3"/>
  <c r="AY30" i="3"/>
  <c r="CS22" i="6"/>
  <c r="AZ16" i="3"/>
  <c r="AY16" i="3"/>
  <c r="AZ35" i="4"/>
  <c r="AY35" i="4"/>
  <c r="CS18" i="6"/>
  <c r="BO13" i="6"/>
  <c r="BQ13" i="6" s="1"/>
  <c r="CS44" i="5"/>
  <c r="CS28" i="5"/>
  <c r="AZ35" i="5"/>
  <c r="AY35" i="5"/>
  <c r="AZ48" i="6"/>
  <c r="AY48" i="6"/>
  <c r="AR51" i="6"/>
  <c r="AX11" i="6"/>
  <c r="AZ50" i="6"/>
  <c r="AY50" i="6"/>
  <c r="AZ24" i="5"/>
  <c r="AY24" i="5"/>
  <c r="AZ40" i="4"/>
  <c r="AY40" i="4"/>
  <c r="AZ25" i="2"/>
  <c r="AY25" i="2"/>
  <c r="AZ33" i="2"/>
  <c r="AY33" i="2"/>
  <c r="BI51" i="5"/>
  <c r="AZ40" i="6"/>
  <c r="AY40" i="6"/>
  <c r="CS39" i="5"/>
  <c r="CS44" i="2"/>
  <c r="AZ24" i="6"/>
  <c r="AY24" i="6"/>
  <c r="AZ21" i="5"/>
  <c r="AY21" i="5"/>
  <c r="AZ49" i="3"/>
  <c r="AY49" i="3"/>
  <c r="AZ15" i="6"/>
  <c r="AY15" i="6"/>
  <c r="AZ27" i="4"/>
  <c r="AY27" i="4"/>
  <c r="AZ46" i="6"/>
  <c r="AY46" i="6"/>
  <c r="AZ38" i="5"/>
  <c r="AY38" i="5"/>
  <c r="AZ25" i="6"/>
  <c r="AY25" i="6"/>
  <c r="AZ40" i="2"/>
  <c r="AY40" i="2"/>
  <c r="AZ33" i="6"/>
  <c r="AY33" i="6"/>
  <c r="AD51" i="5"/>
  <c r="AV11" i="5"/>
  <c r="AZ24" i="4"/>
  <c r="AY24" i="4"/>
  <c r="AZ29" i="2"/>
  <c r="AY29" i="2"/>
  <c r="AZ41" i="4"/>
  <c r="AY41" i="4"/>
  <c r="AZ38" i="2"/>
  <c r="AY38" i="2"/>
  <c r="AZ14" i="3"/>
  <c r="AY14" i="3"/>
  <c r="AZ21" i="3"/>
  <c r="AY21" i="3"/>
  <c r="AZ32" i="3"/>
  <c r="AY32" i="3"/>
  <c r="AZ46" i="2"/>
  <c r="AY46" i="2"/>
  <c r="AZ45" i="3"/>
  <c r="AY45" i="3"/>
  <c r="BI51" i="3"/>
  <c r="AZ33" i="4"/>
  <c r="AY33" i="4"/>
  <c r="CS43" i="5"/>
  <c r="CS39" i="6"/>
  <c r="AZ28" i="2"/>
  <c r="AY28" i="2"/>
  <c r="BJ11" i="5"/>
  <c r="CS31" i="5"/>
  <c r="AZ34" i="3"/>
  <c r="AY34" i="3"/>
  <c r="CS22" i="4"/>
  <c r="BI51" i="2"/>
  <c r="CS39" i="3"/>
  <c r="CS46" i="5"/>
  <c r="AZ12" i="6"/>
  <c r="AY12" i="6"/>
  <c r="CS35" i="5"/>
  <c r="AZ22" i="5"/>
  <c r="AY22" i="5"/>
  <c r="AZ27" i="2"/>
  <c r="AY27" i="2"/>
  <c r="AY37" i="2"/>
  <c r="AZ22" i="2"/>
  <c r="AY22" i="2"/>
  <c r="AZ44" i="4"/>
  <c r="AY44" i="4"/>
  <c r="AK51" i="5"/>
  <c r="AW11" i="5"/>
  <c r="BO39" i="5"/>
  <c r="BQ39" i="5" s="1"/>
  <c r="AZ24" i="2"/>
  <c r="AY24" i="2"/>
  <c r="AZ31" i="2"/>
  <c r="AY31" i="2"/>
  <c r="AZ41" i="6"/>
  <c r="AY41" i="6"/>
  <c r="AZ20" i="6"/>
  <c r="AY20" i="6"/>
  <c r="AZ29" i="4"/>
  <c r="AY29" i="4"/>
  <c r="AZ13" i="4"/>
  <c r="AY13" i="4"/>
  <c r="CS30" i="5"/>
  <c r="AZ30" i="2"/>
  <c r="AY30" i="2"/>
  <c r="W51" i="3"/>
  <c r="AU11" i="3"/>
  <c r="AZ31" i="5"/>
  <c r="AY31" i="5"/>
  <c r="AZ29" i="5"/>
  <c r="AY29" i="5"/>
  <c r="AZ19" i="6"/>
  <c r="AY19" i="6"/>
  <c r="AZ28" i="5"/>
  <c r="AY28" i="5"/>
  <c r="AZ43" i="5"/>
  <c r="AY43" i="5"/>
  <c r="AZ39" i="3"/>
  <c r="AY39" i="3"/>
  <c r="BO30" i="2"/>
  <c r="BQ30" i="2" s="1"/>
  <c r="AZ23" i="2"/>
  <c r="AY23" i="2"/>
  <c r="AZ13" i="2"/>
  <c r="AY13" i="2"/>
  <c r="W51" i="6"/>
  <c r="AU11" i="6"/>
  <c r="BO38" i="5"/>
  <c r="BQ38" i="5" s="1"/>
  <c r="AZ41" i="5"/>
  <c r="AY41" i="5"/>
  <c r="AZ39" i="5"/>
  <c r="AY39" i="5"/>
  <c r="P51" i="3"/>
  <c r="AT11" i="3"/>
  <c r="AZ41" i="2"/>
  <c r="AY41" i="2"/>
  <c r="AZ14" i="5"/>
  <c r="AY14" i="5"/>
  <c r="AZ21" i="6"/>
  <c r="AY21" i="6"/>
  <c r="AZ23" i="4"/>
  <c r="AY23" i="4"/>
  <c r="CS51" i="4" l="1"/>
  <c r="CS51" i="6"/>
  <c r="CS51" i="2"/>
  <c r="CS51" i="5"/>
  <c r="CS51" i="3"/>
  <c r="CA20" i="25"/>
  <c r="CB20" i="25" s="1"/>
  <c r="CC20" i="25" s="1"/>
  <c r="CA25" i="24"/>
  <c r="CB25" i="24" s="1"/>
  <c r="CC25" i="24" s="1"/>
  <c r="CH25" i="24" s="1"/>
  <c r="CA24" i="25"/>
  <c r="CB24" i="25" s="1"/>
  <c r="CC24" i="25" s="1"/>
  <c r="CD24" i="25" s="1"/>
  <c r="CA24" i="24"/>
  <c r="CB24" i="24" s="1"/>
  <c r="CC24" i="24" s="1"/>
  <c r="CI24" i="24" s="1"/>
  <c r="CJ24" i="24" s="1"/>
  <c r="CA49" i="24"/>
  <c r="CB49" i="24" s="1"/>
  <c r="CC49" i="24" s="1"/>
  <c r="CA15" i="24"/>
  <c r="CB15" i="24" s="1"/>
  <c r="CC15" i="24" s="1"/>
  <c r="CA35" i="24"/>
  <c r="CB35" i="24" s="1"/>
  <c r="CC35" i="24" s="1"/>
  <c r="CA45" i="24"/>
  <c r="CB45" i="24" s="1"/>
  <c r="CC45" i="24" s="1"/>
  <c r="CD45" i="24" s="1"/>
  <c r="CA12" i="24"/>
  <c r="CB12" i="24" s="1"/>
  <c r="CC12" i="24" s="1"/>
  <c r="CA34" i="25"/>
  <c r="CB34" i="25" s="1"/>
  <c r="CC34" i="25" s="1"/>
  <c r="CD34" i="25" s="1"/>
  <c r="CA12" i="25"/>
  <c r="CB12" i="25" s="1"/>
  <c r="CC12" i="25" s="1"/>
  <c r="CD25" i="25"/>
  <c r="CI25" i="25"/>
  <c r="CJ25" i="25" s="1"/>
  <c r="CE25" i="25"/>
  <c r="CH25" i="25"/>
  <c r="CD33" i="24"/>
  <c r="CH33" i="24"/>
  <c r="CE33" i="24"/>
  <c r="CI33" i="24"/>
  <c r="CJ33" i="24" s="1"/>
  <c r="CL33" i="24" s="1"/>
  <c r="BF50" i="23"/>
  <c r="BF50" i="26"/>
  <c r="CD20" i="25"/>
  <c r="CJ20" i="25"/>
  <c r="CL20" i="25" s="1"/>
  <c r="CI20" i="25"/>
  <c r="CH20" i="25"/>
  <c r="CE20" i="25"/>
  <c r="CI25" i="24"/>
  <c r="CJ25" i="24"/>
  <c r="CA36" i="24"/>
  <c r="CB36" i="24" s="1"/>
  <c r="CC36" i="24" s="1"/>
  <c r="BF50" i="25"/>
  <c r="BF50" i="22"/>
  <c r="BF50" i="24"/>
  <c r="BR50" i="25"/>
  <c r="CE24" i="24"/>
  <c r="CD24" i="24"/>
  <c r="CA36" i="25"/>
  <c r="CB36" i="25" s="1"/>
  <c r="CC36" i="25" s="1"/>
  <c r="CA48" i="25"/>
  <c r="CB48" i="25" s="1"/>
  <c r="CC48" i="25" s="1"/>
  <c r="CA39" i="25"/>
  <c r="CB39" i="25" s="1"/>
  <c r="CC39" i="25" s="1"/>
  <c r="CA28" i="25"/>
  <c r="CB28" i="25" s="1"/>
  <c r="CC28" i="25" s="1"/>
  <c r="CA22" i="25"/>
  <c r="CB22" i="25" s="1"/>
  <c r="CC22" i="25" s="1"/>
  <c r="CA21" i="25"/>
  <c r="CB21" i="25" s="1"/>
  <c r="CC21" i="25" s="1"/>
  <c r="CA47" i="25"/>
  <c r="CB47" i="25" s="1"/>
  <c r="CC47" i="25" s="1"/>
  <c r="CA19" i="25"/>
  <c r="CB19" i="25" s="1"/>
  <c r="CC19" i="25" s="1"/>
  <c r="CA32" i="25"/>
  <c r="CB32" i="25" s="1"/>
  <c r="CC32" i="25" s="1"/>
  <c r="CA45" i="25"/>
  <c r="CB45" i="25" s="1"/>
  <c r="CC45" i="25" s="1"/>
  <c r="CA30" i="25"/>
  <c r="CB30" i="25" s="1"/>
  <c r="CC30" i="25" s="1"/>
  <c r="CA49" i="25"/>
  <c r="CB49" i="25" s="1"/>
  <c r="CC49" i="25" s="1"/>
  <c r="CA40" i="25"/>
  <c r="CB40" i="25" s="1"/>
  <c r="CC40" i="25" s="1"/>
  <c r="CA15" i="25"/>
  <c r="CB15" i="25" s="1"/>
  <c r="CC15" i="25" s="1"/>
  <c r="CA37" i="25"/>
  <c r="CB37" i="25" s="1"/>
  <c r="CC37" i="25" s="1"/>
  <c r="CA13" i="25"/>
  <c r="CB13" i="25" s="1"/>
  <c r="CC13" i="25" s="1"/>
  <c r="CA27" i="25"/>
  <c r="CB27" i="25" s="1"/>
  <c r="CC27" i="25" s="1"/>
  <c r="CA38" i="25"/>
  <c r="CB38" i="25" s="1"/>
  <c r="CC38" i="25" s="1"/>
  <c r="CA42" i="25"/>
  <c r="CB42" i="25" s="1"/>
  <c r="CC42" i="25" s="1"/>
  <c r="CA43" i="25"/>
  <c r="CB43" i="25" s="1"/>
  <c r="CC43" i="25" s="1"/>
  <c r="CA26" i="25"/>
  <c r="CB26" i="25" s="1"/>
  <c r="CC26" i="25" s="1"/>
  <c r="CA23" i="25"/>
  <c r="CB23" i="25" s="1"/>
  <c r="CC23" i="25" s="1"/>
  <c r="CA31" i="25"/>
  <c r="CB31" i="25" s="1"/>
  <c r="CC31" i="25" s="1"/>
  <c r="CA46" i="25"/>
  <c r="CB46" i="25" s="1"/>
  <c r="CC46" i="25" s="1"/>
  <c r="CA44" i="25"/>
  <c r="CB44" i="25" s="1"/>
  <c r="CC44" i="25" s="1"/>
  <c r="CA14" i="25"/>
  <c r="CB14" i="25" s="1"/>
  <c r="CC14" i="25" s="1"/>
  <c r="CA17" i="25"/>
  <c r="CB17" i="25" s="1"/>
  <c r="CC17" i="25" s="1"/>
  <c r="CA29" i="25"/>
  <c r="CB29" i="25" s="1"/>
  <c r="CC29" i="25" s="1"/>
  <c r="CA35" i="25"/>
  <c r="CB35" i="25" s="1"/>
  <c r="CC35" i="25" s="1"/>
  <c r="CA33" i="25"/>
  <c r="CB33" i="25" s="1"/>
  <c r="CC33" i="25" s="1"/>
  <c r="CA16" i="25"/>
  <c r="CB16" i="25" s="1"/>
  <c r="CC16" i="25" s="1"/>
  <c r="CA41" i="25"/>
  <c r="CB41" i="25" s="1"/>
  <c r="CC41" i="25" s="1"/>
  <c r="CA18" i="25"/>
  <c r="CB18" i="25" s="1"/>
  <c r="CC18" i="25" s="1"/>
  <c r="BS25" i="25"/>
  <c r="BT25" i="25" s="1"/>
  <c r="CI45" i="24"/>
  <c r="CJ45" i="24" s="1"/>
  <c r="CH45" i="24"/>
  <c r="BR50" i="24"/>
  <c r="BS41" i="24" s="1"/>
  <c r="BT41" i="24" s="1"/>
  <c r="CH15" i="24"/>
  <c r="CE15" i="24"/>
  <c r="CD15" i="24"/>
  <c r="CI15" i="24"/>
  <c r="CJ15" i="24" s="1"/>
  <c r="CL15" i="24" s="1"/>
  <c r="CI49" i="24"/>
  <c r="CE49" i="24"/>
  <c r="CJ49" i="24"/>
  <c r="CH49" i="24"/>
  <c r="CD49" i="24"/>
  <c r="CA20" i="24"/>
  <c r="CB20" i="24" s="1"/>
  <c r="CC20" i="24" s="1"/>
  <c r="CA21" i="24"/>
  <c r="CB21" i="24" s="1"/>
  <c r="CC21" i="24" s="1"/>
  <c r="CA34" i="24"/>
  <c r="CB34" i="24" s="1"/>
  <c r="CC34" i="24" s="1"/>
  <c r="CA32" i="24"/>
  <c r="CB32" i="24" s="1"/>
  <c r="CC32" i="24" s="1"/>
  <c r="CA48" i="24"/>
  <c r="CB48" i="24" s="1"/>
  <c r="CC48" i="24" s="1"/>
  <c r="CA30" i="24"/>
  <c r="CB30" i="24" s="1"/>
  <c r="CC30" i="24" s="1"/>
  <c r="CA39" i="24"/>
  <c r="CB39" i="24" s="1"/>
  <c r="CC39" i="24" s="1"/>
  <c r="CA14" i="24"/>
  <c r="CB14" i="24" s="1"/>
  <c r="CC14" i="24" s="1"/>
  <c r="CA13" i="24"/>
  <c r="CB13" i="24" s="1"/>
  <c r="CC13" i="24" s="1"/>
  <c r="CA37" i="24"/>
  <c r="CB37" i="24" s="1"/>
  <c r="CC37" i="24" s="1"/>
  <c r="CA22" i="24"/>
  <c r="CB22" i="24" s="1"/>
  <c r="CC22" i="24" s="1"/>
  <c r="CA38" i="24"/>
  <c r="CB38" i="24" s="1"/>
  <c r="CC38" i="24" s="1"/>
  <c r="CA27" i="24"/>
  <c r="CB27" i="24" s="1"/>
  <c r="CC27" i="24" s="1"/>
  <c r="CA44" i="24"/>
  <c r="CB44" i="24" s="1"/>
  <c r="CC44" i="24" s="1"/>
  <c r="CA28" i="24"/>
  <c r="CB28" i="24" s="1"/>
  <c r="CC28" i="24" s="1"/>
  <c r="CA46" i="24"/>
  <c r="CB46" i="24" s="1"/>
  <c r="CC46" i="24" s="1"/>
  <c r="CA42" i="24"/>
  <c r="CB42" i="24" s="1"/>
  <c r="CC42" i="24" s="1"/>
  <c r="CA23" i="24"/>
  <c r="CB23" i="24" s="1"/>
  <c r="CC23" i="24" s="1"/>
  <c r="CA29" i="24"/>
  <c r="CB29" i="24" s="1"/>
  <c r="CC29" i="24" s="1"/>
  <c r="CA43" i="24"/>
  <c r="CB43" i="24" s="1"/>
  <c r="CC43" i="24" s="1"/>
  <c r="CA19" i="24"/>
  <c r="CB19" i="24" s="1"/>
  <c r="CC19" i="24" s="1"/>
  <c r="CA31" i="24"/>
  <c r="CB31" i="24" s="1"/>
  <c r="CC31" i="24" s="1"/>
  <c r="CA17" i="24"/>
  <c r="CB17" i="24" s="1"/>
  <c r="CC17" i="24" s="1"/>
  <c r="CA26" i="24"/>
  <c r="CB26" i="24" s="1"/>
  <c r="CC26" i="24" s="1"/>
  <c r="CA16" i="24"/>
  <c r="CB16" i="24" s="1"/>
  <c r="CC16" i="24" s="1"/>
  <c r="CA40" i="24"/>
  <c r="CB40" i="24" s="1"/>
  <c r="CC40" i="24" s="1"/>
  <c r="CA47" i="24"/>
  <c r="CB47" i="24" s="1"/>
  <c r="CC47" i="24" s="1"/>
  <c r="BS24" i="25"/>
  <c r="BT24" i="25" s="1"/>
  <c r="BP50" i="23"/>
  <c r="CA12" i="23" s="1"/>
  <c r="CB12" i="23" s="1"/>
  <c r="BR12" i="23"/>
  <c r="BP50" i="22"/>
  <c r="CA12" i="22" s="1"/>
  <c r="CB12" i="22" s="1"/>
  <c r="BR12" i="22"/>
  <c r="CA18" i="24"/>
  <c r="CB18" i="24" s="1"/>
  <c r="CC18" i="24" s="1"/>
  <c r="CE24" i="25"/>
  <c r="CI24" i="25"/>
  <c r="CJ24" i="25" s="1"/>
  <c r="CL24" i="25" s="1"/>
  <c r="CH24" i="25"/>
  <c r="CI35" i="24"/>
  <c r="CJ35" i="24" s="1"/>
  <c r="CL35" i="24" s="1"/>
  <c r="CH35" i="24"/>
  <c r="CE35" i="24"/>
  <c r="CD35" i="24"/>
  <c r="BP50" i="26"/>
  <c r="BR12" i="26"/>
  <c r="CA12" i="26"/>
  <c r="CB12" i="26" s="1"/>
  <c r="CA41" i="24"/>
  <c r="CB41" i="24" s="1"/>
  <c r="CC41" i="24" s="1"/>
  <c r="AX51" i="13"/>
  <c r="BD51" i="13" s="1"/>
  <c r="BD11" i="13"/>
  <c r="AX51" i="16"/>
  <c r="BD51" i="16" s="1"/>
  <c r="BD11" i="16"/>
  <c r="BR31" i="14"/>
  <c r="AT51" i="14"/>
  <c r="AZ51" i="14" s="1"/>
  <c r="AZ11" i="14"/>
  <c r="AY11" i="14"/>
  <c r="BO51" i="14"/>
  <c r="CA27" i="14" s="1"/>
  <c r="CB27" i="14" s="1"/>
  <c r="CC27" i="14" s="1"/>
  <c r="BR11" i="14"/>
  <c r="BR45" i="15"/>
  <c r="AU51" i="15"/>
  <c r="BA51" i="15" s="1"/>
  <c r="BA11" i="15"/>
  <c r="BR13" i="14"/>
  <c r="BR25" i="14"/>
  <c r="BR14" i="14"/>
  <c r="AU51" i="14"/>
  <c r="BA51" i="14" s="1"/>
  <c r="BA11" i="14"/>
  <c r="BR16" i="14"/>
  <c r="AT51" i="12"/>
  <c r="AZ51" i="12" s="1"/>
  <c r="AZ11" i="12"/>
  <c r="AY11" i="12"/>
  <c r="BR50" i="12"/>
  <c r="AW51" i="14"/>
  <c r="BC51" i="14" s="1"/>
  <c r="BC11" i="14"/>
  <c r="BR37" i="16"/>
  <c r="BR43" i="15"/>
  <c r="AZ11" i="13"/>
  <c r="AT51" i="13"/>
  <c r="AZ51" i="13" s="1"/>
  <c r="AY11" i="13"/>
  <c r="BA11" i="12"/>
  <c r="AU51" i="12"/>
  <c r="BA51" i="12" s="1"/>
  <c r="BR20" i="12"/>
  <c r="BO51" i="13"/>
  <c r="CA23" i="13" s="1"/>
  <c r="CB23" i="13" s="1"/>
  <c r="CC23" i="13" s="1"/>
  <c r="BR11" i="13"/>
  <c r="AX51" i="14"/>
  <c r="BD51" i="14" s="1"/>
  <c r="BD11" i="14"/>
  <c r="BR48" i="15"/>
  <c r="AV51" i="13"/>
  <c r="BB51" i="13" s="1"/>
  <c r="BB11" i="13"/>
  <c r="AU51" i="13"/>
  <c r="BA51" i="13" s="1"/>
  <c r="BA11" i="13"/>
  <c r="BR39" i="12"/>
  <c r="AT51" i="15"/>
  <c r="AZ51" i="15" s="1"/>
  <c r="AZ11" i="15"/>
  <c r="AY11" i="15"/>
  <c r="BR27" i="14"/>
  <c r="AX51" i="15"/>
  <c r="BD51" i="15" s="1"/>
  <c r="BD11" i="15"/>
  <c r="BR23" i="13"/>
  <c r="AW51" i="12"/>
  <c r="BC51" i="12" s="1"/>
  <c r="BC11" i="12"/>
  <c r="BJ51" i="16"/>
  <c r="BO6" i="16" s="1"/>
  <c r="BO11" i="16"/>
  <c r="BR35" i="16"/>
  <c r="BR49" i="12"/>
  <c r="AU51" i="16"/>
  <c r="BA51" i="16" s="1"/>
  <c r="BA11" i="16"/>
  <c r="AW51" i="15"/>
  <c r="BC51" i="15" s="1"/>
  <c r="BC11" i="15"/>
  <c r="AW51" i="16"/>
  <c r="BC51" i="16" s="1"/>
  <c r="BC11" i="16"/>
  <c r="AV51" i="16"/>
  <c r="BB51" i="16" s="1"/>
  <c r="BB11" i="16"/>
  <c r="AV51" i="12"/>
  <c r="BB51" i="12" s="1"/>
  <c r="BB11" i="12"/>
  <c r="BR33" i="12"/>
  <c r="AT51" i="16"/>
  <c r="AZ51" i="16" s="1"/>
  <c r="AZ11" i="16"/>
  <c r="AY11" i="16"/>
  <c r="AX51" i="12"/>
  <c r="BD51" i="12" s="1"/>
  <c r="BD11" i="12"/>
  <c r="BR47" i="13"/>
  <c r="AV51" i="15"/>
  <c r="BB51" i="15" s="1"/>
  <c r="BB11" i="15"/>
  <c r="AW51" i="13"/>
  <c r="BC51" i="13" s="1"/>
  <c r="BC11" i="13"/>
  <c r="BJ51" i="15"/>
  <c r="BO6" i="15" s="1"/>
  <c r="BO11" i="15"/>
  <c r="BO11" i="12"/>
  <c r="BJ51" i="12"/>
  <c r="BO6" i="12" s="1"/>
  <c r="AV51" i="14"/>
  <c r="BB51" i="14" s="1"/>
  <c r="BB11" i="14"/>
  <c r="AV51" i="5"/>
  <c r="BB51" i="5" s="1"/>
  <c r="BB11" i="5"/>
  <c r="AV51" i="4"/>
  <c r="BB51" i="4" s="1"/>
  <c r="BB11" i="4"/>
  <c r="BJ51" i="6"/>
  <c r="BO6" i="6" s="1"/>
  <c r="BO11" i="6"/>
  <c r="BD11" i="4"/>
  <c r="AX51" i="4"/>
  <c r="BD51" i="4" s="1"/>
  <c r="BO51" i="2"/>
  <c r="BQ11" i="2"/>
  <c r="AT51" i="3"/>
  <c r="AZ51" i="3" s="1"/>
  <c r="AZ11" i="3"/>
  <c r="AY11" i="3"/>
  <c r="AV51" i="3"/>
  <c r="BB51" i="3" s="1"/>
  <c r="BB11" i="3"/>
  <c r="AU51" i="5"/>
  <c r="BA51" i="5" s="1"/>
  <c r="BA11" i="5"/>
  <c r="AX51" i="5"/>
  <c r="BD51" i="5" s="1"/>
  <c r="BD11" i="5"/>
  <c r="AX51" i="6"/>
  <c r="BD51" i="6" s="1"/>
  <c r="BD11" i="6"/>
  <c r="AW51" i="2"/>
  <c r="BC51" i="2" s="1"/>
  <c r="BC11" i="2"/>
  <c r="AT51" i="2"/>
  <c r="AZ51" i="2" s="1"/>
  <c r="AZ11" i="2"/>
  <c r="AY11" i="2"/>
  <c r="AW51" i="3"/>
  <c r="BC51" i="3" s="1"/>
  <c r="BC11" i="3"/>
  <c r="AX51" i="3"/>
  <c r="BD51" i="3" s="1"/>
  <c r="BD11" i="3"/>
  <c r="AU51" i="3"/>
  <c r="BA51" i="3" s="1"/>
  <c r="BA11" i="3"/>
  <c r="AT51" i="6"/>
  <c r="AZ51" i="6" s="1"/>
  <c r="AZ11" i="6"/>
  <c r="AY11" i="6"/>
  <c r="AU51" i="4"/>
  <c r="BA51" i="4" s="1"/>
  <c r="BA11" i="4"/>
  <c r="AV51" i="2"/>
  <c r="BB51" i="2" s="1"/>
  <c r="BB11" i="2"/>
  <c r="AU51" i="2"/>
  <c r="BA51" i="2" s="1"/>
  <c r="BA11" i="2"/>
  <c r="AW51" i="4"/>
  <c r="BC51" i="4" s="1"/>
  <c r="BC11" i="4"/>
  <c r="BO51" i="4"/>
  <c r="BQ11" i="4"/>
  <c r="AW51" i="6"/>
  <c r="BC51" i="6" s="1"/>
  <c r="BC11" i="6"/>
  <c r="AT51" i="5"/>
  <c r="AZ51" i="5" s="1"/>
  <c r="AZ11" i="5"/>
  <c r="AY11" i="5"/>
  <c r="AT51" i="4"/>
  <c r="AZ51" i="4" s="1"/>
  <c r="AZ11" i="4"/>
  <c r="AY11" i="4"/>
  <c r="BO51" i="3"/>
  <c r="BQ11" i="3"/>
  <c r="AX51" i="2"/>
  <c r="BD51" i="2" s="1"/>
  <c r="BD11" i="2"/>
  <c r="AU51" i="6"/>
  <c r="BA51" i="6" s="1"/>
  <c r="BA11" i="6"/>
  <c r="AV51" i="6"/>
  <c r="BB51" i="6" s="1"/>
  <c r="BB11" i="6"/>
  <c r="BJ51" i="5"/>
  <c r="BO6" i="5" s="1"/>
  <c r="BO11" i="5"/>
  <c r="AW51" i="5"/>
  <c r="BC51" i="5" s="1"/>
  <c r="BC11" i="5"/>
  <c r="BE51" i="14" l="1"/>
  <c r="CH34" i="25"/>
  <c r="CE34" i="25"/>
  <c r="BS45" i="24"/>
  <c r="BT45" i="24" s="1"/>
  <c r="CL25" i="24"/>
  <c r="BS49" i="24"/>
  <c r="BT49" i="24" s="1"/>
  <c r="CI34" i="25"/>
  <c r="CJ34" i="25" s="1"/>
  <c r="BS36" i="24"/>
  <c r="BT36" i="24" s="1"/>
  <c r="CD25" i="24"/>
  <c r="CH24" i="24"/>
  <c r="CE25" i="24"/>
  <c r="CL45" i="24"/>
  <c r="CL49" i="24"/>
  <c r="CE45" i="24"/>
  <c r="BS18" i="24"/>
  <c r="BT18" i="24" s="1"/>
  <c r="CL25" i="25"/>
  <c r="CC12" i="23"/>
  <c r="CC12" i="22"/>
  <c r="CD17" i="24"/>
  <c r="CE17" i="24"/>
  <c r="CI17" i="24"/>
  <c r="CH17" i="24"/>
  <c r="CJ17" i="24"/>
  <c r="CI22" i="24"/>
  <c r="CJ22" i="24" s="1"/>
  <c r="CH22" i="24"/>
  <c r="CE22" i="24"/>
  <c r="CD22" i="24"/>
  <c r="BS21" i="24"/>
  <c r="BT21" i="24" s="1"/>
  <c r="BS20" i="24"/>
  <c r="BT20" i="24" s="1"/>
  <c r="BS26" i="24"/>
  <c r="BT26" i="24" s="1"/>
  <c r="BS30" i="24"/>
  <c r="BT30" i="24" s="1"/>
  <c r="BS13" i="24"/>
  <c r="BT13" i="24" s="1"/>
  <c r="BS32" i="24"/>
  <c r="BT32" i="24" s="1"/>
  <c r="BS19" i="24"/>
  <c r="BT19" i="24" s="1"/>
  <c r="BS38" i="24"/>
  <c r="BT38" i="24" s="1"/>
  <c r="BS31" i="24"/>
  <c r="BT31" i="24" s="1"/>
  <c r="BS43" i="24"/>
  <c r="BT43" i="24" s="1"/>
  <c r="BS44" i="24"/>
  <c r="BT44" i="24" s="1"/>
  <c r="BS27" i="24"/>
  <c r="BT27" i="24" s="1"/>
  <c r="BS22" i="24"/>
  <c r="BT22" i="24" s="1"/>
  <c r="BS29" i="24"/>
  <c r="BT29" i="24" s="1"/>
  <c r="BS46" i="24"/>
  <c r="BT46" i="24" s="1"/>
  <c r="BS14" i="24"/>
  <c r="BT14" i="24" s="1"/>
  <c r="BS48" i="24"/>
  <c r="BT48" i="24" s="1"/>
  <c r="BS39" i="24"/>
  <c r="BT39" i="24" s="1"/>
  <c r="BS23" i="24"/>
  <c r="BT23" i="24" s="1"/>
  <c r="BS28" i="24"/>
  <c r="BT28" i="24" s="1"/>
  <c r="BS17" i="24"/>
  <c r="BT17" i="24" s="1"/>
  <c r="BS34" i="24"/>
  <c r="BT34" i="24" s="1"/>
  <c r="BS42" i="24"/>
  <c r="BT42" i="24" s="1"/>
  <c r="BS40" i="24"/>
  <c r="BT40" i="24" s="1"/>
  <c r="BS47" i="24"/>
  <c r="BT47" i="24" s="1"/>
  <c r="BS37" i="24"/>
  <c r="BT37" i="24" s="1"/>
  <c r="BS16" i="24"/>
  <c r="BT16" i="24" s="1"/>
  <c r="CD17" i="25"/>
  <c r="CI17" i="25"/>
  <c r="CJ17" i="25" s="1"/>
  <c r="CL17" i="25" s="1"/>
  <c r="CH17" i="25"/>
  <c r="CE17" i="25"/>
  <c r="CI37" i="25"/>
  <c r="CJ37" i="25" s="1"/>
  <c r="CL37" i="25" s="1"/>
  <c r="CD37" i="25"/>
  <c r="CH37" i="25"/>
  <c r="CE37" i="25"/>
  <c r="CE39" i="25"/>
  <c r="CJ39" i="25"/>
  <c r="CL39" i="25" s="1"/>
  <c r="CI39" i="25"/>
  <c r="CH39" i="25"/>
  <c r="CD39" i="25"/>
  <c r="BS48" i="25"/>
  <c r="BT48" i="25" s="1"/>
  <c r="BS36" i="25"/>
  <c r="BT36" i="25" s="1"/>
  <c r="BS39" i="25"/>
  <c r="BT39" i="25" s="1"/>
  <c r="BS29" i="25"/>
  <c r="BT29" i="25" s="1"/>
  <c r="BS26" i="25"/>
  <c r="BT26" i="25" s="1"/>
  <c r="BS14" i="25"/>
  <c r="BT14" i="25" s="1"/>
  <c r="BS44" i="25"/>
  <c r="BT44" i="25" s="1"/>
  <c r="BS43" i="25"/>
  <c r="BT43" i="25" s="1"/>
  <c r="BS37" i="25"/>
  <c r="BT37" i="25" s="1"/>
  <c r="BS19" i="25"/>
  <c r="BT19" i="25" s="1"/>
  <c r="BS42" i="25"/>
  <c r="BT42" i="25" s="1"/>
  <c r="BS17" i="25"/>
  <c r="BT17" i="25" s="1"/>
  <c r="BS33" i="25"/>
  <c r="BT33" i="25" s="1"/>
  <c r="BS46" i="25"/>
  <c r="BT46" i="25" s="1"/>
  <c r="BS49" i="25"/>
  <c r="BT49" i="25" s="1"/>
  <c r="BS21" i="25"/>
  <c r="BT21" i="25" s="1"/>
  <c r="BS15" i="25"/>
  <c r="BT15" i="25" s="1"/>
  <c r="BS38" i="25"/>
  <c r="BT38" i="25" s="1"/>
  <c r="BS22" i="25"/>
  <c r="BT22" i="25" s="1"/>
  <c r="BS40" i="25"/>
  <c r="BT40" i="25" s="1"/>
  <c r="BS28" i="25"/>
  <c r="BT28" i="25" s="1"/>
  <c r="BS30" i="25"/>
  <c r="BT30" i="25" s="1"/>
  <c r="BS18" i="25"/>
  <c r="BT18" i="25" s="1"/>
  <c r="BS32" i="25"/>
  <c r="BT32" i="25" s="1"/>
  <c r="BS16" i="25"/>
  <c r="BT16" i="25" s="1"/>
  <c r="BS35" i="25"/>
  <c r="BT35" i="25" s="1"/>
  <c r="BS31" i="25"/>
  <c r="BT31" i="25" s="1"/>
  <c r="BS23" i="25"/>
  <c r="BT23" i="25" s="1"/>
  <c r="BS47" i="25"/>
  <c r="BT47" i="25" s="1"/>
  <c r="BS41" i="25"/>
  <c r="BT41" i="25" s="1"/>
  <c r="BS27" i="25"/>
  <c r="BT27" i="25" s="1"/>
  <c r="BS45" i="25"/>
  <c r="BT45" i="25" s="1"/>
  <c r="BS13" i="25"/>
  <c r="BT13" i="25" s="1"/>
  <c r="BS34" i="25"/>
  <c r="BT34" i="25" s="1"/>
  <c r="CA44" i="23"/>
  <c r="CB44" i="23" s="1"/>
  <c r="CC44" i="23" s="1"/>
  <c r="CA29" i="23"/>
  <c r="CB29" i="23" s="1"/>
  <c r="CC29" i="23" s="1"/>
  <c r="CA32" i="23"/>
  <c r="CB32" i="23" s="1"/>
  <c r="CC32" i="23" s="1"/>
  <c r="CA45" i="23"/>
  <c r="CB45" i="23" s="1"/>
  <c r="CC45" i="23" s="1"/>
  <c r="CA26" i="23"/>
  <c r="CB26" i="23" s="1"/>
  <c r="CC26" i="23" s="1"/>
  <c r="CA27" i="23"/>
  <c r="CB27" i="23" s="1"/>
  <c r="CC27" i="23" s="1"/>
  <c r="CA21" i="23"/>
  <c r="CB21" i="23" s="1"/>
  <c r="CC21" i="23" s="1"/>
  <c r="CA41" i="23"/>
  <c r="CB41" i="23" s="1"/>
  <c r="CC41" i="23" s="1"/>
  <c r="CA22" i="23"/>
  <c r="CB22" i="23" s="1"/>
  <c r="CC22" i="23" s="1"/>
  <c r="CA35" i="23"/>
  <c r="CB35" i="23" s="1"/>
  <c r="CC35" i="23" s="1"/>
  <c r="CA15" i="23"/>
  <c r="CB15" i="23" s="1"/>
  <c r="CC15" i="23" s="1"/>
  <c r="CA20" i="23"/>
  <c r="CB20" i="23" s="1"/>
  <c r="CC20" i="23" s="1"/>
  <c r="CA46" i="23"/>
  <c r="CB46" i="23" s="1"/>
  <c r="CC46" i="23" s="1"/>
  <c r="CA31" i="23"/>
  <c r="CB31" i="23" s="1"/>
  <c r="CC31" i="23" s="1"/>
  <c r="CA16" i="23"/>
  <c r="CB16" i="23" s="1"/>
  <c r="CC16" i="23" s="1"/>
  <c r="CA14" i="23"/>
  <c r="CB14" i="23" s="1"/>
  <c r="CC14" i="23" s="1"/>
  <c r="CA36" i="23"/>
  <c r="CB36" i="23" s="1"/>
  <c r="CC36" i="23" s="1"/>
  <c r="CA30" i="23"/>
  <c r="CB30" i="23" s="1"/>
  <c r="CC30" i="23" s="1"/>
  <c r="CA13" i="23"/>
  <c r="CB13" i="23" s="1"/>
  <c r="CC13" i="23" s="1"/>
  <c r="CA38" i="23"/>
  <c r="CB38" i="23" s="1"/>
  <c r="CC38" i="23" s="1"/>
  <c r="CA19" i="23"/>
  <c r="CB19" i="23" s="1"/>
  <c r="CC19" i="23" s="1"/>
  <c r="CA39" i="23"/>
  <c r="CB39" i="23" s="1"/>
  <c r="CC39" i="23" s="1"/>
  <c r="CA40" i="23"/>
  <c r="CB40" i="23" s="1"/>
  <c r="CC40" i="23" s="1"/>
  <c r="CA42" i="23"/>
  <c r="CB42" i="23" s="1"/>
  <c r="CC42" i="23" s="1"/>
  <c r="CA37" i="23"/>
  <c r="CB37" i="23" s="1"/>
  <c r="CC37" i="23" s="1"/>
  <c r="CA28" i="23"/>
  <c r="CB28" i="23" s="1"/>
  <c r="CC28" i="23" s="1"/>
  <c r="CA23" i="23"/>
  <c r="CB23" i="23" s="1"/>
  <c r="CC23" i="23" s="1"/>
  <c r="CA34" i="23"/>
  <c r="CB34" i="23" s="1"/>
  <c r="CC34" i="23" s="1"/>
  <c r="CA47" i="23"/>
  <c r="CB47" i="23" s="1"/>
  <c r="CC47" i="23" s="1"/>
  <c r="CA33" i="23"/>
  <c r="CB33" i="23" s="1"/>
  <c r="CC33" i="23" s="1"/>
  <c r="CA25" i="23"/>
  <c r="CB25" i="23" s="1"/>
  <c r="CC25" i="23" s="1"/>
  <c r="CA48" i="23"/>
  <c r="CB48" i="23" s="1"/>
  <c r="CC48" i="23" s="1"/>
  <c r="CA17" i="23"/>
  <c r="CB17" i="23" s="1"/>
  <c r="CC17" i="23" s="1"/>
  <c r="CA43" i="23"/>
  <c r="CB43" i="23" s="1"/>
  <c r="CC43" i="23" s="1"/>
  <c r="CA24" i="23"/>
  <c r="CB24" i="23" s="1"/>
  <c r="CC24" i="23" s="1"/>
  <c r="CA49" i="23"/>
  <c r="CB49" i="23" s="1"/>
  <c r="CC49" i="23" s="1"/>
  <c r="CA18" i="23"/>
  <c r="CB18" i="23" s="1"/>
  <c r="CC18" i="23" s="1"/>
  <c r="CD31" i="24"/>
  <c r="CH31" i="24"/>
  <c r="CE31" i="24"/>
  <c r="CI31" i="24"/>
  <c r="CJ31" i="24" s="1"/>
  <c r="CL31" i="24" s="1"/>
  <c r="CD37" i="24"/>
  <c r="CH37" i="24"/>
  <c r="CI37" i="24"/>
  <c r="CJ37" i="24" s="1"/>
  <c r="CL37" i="24" s="1"/>
  <c r="CE37" i="24"/>
  <c r="CJ14" i="25"/>
  <c r="CL14" i="25" s="1"/>
  <c r="CI14" i="25"/>
  <c r="CH14" i="25"/>
  <c r="CE14" i="25"/>
  <c r="CD14" i="25"/>
  <c r="CI15" i="25"/>
  <c r="CE15" i="25"/>
  <c r="CD15" i="25"/>
  <c r="CH15" i="25"/>
  <c r="CJ15" i="25"/>
  <c r="CI48" i="25"/>
  <c r="CJ48" i="25" s="1"/>
  <c r="CL48" i="25" s="1"/>
  <c r="CE48" i="25"/>
  <c r="CD48" i="25"/>
  <c r="CH48" i="25"/>
  <c r="BV49" i="24"/>
  <c r="BW49" i="24" s="1"/>
  <c r="BX49" i="24" s="1"/>
  <c r="CH19" i="24"/>
  <c r="CE19" i="24"/>
  <c r="CD19" i="24"/>
  <c r="CJ19" i="24"/>
  <c r="CI19" i="24"/>
  <c r="CI13" i="24"/>
  <c r="CJ13" i="24" s="1"/>
  <c r="CL13" i="24" s="1"/>
  <c r="CH13" i="24"/>
  <c r="CE13" i="24"/>
  <c r="CD13" i="24"/>
  <c r="CC50" i="24"/>
  <c r="CI12" i="24"/>
  <c r="CH12" i="24"/>
  <c r="CD12" i="24"/>
  <c r="CE12" i="24"/>
  <c r="CJ12" i="24"/>
  <c r="CE44" i="25"/>
  <c r="CI44" i="25"/>
  <c r="CJ44" i="25" s="1"/>
  <c r="CL44" i="25" s="1"/>
  <c r="CH44" i="25"/>
  <c r="CD44" i="25"/>
  <c r="CI40" i="25"/>
  <c r="CJ40" i="25" s="1"/>
  <c r="CL40" i="25" s="1"/>
  <c r="CD40" i="25"/>
  <c r="CE40" i="25"/>
  <c r="CH40" i="25"/>
  <c r="CD36" i="25"/>
  <c r="CH36" i="25"/>
  <c r="CI36" i="25"/>
  <c r="CJ36" i="25" s="1"/>
  <c r="CE36" i="25"/>
  <c r="BV24" i="25"/>
  <c r="BW24" i="25" s="1"/>
  <c r="BX24" i="25" s="1"/>
  <c r="CH43" i="24"/>
  <c r="CE43" i="24"/>
  <c r="CD43" i="24"/>
  <c r="CI43" i="24"/>
  <c r="CJ43" i="24" s="1"/>
  <c r="CL43" i="24" s="1"/>
  <c r="CI14" i="24"/>
  <c r="CJ14" i="24" s="1"/>
  <c r="CE14" i="24"/>
  <c r="CD14" i="24"/>
  <c r="CH14" i="24"/>
  <c r="CB50" i="24"/>
  <c r="CH46" i="25"/>
  <c r="CE46" i="25"/>
  <c r="CD46" i="25"/>
  <c r="CI46" i="25"/>
  <c r="CJ46" i="25" s="1"/>
  <c r="CD49" i="25"/>
  <c r="CH49" i="25"/>
  <c r="CI49" i="25"/>
  <c r="CJ49" i="25" s="1"/>
  <c r="CE49" i="25"/>
  <c r="BW45" i="24"/>
  <c r="BX45" i="24" s="1"/>
  <c r="BV45" i="24"/>
  <c r="CC12" i="26"/>
  <c r="BS15" i="24"/>
  <c r="BT15" i="24" s="1"/>
  <c r="CI29" i="24"/>
  <c r="CJ29" i="24" s="1"/>
  <c r="CL29" i="24" s="1"/>
  <c r="CH29" i="24"/>
  <c r="CE29" i="24"/>
  <c r="CD29" i="24"/>
  <c r="CI39" i="24"/>
  <c r="CJ39" i="24" s="1"/>
  <c r="CL39" i="24" s="1"/>
  <c r="CH39" i="24"/>
  <c r="CE39" i="24"/>
  <c r="CD39" i="24"/>
  <c r="BS33" i="24"/>
  <c r="BT33" i="24" s="1"/>
  <c r="BS24" i="24"/>
  <c r="BT24" i="24" s="1"/>
  <c r="CJ31" i="25"/>
  <c r="CI31" i="25"/>
  <c r="CH31" i="25"/>
  <c r="CE31" i="25"/>
  <c r="CD31" i="25"/>
  <c r="CI30" i="25"/>
  <c r="CJ30" i="25" s="1"/>
  <c r="CL30" i="25" s="1"/>
  <c r="CH30" i="25"/>
  <c r="CE30" i="25"/>
  <c r="CD30" i="25"/>
  <c r="BS20" i="25"/>
  <c r="BT20" i="25" s="1"/>
  <c r="BR50" i="26"/>
  <c r="BS12" i="26" s="1"/>
  <c r="BV41" i="24"/>
  <c r="BW41" i="24" s="1"/>
  <c r="BX41" i="24" s="1"/>
  <c r="CE23" i="24"/>
  <c r="CD23" i="24"/>
  <c r="CI23" i="24"/>
  <c r="CJ23" i="24" s="1"/>
  <c r="CL23" i="24" s="1"/>
  <c r="CH23" i="24"/>
  <c r="CE30" i="24"/>
  <c r="CI30" i="24"/>
  <c r="CJ30" i="24" s="1"/>
  <c r="CH30" i="24"/>
  <c r="CD30" i="24"/>
  <c r="BV25" i="25"/>
  <c r="BW25" i="25" s="1"/>
  <c r="BX25" i="25" s="1"/>
  <c r="BV36" i="24"/>
  <c r="BW36" i="24" s="1"/>
  <c r="BX36" i="24" s="1"/>
  <c r="CA19" i="26"/>
  <c r="CB19" i="26" s="1"/>
  <c r="CC19" i="26" s="1"/>
  <c r="CA48" i="26"/>
  <c r="CB48" i="26" s="1"/>
  <c r="CC48" i="26" s="1"/>
  <c r="CA28" i="26"/>
  <c r="CB28" i="26" s="1"/>
  <c r="CC28" i="26" s="1"/>
  <c r="CA14" i="26"/>
  <c r="CB14" i="26" s="1"/>
  <c r="CC14" i="26" s="1"/>
  <c r="CA45" i="26"/>
  <c r="CB45" i="26" s="1"/>
  <c r="CC45" i="26" s="1"/>
  <c r="CA33" i="26"/>
  <c r="CB33" i="26" s="1"/>
  <c r="CC33" i="26" s="1"/>
  <c r="CA18" i="26"/>
  <c r="CB18" i="26" s="1"/>
  <c r="CC18" i="26" s="1"/>
  <c r="CA44" i="26"/>
  <c r="CB44" i="26" s="1"/>
  <c r="CC44" i="26" s="1"/>
  <c r="CA26" i="26"/>
  <c r="CB26" i="26" s="1"/>
  <c r="CC26" i="26" s="1"/>
  <c r="CA47" i="26"/>
  <c r="CB47" i="26" s="1"/>
  <c r="CC47" i="26" s="1"/>
  <c r="CA34" i="26"/>
  <c r="CB34" i="26" s="1"/>
  <c r="CC34" i="26" s="1"/>
  <c r="CA16" i="26"/>
  <c r="CB16" i="26" s="1"/>
  <c r="CC16" i="26" s="1"/>
  <c r="CA39" i="26"/>
  <c r="CB39" i="26" s="1"/>
  <c r="CC39" i="26" s="1"/>
  <c r="CA30" i="26"/>
  <c r="CB30" i="26" s="1"/>
  <c r="CC30" i="26" s="1"/>
  <c r="CA31" i="26"/>
  <c r="CB31" i="26" s="1"/>
  <c r="CC31" i="26" s="1"/>
  <c r="CA35" i="26"/>
  <c r="CB35" i="26" s="1"/>
  <c r="CC35" i="26" s="1"/>
  <c r="CA24" i="26"/>
  <c r="CB24" i="26" s="1"/>
  <c r="CC24" i="26" s="1"/>
  <c r="CA38" i="26"/>
  <c r="CB38" i="26" s="1"/>
  <c r="CC38" i="26" s="1"/>
  <c r="CA29" i="26"/>
  <c r="CB29" i="26" s="1"/>
  <c r="CC29" i="26" s="1"/>
  <c r="CA13" i="26"/>
  <c r="CB13" i="26" s="1"/>
  <c r="CC13" i="26" s="1"/>
  <c r="CA20" i="26"/>
  <c r="CB20" i="26" s="1"/>
  <c r="CC20" i="26" s="1"/>
  <c r="CA46" i="26"/>
  <c r="CB46" i="26" s="1"/>
  <c r="CC46" i="26" s="1"/>
  <c r="CA37" i="26"/>
  <c r="CB37" i="26" s="1"/>
  <c r="CC37" i="26" s="1"/>
  <c r="CA36" i="26"/>
  <c r="CB36" i="26" s="1"/>
  <c r="CC36" i="26" s="1"/>
  <c r="CA43" i="26"/>
  <c r="CB43" i="26" s="1"/>
  <c r="CC43" i="26" s="1"/>
  <c r="CA17" i="26"/>
  <c r="CB17" i="26" s="1"/>
  <c r="CC17" i="26" s="1"/>
  <c r="CA49" i="26"/>
  <c r="CB49" i="26" s="1"/>
  <c r="CC49" i="26" s="1"/>
  <c r="CA27" i="26"/>
  <c r="CB27" i="26" s="1"/>
  <c r="CC27" i="26" s="1"/>
  <c r="CA22" i="26"/>
  <c r="CB22" i="26" s="1"/>
  <c r="CC22" i="26" s="1"/>
  <c r="CA21" i="26"/>
  <c r="CB21" i="26" s="1"/>
  <c r="CC21" i="26" s="1"/>
  <c r="CA25" i="26"/>
  <c r="CB25" i="26" s="1"/>
  <c r="CC25" i="26" s="1"/>
  <c r="CA40" i="26"/>
  <c r="CB40" i="26" s="1"/>
  <c r="CC40" i="26" s="1"/>
  <c r="CA23" i="26"/>
  <c r="CB23" i="26" s="1"/>
  <c r="CC23" i="26" s="1"/>
  <c r="CA42" i="26"/>
  <c r="CB42" i="26" s="1"/>
  <c r="CC42" i="26" s="1"/>
  <c r="CA32" i="26"/>
  <c r="CB32" i="26" s="1"/>
  <c r="CC32" i="26" s="1"/>
  <c r="CA15" i="26"/>
  <c r="CB15" i="26" s="1"/>
  <c r="CC15" i="26" s="1"/>
  <c r="CA41" i="26"/>
  <c r="CB41" i="26" s="1"/>
  <c r="CC41" i="26" s="1"/>
  <c r="CC50" i="25"/>
  <c r="CI12" i="25"/>
  <c r="CH12" i="25"/>
  <c r="CE12" i="25"/>
  <c r="CD12" i="25"/>
  <c r="CI42" i="24"/>
  <c r="CJ42" i="24" s="1"/>
  <c r="CL42" i="24" s="1"/>
  <c r="CH42" i="24"/>
  <c r="CE42" i="24"/>
  <c r="CD42" i="24"/>
  <c r="CH48" i="24"/>
  <c r="CI48" i="24"/>
  <c r="CE48" i="24"/>
  <c r="CD48" i="24"/>
  <c r="CJ48" i="24"/>
  <c r="CD18" i="25"/>
  <c r="CJ18" i="25"/>
  <c r="CI18" i="25"/>
  <c r="CH18" i="25"/>
  <c r="CE18" i="25"/>
  <c r="CH26" i="25"/>
  <c r="CE26" i="25"/>
  <c r="CD26" i="25"/>
  <c r="CI26" i="25"/>
  <c r="CJ26" i="25" s="1"/>
  <c r="CL26" i="25" s="1"/>
  <c r="CI32" i="25"/>
  <c r="CJ32" i="25" s="1"/>
  <c r="CL32" i="25" s="1"/>
  <c r="CH32" i="25"/>
  <c r="CE32" i="25"/>
  <c r="CD32" i="25"/>
  <c r="BS25" i="24"/>
  <c r="BT25" i="24" s="1"/>
  <c r="CD45" i="25"/>
  <c r="CI45" i="25"/>
  <c r="CJ45" i="25" s="1"/>
  <c r="CL45" i="25" s="1"/>
  <c r="CH45" i="25"/>
  <c r="CE45" i="25"/>
  <c r="CH36" i="24"/>
  <c r="CE36" i="24"/>
  <c r="CI36" i="24"/>
  <c r="CJ36" i="24" s="1"/>
  <c r="CL36" i="24" s="1"/>
  <c r="CD36" i="24"/>
  <c r="CE18" i="24"/>
  <c r="CI18" i="24"/>
  <c r="CJ18" i="24" s="1"/>
  <c r="CL18" i="24" s="1"/>
  <c r="CH18" i="24"/>
  <c r="CD18" i="24"/>
  <c r="CB50" i="25"/>
  <c r="CJ46" i="24"/>
  <c r="CL46" i="24" s="1"/>
  <c r="CI46" i="24"/>
  <c r="CH46" i="24"/>
  <c r="CE46" i="24"/>
  <c r="CD46" i="24"/>
  <c r="CE32" i="24"/>
  <c r="CI32" i="24"/>
  <c r="CJ32" i="24" s="1"/>
  <c r="CH32" i="24"/>
  <c r="CD32" i="24"/>
  <c r="CJ41" i="25"/>
  <c r="CH41" i="25"/>
  <c r="CE41" i="25"/>
  <c r="CI41" i="25"/>
  <c r="CD41" i="25"/>
  <c r="CD43" i="25"/>
  <c r="CH43" i="25"/>
  <c r="CI43" i="25"/>
  <c r="CJ43" i="25" s="1"/>
  <c r="CL43" i="25" s="1"/>
  <c r="CE43" i="25"/>
  <c r="CE19" i="25"/>
  <c r="CI19" i="25"/>
  <c r="CJ19" i="25" s="1"/>
  <c r="CH19" i="25"/>
  <c r="CD19" i="25"/>
  <c r="CD23" i="25"/>
  <c r="CH23" i="25"/>
  <c r="CI23" i="25"/>
  <c r="CJ23" i="25" s="1"/>
  <c r="CE23" i="25"/>
  <c r="CI41" i="24"/>
  <c r="CJ41" i="24" s="1"/>
  <c r="CH41" i="24"/>
  <c r="CE41" i="24"/>
  <c r="CD41" i="24"/>
  <c r="CJ47" i="24"/>
  <c r="CI47" i="24"/>
  <c r="CH47" i="24"/>
  <c r="CE47" i="24"/>
  <c r="CD47" i="24"/>
  <c r="CI28" i="24"/>
  <c r="CJ28" i="24" s="1"/>
  <c r="CL28" i="24" s="1"/>
  <c r="CH28" i="24"/>
  <c r="CE28" i="24"/>
  <c r="CD28" i="24"/>
  <c r="CH34" i="24"/>
  <c r="CJ34" i="24"/>
  <c r="CI34" i="24"/>
  <c r="CE34" i="24"/>
  <c r="CD34" i="24"/>
  <c r="CI16" i="25"/>
  <c r="CJ16" i="25" s="1"/>
  <c r="CE16" i="25"/>
  <c r="CD16" i="25"/>
  <c r="CH16" i="25"/>
  <c r="CI42" i="25"/>
  <c r="CJ42" i="25" s="1"/>
  <c r="CH42" i="25"/>
  <c r="CE42" i="25"/>
  <c r="CD42" i="25"/>
  <c r="CH47" i="25"/>
  <c r="CE47" i="25"/>
  <c r="CI47" i="25"/>
  <c r="CJ47" i="25" s="1"/>
  <c r="CL47" i="25" s="1"/>
  <c r="CD47" i="25"/>
  <c r="CL24" i="24"/>
  <c r="CI33" i="25"/>
  <c r="CJ33" i="25" s="1"/>
  <c r="CH33" i="25"/>
  <c r="CE33" i="25"/>
  <c r="CD33" i="25"/>
  <c r="CD38" i="25"/>
  <c r="CE38" i="25"/>
  <c r="CI38" i="25"/>
  <c r="CJ38" i="25" s="1"/>
  <c r="CL38" i="25" s="1"/>
  <c r="CH38" i="25"/>
  <c r="CH21" i="25"/>
  <c r="CE21" i="25"/>
  <c r="CI21" i="25"/>
  <c r="CJ21" i="25" s="1"/>
  <c r="CD21" i="25"/>
  <c r="BV18" i="24"/>
  <c r="BW18" i="24" s="1"/>
  <c r="BX18" i="24" s="1"/>
  <c r="CA15" i="22"/>
  <c r="CB15" i="22" s="1"/>
  <c r="CC15" i="22" s="1"/>
  <c r="CA49" i="22"/>
  <c r="CB49" i="22" s="1"/>
  <c r="CC49" i="22" s="1"/>
  <c r="CA39" i="22"/>
  <c r="CB39" i="22" s="1"/>
  <c r="CC39" i="22" s="1"/>
  <c r="CA29" i="22"/>
  <c r="CB29" i="22" s="1"/>
  <c r="CC29" i="22" s="1"/>
  <c r="CA16" i="22"/>
  <c r="CB16" i="22" s="1"/>
  <c r="CC16" i="22" s="1"/>
  <c r="CA13" i="22"/>
  <c r="CB13" i="22" s="1"/>
  <c r="CC13" i="22" s="1"/>
  <c r="CA24" i="22"/>
  <c r="CB24" i="22" s="1"/>
  <c r="CC24" i="22" s="1"/>
  <c r="CA22" i="22"/>
  <c r="CB22" i="22" s="1"/>
  <c r="CC22" i="22" s="1"/>
  <c r="CA26" i="22"/>
  <c r="CB26" i="22" s="1"/>
  <c r="CC26" i="22" s="1"/>
  <c r="CA41" i="22"/>
  <c r="CB41" i="22" s="1"/>
  <c r="CC41" i="22" s="1"/>
  <c r="CA48" i="22"/>
  <c r="CB48" i="22" s="1"/>
  <c r="CC48" i="22" s="1"/>
  <c r="CA35" i="22"/>
  <c r="CB35" i="22" s="1"/>
  <c r="CC35" i="22" s="1"/>
  <c r="CA34" i="22"/>
  <c r="CB34" i="22" s="1"/>
  <c r="CC34" i="22" s="1"/>
  <c r="CA19" i="22"/>
  <c r="CB19" i="22" s="1"/>
  <c r="CC19" i="22" s="1"/>
  <c r="CA17" i="22"/>
  <c r="CB17" i="22" s="1"/>
  <c r="CC17" i="22" s="1"/>
  <c r="CA25" i="22"/>
  <c r="CB25" i="22" s="1"/>
  <c r="CC25" i="22" s="1"/>
  <c r="CA42" i="22"/>
  <c r="CB42" i="22" s="1"/>
  <c r="CC42" i="22" s="1"/>
  <c r="CA21" i="22"/>
  <c r="CB21" i="22" s="1"/>
  <c r="CC21" i="22" s="1"/>
  <c r="CA27" i="22"/>
  <c r="CB27" i="22" s="1"/>
  <c r="CC27" i="22" s="1"/>
  <c r="CA32" i="22"/>
  <c r="CB32" i="22" s="1"/>
  <c r="CC32" i="22" s="1"/>
  <c r="CA20" i="22"/>
  <c r="CB20" i="22" s="1"/>
  <c r="CC20" i="22" s="1"/>
  <c r="CA31" i="22"/>
  <c r="CB31" i="22" s="1"/>
  <c r="CC31" i="22" s="1"/>
  <c r="CA46" i="22"/>
  <c r="CB46" i="22" s="1"/>
  <c r="CC46" i="22" s="1"/>
  <c r="CA47" i="22"/>
  <c r="CB47" i="22" s="1"/>
  <c r="CC47" i="22" s="1"/>
  <c r="CA40" i="22"/>
  <c r="CB40" i="22" s="1"/>
  <c r="CC40" i="22" s="1"/>
  <c r="CA33" i="22"/>
  <c r="CB33" i="22" s="1"/>
  <c r="CC33" i="22" s="1"/>
  <c r="CA23" i="22"/>
  <c r="CB23" i="22" s="1"/>
  <c r="CC23" i="22" s="1"/>
  <c r="CA45" i="22"/>
  <c r="CB45" i="22" s="1"/>
  <c r="CC45" i="22" s="1"/>
  <c r="CA44" i="22"/>
  <c r="CB44" i="22" s="1"/>
  <c r="CC44" i="22" s="1"/>
  <c r="CA37" i="22"/>
  <c r="CB37" i="22" s="1"/>
  <c r="CC37" i="22" s="1"/>
  <c r="CA18" i="22"/>
  <c r="CB18" i="22" s="1"/>
  <c r="CC18" i="22" s="1"/>
  <c r="CA43" i="22"/>
  <c r="CB43" i="22" s="1"/>
  <c r="CC43" i="22" s="1"/>
  <c r="CA30" i="22"/>
  <c r="CB30" i="22" s="1"/>
  <c r="CC30" i="22" s="1"/>
  <c r="CA36" i="22"/>
  <c r="CB36" i="22" s="1"/>
  <c r="CC36" i="22" s="1"/>
  <c r="CA28" i="22"/>
  <c r="CB28" i="22" s="1"/>
  <c r="CC28" i="22" s="1"/>
  <c r="CA38" i="22"/>
  <c r="CB38" i="22" s="1"/>
  <c r="CC38" i="22" s="1"/>
  <c r="CA14" i="22"/>
  <c r="CB14" i="22" s="1"/>
  <c r="CC14" i="22" s="1"/>
  <c r="CI16" i="24"/>
  <c r="CH16" i="24"/>
  <c r="CE16" i="24"/>
  <c r="CJ16" i="24"/>
  <c r="CL16" i="24" s="1"/>
  <c r="CD16" i="24"/>
  <c r="CD27" i="24"/>
  <c r="CI27" i="24"/>
  <c r="CJ27" i="24" s="1"/>
  <c r="CL27" i="24" s="1"/>
  <c r="CH27" i="24"/>
  <c r="CE27" i="24"/>
  <c r="CH20" i="24"/>
  <c r="CI20" i="24"/>
  <c r="CJ20" i="24" s="1"/>
  <c r="CD20" i="24"/>
  <c r="CE20" i="24"/>
  <c r="CI35" i="25"/>
  <c r="CJ35" i="25" s="1"/>
  <c r="CH35" i="25"/>
  <c r="CE35" i="25"/>
  <c r="CD35" i="25"/>
  <c r="CI27" i="25"/>
  <c r="CE27" i="25"/>
  <c r="CD27" i="25"/>
  <c r="CJ27" i="25"/>
  <c r="CH27" i="25"/>
  <c r="CI22" i="25"/>
  <c r="CJ22" i="25" s="1"/>
  <c r="CL22" i="25" s="1"/>
  <c r="CH22" i="25"/>
  <c r="CD22" i="25"/>
  <c r="CE22" i="25"/>
  <c r="BR50" i="22"/>
  <c r="BS12" i="22"/>
  <c r="CI40" i="24"/>
  <c r="CJ40" i="24" s="1"/>
  <c r="CH40" i="24"/>
  <c r="CE40" i="24"/>
  <c r="CD40" i="24"/>
  <c r="CI44" i="24"/>
  <c r="CJ44" i="24" s="1"/>
  <c r="CH44" i="24"/>
  <c r="CE44" i="24"/>
  <c r="CD44" i="24"/>
  <c r="CI21" i="24"/>
  <c r="CJ21" i="24" s="1"/>
  <c r="CH21" i="24"/>
  <c r="CE21" i="24"/>
  <c r="CD21" i="24"/>
  <c r="BR50" i="23"/>
  <c r="BS12" i="23" s="1"/>
  <c r="CI26" i="24"/>
  <c r="CJ26" i="24" s="1"/>
  <c r="CL26" i="24" s="1"/>
  <c r="CH26" i="24"/>
  <c r="CE26" i="24"/>
  <c r="CD26" i="24"/>
  <c r="CI38" i="24"/>
  <c r="CJ38" i="24" s="1"/>
  <c r="CH38" i="24"/>
  <c r="CD38" i="24"/>
  <c r="CE38" i="24"/>
  <c r="BS12" i="24"/>
  <c r="CH29" i="25"/>
  <c r="CE29" i="25"/>
  <c r="CD29" i="25"/>
  <c r="CI29" i="25"/>
  <c r="CJ29" i="25" s="1"/>
  <c r="CL29" i="25" s="1"/>
  <c r="CH13" i="25"/>
  <c r="CE13" i="25"/>
  <c r="CD13" i="25"/>
  <c r="CI13" i="25"/>
  <c r="CJ13" i="25"/>
  <c r="CI28" i="25"/>
  <c r="CJ28" i="25" s="1"/>
  <c r="CL28" i="25" s="1"/>
  <c r="CH28" i="25"/>
  <c r="CE28" i="25"/>
  <c r="CD28" i="25"/>
  <c r="BS12" i="25"/>
  <c r="BS35" i="24"/>
  <c r="BT35" i="24" s="1"/>
  <c r="CH27" i="14"/>
  <c r="CE27" i="14"/>
  <c r="CH23" i="13"/>
  <c r="CE23" i="13"/>
  <c r="CA16" i="14"/>
  <c r="CB16" i="14" s="1"/>
  <c r="CC16" i="14" s="1"/>
  <c r="CA31" i="14"/>
  <c r="CB31" i="14" s="1"/>
  <c r="CC31" i="14" s="1"/>
  <c r="BO51" i="15"/>
  <c r="CA11" i="15" s="1"/>
  <c r="BR11" i="15"/>
  <c r="BO51" i="12"/>
  <c r="CA11" i="12" s="1"/>
  <c r="BR11" i="12"/>
  <c r="CA34" i="14"/>
  <c r="CB34" i="14" s="1"/>
  <c r="CC34" i="14" s="1"/>
  <c r="CE34" i="14" s="1"/>
  <c r="CA36" i="14"/>
  <c r="CB36" i="14" s="1"/>
  <c r="CC36" i="14" s="1"/>
  <c r="CA12" i="14"/>
  <c r="CB12" i="14" s="1"/>
  <c r="CC12" i="14" s="1"/>
  <c r="CA21" i="14"/>
  <c r="CB21" i="14" s="1"/>
  <c r="CC21" i="14" s="1"/>
  <c r="CA30" i="14"/>
  <c r="CB30" i="14" s="1"/>
  <c r="CC30" i="14" s="1"/>
  <c r="CA23" i="14"/>
  <c r="CB23" i="14" s="1"/>
  <c r="CC23" i="14" s="1"/>
  <c r="CA43" i="14"/>
  <c r="CB43" i="14" s="1"/>
  <c r="CC43" i="14" s="1"/>
  <c r="CA33" i="14"/>
  <c r="CB33" i="14" s="1"/>
  <c r="CC33" i="14" s="1"/>
  <c r="CA42" i="14"/>
  <c r="CB42" i="14" s="1"/>
  <c r="CC42" i="14" s="1"/>
  <c r="CA48" i="14"/>
  <c r="CB48" i="14" s="1"/>
  <c r="CC48" i="14" s="1"/>
  <c r="CA37" i="14"/>
  <c r="CB37" i="14" s="1"/>
  <c r="CC37" i="14" s="1"/>
  <c r="CA22" i="14"/>
  <c r="CB22" i="14" s="1"/>
  <c r="CC22" i="14" s="1"/>
  <c r="CA24" i="14"/>
  <c r="CB24" i="14" s="1"/>
  <c r="CC24" i="14" s="1"/>
  <c r="CA44" i="14"/>
  <c r="CB44" i="14" s="1"/>
  <c r="CC44" i="14" s="1"/>
  <c r="CA41" i="14"/>
  <c r="CB41" i="14" s="1"/>
  <c r="CC41" i="14" s="1"/>
  <c r="CA50" i="14"/>
  <c r="CB50" i="14" s="1"/>
  <c r="CC50" i="14" s="1"/>
  <c r="CA32" i="14"/>
  <c r="CB32" i="14" s="1"/>
  <c r="CC32" i="14" s="1"/>
  <c r="CA18" i="14"/>
  <c r="CB18" i="14" s="1"/>
  <c r="CC18" i="14" s="1"/>
  <c r="CA38" i="14"/>
  <c r="CB38" i="14" s="1"/>
  <c r="CC38" i="14" s="1"/>
  <c r="CA26" i="14"/>
  <c r="CB26" i="14" s="1"/>
  <c r="CC26" i="14" s="1"/>
  <c r="CA20" i="14"/>
  <c r="CB20" i="14" s="1"/>
  <c r="CC20" i="14" s="1"/>
  <c r="CA35" i="14"/>
  <c r="CB35" i="14" s="1"/>
  <c r="CC35" i="14" s="1"/>
  <c r="CA39" i="14"/>
  <c r="CB39" i="14" s="1"/>
  <c r="CC39" i="14" s="1"/>
  <c r="CA45" i="14"/>
  <c r="CB45" i="14" s="1"/>
  <c r="CC45" i="14" s="1"/>
  <c r="CA49" i="14"/>
  <c r="CB49" i="14" s="1"/>
  <c r="CC49" i="14" s="1"/>
  <c r="CA19" i="14"/>
  <c r="CB19" i="14" s="1"/>
  <c r="CC19" i="14" s="1"/>
  <c r="CA28" i="14"/>
  <c r="CB28" i="14" s="1"/>
  <c r="CC28" i="14" s="1"/>
  <c r="CA15" i="14"/>
  <c r="CB15" i="14" s="1"/>
  <c r="CC15" i="14" s="1"/>
  <c r="CA29" i="14"/>
  <c r="CB29" i="14" s="1"/>
  <c r="CC29" i="14" s="1"/>
  <c r="CA46" i="14"/>
  <c r="CB46" i="14" s="1"/>
  <c r="CC46" i="14" s="1"/>
  <c r="CA47" i="14"/>
  <c r="CB47" i="14" s="1"/>
  <c r="CC47" i="14" s="1"/>
  <c r="CA40" i="14"/>
  <c r="CB40" i="14" s="1"/>
  <c r="CC40" i="14" s="1"/>
  <c r="BE51" i="15"/>
  <c r="BR51" i="14"/>
  <c r="BS11" i="14" s="1"/>
  <c r="CA25" i="14"/>
  <c r="CB25" i="14" s="1"/>
  <c r="CC25" i="14" s="1"/>
  <c r="BO51" i="16"/>
  <c r="CA11" i="16" s="1"/>
  <c r="BR11" i="16"/>
  <c r="BE51" i="16"/>
  <c r="BR51" i="13"/>
  <c r="BS11" i="13" s="1"/>
  <c r="BE51" i="13"/>
  <c r="CA11" i="14"/>
  <c r="CA34" i="13"/>
  <c r="CB34" i="13" s="1"/>
  <c r="CC34" i="13" s="1"/>
  <c r="CE34" i="13" s="1"/>
  <c r="CA18" i="13"/>
  <c r="CB18" i="13" s="1"/>
  <c r="CC18" i="13" s="1"/>
  <c r="CA19" i="13"/>
  <c r="CB19" i="13" s="1"/>
  <c r="CC19" i="13" s="1"/>
  <c r="CA45" i="13"/>
  <c r="CB45" i="13" s="1"/>
  <c r="CC45" i="13" s="1"/>
  <c r="CA28" i="13"/>
  <c r="CB28" i="13" s="1"/>
  <c r="CC28" i="13" s="1"/>
  <c r="CA49" i="13"/>
  <c r="CB49" i="13" s="1"/>
  <c r="CC49" i="13" s="1"/>
  <c r="CA22" i="13"/>
  <c r="CB22" i="13" s="1"/>
  <c r="CC22" i="13" s="1"/>
  <c r="CA15" i="13"/>
  <c r="CB15" i="13" s="1"/>
  <c r="CC15" i="13" s="1"/>
  <c r="CA50" i="13"/>
  <c r="CB50" i="13" s="1"/>
  <c r="CC50" i="13" s="1"/>
  <c r="CA16" i="13"/>
  <c r="CB16" i="13" s="1"/>
  <c r="CC16" i="13" s="1"/>
  <c r="CA35" i="13"/>
  <c r="CB35" i="13" s="1"/>
  <c r="CC35" i="13" s="1"/>
  <c r="CA48" i="13"/>
  <c r="CB48" i="13" s="1"/>
  <c r="CC48" i="13" s="1"/>
  <c r="CA13" i="13"/>
  <c r="CB13" i="13" s="1"/>
  <c r="CC13" i="13" s="1"/>
  <c r="CA33" i="13"/>
  <c r="CB33" i="13" s="1"/>
  <c r="CC33" i="13" s="1"/>
  <c r="CA39" i="13"/>
  <c r="CB39" i="13" s="1"/>
  <c r="CC39" i="13" s="1"/>
  <c r="CA41" i="13"/>
  <c r="CB41" i="13" s="1"/>
  <c r="CC41" i="13" s="1"/>
  <c r="CA20" i="13"/>
  <c r="CB20" i="13" s="1"/>
  <c r="CC20" i="13" s="1"/>
  <c r="CA25" i="13"/>
  <c r="CB25" i="13" s="1"/>
  <c r="CC25" i="13" s="1"/>
  <c r="CA21" i="13"/>
  <c r="CB21" i="13" s="1"/>
  <c r="CC21" i="13" s="1"/>
  <c r="CA44" i="13"/>
  <c r="CB44" i="13" s="1"/>
  <c r="CC44" i="13" s="1"/>
  <c r="CA30" i="13"/>
  <c r="CB30" i="13" s="1"/>
  <c r="CC30" i="13" s="1"/>
  <c r="CA37" i="13"/>
  <c r="CB37" i="13" s="1"/>
  <c r="CC37" i="13" s="1"/>
  <c r="CA26" i="13"/>
  <c r="CB26" i="13" s="1"/>
  <c r="CC26" i="13" s="1"/>
  <c r="CA29" i="13"/>
  <c r="CB29" i="13" s="1"/>
  <c r="CC29" i="13" s="1"/>
  <c r="CA32" i="13"/>
  <c r="CB32" i="13" s="1"/>
  <c r="CC32" i="13" s="1"/>
  <c r="CA27" i="13"/>
  <c r="CB27" i="13" s="1"/>
  <c r="CC27" i="13" s="1"/>
  <c r="CA36" i="13"/>
  <c r="CB36" i="13" s="1"/>
  <c r="CC36" i="13" s="1"/>
  <c r="CA40" i="13"/>
  <c r="CB40" i="13" s="1"/>
  <c r="CC40" i="13" s="1"/>
  <c r="CA46" i="13"/>
  <c r="CB46" i="13" s="1"/>
  <c r="CC46" i="13" s="1"/>
  <c r="CA24" i="13"/>
  <c r="CB24" i="13" s="1"/>
  <c r="CC24" i="13" s="1"/>
  <c r="CA43" i="13"/>
  <c r="CB43" i="13" s="1"/>
  <c r="CC43" i="13" s="1"/>
  <c r="CA12" i="13"/>
  <c r="CB12" i="13" s="1"/>
  <c r="CC12" i="13" s="1"/>
  <c r="CA38" i="13"/>
  <c r="CB38" i="13" s="1"/>
  <c r="CC38" i="13" s="1"/>
  <c r="CA42" i="13"/>
  <c r="CB42" i="13" s="1"/>
  <c r="CC42" i="13" s="1"/>
  <c r="CA31" i="13"/>
  <c r="CB31" i="13" s="1"/>
  <c r="CC31" i="13" s="1"/>
  <c r="CA14" i="13"/>
  <c r="CB14" i="13" s="1"/>
  <c r="CC14" i="13" s="1"/>
  <c r="CA11" i="13"/>
  <c r="BE51" i="12"/>
  <c r="CA47" i="13"/>
  <c r="CB47" i="13" s="1"/>
  <c r="CC47" i="13" s="1"/>
  <c r="BS47" i="13"/>
  <c r="BT47" i="13" s="1"/>
  <c r="CA14" i="14"/>
  <c r="CB14" i="14" s="1"/>
  <c r="CC14" i="14" s="1"/>
  <c r="CA13" i="14"/>
  <c r="CB13" i="14" s="1"/>
  <c r="CC13" i="14" s="1"/>
  <c r="BO51" i="5"/>
  <c r="BQ11" i="5"/>
  <c r="BQ51" i="2"/>
  <c r="BR11" i="2" s="1"/>
  <c r="BO51" i="6"/>
  <c r="BQ11" i="6"/>
  <c r="BQ51" i="3"/>
  <c r="BR11" i="3" s="1"/>
  <c r="BQ51" i="4"/>
  <c r="BR11" i="4" s="1"/>
  <c r="BS16" i="14" l="1"/>
  <c r="BT16" i="14" s="1"/>
  <c r="BS13" i="14"/>
  <c r="BT13" i="14" s="1"/>
  <c r="BS25" i="14"/>
  <c r="BT25" i="14" s="1"/>
  <c r="CI25" i="14" s="1"/>
  <c r="CJ25" i="14" s="1"/>
  <c r="CL44" i="24"/>
  <c r="CL21" i="25"/>
  <c r="CL16" i="25"/>
  <c r="CL19" i="25"/>
  <c r="CL18" i="25"/>
  <c r="CL47" i="24"/>
  <c r="CE50" i="25"/>
  <c r="CL15" i="25"/>
  <c r="CL22" i="24"/>
  <c r="CL38" i="24"/>
  <c r="CL27" i="25"/>
  <c r="CL40" i="24"/>
  <c r="CL32" i="24"/>
  <c r="CL36" i="25"/>
  <c r="CL17" i="24"/>
  <c r="CL33" i="25"/>
  <c r="CL34" i="24"/>
  <c r="CL31" i="25"/>
  <c r="CL35" i="25"/>
  <c r="CL41" i="24"/>
  <c r="CL21" i="24"/>
  <c r="CL34" i="25"/>
  <c r="CL42" i="25"/>
  <c r="CL23" i="25"/>
  <c r="CL14" i="24"/>
  <c r="CL49" i="25"/>
  <c r="CL30" i="24"/>
  <c r="CL46" i="25"/>
  <c r="BT12" i="23"/>
  <c r="BT12" i="26"/>
  <c r="CI49" i="23"/>
  <c r="CH49" i="23"/>
  <c r="CJ49" i="23"/>
  <c r="CL49" i="23" s="1"/>
  <c r="CE49" i="23"/>
  <c r="CD49" i="23"/>
  <c r="CJ42" i="23"/>
  <c r="CL42" i="23" s="1"/>
  <c r="CI42" i="23"/>
  <c r="CH42" i="23"/>
  <c r="CE42" i="23"/>
  <c r="CD42" i="23"/>
  <c r="CI20" i="23"/>
  <c r="CJ20" i="23" s="1"/>
  <c r="CL20" i="23" s="1"/>
  <c r="CH20" i="23"/>
  <c r="CE20" i="23"/>
  <c r="CD20" i="23"/>
  <c r="BV34" i="25"/>
  <c r="BW34" i="25" s="1"/>
  <c r="BX34" i="25" s="1"/>
  <c r="BV30" i="25"/>
  <c r="BW30" i="25" s="1"/>
  <c r="BX30" i="25" s="1"/>
  <c r="BV19" i="25"/>
  <c r="BW19" i="25"/>
  <c r="BX19" i="25" s="1"/>
  <c r="BV14" i="24"/>
  <c r="BW14" i="24" s="1"/>
  <c r="BX14" i="24" s="1"/>
  <c r="BV30" i="24"/>
  <c r="BW30" i="24" s="1"/>
  <c r="BX30" i="24" s="1"/>
  <c r="CD39" i="26"/>
  <c r="CH39" i="26"/>
  <c r="CE39" i="26"/>
  <c r="CI39" i="26"/>
  <c r="CJ39" i="26" s="1"/>
  <c r="CL39" i="26" s="1"/>
  <c r="CD28" i="22"/>
  <c r="CI28" i="22"/>
  <c r="CJ28" i="22" s="1"/>
  <c r="CE28" i="22"/>
  <c r="CH28" i="22"/>
  <c r="CI48" i="22"/>
  <c r="CJ48" i="22" s="1"/>
  <c r="CH48" i="22"/>
  <c r="CE48" i="22"/>
  <c r="CD48" i="22"/>
  <c r="CL41" i="25"/>
  <c r="CE16" i="26"/>
  <c r="CI16" i="26"/>
  <c r="CJ16" i="26" s="1"/>
  <c r="CL16" i="26" s="1"/>
  <c r="CD16" i="26"/>
  <c r="CH16" i="26"/>
  <c r="CH24" i="23"/>
  <c r="CI24" i="23"/>
  <c r="CJ24" i="23" s="1"/>
  <c r="CL24" i="23" s="1"/>
  <c r="CE24" i="23"/>
  <c r="CD24" i="23"/>
  <c r="CH40" i="23"/>
  <c r="CE40" i="23"/>
  <c r="CD40" i="23"/>
  <c r="CI40" i="23"/>
  <c r="CJ40" i="23" s="1"/>
  <c r="CI15" i="23"/>
  <c r="CJ15" i="23" s="1"/>
  <c r="CL15" i="23" s="1"/>
  <c r="CH15" i="23"/>
  <c r="CE15" i="23"/>
  <c r="CD15" i="23"/>
  <c r="BV13" i="25"/>
  <c r="BW13" i="25" s="1"/>
  <c r="BX13" i="25" s="1"/>
  <c r="BV28" i="25"/>
  <c r="BW28" i="25" s="1"/>
  <c r="BX28" i="25" s="1"/>
  <c r="BV37" i="25"/>
  <c r="BW37" i="25" s="1"/>
  <c r="BX37" i="25" s="1"/>
  <c r="BV16" i="24"/>
  <c r="BW16" i="24" s="1"/>
  <c r="BX16" i="24" s="1"/>
  <c r="BV46" i="24"/>
  <c r="BW46" i="24" s="1"/>
  <c r="BX46" i="24" s="1"/>
  <c r="BV26" i="24"/>
  <c r="BW26" i="24" s="1"/>
  <c r="BX26" i="24" s="1"/>
  <c r="BS50" i="25"/>
  <c r="BT12" i="25"/>
  <c r="CI38" i="22"/>
  <c r="CJ38" i="22" s="1"/>
  <c r="CH38" i="22"/>
  <c r="CE38" i="22"/>
  <c r="CD38" i="22"/>
  <c r="CE41" i="26"/>
  <c r="CH41" i="26"/>
  <c r="CI41" i="26"/>
  <c r="CJ41" i="26" s="1"/>
  <c r="CD41" i="26"/>
  <c r="CJ19" i="26"/>
  <c r="CL19" i="26" s="1"/>
  <c r="CI19" i="26"/>
  <c r="CH19" i="26"/>
  <c r="CE19" i="26"/>
  <c r="CD19" i="26"/>
  <c r="CL13" i="25"/>
  <c r="CH46" i="22"/>
  <c r="CE46" i="22"/>
  <c r="CD46" i="22"/>
  <c r="CJ46" i="22"/>
  <c r="CI46" i="22"/>
  <c r="CH15" i="26"/>
  <c r="CI15" i="26"/>
  <c r="CJ15" i="26" s="1"/>
  <c r="CL15" i="26" s="1"/>
  <c r="CE15" i="26"/>
  <c r="CD15" i="26"/>
  <c r="CE36" i="26"/>
  <c r="CI36" i="26"/>
  <c r="CJ36" i="26" s="1"/>
  <c r="CH36" i="26"/>
  <c r="CD36" i="26"/>
  <c r="CH36" i="22"/>
  <c r="CI36" i="22"/>
  <c r="CJ36" i="22" s="1"/>
  <c r="CL36" i="22" s="1"/>
  <c r="CE36" i="22"/>
  <c r="CD36" i="22"/>
  <c r="CD31" i="22"/>
  <c r="CH31" i="22"/>
  <c r="CE31" i="22"/>
  <c r="CI31" i="22"/>
  <c r="CJ31" i="22" s="1"/>
  <c r="CL31" i="22" s="1"/>
  <c r="CD41" i="22"/>
  <c r="CI41" i="22"/>
  <c r="CJ41" i="22" s="1"/>
  <c r="CH41" i="22"/>
  <c r="CE41" i="22"/>
  <c r="CH32" i="26"/>
  <c r="CE32" i="26"/>
  <c r="CI32" i="26"/>
  <c r="CJ32" i="26" s="1"/>
  <c r="CD32" i="26"/>
  <c r="CI37" i="26"/>
  <c r="CJ37" i="26" s="1"/>
  <c r="CH37" i="26"/>
  <c r="CE37" i="26"/>
  <c r="CD37" i="26"/>
  <c r="CH34" i="26"/>
  <c r="CE34" i="26"/>
  <c r="CD34" i="26"/>
  <c r="CI34" i="26"/>
  <c r="CJ34" i="26" s="1"/>
  <c r="CL34" i="26" s="1"/>
  <c r="CI43" i="23"/>
  <c r="CE43" i="23"/>
  <c r="CD43" i="23"/>
  <c r="CJ43" i="23"/>
  <c r="CL43" i="23" s="1"/>
  <c r="CH43" i="23"/>
  <c r="CI39" i="23"/>
  <c r="CJ39" i="23" s="1"/>
  <c r="CL39" i="23" s="1"/>
  <c r="CH39" i="23"/>
  <c r="CE39" i="23"/>
  <c r="CD39" i="23"/>
  <c r="CI35" i="23"/>
  <c r="CJ35" i="23" s="1"/>
  <c r="CD35" i="23"/>
  <c r="CH35" i="23"/>
  <c r="CE35" i="23"/>
  <c r="BV45" i="25"/>
  <c r="BW45" i="25" s="1"/>
  <c r="BX45" i="25" s="1"/>
  <c r="BV40" i="25"/>
  <c r="BW40" i="25" s="1"/>
  <c r="BX40" i="25" s="1"/>
  <c r="BV43" i="25"/>
  <c r="BW43" i="25" s="1"/>
  <c r="BX43" i="25" s="1"/>
  <c r="BV37" i="24"/>
  <c r="BW37" i="24" s="1"/>
  <c r="BX37" i="24" s="1"/>
  <c r="BV29" i="24"/>
  <c r="BW29" i="24" s="1"/>
  <c r="BX29" i="24" s="1"/>
  <c r="BV20" i="24"/>
  <c r="BW20" i="24" s="1"/>
  <c r="BX20" i="24" s="1"/>
  <c r="CI26" i="22"/>
  <c r="CJ26" i="22" s="1"/>
  <c r="CH26" i="22"/>
  <c r="CE26" i="22"/>
  <c r="CD26" i="22"/>
  <c r="CH42" i="26"/>
  <c r="CD42" i="26"/>
  <c r="CI42" i="26"/>
  <c r="CJ42" i="26" s="1"/>
  <c r="CL42" i="26" s="1"/>
  <c r="CE42" i="26"/>
  <c r="CH46" i="26"/>
  <c r="CI46" i="26"/>
  <c r="CD46" i="26"/>
  <c r="CJ46" i="26"/>
  <c r="CL46" i="26" s="1"/>
  <c r="CE46" i="26"/>
  <c r="CI47" i="26"/>
  <c r="CJ47" i="26" s="1"/>
  <c r="CL47" i="26" s="1"/>
  <c r="CH47" i="26"/>
  <c r="CD47" i="26"/>
  <c r="CE47" i="26"/>
  <c r="CL12" i="24"/>
  <c r="CL19" i="24"/>
  <c r="CD17" i="23"/>
  <c r="CI17" i="23"/>
  <c r="CJ17" i="23" s="1"/>
  <c r="CH17" i="23"/>
  <c r="CE17" i="23"/>
  <c r="CE19" i="23"/>
  <c r="CI19" i="23"/>
  <c r="CJ19" i="23" s="1"/>
  <c r="CL19" i="23" s="1"/>
  <c r="CH19" i="23"/>
  <c r="CD19" i="23"/>
  <c r="CI22" i="23"/>
  <c r="CJ22" i="23" s="1"/>
  <c r="CL22" i="23" s="1"/>
  <c r="CH22" i="23"/>
  <c r="CE22" i="23"/>
  <c r="CD22" i="23"/>
  <c r="BV27" i="25"/>
  <c r="BW27" i="25" s="1"/>
  <c r="BX27" i="25" s="1"/>
  <c r="BV22" i="25"/>
  <c r="BW22" i="25" s="1"/>
  <c r="BX22" i="25" s="1"/>
  <c r="BV44" i="25"/>
  <c r="BW44" i="25" s="1"/>
  <c r="BX44" i="25" s="1"/>
  <c r="BV47" i="24"/>
  <c r="BW47" i="24" s="1"/>
  <c r="BX47" i="24" s="1"/>
  <c r="BV22" i="24"/>
  <c r="BW22" i="24" s="1"/>
  <c r="BX22" i="24" s="1"/>
  <c r="BV21" i="24"/>
  <c r="BW21" i="24" s="1"/>
  <c r="BX21" i="24" s="1"/>
  <c r="CI47" i="22"/>
  <c r="CH47" i="22"/>
  <c r="CE47" i="22"/>
  <c r="CD47" i="22"/>
  <c r="CJ47" i="22"/>
  <c r="CL47" i="22" s="1"/>
  <c r="CE30" i="22"/>
  <c r="CI30" i="22"/>
  <c r="CJ30" i="22" s="1"/>
  <c r="CL30" i="22" s="1"/>
  <c r="CD30" i="22"/>
  <c r="CH30" i="22"/>
  <c r="CH20" i="22"/>
  <c r="CI20" i="22"/>
  <c r="CJ20" i="22" s="1"/>
  <c r="CL20" i="22" s="1"/>
  <c r="CE20" i="22"/>
  <c r="CD20" i="22"/>
  <c r="BS15" i="22"/>
  <c r="BT15" i="22" s="1"/>
  <c r="BS40" i="22"/>
  <c r="BT40" i="22" s="1"/>
  <c r="BS32" i="22"/>
  <c r="BT32" i="22" s="1"/>
  <c r="BS13" i="22"/>
  <c r="BT13" i="22" s="1"/>
  <c r="BS17" i="22"/>
  <c r="BT17" i="22" s="1"/>
  <c r="BS22" i="22"/>
  <c r="BT22" i="22" s="1"/>
  <c r="BS30" i="22"/>
  <c r="BT30" i="22" s="1"/>
  <c r="BS45" i="22"/>
  <c r="BT45" i="22" s="1"/>
  <c r="BS39" i="22"/>
  <c r="BT39" i="22" s="1"/>
  <c r="BS18" i="22"/>
  <c r="BT18" i="22" s="1"/>
  <c r="BS47" i="22"/>
  <c r="BT47" i="22" s="1"/>
  <c r="BS43" i="22"/>
  <c r="BT43" i="22" s="1"/>
  <c r="BS34" i="22"/>
  <c r="BT34" i="22" s="1"/>
  <c r="BS46" i="22"/>
  <c r="BT46" i="22" s="1"/>
  <c r="BS41" i="22"/>
  <c r="BT41" i="22" s="1"/>
  <c r="BS21" i="22"/>
  <c r="BT21" i="22" s="1"/>
  <c r="BS31" i="22"/>
  <c r="BT31" i="22" s="1"/>
  <c r="BS16" i="22"/>
  <c r="BT16" i="22" s="1"/>
  <c r="BS42" i="22"/>
  <c r="BT42" i="22" s="1"/>
  <c r="BS25" i="22"/>
  <c r="BT25" i="22" s="1"/>
  <c r="BS20" i="22"/>
  <c r="BT20" i="22" s="1"/>
  <c r="BS49" i="22"/>
  <c r="BT49" i="22" s="1"/>
  <c r="BS26" i="22"/>
  <c r="BT26" i="22" s="1"/>
  <c r="BS37" i="22"/>
  <c r="BT37" i="22" s="1"/>
  <c r="BS44" i="22"/>
  <c r="BT44" i="22" s="1"/>
  <c r="BS23" i="22"/>
  <c r="BT23" i="22" s="1"/>
  <c r="BS24" i="22"/>
  <c r="BT24" i="22" s="1"/>
  <c r="BS48" i="22"/>
  <c r="BT48" i="22" s="1"/>
  <c r="BS27" i="22"/>
  <c r="BT27" i="22" s="1"/>
  <c r="BS29" i="22"/>
  <c r="BT29" i="22" s="1"/>
  <c r="BS19" i="22"/>
  <c r="BT19" i="22" s="1"/>
  <c r="BS33" i="22"/>
  <c r="BT33" i="22" s="1"/>
  <c r="BS35" i="22"/>
  <c r="BT35" i="22" s="1"/>
  <c r="BS28" i="22"/>
  <c r="BT28" i="22" s="1"/>
  <c r="BS36" i="22"/>
  <c r="BT36" i="22" s="1"/>
  <c r="BS14" i="22"/>
  <c r="BT14" i="22" s="1"/>
  <c r="BS38" i="22"/>
  <c r="BT38" i="22" s="1"/>
  <c r="CD43" i="22"/>
  <c r="CI43" i="22"/>
  <c r="CJ43" i="22" s="1"/>
  <c r="CL43" i="22" s="1"/>
  <c r="CH43" i="22"/>
  <c r="CE43" i="22"/>
  <c r="CH32" i="22"/>
  <c r="CE32" i="22"/>
  <c r="CD32" i="22"/>
  <c r="CI32" i="22"/>
  <c r="CJ32" i="22"/>
  <c r="CL32" i="22" s="1"/>
  <c r="CI22" i="22"/>
  <c r="CJ22" i="22" s="1"/>
  <c r="CL22" i="22" s="1"/>
  <c r="CH22" i="22"/>
  <c r="CE22" i="22"/>
  <c r="CD22" i="22"/>
  <c r="BV25" i="24"/>
  <c r="BW25" i="24" s="1"/>
  <c r="BX25" i="24" s="1"/>
  <c r="CI23" i="26"/>
  <c r="CJ23" i="26" s="1"/>
  <c r="CL23" i="26" s="1"/>
  <c r="CH23" i="26"/>
  <c r="CE23" i="26"/>
  <c r="CD23" i="26"/>
  <c r="CD20" i="26"/>
  <c r="CH20" i="26"/>
  <c r="CI20" i="26"/>
  <c r="CJ20" i="26" s="1"/>
  <c r="CL20" i="26" s="1"/>
  <c r="CE20" i="26"/>
  <c r="CH26" i="26"/>
  <c r="CD26" i="26"/>
  <c r="CE26" i="26"/>
  <c r="CI26" i="26"/>
  <c r="CJ26" i="26" s="1"/>
  <c r="CL26" i="26" s="1"/>
  <c r="CE50" i="24"/>
  <c r="CH48" i="23"/>
  <c r="CE48" i="23"/>
  <c r="CD48" i="23"/>
  <c r="CI48" i="23"/>
  <c r="CJ48" i="23" s="1"/>
  <c r="CE38" i="23"/>
  <c r="CD38" i="23"/>
  <c r="CI38" i="23"/>
  <c r="CJ38" i="23" s="1"/>
  <c r="CL38" i="23" s="1"/>
  <c r="CH38" i="23"/>
  <c r="CI41" i="23"/>
  <c r="CJ41" i="23" s="1"/>
  <c r="CL41" i="23" s="1"/>
  <c r="CH41" i="23"/>
  <c r="CE41" i="23"/>
  <c r="CD41" i="23"/>
  <c r="BV41" i="25"/>
  <c r="BW41" i="25" s="1"/>
  <c r="BX41" i="25" s="1"/>
  <c r="BV38" i="25"/>
  <c r="BW38" i="25" s="1"/>
  <c r="BX38" i="25" s="1"/>
  <c r="BV14" i="25"/>
  <c r="BW14" i="25" s="1"/>
  <c r="BX14" i="25" s="1"/>
  <c r="BV40" i="24"/>
  <c r="BW40" i="24" s="1"/>
  <c r="BX40" i="24" s="1"/>
  <c r="BV27" i="24"/>
  <c r="BW27" i="24" s="1"/>
  <c r="BX27" i="24" s="1"/>
  <c r="CI35" i="22"/>
  <c r="CJ35" i="22" s="1"/>
  <c r="CL35" i="22" s="1"/>
  <c r="CE35" i="22"/>
  <c r="CD35" i="22"/>
  <c r="CH35" i="22"/>
  <c r="CE18" i="22"/>
  <c r="CI18" i="22"/>
  <c r="CJ18" i="22" s="1"/>
  <c r="CL18" i="22" s="1"/>
  <c r="CH18" i="22"/>
  <c r="CD18" i="22"/>
  <c r="CI27" i="22"/>
  <c r="CJ27" i="22" s="1"/>
  <c r="CL27" i="22" s="1"/>
  <c r="CH27" i="22"/>
  <c r="CE27" i="22"/>
  <c r="CD27" i="22"/>
  <c r="CI24" i="22"/>
  <c r="CJ24" i="22" s="1"/>
  <c r="CH24" i="22"/>
  <c r="CE24" i="22"/>
  <c r="CD24" i="22"/>
  <c r="CD40" i="26"/>
  <c r="CH40" i="26"/>
  <c r="CE40" i="26"/>
  <c r="CI40" i="26"/>
  <c r="CJ40" i="26" s="1"/>
  <c r="CL40" i="26" s="1"/>
  <c r="CI13" i="26"/>
  <c r="CH13" i="26"/>
  <c r="CJ13" i="26"/>
  <c r="CE13" i="26"/>
  <c r="CD13" i="26"/>
  <c r="CI44" i="26"/>
  <c r="CJ44" i="26" s="1"/>
  <c r="CL44" i="26" s="1"/>
  <c r="CE44" i="26"/>
  <c r="CH44" i="26"/>
  <c r="CD44" i="26"/>
  <c r="CI25" i="23"/>
  <c r="CJ25" i="23" s="1"/>
  <c r="CL25" i="23" s="1"/>
  <c r="CH25" i="23"/>
  <c r="CE25" i="23"/>
  <c r="CD25" i="23"/>
  <c r="CI13" i="23"/>
  <c r="CJ13" i="23" s="1"/>
  <c r="CL13" i="23" s="1"/>
  <c r="CH13" i="23"/>
  <c r="CE13" i="23"/>
  <c r="CD13" i="23"/>
  <c r="CH21" i="23"/>
  <c r="CI21" i="23"/>
  <c r="CJ21" i="23" s="1"/>
  <c r="CL21" i="23" s="1"/>
  <c r="CE21" i="23"/>
  <c r="CD21" i="23"/>
  <c r="BV47" i="25"/>
  <c r="BW47" i="25" s="1"/>
  <c r="BX47" i="25" s="1"/>
  <c r="BV15" i="25"/>
  <c r="BW15" i="25" s="1"/>
  <c r="BX15" i="25" s="1"/>
  <c r="BV26" i="25"/>
  <c r="BW26" i="25" s="1"/>
  <c r="BX26" i="25" s="1"/>
  <c r="BV42" i="24"/>
  <c r="BW42" i="24"/>
  <c r="BX42" i="24" s="1"/>
  <c r="BV44" i="24"/>
  <c r="BW44" i="24" s="1"/>
  <c r="BX44" i="24" s="1"/>
  <c r="CC50" i="22"/>
  <c r="CI12" i="22"/>
  <c r="CJ12" i="22" s="1"/>
  <c r="CE12" i="22"/>
  <c r="CH12" i="22"/>
  <c r="CD12" i="22"/>
  <c r="CH43" i="26"/>
  <c r="CD43" i="26"/>
  <c r="CI43" i="26"/>
  <c r="CJ43" i="26" s="1"/>
  <c r="CE43" i="26"/>
  <c r="BT12" i="22"/>
  <c r="BV35" i="24"/>
  <c r="BW35" i="24"/>
  <c r="BX35" i="24" s="1"/>
  <c r="CI37" i="22"/>
  <c r="CJ37" i="22" s="1"/>
  <c r="CL37" i="22" s="1"/>
  <c r="CH37" i="22"/>
  <c r="CE37" i="22"/>
  <c r="CD37" i="22"/>
  <c r="CI21" i="22"/>
  <c r="CJ21" i="22" s="1"/>
  <c r="CL21" i="22" s="1"/>
  <c r="CD21" i="22"/>
  <c r="CE21" i="22"/>
  <c r="CH21" i="22"/>
  <c r="CI13" i="22"/>
  <c r="CJ13" i="22" s="1"/>
  <c r="CH13" i="22"/>
  <c r="CE13" i="22"/>
  <c r="CD13" i="22"/>
  <c r="CI25" i="26"/>
  <c r="CJ25" i="26" s="1"/>
  <c r="CE25" i="26"/>
  <c r="CD25" i="26"/>
  <c r="CH25" i="26"/>
  <c r="CH29" i="26"/>
  <c r="CE29" i="26"/>
  <c r="CD29" i="26"/>
  <c r="CI29" i="26"/>
  <c r="CJ29" i="26" s="1"/>
  <c r="CI18" i="26"/>
  <c r="CJ18" i="26" s="1"/>
  <c r="CH18" i="26"/>
  <c r="CD18" i="26"/>
  <c r="CE18" i="26"/>
  <c r="BS19" i="26"/>
  <c r="BT19" i="26" s="1"/>
  <c r="BS48" i="26"/>
  <c r="BT48" i="26" s="1"/>
  <c r="BS31" i="26"/>
  <c r="BT31" i="26" s="1"/>
  <c r="BS44" i="26"/>
  <c r="BT44" i="26" s="1"/>
  <c r="BS22" i="26"/>
  <c r="BT22" i="26" s="1"/>
  <c r="BS28" i="26"/>
  <c r="BT28" i="26" s="1"/>
  <c r="BS46" i="26"/>
  <c r="BT46" i="26" s="1"/>
  <c r="BS33" i="26"/>
  <c r="BT33" i="26" s="1"/>
  <c r="BS17" i="26"/>
  <c r="BT17" i="26" s="1"/>
  <c r="BS30" i="26"/>
  <c r="BT30" i="26" s="1"/>
  <c r="BS35" i="26"/>
  <c r="BT35" i="26" s="1"/>
  <c r="BS34" i="26"/>
  <c r="BT34" i="26" s="1"/>
  <c r="BS47" i="26"/>
  <c r="BT47" i="26" s="1"/>
  <c r="BS36" i="26"/>
  <c r="BT36" i="26" s="1"/>
  <c r="BS13" i="26"/>
  <c r="BT13" i="26" s="1"/>
  <c r="BS27" i="26"/>
  <c r="BT27" i="26" s="1"/>
  <c r="BS16" i="26"/>
  <c r="BT16" i="26" s="1"/>
  <c r="BS18" i="26"/>
  <c r="BT18" i="26" s="1"/>
  <c r="BS43" i="26"/>
  <c r="BT43" i="26" s="1"/>
  <c r="BS24" i="26"/>
  <c r="BT24" i="26" s="1"/>
  <c r="BS49" i="26"/>
  <c r="BT49" i="26" s="1"/>
  <c r="BS21" i="26"/>
  <c r="BT21" i="26" s="1"/>
  <c r="BS29" i="26"/>
  <c r="BT29" i="26" s="1"/>
  <c r="BS37" i="26"/>
  <c r="BT37" i="26" s="1"/>
  <c r="BS20" i="26"/>
  <c r="BT20" i="26" s="1"/>
  <c r="BS38" i="26"/>
  <c r="BT38" i="26" s="1"/>
  <c r="BS14" i="26"/>
  <c r="BT14" i="26" s="1"/>
  <c r="BS39" i="26"/>
  <c r="BT39" i="26" s="1"/>
  <c r="BS45" i="26"/>
  <c r="BT45" i="26" s="1"/>
  <c r="BS26" i="26"/>
  <c r="BT26" i="26" s="1"/>
  <c r="BS40" i="26"/>
  <c r="BT40" i="26" s="1"/>
  <c r="BS32" i="26"/>
  <c r="BT32" i="26" s="1"/>
  <c r="BS25" i="26"/>
  <c r="BT25" i="26" s="1"/>
  <c r="BS23" i="26"/>
  <c r="BT23" i="26" s="1"/>
  <c r="BS41" i="26"/>
  <c r="BT41" i="26" s="1"/>
  <c r="BS15" i="26"/>
  <c r="BT15" i="26" s="1"/>
  <c r="BS42" i="26"/>
  <c r="BT42" i="26" s="1"/>
  <c r="CE33" i="23"/>
  <c r="CI33" i="23"/>
  <c r="CJ33" i="23" s="1"/>
  <c r="CH33" i="23"/>
  <c r="CD33" i="23"/>
  <c r="CI30" i="23"/>
  <c r="CJ30" i="23" s="1"/>
  <c r="CL30" i="23" s="1"/>
  <c r="CH30" i="23"/>
  <c r="CE30" i="23"/>
  <c r="CD30" i="23"/>
  <c r="CH27" i="23"/>
  <c r="CE27" i="23"/>
  <c r="CD27" i="23"/>
  <c r="CI27" i="23"/>
  <c r="CJ27" i="23" s="1"/>
  <c r="BV23" i="25"/>
  <c r="BW23" i="25" s="1"/>
  <c r="BX23" i="25" s="1"/>
  <c r="BV21" i="25"/>
  <c r="BW21" i="25" s="1"/>
  <c r="BX21" i="25" s="1"/>
  <c r="BV29" i="25"/>
  <c r="BW29" i="25" s="1"/>
  <c r="BX29" i="25" s="1"/>
  <c r="BV34" i="24"/>
  <c r="BW34" i="24" s="1"/>
  <c r="BX34" i="24" s="1"/>
  <c r="BV43" i="24"/>
  <c r="BW43" i="24" s="1"/>
  <c r="BX43" i="24" s="1"/>
  <c r="CB50" i="22"/>
  <c r="CD21" i="26"/>
  <c r="CH21" i="26"/>
  <c r="CI21" i="26"/>
  <c r="CJ21" i="26" s="1"/>
  <c r="CL21" i="26" s="1"/>
  <c r="CE21" i="26"/>
  <c r="CI38" i="26"/>
  <c r="CJ38" i="26"/>
  <c r="CH38" i="26"/>
  <c r="CE38" i="26"/>
  <c r="CD38" i="26"/>
  <c r="CI33" i="26"/>
  <c r="CJ33" i="26" s="1"/>
  <c r="CL33" i="26" s="1"/>
  <c r="CH33" i="26"/>
  <c r="CE33" i="26"/>
  <c r="CD33" i="26"/>
  <c r="BV24" i="24"/>
  <c r="BW24" i="24" s="1"/>
  <c r="BX24" i="24" s="1"/>
  <c r="BV15" i="24"/>
  <c r="BW15" i="24" s="1"/>
  <c r="BX15" i="24" s="1"/>
  <c r="CI50" i="24"/>
  <c r="CI47" i="23"/>
  <c r="CJ47" i="23" s="1"/>
  <c r="CH47" i="23"/>
  <c r="CD47" i="23"/>
  <c r="CE47" i="23"/>
  <c r="CH36" i="23"/>
  <c r="CE36" i="23"/>
  <c r="CD36" i="23"/>
  <c r="CI36" i="23"/>
  <c r="CJ36" i="23" s="1"/>
  <c r="CI26" i="23"/>
  <c r="CJ26" i="23" s="1"/>
  <c r="CE26" i="23"/>
  <c r="CD26" i="23"/>
  <c r="CH26" i="23"/>
  <c r="BW31" i="25"/>
  <c r="BX31" i="25" s="1"/>
  <c r="BV31" i="25"/>
  <c r="BV49" i="25"/>
  <c r="BW49" i="25" s="1"/>
  <c r="BX49" i="25" s="1"/>
  <c r="BV39" i="25"/>
  <c r="BW39" i="25" s="1"/>
  <c r="BX39" i="25" s="1"/>
  <c r="BW17" i="24"/>
  <c r="BX17" i="24" s="1"/>
  <c r="BV17" i="24"/>
  <c r="BV31" i="24"/>
  <c r="BW31" i="24" s="1"/>
  <c r="BX31" i="24" s="1"/>
  <c r="CL48" i="24"/>
  <c r="CE22" i="26"/>
  <c r="CI22" i="26"/>
  <c r="CJ22" i="26" s="1"/>
  <c r="CL22" i="26" s="1"/>
  <c r="CH22" i="26"/>
  <c r="CD22" i="26"/>
  <c r="CH24" i="26"/>
  <c r="CD24" i="26"/>
  <c r="CI24" i="26"/>
  <c r="CJ24" i="26" s="1"/>
  <c r="CE24" i="26"/>
  <c r="CJ45" i="26"/>
  <c r="CD45" i="26"/>
  <c r="CH45" i="26"/>
  <c r="CE45" i="26"/>
  <c r="CI45" i="26"/>
  <c r="BV20" i="25"/>
  <c r="BW20" i="25"/>
  <c r="BX20" i="25" s="1"/>
  <c r="BV33" i="24"/>
  <c r="BW33" i="24" s="1"/>
  <c r="BX33" i="24" s="1"/>
  <c r="CC50" i="26"/>
  <c r="CH12" i="26"/>
  <c r="CI12" i="26"/>
  <c r="CJ12" i="26" s="1"/>
  <c r="CL12" i="26" s="1"/>
  <c r="CE12" i="26"/>
  <c r="CD12" i="26"/>
  <c r="CJ50" i="24"/>
  <c r="CM6" i="24" s="1"/>
  <c r="CI34" i="23"/>
  <c r="CJ34" i="23" s="1"/>
  <c r="CL34" i="23" s="1"/>
  <c r="CH34" i="23"/>
  <c r="CE34" i="23"/>
  <c r="CD34" i="23"/>
  <c r="CE14" i="23"/>
  <c r="CD14" i="23"/>
  <c r="CJ14" i="23"/>
  <c r="CI14" i="23"/>
  <c r="CH14" i="23"/>
  <c r="CD45" i="23"/>
  <c r="CJ45" i="23"/>
  <c r="CL45" i="23" s="1"/>
  <c r="CI45" i="23"/>
  <c r="CH45" i="23"/>
  <c r="CE45" i="23"/>
  <c r="BV35" i="25"/>
  <c r="BW35" i="25" s="1"/>
  <c r="BX35" i="25" s="1"/>
  <c r="BV46" i="25"/>
  <c r="BW46" i="25" s="1"/>
  <c r="BX46" i="25" s="1"/>
  <c r="BV36" i="25"/>
  <c r="BW36" i="25" s="1"/>
  <c r="BX36" i="25" s="1"/>
  <c r="BW28" i="24"/>
  <c r="BX28" i="24" s="1"/>
  <c r="BV28" i="24"/>
  <c r="BV38" i="24"/>
  <c r="BW38" i="24" s="1"/>
  <c r="BX38" i="24" s="1"/>
  <c r="CI50" i="25"/>
  <c r="CJ50" i="25" s="1"/>
  <c r="CM6" i="25" s="1"/>
  <c r="CJ27" i="26"/>
  <c r="CL27" i="26" s="1"/>
  <c r="CE27" i="26"/>
  <c r="CI27" i="26"/>
  <c r="CD27" i="26"/>
  <c r="CH27" i="26"/>
  <c r="CD35" i="26"/>
  <c r="CH35" i="26"/>
  <c r="CI35" i="26"/>
  <c r="CJ35" i="26" s="1"/>
  <c r="CE35" i="26"/>
  <c r="CH14" i="26"/>
  <c r="CD14" i="26"/>
  <c r="CI14" i="26"/>
  <c r="CJ14" i="26" s="1"/>
  <c r="CL14" i="26" s="1"/>
  <c r="CE14" i="26"/>
  <c r="CB50" i="26"/>
  <c r="CI23" i="23"/>
  <c r="CJ23" i="23" s="1"/>
  <c r="CH23" i="23"/>
  <c r="CE23" i="23"/>
  <c r="CD23" i="23"/>
  <c r="CH16" i="23"/>
  <c r="CE16" i="23"/>
  <c r="CD16" i="23"/>
  <c r="CI16" i="23"/>
  <c r="CJ16" i="23" s="1"/>
  <c r="CL16" i="23" s="1"/>
  <c r="CE32" i="23"/>
  <c r="CH32" i="23"/>
  <c r="CD32" i="23"/>
  <c r="CI32" i="23"/>
  <c r="CJ32" i="23" s="1"/>
  <c r="BV16" i="25"/>
  <c r="BW16" i="25" s="1"/>
  <c r="BX16" i="25" s="1"/>
  <c r="BW33" i="25"/>
  <c r="BX33" i="25" s="1"/>
  <c r="BV33" i="25"/>
  <c r="BV48" i="25"/>
  <c r="BW48" i="25" s="1"/>
  <c r="BX48" i="25" s="1"/>
  <c r="BV23" i="24"/>
  <c r="BW23" i="24" s="1"/>
  <c r="BX23" i="24" s="1"/>
  <c r="BV19" i="24"/>
  <c r="BW19" i="24" s="1"/>
  <c r="BX19" i="24" s="1"/>
  <c r="CC50" i="23"/>
  <c r="CD12" i="23"/>
  <c r="CI12" i="23"/>
  <c r="CH12" i="23"/>
  <c r="CE12" i="23"/>
  <c r="CE44" i="22"/>
  <c r="CD44" i="22"/>
  <c r="CH44" i="22"/>
  <c r="CI44" i="22"/>
  <c r="CJ44" i="22" s="1"/>
  <c r="CE45" i="22"/>
  <c r="CD45" i="22"/>
  <c r="CI45" i="22"/>
  <c r="CJ45" i="22" s="1"/>
  <c r="CL45" i="22" s="1"/>
  <c r="CH45" i="22"/>
  <c r="CD29" i="22"/>
  <c r="CI29" i="22"/>
  <c r="CJ29" i="22" s="1"/>
  <c r="CH29" i="22"/>
  <c r="CE29" i="22"/>
  <c r="CD23" i="22"/>
  <c r="CI23" i="22"/>
  <c r="CH23" i="22"/>
  <c r="CE23" i="22"/>
  <c r="CJ23" i="22"/>
  <c r="CE17" i="22"/>
  <c r="CD17" i="22"/>
  <c r="CI17" i="22"/>
  <c r="CJ17" i="22" s="1"/>
  <c r="CL17" i="22" s="1"/>
  <c r="CH17" i="22"/>
  <c r="CD39" i="22"/>
  <c r="CE39" i="22"/>
  <c r="CH39" i="22"/>
  <c r="CI39" i="22"/>
  <c r="CJ39" i="22" s="1"/>
  <c r="CH33" i="22"/>
  <c r="CE33" i="22"/>
  <c r="CD33" i="22"/>
  <c r="CI33" i="22"/>
  <c r="CJ33" i="22" s="1"/>
  <c r="CL33" i="22" s="1"/>
  <c r="CE19" i="22"/>
  <c r="CI19" i="22"/>
  <c r="CJ19" i="22" s="1"/>
  <c r="CL19" i="22" s="1"/>
  <c r="CH19" i="22"/>
  <c r="CD19" i="22"/>
  <c r="CI49" i="22"/>
  <c r="CJ49" i="22" s="1"/>
  <c r="CL49" i="22" s="1"/>
  <c r="CH49" i="22"/>
  <c r="CE49" i="22"/>
  <c r="CD49" i="22"/>
  <c r="CJ12" i="25"/>
  <c r="CL12" i="25" s="1"/>
  <c r="CH49" i="26"/>
  <c r="CE49" i="26"/>
  <c r="CI49" i="26"/>
  <c r="CJ49" i="26" s="1"/>
  <c r="CD49" i="26"/>
  <c r="CD31" i="26"/>
  <c r="CI31" i="26"/>
  <c r="CJ31" i="26" s="1"/>
  <c r="CH31" i="26"/>
  <c r="CE31" i="26"/>
  <c r="CD28" i="26"/>
  <c r="CE28" i="26"/>
  <c r="CH28" i="26"/>
  <c r="CI28" i="26"/>
  <c r="CJ28" i="26" s="1"/>
  <c r="CL28" i="26" s="1"/>
  <c r="CH28" i="23"/>
  <c r="CE28" i="23"/>
  <c r="CD28" i="23"/>
  <c r="CI28" i="23"/>
  <c r="CJ28" i="23" s="1"/>
  <c r="CD31" i="23"/>
  <c r="CI31" i="23"/>
  <c r="CJ31" i="23" s="1"/>
  <c r="CL31" i="23" s="1"/>
  <c r="CH31" i="23"/>
  <c r="CE31" i="23"/>
  <c r="CE29" i="23"/>
  <c r="CI29" i="23"/>
  <c r="CJ29" i="23" s="1"/>
  <c r="CH29" i="23"/>
  <c r="CD29" i="23"/>
  <c r="BV32" i="25"/>
  <c r="BW32" i="25" s="1"/>
  <c r="BX32" i="25" s="1"/>
  <c r="BV17" i="25"/>
  <c r="BW17" i="25" s="1"/>
  <c r="BX17" i="25" s="1"/>
  <c r="BV39" i="24"/>
  <c r="BW39" i="24" s="1"/>
  <c r="BX39" i="24" s="1"/>
  <c r="BV32" i="24"/>
  <c r="BW32" i="24" s="1"/>
  <c r="BX32" i="24" s="1"/>
  <c r="CB50" i="23"/>
  <c r="CJ42" i="22"/>
  <c r="CL42" i="22" s="1"/>
  <c r="CI42" i="22"/>
  <c r="CH42" i="22"/>
  <c r="CE42" i="22"/>
  <c r="CD42" i="22"/>
  <c r="CD16" i="22"/>
  <c r="CI16" i="22"/>
  <c r="CH16" i="22"/>
  <c r="CJ16" i="22"/>
  <c r="CL16" i="22" s="1"/>
  <c r="CE16" i="22"/>
  <c r="CI25" i="22"/>
  <c r="CJ25" i="22" s="1"/>
  <c r="CH25" i="22"/>
  <c r="CD25" i="22"/>
  <c r="CE25" i="22"/>
  <c r="BS50" i="24"/>
  <c r="BT12" i="24"/>
  <c r="BS44" i="23"/>
  <c r="BT44" i="23" s="1"/>
  <c r="BS32" i="23"/>
  <c r="BT32" i="23" s="1"/>
  <c r="BS29" i="23"/>
  <c r="BT29" i="23" s="1"/>
  <c r="BS45" i="23"/>
  <c r="BT45" i="23" s="1"/>
  <c r="BS48" i="23"/>
  <c r="BT48" i="23" s="1"/>
  <c r="BS21" i="23"/>
  <c r="BT21" i="23" s="1"/>
  <c r="BS31" i="23"/>
  <c r="BT31" i="23" s="1"/>
  <c r="BS20" i="23"/>
  <c r="BT20" i="23" s="1"/>
  <c r="BS49" i="23"/>
  <c r="BT49" i="23" s="1"/>
  <c r="BS37" i="23"/>
  <c r="BT37" i="23" s="1"/>
  <c r="BS33" i="23"/>
  <c r="BT33" i="23" s="1"/>
  <c r="BS15" i="23"/>
  <c r="BT15" i="23" s="1"/>
  <c r="BS14" i="23"/>
  <c r="BT14" i="23" s="1"/>
  <c r="BS47" i="23"/>
  <c r="BT47" i="23" s="1"/>
  <c r="BS35" i="23"/>
  <c r="BT35" i="23" s="1"/>
  <c r="BS40" i="23"/>
  <c r="BT40" i="23" s="1"/>
  <c r="BS24" i="23"/>
  <c r="BT24" i="23" s="1"/>
  <c r="BS19" i="23"/>
  <c r="BT19" i="23" s="1"/>
  <c r="BS38" i="23"/>
  <c r="BT38" i="23" s="1"/>
  <c r="BS26" i="23"/>
  <c r="BT26" i="23" s="1"/>
  <c r="BS16" i="23"/>
  <c r="BT16" i="23" s="1"/>
  <c r="BS27" i="23"/>
  <c r="BT27" i="23" s="1"/>
  <c r="BS46" i="23"/>
  <c r="BT46" i="23" s="1"/>
  <c r="BS43" i="23"/>
  <c r="BT43" i="23" s="1"/>
  <c r="BS30" i="23"/>
  <c r="BT30" i="23" s="1"/>
  <c r="BS22" i="23"/>
  <c r="BT22" i="23" s="1"/>
  <c r="BS25" i="23"/>
  <c r="BT25" i="23" s="1"/>
  <c r="BS17" i="23"/>
  <c r="BT17" i="23" s="1"/>
  <c r="BS28" i="23"/>
  <c r="BT28" i="23" s="1"/>
  <c r="BS34" i="23"/>
  <c r="BT34" i="23" s="1"/>
  <c r="BS36" i="23"/>
  <c r="BT36" i="23" s="1"/>
  <c r="BS42" i="23"/>
  <c r="BT42" i="23" s="1"/>
  <c r="BS39" i="23"/>
  <c r="BT39" i="23" s="1"/>
  <c r="BS23" i="23"/>
  <c r="BT23" i="23" s="1"/>
  <c r="BS13" i="23"/>
  <c r="BT13" i="23" s="1"/>
  <c r="BS41" i="23"/>
  <c r="BT41" i="23" s="1"/>
  <c r="BS18" i="23"/>
  <c r="BT18" i="23" s="1"/>
  <c r="CL20" i="24"/>
  <c r="CH14" i="22"/>
  <c r="CI14" i="22"/>
  <c r="CJ14" i="22" s="1"/>
  <c r="CL14" i="22" s="1"/>
  <c r="CE14" i="22"/>
  <c r="CD14" i="22"/>
  <c r="CJ40" i="22"/>
  <c r="CI40" i="22"/>
  <c r="CE40" i="22"/>
  <c r="CH40" i="22"/>
  <c r="CD40" i="22"/>
  <c r="CH34" i="22"/>
  <c r="CI34" i="22"/>
  <c r="CJ34" i="22" s="1"/>
  <c r="CE34" i="22"/>
  <c r="CD34" i="22"/>
  <c r="CD15" i="22"/>
  <c r="CI15" i="22"/>
  <c r="CJ15" i="22" s="1"/>
  <c r="CL15" i="22" s="1"/>
  <c r="CH15" i="22"/>
  <c r="CE15" i="22"/>
  <c r="CD17" i="26"/>
  <c r="CI17" i="26"/>
  <c r="CJ17" i="26" s="1"/>
  <c r="CL17" i="26" s="1"/>
  <c r="CH17" i="26"/>
  <c r="CE17" i="26"/>
  <c r="CI30" i="26"/>
  <c r="CJ30" i="26" s="1"/>
  <c r="CD30" i="26"/>
  <c r="CH30" i="26"/>
  <c r="CE30" i="26"/>
  <c r="CJ48" i="26"/>
  <c r="CI48" i="26"/>
  <c r="CE48" i="26"/>
  <c r="CD48" i="26"/>
  <c r="CH48" i="26"/>
  <c r="CD18" i="23"/>
  <c r="CH18" i="23"/>
  <c r="CE18" i="23"/>
  <c r="CI18" i="23"/>
  <c r="CJ18" i="23" s="1"/>
  <c r="CL18" i="23" s="1"/>
  <c r="CI37" i="23"/>
  <c r="CJ37" i="23" s="1"/>
  <c r="CL37" i="23" s="1"/>
  <c r="CE37" i="23"/>
  <c r="CH37" i="23"/>
  <c r="CD37" i="23"/>
  <c r="CE46" i="23"/>
  <c r="CH46" i="23"/>
  <c r="CD46" i="23"/>
  <c r="CI46" i="23"/>
  <c r="CJ46" i="23" s="1"/>
  <c r="CL46" i="23" s="1"/>
  <c r="CH44" i="23"/>
  <c r="CE44" i="23"/>
  <c r="CD44" i="23"/>
  <c r="CI44" i="23"/>
  <c r="CJ44" i="23" s="1"/>
  <c r="CL44" i="23" s="1"/>
  <c r="BV18" i="25"/>
  <c r="BW18" i="25" s="1"/>
  <c r="BX18" i="25" s="1"/>
  <c r="BV42" i="25"/>
  <c r="BW42" i="25" s="1"/>
  <c r="BX42" i="25" s="1"/>
  <c r="BV48" i="24"/>
  <c r="BW48" i="24" s="1"/>
  <c r="BX48" i="24" s="1"/>
  <c r="BV13" i="24"/>
  <c r="BW13" i="24" s="1"/>
  <c r="BX13" i="24" s="1"/>
  <c r="CE16" i="13"/>
  <c r="CH16" i="13"/>
  <c r="CH30" i="13"/>
  <c r="CE30" i="13"/>
  <c r="CE50" i="13"/>
  <c r="CH50" i="13"/>
  <c r="BS17" i="13"/>
  <c r="BT17" i="13" s="1"/>
  <c r="BS34" i="13"/>
  <c r="BT34" i="13" s="1"/>
  <c r="BS18" i="13"/>
  <c r="BT18" i="13" s="1"/>
  <c r="BS43" i="13"/>
  <c r="BT43" i="13" s="1"/>
  <c r="BS27" i="13"/>
  <c r="BT27" i="13" s="1"/>
  <c r="BS36" i="13"/>
  <c r="BT36" i="13" s="1"/>
  <c r="BS38" i="13"/>
  <c r="BT38" i="13" s="1"/>
  <c r="BS32" i="13"/>
  <c r="BT32" i="13" s="1"/>
  <c r="BS25" i="13"/>
  <c r="BT25" i="13" s="1"/>
  <c r="BS41" i="13"/>
  <c r="BT41" i="13" s="1"/>
  <c r="BS50" i="13"/>
  <c r="BT50" i="13" s="1"/>
  <c r="BS45" i="13"/>
  <c r="BT45" i="13" s="1"/>
  <c r="BS14" i="13"/>
  <c r="BT14" i="13" s="1"/>
  <c r="BS12" i="13"/>
  <c r="BT12" i="13" s="1"/>
  <c r="BS37" i="13"/>
  <c r="BT37" i="13" s="1"/>
  <c r="BS35" i="13"/>
  <c r="BT35" i="13" s="1"/>
  <c r="BS24" i="13"/>
  <c r="BT24" i="13" s="1"/>
  <c r="BS30" i="13"/>
  <c r="BT30" i="13" s="1"/>
  <c r="BS33" i="13"/>
  <c r="BT33" i="13" s="1"/>
  <c r="BS31" i="13"/>
  <c r="BT31" i="13" s="1"/>
  <c r="BS20" i="13"/>
  <c r="BT20" i="13" s="1"/>
  <c r="BS48" i="13"/>
  <c r="BT48" i="13" s="1"/>
  <c r="BS15" i="13"/>
  <c r="BT15" i="13" s="1"/>
  <c r="BS28" i="13"/>
  <c r="BT28" i="13" s="1"/>
  <c r="BS16" i="13"/>
  <c r="BT16" i="13" s="1"/>
  <c r="BS46" i="13"/>
  <c r="BT46" i="13" s="1"/>
  <c r="BS26" i="13"/>
  <c r="BT26" i="13" s="1"/>
  <c r="BS22" i="13"/>
  <c r="BT22" i="13" s="1"/>
  <c r="BS49" i="13"/>
  <c r="BT49" i="13" s="1"/>
  <c r="BS29" i="13"/>
  <c r="BT29" i="13" s="1"/>
  <c r="BS42" i="13"/>
  <c r="BT42" i="13" s="1"/>
  <c r="BS13" i="13"/>
  <c r="BT13" i="13" s="1"/>
  <c r="BS44" i="13"/>
  <c r="BT44" i="13" s="1"/>
  <c r="BS21" i="13"/>
  <c r="BT21" i="13" s="1"/>
  <c r="BS19" i="13"/>
  <c r="BT19" i="13" s="1"/>
  <c r="BS40" i="13"/>
  <c r="BT40" i="13" s="1"/>
  <c r="BS39" i="13"/>
  <c r="BT39" i="13" s="1"/>
  <c r="CH41" i="14"/>
  <c r="CE41" i="14"/>
  <c r="CA34" i="16"/>
  <c r="CB34" i="16" s="1"/>
  <c r="CC34" i="16" s="1"/>
  <c r="CE34" i="16" s="1"/>
  <c r="CA16" i="16"/>
  <c r="CB16" i="16" s="1"/>
  <c r="CC16" i="16" s="1"/>
  <c r="CA42" i="16"/>
  <c r="CB42" i="16" s="1"/>
  <c r="CC42" i="16" s="1"/>
  <c r="CA36" i="16"/>
  <c r="CB36" i="16" s="1"/>
  <c r="CC36" i="16" s="1"/>
  <c r="CA50" i="16"/>
  <c r="CB50" i="16" s="1"/>
  <c r="CC50" i="16" s="1"/>
  <c r="CA20" i="16"/>
  <c r="CB20" i="16" s="1"/>
  <c r="CC20" i="16" s="1"/>
  <c r="CA24" i="16"/>
  <c r="CB24" i="16" s="1"/>
  <c r="CC24" i="16" s="1"/>
  <c r="CA21" i="16"/>
  <c r="CB21" i="16" s="1"/>
  <c r="CC21" i="16" s="1"/>
  <c r="CA23" i="16"/>
  <c r="CB23" i="16" s="1"/>
  <c r="CC23" i="16" s="1"/>
  <c r="CA39" i="16"/>
  <c r="CB39" i="16" s="1"/>
  <c r="CC39" i="16" s="1"/>
  <c r="CA19" i="16"/>
  <c r="CB19" i="16" s="1"/>
  <c r="CC19" i="16" s="1"/>
  <c r="CA14" i="16"/>
  <c r="CB14" i="16" s="1"/>
  <c r="CC14" i="16" s="1"/>
  <c r="CA33" i="16"/>
  <c r="CB33" i="16" s="1"/>
  <c r="CC33" i="16" s="1"/>
  <c r="CA49" i="16"/>
  <c r="CB49" i="16" s="1"/>
  <c r="CC49" i="16" s="1"/>
  <c r="CA12" i="16"/>
  <c r="CB12" i="16" s="1"/>
  <c r="CC12" i="16" s="1"/>
  <c r="CA32" i="16"/>
  <c r="CB32" i="16" s="1"/>
  <c r="CC32" i="16" s="1"/>
  <c r="CA26" i="16"/>
  <c r="CB26" i="16" s="1"/>
  <c r="CC26" i="16" s="1"/>
  <c r="CA41" i="16"/>
  <c r="CB41" i="16" s="1"/>
  <c r="CC41" i="16" s="1"/>
  <c r="CA13" i="16"/>
  <c r="CB13" i="16" s="1"/>
  <c r="CC13" i="16" s="1"/>
  <c r="CA43" i="16"/>
  <c r="CB43" i="16" s="1"/>
  <c r="CC43" i="16" s="1"/>
  <c r="CA48" i="16"/>
  <c r="CB48" i="16" s="1"/>
  <c r="CC48" i="16" s="1"/>
  <c r="CA15" i="16"/>
  <c r="CB15" i="16" s="1"/>
  <c r="CC15" i="16" s="1"/>
  <c r="CA38" i="16"/>
  <c r="CB38" i="16" s="1"/>
  <c r="CC38" i="16" s="1"/>
  <c r="CA27" i="16"/>
  <c r="CB27" i="16" s="1"/>
  <c r="CC27" i="16" s="1"/>
  <c r="CA47" i="16"/>
  <c r="CB47" i="16" s="1"/>
  <c r="CC47" i="16" s="1"/>
  <c r="CA22" i="16"/>
  <c r="CB22" i="16" s="1"/>
  <c r="CC22" i="16" s="1"/>
  <c r="CA18" i="16"/>
  <c r="CB18" i="16" s="1"/>
  <c r="CC18" i="16" s="1"/>
  <c r="CA30" i="16"/>
  <c r="CB30" i="16" s="1"/>
  <c r="CC30" i="16" s="1"/>
  <c r="CA46" i="16"/>
  <c r="CB46" i="16" s="1"/>
  <c r="CC46" i="16" s="1"/>
  <c r="CA44" i="16"/>
  <c r="CB44" i="16" s="1"/>
  <c r="CC44" i="16" s="1"/>
  <c r="CA40" i="16"/>
  <c r="CB40" i="16" s="1"/>
  <c r="CC40" i="16" s="1"/>
  <c r="CA45" i="16"/>
  <c r="CB45" i="16" s="1"/>
  <c r="CC45" i="16" s="1"/>
  <c r="CA28" i="16"/>
  <c r="CB28" i="16" s="1"/>
  <c r="CC28" i="16" s="1"/>
  <c r="CA31" i="16"/>
  <c r="CB31" i="16" s="1"/>
  <c r="CC31" i="16" s="1"/>
  <c r="CA25" i="16"/>
  <c r="CB25" i="16" s="1"/>
  <c r="CC25" i="16" s="1"/>
  <c r="CA29" i="16"/>
  <c r="CB29" i="16" s="1"/>
  <c r="CC29" i="16" s="1"/>
  <c r="CA35" i="16"/>
  <c r="CB35" i="16" s="1"/>
  <c r="CC35" i="16" s="1"/>
  <c r="CA37" i="16"/>
  <c r="CB37" i="16" s="1"/>
  <c r="CC37" i="16" s="1"/>
  <c r="CE45" i="14"/>
  <c r="CH45" i="14"/>
  <c r="CH22" i="14"/>
  <c r="CE22" i="14"/>
  <c r="CI16" i="14"/>
  <c r="CJ16" i="14" s="1"/>
  <c r="BV16" i="14"/>
  <c r="BW16" i="14" s="1"/>
  <c r="BX16" i="14" s="1"/>
  <c r="CH40" i="13"/>
  <c r="CE40" i="13"/>
  <c r="CE41" i="13"/>
  <c r="CH41" i="13"/>
  <c r="CH45" i="13"/>
  <c r="CE45" i="13"/>
  <c r="BS17" i="14"/>
  <c r="BT17" i="14" s="1"/>
  <c r="BS34" i="14"/>
  <c r="BT34" i="14" s="1"/>
  <c r="BS36" i="14"/>
  <c r="BT36" i="14" s="1"/>
  <c r="BS29" i="14"/>
  <c r="BT29" i="14" s="1"/>
  <c r="BS26" i="14"/>
  <c r="BT26" i="14" s="1"/>
  <c r="BS24" i="14"/>
  <c r="BT24" i="14" s="1"/>
  <c r="BS44" i="14"/>
  <c r="BT44" i="14" s="1"/>
  <c r="BS15" i="14"/>
  <c r="BT15" i="14" s="1"/>
  <c r="BS42" i="14"/>
  <c r="BT42" i="14" s="1"/>
  <c r="BS30" i="14"/>
  <c r="BT30" i="14" s="1"/>
  <c r="BS37" i="14"/>
  <c r="BT37" i="14" s="1"/>
  <c r="BS23" i="14"/>
  <c r="BT23" i="14" s="1"/>
  <c r="BS28" i="14"/>
  <c r="BT28" i="14" s="1"/>
  <c r="BS49" i="14"/>
  <c r="BT49" i="14" s="1"/>
  <c r="BS21" i="14"/>
  <c r="BT21" i="14" s="1"/>
  <c r="BS12" i="14"/>
  <c r="BT12" i="14" s="1"/>
  <c r="BS41" i="14"/>
  <c r="BT41" i="14" s="1"/>
  <c r="BS38" i="14"/>
  <c r="BT38" i="14" s="1"/>
  <c r="BS32" i="14"/>
  <c r="BT32" i="14" s="1"/>
  <c r="BS33" i="14"/>
  <c r="BT33" i="14" s="1"/>
  <c r="BS39" i="14"/>
  <c r="BT39" i="14" s="1"/>
  <c r="BS50" i="14"/>
  <c r="BT50" i="14" s="1"/>
  <c r="BS22" i="14"/>
  <c r="BT22" i="14" s="1"/>
  <c r="BS18" i="14"/>
  <c r="BT18" i="14" s="1"/>
  <c r="BS47" i="14"/>
  <c r="BT47" i="14" s="1"/>
  <c r="BS48" i="14"/>
  <c r="BT48" i="14" s="1"/>
  <c r="BS43" i="14"/>
  <c r="BT43" i="14" s="1"/>
  <c r="BS20" i="14"/>
  <c r="BT20" i="14" s="1"/>
  <c r="BS46" i="14"/>
  <c r="BT46" i="14" s="1"/>
  <c r="BS35" i="14"/>
  <c r="BT35" i="14" s="1"/>
  <c r="BS19" i="14"/>
  <c r="BT19" i="14" s="1"/>
  <c r="BS40" i="14"/>
  <c r="BT40" i="14" s="1"/>
  <c r="BS45" i="14"/>
  <c r="BT45" i="14" s="1"/>
  <c r="CE39" i="14"/>
  <c r="CH39" i="14"/>
  <c r="CH37" i="14"/>
  <c r="CE37" i="14"/>
  <c r="BS14" i="14"/>
  <c r="BT14" i="14" s="1"/>
  <c r="CH21" i="14"/>
  <c r="CE21" i="14"/>
  <c r="CE21" i="13"/>
  <c r="CH21" i="13"/>
  <c r="CE28" i="13"/>
  <c r="CH28" i="13"/>
  <c r="CH19" i="13"/>
  <c r="CE19" i="13"/>
  <c r="CE35" i="14"/>
  <c r="CH35" i="14"/>
  <c r="CE48" i="14"/>
  <c r="CH48" i="14"/>
  <c r="BR51" i="12"/>
  <c r="BS11" i="12" s="1"/>
  <c r="CH50" i="14"/>
  <c r="CE50" i="14"/>
  <c r="CH15" i="13"/>
  <c r="CE15" i="13"/>
  <c r="CE22" i="13"/>
  <c r="CH22" i="13"/>
  <c r="CH44" i="14"/>
  <c r="CE44" i="14"/>
  <c r="CE47" i="13"/>
  <c r="CH47" i="13"/>
  <c r="BT11" i="14"/>
  <c r="CE18" i="13"/>
  <c r="CH18" i="13"/>
  <c r="CE20" i="14"/>
  <c r="CH20" i="14"/>
  <c r="CH42" i="14"/>
  <c r="CE42" i="14"/>
  <c r="CB11" i="12"/>
  <c r="BS27" i="14"/>
  <c r="BT27" i="14" s="1"/>
  <c r="BV47" i="13"/>
  <c r="BW47" i="13" s="1"/>
  <c r="BX47" i="13" s="1"/>
  <c r="CI47" i="13"/>
  <c r="CJ47" i="13" s="1"/>
  <c r="CE42" i="13"/>
  <c r="CH42" i="13"/>
  <c r="BR51" i="16"/>
  <c r="BS11" i="16"/>
  <c r="BR51" i="15"/>
  <c r="BS11" i="15" s="1"/>
  <c r="CE43" i="13"/>
  <c r="CH43" i="13"/>
  <c r="CH19" i="14"/>
  <c r="CE19" i="14"/>
  <c r="CH46" i="13"/>
  <c r="CE46" i="13"/>
  <c r="CH36" i="13"/>
  <c r="CE36" i="13"/>
  <c r="CE27" i="13"/>
  <c r="CH27" i="13"/>
  <c r="CA51" i="13"/>
  <c r="CB11" i="13"/>
  <c r="CH32" i="13"/>
  <c r="CE32" i="13"/>
  <c r="CE13" i="13"/>
  <c r="CH13" i="13"/>
  <c r="CE40" i="14"/>
  <c r="CH40" i="14"/>
  <c r="CE26" i="14"/>
  <c r="CH26" i="14"/>
  <c r="CH33" i="14"/>
  <c r="CE33" i="14"/>
  <c r="CA34" i="12"/>
  <c r="CB34" i="12" s="1"/>
  <c r="CC34" i="12" s="1"/>
  <c r="CE34" i="12" s="1"/>
  <c r="CA15" i="12"/>
  <c r="CB15" i="12" s="1"/>
  <c r="CC15" i="12" s="1"/>
  <c r="CA38" i="12"/>
  <c r="CB38" i="12" s="1"/>
  <c r="CC38" i="12" s="1"/>
  <c r="CA22" i="12"/>
  <c r="CB22" i="12" s="1"/>
  <c r="CC22" i="12" s="1"/>
  <c r="CA44" i="12"/>
  <c r="CB44" i="12" s="1"/>
  <c r="CC44" i="12" s="1"/>
  <c r="CA18" i="12"/>
  <c r="CB18" i="12" s="1"/>
  <c r="CC18" i="12" s="1"/>
  <c r="CA21" i="12"/>
  <c r="CB21" i="12" s="1"/>
  <c r="CC21" i="12" s="1"/>
  <c r="CA35" i="12"/>
  <c r="CB35" i="12" s="1"/>
  <c r="CC35" i="12" s="1"/>
  <c r="CA16" i="12"/>
  <c r="CB16" i="12" s="1"/>
  <c r="CC16" i="12" s="1"/>
  <c r="CA26" i="12"/>
  <c r="CB26" i="12" s="1"/>
  <c r="CC26" i="12" s="1"/>
  <c r="CA48" i="12"/>
  <c r="CB48" i="12" s="1"/>
  <c r="CC48" i="12" s="1"/>
  <c r="CA12" i="12"/>
  <c r="CB12" i="12" s="1"/>
  <c r="CC12" i="12" s="1"/>
  <c r="CA37" i="12"/>
  <c r="CB37" i="12" s="1"/>
  <c r="CC37" i="12" s="1"/>
  <c r="CA40" i="12"/>
  <c r="CB40" i="12" s="1"/>
  <c r="CC40" i="12" s="1"/>
  <c r="CA36" i="12"/>
  <c r="CB36" i="12" s="1"/>
  <c r="CC36" i="12" s="1"/>
  <c r="CA32" i="12"/>
  <c r="CB32" i="12" s="1"/>
  <c r="CC32" i="12" s="1"/>
  <c r="CA27" i="12"/>
  <c r="CB27" i="12" s="1"/>
  <c r="CC27" i="12" s="1"/>
  <c r="CA46" i="12"/>
  <c r="CB46" i="12" s="1"/>
  <c r="CC46" i="12" s="1"/>
  <c r="CA42" i="12"/>
  <c r="CB42" i="12" s="1"/>
  <c r="CC42" i="12" s="1"/>
  <c r="CA24" i="12"/>
  <c r="CB24" i="12" s="1"/>
  <c r="CC24" i="12" s="1"/>
  <c r="CA41" i="12"/>
  <c r="CB41" i="12" s="1"/>
  <c r="CC41" i="12" s="1"/>
  <c r="CA30" i="12"/>
  <c r="CB30" i="12" s="1"/>
  <c r="CC30" i="12" s="1"/>
  <c r="CA13" i="12"/>
  <c r="CB13" i="12" s="1"/>
  <c r="CC13" i="12" s="1"/>
  <c r="CA29" i="12"/>
  <c r="CB29" i="12" s="1"/>
  <c r="CC29" i="12" s="1"/>
  <c r="CA47" i="12"/>
  <c r="CB47" i="12" s="1"/>
  <c r="CC47" i="12" s="1"/>
  <c r="CA25" i="12"/>
  <c r="CB25" i="12" s="1"/>
  <c r="CC25" i="12" s="1"/>
  <c r="CA43" i="12"/>
  <c r="CB43" i="12" s="1"/>
  <c r="CC43" i="12" s="1"/>
  <c r="CA14" i="12"/>
  <c r="CB14" i="12" s="1"/>
  <c r="CC14" i="12" s="1"/>
  <c r="CA19" i="12"/>
  <c r="CB19" i="12" s="1"/>
  <c r="CC19" i="12" s="1"/>
  <c r="CA45" i="12"/>
  <c r="CB45" i="12" s="1"/>
  <c r="CC45" i="12" s="1"/>
  <c r="CA28" i="12"/>
  <c r="CB28" i="12" s="1"/>
  <c r="CC28" i="12" s="1"/>
  <c r="CA23" i="12"/>
  <c r="CB23" i="12" s="1"/>
  <c r="CC23" i="12" s="1"/>
  <c r="CA31" i="12"/>
  <c r="CB31" i="12" s="1"/>
  <c r="CC31" i="12" s="1"/>
  <c r="CA50" i="12"/>
  <c r="CB50" i="12" s="1"/>
  <c r="CC50" i="12" s="1"/>
  <c r="CA33" i="12"/>
  <c r="CB33" i="12" s="1"/>
  <c r="CC33" i="12" s="1"/>
  <c r="CA49" i="12"/>
  <c r="CB49" i="12" s="1"/>
  <c r="CC49" i="12" s="1"/>
  <c r="CA39" i="12"/>
  <c r="CB39" i="12" s="1"/>
  <c r="CC39" i="12" s="1"/>
  <c r="CA20" i="12"/>
  <c r="CB20" i="12" s="1"/>
  <c r="CC20" i="12" s="1"/>
  <c r="BS23" i="13"/>
  <c r="BT23" i="13" s="1"/>
  <c r="CH20" i="13"/>
  <c r="CE20" i="13"/>
  <c r="CE39" i="13"/>
  <c r="CH39" i="13"/>
  <c r="CH47" i="14"/>
  <c r="CE47" i="14"/>
  <c r="CH38" i="14"/>
  <c r="CE38" i="14"/>
  <c r="CH43" i="14"/>
  <c r="CE43" i="14"/>
  <c r="BS31" i="14"/>
  <c r="BT31" i="14" s="1"/>
  <c r="CH16" i="14"/>
  <c r="CE16" i="14"/>
  <c r="CH38" i="13"/>
  <c r="CE38" i="13"/>
  <c r="CH15" i="14"/>
  <c r="CE15" i="14"/>
  <c r="CH44" i="13"/>
  <c r="CE44" i="13"/>
  <c r="BV25" i="14"/>
  <c r="BW25" i="14" s="1"/>
  <c r="BX25" i="14" s="1"/>
  <c r="CE33" i="13"/>
  <c r="CH33" i="13"/>
  <c r="CH13" i="14"/>
  <c r="CE13" i="14"/>
  <c r="CH14" i="13"/>
  <c r="CE14" i="13"/>
  <c r="CE29" i="13"/>
  <c r="CH29" i="13"/>
  <c r="CH48" i="13"/>
  <c r="CE48" i="13"/>
  <c r="CA51" i="14"/>
  <c r="CB11" i="14"/>
  <c r="CH14" i="14"/>
  <c r="CE14" i="14"/>
  <c r="CH31" i="13"/>
  <c r="CE31" i="13"/>
  <c r="CH26" i="13"/>
  <c r="CE26" i="13"/>
  <c r="CE35" i="13"/>
  <c r="CH35" i="13"/>
  <c r="CH46" i="14"/>
  <c r="CE46" i="14"/>
  <c r="CH18" i="14"/>
  <c r="CE18" i="14"/>
  <c r="CH23" i="14"/>
  <c r="CE23" i="14"/>
  <c r="BT11" i="13"/>
  <c r="CH29" i="14"/>
  <c r="CE29" i="14"/>
  <c r="CE32" i="14"/>
  <c r="CH32" i="14"/>
  <c r="CH30" i="14"/>
  <c r="CE30" i="14"/>
  <c r="BV13" i="14"/>
  <c r="BW13" i="14" s="1"/>
  <c r="BX13" i="14" s="1"/>
  <c r="CI13" i="14"/>
  <c r="CJ13" i="14" s="1"/>
  <c r="CE37" i="13"/>
  <c r="CH37" i="13"/>
  <c r="CH12" i="13"/>
  <c r="CE12" i="13"/>
  <c r="CB11" i="16"/>
  <c r="CH28" i="14"/>
  <c r="CE28" i="14"/>
  <c r="CH12" i="14"/>
  <c r="CE12" i="14"/>
  <c r="CB11" i="15"/>
  <c r="CH36" i="14"/>
  <c r="CE36" i="14"/>
  <c r="CA34" i="15"/>
  <c r="CB34" i="15" s="1"/>
  <c r="CC34" i="15" s="1"/>
  <c r="CE34" i="15" s="1"/>
  <c r="CA24" i="15"/>
  <c r="CB24" i="15" s="1"/>
  <c r="CC24" i="15" s="1"/>
  <c r="CA42" i="15"/>
  <c r="CB42" i="15" s="1"/>
  <c r="CC42" i="15" s="1"/>
  <c r="CA40" i="15"/>
  <c r="CB40" i="15" s="1"/>
  <c r="CC40" i="15" s="1"/>
  <c r="CA27" i="15"/>
  <c r="CB27" i="15" s="1"/>
  <c r="CC27" i="15" s="1"/>
  <c r="CA41" i="15"/>
  <c r="CB41" i="15" s="1"/>
  <c r="CC41" i="15" s="1"/>
  <c r="CA35" i="15"/>
  <c r="CB35" i="15" s="1"/>
  <c r="CC35" i="15" s="1"/>
  <c r="CA32" i="15"/>
  <c r="CB32" i="15" s="1"/>
  <c r="CC32" i="15" s="1"/>
  <c r="CA12" i="15"/>
  <c r="CB12" i="15" s="1"/>
  <c r="CC12" i="15" s="1"/>
  <c r="CA38" i="15"/>
  <c r="CB38" i="15" s="1"/>
  <c r="CC38" i="15" s="1"/>
  <c r="CA33" i="15"/>
  <c r="CB33" i="15" s="1"/>
  <c r="CC33" i="15" s="1"/>
  <c r="CA18" i="15"/>
  <c r="CB18" i="15" s="1"/>
  <c r="CC18" i="15" s="1"/>
  <c r="CA49" i="15"/>
  <c r="CB49" i="15" s="1"/>
  <c r="CC49" i="15" s="1"/>
  <c r="CA29" i="15"/>
  <c r="CB29" i="15" s="1"/>
  <c r="CC29" i="15" s="1"/>
  <c r="CA22" i="15"/>
  <c r="CB22" i="15" s="1"/>
  <c r="CC22" i="15" s="1"/>
  <c r="CA23" i="15"/>
  <c r="CB23" i="15" s="1"/>
  <c r="CC23" i="15" s="1"/>
  <c r="CA28" i="15"/>
  <c r="CB28" i="15" s="1"/>
  <c r="CC28" i="15" s="1"/>
  <c r="CA13" i="15"/>
  <c r="CB13" i="15" s="1"/>
  <c r="CC13" i="15" s="1"/>
  <c r="CA37" i="15"/>
  <c r="CB37" i="15" s="1"/>
  <c r="CC37" i="15" s="1"/>
  <c r="CA44" i="15"/>
  <c r="CB44" i="15" s="1"/>
  <c r="CC44" i="15" s="1"/>
  <c r="CA36" i="15"/>
  <c r="CB36" i="15" s="1"/>
  <c r="CC36" i="15" s="1"/>
  <c r="CA15" i="15"/>
  <c r="CB15" i="15" s="1"/>
  <c r="CC15" i="15" s="1"/>
  <c r="CA14" i="15"/>
  <c r="CB14" i="15" s="1"/>
  <c r="CC14" i="15" s="1"/>
  <c r="CA21" i="15"/>
  <c r="CB21" i="15" s="1"/>
  <c r="CC21" i="15" s="1"/>
  <c r="CA50" i="15"/>
  <c r="CB50" i="15" s="1"/>
  <c r="CC50" i="15" s="1"/>
  <c r="CA26" i="15"/>
  <c r="CB26" i="15" s="1"/>
  <c r="CC26" i="15" s="1"/>
  <c r="CA16" i="15"/>
  <c r="CB16" i="15" s="1"/>
  <c r="CC16" i="15" s="1"/>
  <c r="CA30" i="15"/>
  <c r="CB30" i="15" s="1"/>
  <c r="CC30" i="15" s="1"/>
  <c r="CA25" i="15"/>
  <c r="CB25" i="15" s="1"/>
  <c r="CC25" i="15" s="1"/>
  <c r="CA46" i="15"/>
  <c r="CB46" i="15" s="1"/>
  <c r="CC46" i="15" s="1"/>
  <c r="CA39" i="15"/>
  <c r="CB39" i="15" s="1"/>
  <c r="CC39" i="15" s="1"/>
  <c r="CA47" i="15"/>
  <c r="CB47" i="15" s="1"/>
  <c r="CC47" i="15" s="1"/>
  <c r="CA19" i="15"/>
  <c r="CB19" i="15" s="1"/>
  <c r="CC19" i="15" s="1"/>
  <c r="CA20" i="15"/>
  <c r="CB20" i="15" s="1"/>
  <c r="CC20" i="15" s="1"/>
  <c r="CA31" i="15"/>
  <c r="CB31" i="15" s="1"/>
  <c r="CC31" i="15" s="1"/>
  <c r="CA48" i="15"/>
  <c r="CB48" i="15" s="1"/>
  <c r="CC48" i="15" s="1"/>
  <c r="CA45" i="15"/>
  <c r="CB45" i="15" s="1"/>
  <c r="CC45" i="15" s="1"/>
  <c r="CA43" i="15"/>
  <c r="CB43" i="15" s="1"/>
  <c r="CC43" i="15" s="1"/>
  <c r="CH24" i="13"/>
  <c r="CE24" i="13"/>
  <c r="CH25" i="13"/>
  <c r="CE25" i="13"/>
  <c r="CH49" i="13"/>
  <c r="CE49" i="13"/>
  <c r="CH25" i="14"/>
  <c r="CE25" i="14"/>
  <c r="CE49" i="14"/>
  <c r="CH49" i="14"/>
  <c r="CH24" i="14"/>
  <c r="CE24" i="14"/>
  <c r="CH31" i="14"/>
  <c r="CE31" i="14"/>
  <c r="BS11" i="2"/>
  <c r="BS11" i="4"/>
  <c r="BQ51" i="6"/>
  <c r="BR11" i="6" s="1"/>
  <c r="BR17" i="3"/>
  <c r="BS17" i="3" s="1"/>
  <c r="BR34" i="3"/>
  <c r="BS34" i="3" s="1"/>
  <c r="BR44" i="3"/>
  <c r="BS44" i="3" s="1"/>
  <c r="BR49" i="3"/>
  <c r="BS49" i="3" s="1"/>
  <c r="BR41" i="3"/>
  <c r="BS41" i="3" s="1"/>
  <c r="BR18" i="3"/>
  <c r="BS18" i="3" s="1"/>
  <c r="BR29" i="3"/>
  <c r="BS29" i="3" s="1"/>
  <c r="BR40" i="3"/>
  <c r="BS40" i="3" s="1"/>
  <c r="BR25" i="3"/>
  <c r="BS25" i="3" s="1"/>
  <c r="BR36" i="3"/>
  <c r="BS36" i="3" s="1"/>
  <c r="BR20" i="3"/>
  <c r="BS20" i="3" s="1"/>
  <c r="BR19" i="3"/>
  <c r="BS19" i="3" s="1"/>
  <c r="BR38" i="3"/>
  <c r="BS38" i="3" s="1"/>
  <c r="BR26" i="3"/>
  <c r="BS26" i="3" s="1"/>
  <c r="BR16" i="3"/>
  <c r="BS16" i="3" s="1"/>
  <c r="BR30" i="3"/>
  <c r="BS30" i="3" s="1"/>
  <c r="BR43" i="3"/>
  <c r="BS43" i="3" s="1"/>
  <c r="BR35" i="3"/>
  <c r="BS35" i="3" s="1"/>
  <c r="BR42" i="3"/>
  <c r="BS42" i="3" s="1"/>
  <c r="BR15" i="3"/>
  <c r="BS15" i="3" s="1"/>
  <c r="BR32" i="3"/>
  <c r="BS32" i="3" s="1"/>
  <c r="BR23" i="3"/>
  <c r="BS23" i="3" s="1"/>
  <c r="BR31" i="3"/>
  <c r="BS31" i="3" s="1"/>
  <c r="BR14" i="3"/>
  <c r="BS14" i="3" s="1"/>
  <c r="BR27" i="3"/>
  <c r="BS27" i="3" s="1"/>
  <c r="BR48" i="3"/>
  <c r="BS48" i="3" s="1"/>
  <c r="BR13" i="3"/>
  <c r="BS13" i="3" s="1"/>
  <c r="BR28" i="3"/>
  <c r="BS28" i="3" s="1"/>
  <c r="BR33" i="3"/>
  <c r="BS33" i="3" s="1"/>
  <c r="BR21" i="3"/>
  <c r="BS21" i="3" s="1"/>
  <c r="BR45" i="3"/>
  <c r="BS45" i="3" s="1"/>
  <c r="BR24" i="3"/>
  <c r="BS24" i="3" s="1"/>
  <c r="BR50" i="3"/>
  <c r="BS50" i="3" s="1"/>
  <c r="BR39" i="3"/>
  <c r="BS39" i="3" s="1"/>
  <c r="BR12" i="3"/>
  <c r="BS12" i="3" s="1"/>
  <c r="BR22" i="3"/>
  <c r="BS22" i="3" s="1"/>
  <c r="BR47" i="3"/>
  <c r="BS47" i="3" s="1"/>
  <c r="BR37" i="3"/>
  <c r="BS37" i="3" s="1"/>
  <c r="BR46" i="3"/>
  <c r="BS46" i="3" s="1"/>
  <c r="BR17" i="2"/>
  <c r="BS17" i="2" s="1"/>
  <c r="BR34" i="2"/>
  <c r="BS34" i="2" s="1"/>
  <c r="BR38" i="2"/>
  <c r="BS38" i="2" s="1"/>
  <c r="BR22" i="2"/>
  <c r="BS22" i="2" s="1"/>
  <c r="BR12" i="2"/>
  <c r="BS12" i="2" s="1"/>
  <c r="BR16" i="2"/>
  <c r="BS16" i="2" s="1"/>
  <c r="BR13" i="2"/>
  <c r="BS13" i="2" s="1"/>
  <c r="BR24" i="2"/>
  <c r="BS24" i="2" s="1"/>
  <c r="BR31" i="2"/>
  <c r="BS31" i="2" s="1"/>
  <c r="BR32" i="2"/>
  <c r="BS32" i="2" s="1"/>
  <c r="BR36" i="2"/>
  <c r="BS36" i="2" s="1"/>
  <c r="BR28" i="2"/>
  <c r="BS28" i="2" s="1"/>
  <c r="BR26" i="2"/>
  <c r="BS26" i="2" s="1"/>
  <c r="BR41" i="2"/>
  <c r="BS41" i="2" s="1"/>
  <c r="BR14" i="2"/>
  <c r="BS14" i="2" s="1"/>
  <c r="BR23" i="2"/>
  <c r="BS23" i="2" s="1"/>
  <c r="BR33" i="2"/>
  <c r="BS33" i="2" s="1"/>
  <c r="BR44" i="2"/>
  <c r="BS44" i="2" s="1"/>
  <c r="BR40" i="2"/>
  <c r="BS40" i="2" s="1"/>
  <c r="BR43" i="2"/>
  <c r="BS43" i="2" s="1"/>
  <c r="BR49" i="2"/>
  <c r="BS49" i="2" s="1"/>
  <c r="BR48" i="2"/>
  <c r="BS48" i="2" s="1"/>
  <c r="BR27" i="2"/>
  <c r="BS27" i="2" s="1"/>
  <c r="BR35" i="2"/>
  <c r="BS35" i="2" s="1"/>
  <c r="BR37" i="2"/>
  <c r="BS37" i="2" s="1"/>
  <c r="BR47" i="2"/>
  <c r="BS47" i="2" s="1"/>
  <c r="BR46" i="2"/>
  <c r="BS46" i="2" s="1"/>
  <c r="BR21" i="2"/>
  <c r="BS21" i="2" s="1"/>
  <c r="BR42" i="2"/>
  <c r="BS42" i="2" s="1"/>
  <c r="BR20" i="2"/>
  <c r="BS20" i="2" s="1"/>
  <c r="BR18" i="2"/>
  <c r="BS18" i="2" s="1"/>
  <c r="BR45" i="2"/>
  <c r="BS45" i="2" s="1"/>
  <c r="BR39" i="2"/>
  <c r="BS39" i="2" s="1"/>
  <c r="BR50" i="2"/>
  <c r="BS50" i="2" s="1"/>
  <c r="BR25" i="2"/>
  <c r="BS25" i="2" s="1"/>
  <c r="BR29" i="2"/>
  <c r="BS29" i="2" s="1"/>
  <c r="BR19" i="2"/>
  <c r="BS19" i="2" s="1"/>
  <c r="BR15" i="2"/>
  <c r="BS15" i="2" s="1"/>
  <c r="BR30" i="2"/>
  <c r="BS30" i="2" s="1"/>
  <c r="BS11" i="3"/>
  <c r="BQ51" i="5"/>
  <c r="BR11" i="5"/>
  <c r="BR17" i="4"/>
  <c r="BS17" i="4" s="1"/>
  <c r="BR34" i="4"/>
  <c r="BS34" i="4" s="1"/>
  <c r="BR14" i="4"/>
  <c r="BS14" i="4" s="1"/>
  <c r="BR48" i="4"/>
  <c r="BS48" i="4" s="1"/>
  <c r="BR36" i="4"/>
  <c r="BS36" i="4" s="1"/>
  <c r="BR27" i="4"/>
  <c r="BS27" i="4" s="1"/>
  <c r="BR42" i="4"/>
  <c r="BS42" i="4" s="1"/>
  <c r="BR30" i="4"/>
  <c r="BS30" i="4" s="1"/>
  <c r="BR37" i="4"/>
  <c r="BS37" i="4" s="1"/>
  <c r="BR23" i="4"/>
  <c r="BS23" i="4" s="1"/>
  <c r="BR33" i="4"/>
  <c r="BS33" i="4" s="1"/>
  <c r="BR38" i="4"/>
  <c r="BS38" i="4" s="1"/>
  <c r="BR44" i="4"/>
  <c r="BS44" i="4" s="1"/>
  <c r="BR22" i="4"/>
  <c r="BS22" i="4" s="1"/>
  <c r="BR50" i="4"/>
  <c r="BS50" i="4" s="1"/>
  <c r="BR24" i="4"/>
  <c r="BS24" i="4" s="1"/>
  <c r="BR45" i="4"/>
  <c r="BS45" i="4" s="1"/>
  <c r="BR15" i="4"/>
  <c r="BS15" i="4" s="1"/>
  <c r="BR35" i="4"/>
  <c r="BS35" i="4" s="1"/>
  <c r="BR28" i="4"/>
  <c r="BS28" i="4" s="1"/>
  <c r="BR25" i="4"/>
  <c r="BS25" i="4" s="1"/>
  <c r="BR43" i="4"/>
  <c r="BS43" i="4" s="1"/>
  <c r="BR19" i="4"/>
  <c r="BS19" i="4" s="1"/>
  <c r="BR16" i="4"/>
  <c r="BS16" i="4" s="1"/>
  <c r="BR20" i="4"/>
  <c r="BS20" i="4" s="1"/>
  <c r="BR13" i="4"/>
  <c r="BS13" i="4" s="1"/>
  <c r="BR18" i="4"/>
  <c r="BS18" i="4" s="1"/>
  <c r="BR31" i="4"/>
  <c r="BS31" i="4" s="1"/>
  <c r="BR39" i="4"/>
  <c r="BS39" i="4" s="1"/>
  <c r="BR46" i="4"/>
  <c r="BS46" i="4" s="1"/>
  <c r="BR47" i="4"/>
  <c r="BS47" i="4" s="1"/>
  <c r="BR40" i="4"/>
  <c r="BS40" i="4" s="1"/>
  <c r="BR12" i="4"/>
  <c r="BS12" i="4" s="1"/>
  <c r="BR49" i="4"/>
  <c r="BS49" i="4" s="1"/>
  <c r="BR26" i="4"/>
  <c r="BS26" i="4" s="1"/>
  <c r="BR29" i="4"/>
  <c r="BS29" i="4" s="1"/>
  <c r="BR32" i="4"/>
  <c r="BS32" i="4" s="1"/>
  <c r="BR41" i="4"/>
  <c r="BS41" i="4" s="1"/>
  <c r="BR21" i="4"/>
  <c r="BS21" i="4" s="1"/>
  <c r="CL25" i="14" l="1"/>
  <c r="CL16" i="14"/>
  <c r="CL47" i="13"/>
  <c r="CL48" i="22"/>
  <c r="CL13" i="22"/>
  <c r="CL26" i="22"/>
  <c r="CL18" i="26"/>
  <c r="CL29" i="23"/>
  <c r="CL44" i="22"/>
  <c r="CL36" i="23"/>
  <c r="CL29" i="26"/>
  <c r="CL39" i="22"/>
  <c r="CL48" i="23"/>
  <c r="CL41" i="22"/>
  <c r="CL28" i="22"/>
  <c r="CL48" i="26"/>
  <c r="CL35" i="26"/>
  <c r="CL24" i="26"/>
  <c r="CL50" i="26" s="1"/>
  <c r="CL43" i="26"/>
  <c r="CL17" i="23"/>
  <c r="CL36" i="26"/>
  <c r="CL38" i="22"/>
  <c r="CL24" i="22"/>
  <c r="CL31" i="26"/>
  <c r="CL33" i="23"/>
  <c r="CL37" i="26"/>
  <c r="CL40" i="23"/>
  <c r="CL30" i="26"/>
  <c r="CL28" i="23"/>
  <c r="CL23" i="23"/>
  <c r="CL47" i="23"/>
  <c r="CL38" i="26"/>
  <c r="CL27" i="23"/>
  <c r="CL25" i="26"/>
  <c r="CL34" i="22"/>
  <c r="CL49" i="26"/>
  <c r="CL41" i="26"/>
  <c r="BW17" i="23"/>
  <c r="BX17" i="23" s="1"/>
  <c r="BV17" i="23"/>
  <c r="BV45" i="23"/>
  <c r="BW45" i="23" s="1"/>
  <c r="BX45" i="23" s="1"/>
  <c r="BW18" i="23"/>
  <c r="BX18" i="23" s="1"/>
  <c r="BV18" i="23"/>
  <c r="BV30" i="23"/>
  <c r="BW30" i="23" s="1"/>
  <c r="BX30" i="23" s="1"/>
  <c r="BV14" i="23"/>
  <c r="BW14" i="23" s="1"/>
  <c r="BX14" i="23" s="1"/>
  <c r="BV44" i="23"/>
  <c r="BW44" i="23" s="1"/>
  <c r="BX44" i="23" s="1"/>
  <c r="CL23" i="22"/>
  <c r="CI50" i="23"/>
  <c r="CJ50" i="23" s="1"/>
  <c r="CM6" i="23" s="1"/>
  <c r="BV40" i="26"/>
  <c r="BW40" i="26"/>
  <c r="BX40" i="26" s="1"/>
  <c r="BV43" i="26"/>
  <c r="BW43" i="26" s="1"/>
  <c r="BX43" i="26" s="1"/>
  <c r="BV46" i="26"/>
  <c r="BW46" i="26" s="1"/>
  <c r="BX46" i="26" s="1"/>
  <c r="BV29" i="22"/>
  <c r="BW29" i="22" s="1"/>
  <c r="BX29" i="22" s="1"/>
  <c r="BV16" i="22"/>
  <c r="BW16" i="22" s="1"/>
  <c r="BX16" i="22" s="1"/>
  <c r="BV22" i="22"/>
  <c r="BW22" i="22" s="1"/>
  <c r="BX22" i="22" s="1"/>
  <c r="CJ12" i="23"/>
  <c r="CL12" i="23" s="1"/>
  <c r="BV26" i="26"/>
  <c r="BW26" i="26" s="1"/>
  <c r="BX26" i="26" s="1"/>
  <c r="BV18" i="26"/>
  <c r="BW18" i="26" s="1"/>
  <c r="BX18" i="26" s="1"/>
  <c r="BV28" i="26"/>
  <c r="BW28" i="26" s="1"/>
  <c r="BX28" i="26" s="1"/>
  <c r="CL12" i="22"/>
  <c r="CL13" i="26"/>
  <c r="BV27" i="22"/>
  <c r="BW27" i="22" s="1"/>
  <c r="BX27" i="22" s="1"/>
  <c r="BV31" i="22"/>
  <c r="BW31" i="22" s="1"/>
  <c r="BX31" i="22" s="1"/>
  <c r="BV17" i="22"/>
  <c r="BW17" i="22" s="1"/>
  <c r="BX17" i="22" s="1"/>
  <c r="BV48" i="22"/>
  <c r="BW48" i="22" s="1"/>
  <c r="BX48" i="22" s="1"/>
  <c r="BV21" i="22"/>
  <c r="BW21" i="22" s="1"/>
  <c r="BX21" i="22" s="1"/>
  <c r="BV13" i="22"/>
  <c r="BW13" i="22" s="1"/>
  <c r="BX13" i="22" s="1"/>
  <c r="CL50" i="24"/>
  <c r="CM12" i="24" s="1"/>
  <c r="CN12" i="24" s="1"/>
  <c r="CO12" i="24" s="1"/>
  <c r="BT50" i="23"/>
  <c r="BV12" i="23"/>
  <c r="BW12" i="23" s="1"/>
  <c r="BV41" i="23"/>
  <c r="BW41" i="23" s="1"/>
  <c r="BX41" i="23" s="1"/>
  <c r="BV43" i="23"/>
  <c r="BW43" i="23" s="1"/>
  <c r="BX43" i="23" s="1"/>
  <c r="BV16" i="26"/>
  <c r="BW16" i="26" s="1"/>
  <c r="BX16" i="26" s="1"/>
  <c r="BV23" i="23"/>
  <c r="BW23" i="23"/>
  <c r="BX23" i="23" s="1"/>
  <c r="BW27" i="23"/>
  <c r="BX27" i="23" s="1"/>
  <c r="BV27" i="23"/>
  <c r="BV37" i="23"/>
  <c r="BW37" i="23" s="1"/>
  <c r="BX37" i="23" s="1"/>
  <c r="CE50" i="26"/>
  <c r="CL45" i="26"/>
  <c r="BV39" i="26"/>
  <c r="BW39" i="26" s="1"/>
  <c r="BX39" i="26" s="1"/>
  <c r="BV27" i="26"/>
  <c r="BW27" i="26" s="1"/>
  <c r="BX27" i="26" s="1"/>
  <c r="BV44" i="26"/>
  <c r="BW44" i="26" s="1"/>
  <c r="BX44" i="26" s="1"/>
  <c r="CI50" i="22"/>
  <c r="CJ50" i="22" s="1"/>
  <c r="CM6" i="22" s="1"/>
  <c r="BV24" i="22"/>
  <c r="BW24" i="22" s="1"/>
  <c r="BX24" i="22" s="1"/>
  <c r="BV41" i="22"/>
  <c r="BW41" i="22" s="1"/>
  <c r="BX41" i="22" s="1"/>
  <c r="BW32" i="22"/>
  <c r="BX32" i="22" s="1"/>
  <c r="BV32" i="22"/>
  <c r="CL32" i="26"/>
  <c r="BS50" i="23"/>
  <c r="BW15" i="23"/>
  <c r="BX15" i="23" s="1"/>
  <c r="BV15" i="23"/>
  <c r="CM48" i="24"/>
  <c r="CN48" i="24" s="1"/>
  <c r="CO48" i="24" s="1"/>
  <c r="BV45" i="26"/>
  <c r="BW45" i="26" s="1"/>
  <c r="BX45" i="26" s="1"/>
  <c r="BV22" i="26"/>
  <c r="BW22" i="26" s="1"/>
  <c r="BX22" i="26" s="1"/>
  <c r="CE50" i="22"/>
  <c r="CL40" i="22"/>
  <c r="BV39" i="23"/>
  <c r="BW39" i="23" s="1"/>
  <c r="BX39" i="23" s="1"/>
  <c r="BV16" i="23"/>
  <c r="BW16" i="23" s="1"/>
  <c r="BX16" i="23" s="1"/>
  <c r="BV49" i="23"/>
  <c r="BW49" i="23" s="1"/>
  <c r="BX49" i="23" s="1"/>
  <c r="CL25" i="22"/>
  <c r="CL32" i="23"/>
  <c r="CL14" i="23"/>
  <c r="CI50" i="26"/>
  <c r="CJ50" i="26" s="1"/>
  <c r="CM6" i="26" s="1"/>
  <c r="BV14" i="26"/>
  <c r="BW14" i="26" s="1"/>
  <c r="BX14" i="26" s="1"/>
  <c r="BV13" i="26"/>
  <c r="BW13" i="26" s="1"/>
  <c r="BX13" i="26" s="1"/>
  <c r="BV31" i="26"/>
  <c r="BW31" i="26" s="1"/>
  <c r="BX31" i="26" s="1"/>
  <c r="BT50" i="22"/>
  <c r="BV12" i="22"/>
  <c r="BV23" i="22"/>
  <c r="BW23" i="22" s="1"/>
  <c r="BX23" i="22" s="1"/>
  <c r="BV46" i="22"/>
  <c r="BW46" i="22" s="1"/>
  <c r="BX46" i="22" s="1"/>
  <c r="BV40" i="22"/>
  <c r="BW40" i="22" s="1"/>
  <c r="BX40" i="22" s="1"/>
  <c r="BV42" i="23"/>
  <c r="BW42" i="23" s="1"/>
  <c r="BX42" i="23" s="1"/>
  <c r="BW26" i="23"/>
  <c r="BX26" i="23" s="1"/>
  <c r="BV26" i="23"/>
  <c r="BV20" i="23"/>
  <c r="BW20" i="23" s="1"/>
  <c r="BX20" i="23" s="1"/>
  <c r="CL26" i="23"/>
  <c r="BV38" i="26"/>
  <c r="BW38" i="26"/>
  <c r="BX38" i="26" s="1"/>
  <c r="BV36" i="26"/>
  <c r="BW36" i="26"/>
  <c r="BX36" i="26" s="1"/>
  <c r="BW48" i="26"/>
  <c r="BX48" i="26" s="1"/>
  <c r="BV48" i="26"/>
  <c r="BS50" i="22"/>
  <c r="BV38" i="22"/>
  <c r="BW38" i="22" s="1"/>
  <c r="BX38" i="22" s="1"/>
  <c r="BW44" i="22"/>
  <c r="BX44" i="22" s="1"/>
  <c r="BV44" i="22"/>
  <c r="BV34" i="22"/>
  <c r="BW34" i="22" s="1"/>
  <c r="BX34" i="22" s="1"/>
  <c r="BV15" i="22"/>
  <c r="BW15" i="22" s="1"/>
  <c r="BX15" i="22" s="1"/>
  <c r="CL35" i="23"/>
  <c r="BT50" i="25"/>
  <c r="BV12" i="25"/>
  <c r="BV50" i="25" s="1"/>
  <c r="BT50" i="24"/>
  <c r="BV12" i="24"/>
  <c r="BV50" i="24" s="1"/>
  <c r="BV13" i="23"/>
  <c r="BW13" i="23" s="1"/>
  <c r="BX13" i="23" s="1"/>
  <c r="BV46" i="23"/>
  <c r="BW46" i="23" s="1"/>
  <c r="BX46" i="23" s="1"/>
  <c r="BW33" i="23"/>
  <c r="BX33" i="23" s="1"/>
  <c r="BV33" i="23"/>
  <c r="BV36" i="23"/>
  <c r="BW36" i="23" s="1"/>
  <c r="BX36" i="23" s="1"/>
  <c r="BV31" i="23"/>
  <c r="BW31" i="23" s="1"/>
  <c r="BX31" i="23" s="1"/>
  <c r="BV14" i="22"/>
  <c r="BW14" i="22" s="1"/>
  <c r="BX14" i="22" s="1"/>
  <c r="BV37" i="22"/>
  <c r="BW37" i="22" s="1"/>
  <c r="BX37" i="22" s="1"/>
  <c r="BW43" i="22"/>
  <c r="BX43" i="22" s="1"/>
  <c r="BV43" i="22"/>
  <c r="BV47" i="26"/>
  <c r="BW47" i="26"/>
  <c r="BX47" i="26" s="1"/>
  <c r="BV19" i="23"/>
  <c r="BW19" i="23" s="1"/>
  <c r="BX19" i="23" s="1"/>
  <c r="BV21" i="23"/>
  <c r="BW21" i="23" s="1"/>
  <c r="BX21" i="23" s="1"/>
  <c r="CL29" i="22"/>
  <c r="BV15" i="26"/>
  <c r="BW15" i="26" s="1"/>
  <c r="BX15" i="26" s="1"/>
  <c r="BV37" i="26"/>
  <c r="BW37" i="26" s="1"/>
  <c r="BX37" i="26" s="1"/>
  <c r="BV34" i="26"/>
  <c r="BW34" i="26" s="1"/>
  <c r="BX34" i="26" s="1"/>
  <c r="BW36" i="22"/>
  <c r="BX36" i="22" s="1"/>
  <c r="BV36" i="22"/>
  <c r="BV26" i="22"/>
  <c r="BW26" i="22" s="1"/>
  <c r="BX26" i="22" s="1"/>
  <c r="BV47" i="22"/>
  <c r="BW47" i="22"/>
  <c r="BX47" i="22" s="1"/>
  <c r="BT50" i="26"/>
  <c r="BW12" i="26"/>
  <c r="BV12" i="26"/>
  <c r="BV38" i="23"/>
  <c r="BW38" i="23" s="1"/>
  <c r="BX38" i="23" s="1"/>
  <c r="BV42" i="26"/>
  <c r="BW42" i="26" s="1"/>
  <c r="BX42" i="26" s="1"/>
  <c r="BW20" i="26"/>
  <c r="BX20" i="26" s="1"/>
  <c r="BV20" i="26"/>
  <c r="BV19" i="26"/>
  <c r="BW19" i="26" s="1"/>
  <c r="BX19" i="26" s="1"/>
  <c r="BV34" i="23"/>
  <c r="BW34" i="23"/>
  <c r="BX34" i="23" s="1"/>
  <c r="BV28" i="23"/>
  <c r="BW28" i="23" s="1"/>
  <c r="BX28" i="23" s="1"/>
  <c r="BV24" i="23"/>
  <c r="BW24" i="23" s="1"/>
  <c r="BX24" i="23" s="1"/>
  <c r="BV48" i="23"/>
  <c r="BW48" i="23" s="1"/>
  <c r="BX48" i="23" s="1"/>
  <c r="BV41" i="26"/>
  <c r="BW41" i="26" s="1"/>
  <c r="BX41" i="26" s="1"/>
  <c r="BV29" i="26"/>
  <c r="BW29" i="26" s="1"/>
  <c r="BX29" i="26" s="1"/>
  <c r="BW35" i="26"/>
  <c r="BX35" i="26" s="1"/>
  <c r="BV35" i="26"/>
  <c r="BV28" i="22"/>
  <c r="BW28" i="22" s="1"/>
  <c r="BX28" i="22" s="1"/>
  <c r="BV49" i="22"/>
  <c r="BW49" i="22"/>
  <c r="BX49" i="22" s="1"/>
  <c r="BV18" i="22"/>
  <c r="BW18" i="22"/>
  <c r="BX18" i="22" s="1"/>
  <c r="BS50" i="26"/>
  <c r="BV40" i="23"/>
  <c r="BW40" i="23" s="1"/>
  <c r="BX40" i="23" s="1"/>
  <c r="BV21" i="26"/>
  <c r="BW21" i="26" s="1"/>
  <c r="BX21" i="26" s="1"/>
  <c r="CL46" i="22"/>
  <c r="BV23" i="26"/>
  <c r="BW23" i="26" s="1"/>
  <c r="BX23" i="26" s="1"/>
  <c r="BV30" i="26"/>
  <c r="BW30" i="26" s="1"/>
  <c r="BX30" i="26" s="1"/>
  <c r="BV35" i="22"/>
  <c r="BW35" i="22" s="1"/>
  <c r="BX35" i="22" s="1"/>
  <c r="BW20" i="22"/>
  <c r="BX20" i="22" s="1"/>
  <c r="BV20" i="22"/>
  <c r="BW39" i="22"/>
  <c r="BX39" i="22" s="1"/>
  <c r="BV39" i="22"/>
  <c r="CM20" i="24"/>
  <c r="CN20" i="24" s="1"/>
  <c r="CO20" i="24" s="1"/>
  <c r="BV25" i="23"/>
  <c r="BW25" i="23"/>
  <c r="BX25" i="23" s="1"/>
  <c r="BW35" i="23"/>
  <c r="BX35" i="23" s="1"/>
  <c r="BV35" i="23"/>
  <c r="BW29" i="23"/>
  <c r="BX29" i="23" s="1"/>
  <c r="BV29" i="23"/>
  <c r="CL50" i="25"/>
  <c r="CM12" i="25" s="1"/>
  <c r="CN12" i="25" s="1"/>
  <c r="CO12" i="25" s="1"/>
  <c r="CE50" i="23"/>
  <c r="BV25" i="26"/>
  <c r="BW25" i="26" s="1"/>
  <c r="BX25" i="26" s="1"/>
  <c r="BV49" i="26"/>
  <c r="BW49" i="26" s="1"/>
  <c r="BX49" i="26" s="1"/>
  <c r="BV17" i="26"/>
  <c r="BW17" i="26" s="1"/>
  <c r="BX17" i="26" s="1"/>
  <c r="BV33" i="22"/>
  <c r="BW33" i="22" s="1"/>
  <c r="BX33" i="22" s="1"/>
  <c r="BV25" i="22"/>
  <c r="BW25" i="22" s="1"/>
  <c r="BX25" i="22" s="1"/>
  <c r="BV45" i="22"/>
  <c r="BW45" i="22" s="1"/>
  <c r="BX45" i="22" s="1"/>
  <c r="BV22" i="23"/>
  <c r="BW22" i="23"/>
  <c r="BX22" i="23" s="1"/>
  <c r="BV47" i="23"/>
  <c r="BW47" i="23" s="1"/>
  <c r="BX47" i="23" s="1"/>
  <c r="BW32" i="23"/>
  <c r="BX32" i="23" s="1"/>
  <c r="BV32" i="23"/>
  <c r="BV32" i="26"/>
  <c r="BW32" i="26" s="1"/>
  <c r="BX32" i="26" s="1"/>
  <c r="BV24" i="26"/>
  <c r="BW24" i="26" s="1"/>
  <c r="BX24" i="26" s="1"/>
  <c r="BV33" i="26"/>
  <c r="BW33" i="26"/>
  <c r="BX33" i="26" s="1"/>
  <c r="BV19" i="22"/>
  <c r="BW19" i="22" s="1"/>
  <c r="BX19" i="22" s="1"/>
  <c r="BW42" i="22"/>
  <c r="BX42" i="22" s="1"/>
  <c r="BV42" i="22"/>
  <c r="BV30" i="22"/>
  <c r="BW30" i="22" s="1"/>
  <c r="BX30" i="22" s="1"/>
  <c r="CE35" i="12"/>
  <c r="CH35" i="12"/>
  <c r="BV26" i="14"/>
  <c r="BW26" i="14" s="1"/>
  <c r="BX26" i="14" s="1"/>
  <c r="CI26" i="14"/>
  <c r="CJ26" i="14" s="1"/>
  <c r="CL26" i="14" s="1"/>
  <c r="CH23" i="16"/>
  <c r="CE23" i="16"/>
  <c r="CE50" i="15"/>
  <c r="CH50" i="15"/>
  <c r="CH21" i="12"/>
  <c r="CE21" i="12"/>
  <c r="CI20" i="14"/>
  <c r="CJ20" i="14" s="1"/>
  <c r="CL20" i="14" s="1"/>
  <c r="BV20" i="14"/>
  <c r="BW20" i="14" s="1"/>
  <c r="BX20" i="14" s="1"/>
  <c r="BV19" i="13"/>
  <c r="BW19" i="13"/>
  <c r="BX19" i="13" s="1"/>
  <c r="CI19" i="13"/>
  <c r="CJ19" i="13" s="1"/>
  <c r="CL19" i="13" s="1"/>
  <c r="CH21" i="15"/>
  <c r="CE21" i="15"/>
  <c r="CH18" i="12"/>
  <c r="CE18" i="12"/>
  <c r="BS51" i="14"/>
  <c r="BV36" i="14"/>
  <c r="BW36" i="14" s="1"/>
  <c r="BX36" i="14" s="1"/>
  <c r="CI36" i="14"/>
  <c r="CJ36" i="14" s="1"/>
  <c r="CL36" i="14" s="1"/>
  <c r="BV41" i="13"/>
  <c r="BW41" i="13" s="1"/>
  <c r="BX41" i="13" s="1"/>
  <c r="CI41" i="13"/>
  <c r="CJ41" i="13" s="1"/>
  <c r="CL41" i="13" s="1"/>
  <c r="CH14" i="15"/>
  <c r="CE14" i="15"/>
  <c r="CL13" i="14"/>
  <c r="CH25" i="12"/>
  <c r="CE25" i="12"/>
  <c r="CB51" i="13"/>
  <c r="CC11" i="13"/>
  <c r="CI36" i="13"/>
  <c r="CJ36" i="13"/>
  <c r="CL36" i="13" s="1"/>
  <c r="BV36" i="13"/>
  <c r="BW36" i="13" s="1"/>
  <c r="BX36" i="13" s="1"/>
  <c r="CH39" i="15"/>
  <c r="CE39" i="15"/>
  <c r="CE37" i="15"/>
  <c r="CH37" i="15"/>
  <c r="CH35" i="15"/>
  <c r="CE35" i="15"/>
  <c r="CH39" i="12"/>
  <c r="CE39" i="12"/>
  <c r="CH47" i="12"/>
  <c r="CE47" i="12"/>
  <c r="CE37" i="12"/>
  <c r="CH37" i="12"/>
  <c r="BS17" i="15"/>
  <c r="BT17" i="15" s="1"/>
  <c r="BS34" i="15"/>
  <c r="BT34" i="15" s="1"/>
  <c r="BS24" i="15"/>
  <c r="BT24" i="15" s="1"/>
  <c r="BS20" i="15"/>
  <c r="BT20" i="15" s="1"/>
  <c r="BS19" i="15"/>
  <c r="BT19" i="15" s="1"/>
  <c r="BS39" i="15"/>
  <c r="BT39" i="15" s="1"/>
  <c r="BS15" i="15"/>
  <c r="BT15" i="15" s="1"/>
  <c r="BS29" i="15"/>
  <c r="BT29" i="15" s="1"/>
  <c r="BS13" i="15"/>
  <c r="BT13" i="15" s="1"/>
  <c r="BS32" i="15"/>
  <c r="BT32" i="15" s="1"/>
  <c r="BS12" i="15"/>
  <c r="BT12" i="15" s="1"/>
  <c r="BS28" i="15"/>
  <c r="BT28" i="15" s="1"/>
  <c r="BS42" i="15"/>
  <c r="BT42" i="15" s="1"/>
  <c r="BS25" i="15"/>
  <c r="BT25" i="15" s="1"/>
  <c r="BS38" i="15"/>
  <c r="BT38" i="15" s="1"/>
  <c r="BS49" i="15"/>
  <c r="BT49" i="15" s="1"/>
  <c r="BS27" i="15"/>
  <c r="BT27" i="15" s="1"/>
  <c r="BS47" i="15"/>
  <c r="BT47" i="15" s="1"/>
  <c r="BS50" i="15"/>
  <c r="BT50" i="15" s="1"/>
  <c r="BS35" i="15"/>
  <c r="BT35" i="15" s="1"/>
  <c r="BS23" i="15"/>
  <c r="BT23" i="15" s="1"/>
  <c r="BS21" i="15"/>
  <c r="BT21" i="15" s="1"/>
  <c r="BS36" i="15"/>
  <c r="BT36" i="15" s="1"/>
  <c r="BS18" i="15"/>
  <c r="BT18" i="15" s="1"/>
  <c r="BS37" i="15"/>
  <c r="BT37" i="15" s="1"/>
  <c r="BS41" i="15"/>
  <c r="BT41" i="15" s="1"/>
  <c r="BS33" i="15"/>
  <c r="BT33" i="15" s="1"/>
  <c r="BS22" i="15"/>
  <c r="BT22" i="15" s="1"/>
  <c r="BS30" i="15"/>
  <c r="BT30" i="15" s="1"/>
  <c r="BS40" i="15"/>
  <c r="BT40" i="15" s="1"/>
  <c r="BS46" i="15"/>
  <c r="BT46" i="15" s="1"/>
  <c r="BS44" i="15"/>
  <c r="BT44" i="15" s="1"/>
  <c r="BS26" i="15"/>
  <c r="BT26" i="15" s="1"/>
  <c r="BS16" i="15"/>
  <c r="BT16" i="15" s="1"/>
  <c r="BS14" i="15"/>
  <c r="BT14" i="15" s="1"/>
  <c r="BS31" i="15"/>
  <c r="BT31" i="15" s="1"/>
  <c r="BS43" i="15"/>
  <c r="BT43" i="15" s="1"/>
  <c r="BS45" i="15"/>
  <c r="BT45" i="15" s="1"/>
  <c r="BS48" i="15"/>
  <c r="BT48" i="15" s="1"/>
  <c r="BV50" i="14"/>
  <c r="BW50" i="14" s="1"/>
  <c r="BX50" i="14" s="1"/>
  <c r="CI50" i="14"/>
  <c r="CJ50" i="14" s="1"/>
  <c r="CL50" i="14" s="1"/>
  <c r="BV30" i="14"/>
  <c r="BW30" i="14" s="1"/>
  <c r="BX30" i="14" s="1"/>
  <c r="CI30" i="14"/>
  <c r="CJ30" i="14" s="1"/>
  <c r="CL30" i="14" s="1"/>
  <c r="CH37" i="16"/>
  <c r="CE37" i="16"/>
  <c r="CH22" i="16"/>
  <c r="CE22" i="16"/>
  <c r="CE49" i="16"/>
  <c r="CH49" i="16"/>
  <c r="CH16" i="16"/>
  <c r="CE16" i="16"/>
  <c r="CI49" i="13"/>
  <c r="CJ49" i="13" s="1"/>
  <c r="CL49" i="13" s="1"/>
  <c r="BV49" i="13"/>
  <c r="BW49" i="13" s="1"/>
  <c r="BX49" i="13" s="1"/>
  <c r="BV24" i="13"/>
  <c r="BW24" i="13" s="1"/>
  <c r="BX24" i="13" s="1"/>
  <c r="CI24" i="13"/>
  <c r="CJ24" i="13" s="1"/>
  <c r="CL24" i="13" s="1"/>
  <c r="CI27" i="13"/>
  <c r="BV27" i="13"/>
  <c r="BW27" i="13" s="1"/>
  <c r="BX27" i="13" s="1"/>
  <c r="CJ27" i="13"/>
  <c r="CL27" i="13" s="1"/>
  <c r="CI40" i="13"/>
  <c r="CJ40" i="13"/>
  <c r="CL40" i="13" s="1"/>
  <c r="BV40" i="13"/>
  <c r="BW40" i="13" s="1"/>
  <c r="BX40" i="13" s="1"/>
  <c r="CE49" i="15"/>
  <c r="CH49" i="15"/>
  <c r="BT51" i="14"/>
  <c r="CI11" i="14"/>
  <c r="CJ11" i="14" s="1"/>
  <c r="BV11" i="14"/>
  <c r="BV50" i="13"/>
  <c r="BW50" i="13" s="1"/>
  <c r="BX50" i="13" s="1"/>
  <c r="CI50" i="13"/>
  <c r="CJ50" i="13" s="1"/>
  <c r="CL50" i="13" s="1"/>
  <c r="CH40" i="16"/>
  <c r="CE40" i="16"/>
  <c r="CE31" i="15"/>
  <c r="CH31" i="15"/>
  <c r="CE44" i="12"/>
  <c r="CH44" i="12"/>
  <c r="CH44" i="15"/>
  <c r="CE44" i="15"/>
  <c r="CB51" i="14"/>
  <c r="CC11" i="14"/>
  <c r="CH18" i="16"/>
  <c r="CE18" i="16"/>
  <c r="CH46" i="15"/>
  <c r="CE46" i="15"/>
  <c r="CE13" i="15"/>
  <c r="CH13" i="15"/>
  <c r="CE41" i="15"/>
  <c r="CH41" i="15"/>
  <c r="CH49" i="12"/>
  <c r="CE49" i="12"/>
  <c r="CH29" i="12"/>
  <c r="CE29" i="12"/>
  <c r="CH12" i="12"/>
  <c r="CE12" i="12"/>
  <c r="BT11" i="16"/>
  <c r="CI45" i="14"/>
  <c r="CJ45" i="14" s="1"/>
  <c r="CL45" i="14" s="1"/>
  <c r="BV45" i="14"/>
  <c r="BW45" i="14" s="1"/>
  <c r="BX45" i="14" s="1"/>
  <c r="BV39" i="14"/>
  <c r="BW39" i="14" s="1"/>
  <c r="BX39" i="14" s="1"/>
  <c r="CI39" i="14"/>
  <c r="CJ39" i="14" s="1"/>
  <c r="CL39" i="14" s="1"/>
  <c r="BV42" i="14"/>
  <c r="BW42" i="14" s="1"/>
  <c r="BX42" i="14" s="1"/>
  <c r="CI42" i="14"/>
  <c r="CJ42" i="14" s="1"/>
  <c r="CL42" i="14" s="1"/>
  <c r="CH35" i="16"/>
  <c r="CE35" i="16"/>
  <c r="CE47" i="16"/>
  <c r="CH47" i="16"/>
  <c r="CE33" i="16"/>
  <c r="CH33" i="16"/>
  <c r="BV22" i="13"/>
  <c r="BW22" i="13" s="1"/>
  <c r="BX22" i="13" s="1"/>
  <c r="CI22" i="13"/>
  <c r="CJ22" i="13" s="1"/>
  <c r="CL22" i="13" s="1"/>
  <c r="BV35" i="13"/>
  <c r="BW35" i="13" s="1"/>
  <c r="BX35" i="13" s="1"/>
  <c r="CI35" i="13"/>
  <c r="CJ35" i="13" s="1"/>
  <c r="CL35" i="13" s="1"/>
  <c r="BV43" i="13"/>
  <c r="BW43" i="13" s="1"/>
  <c r="BX43" i="13" s="1"/>
  <c r="CI43" i="13"/>
  <c r="CJ43" i="13" s="1"/>
  <c r="CL43" i="13" s="1"/>
  <c r="CE43" i="15"/>
  <c r="CH43" i="15"/>
  <c r="CE42" i="12"/>
  <c r="CH42" i="12"/>
  <c r="CH45" i="16"/>
  <c r="CE45" i="16"/>
  <c r="BT51" i="13"/>
  <c r="CI11" i="13"/>
  <c r="CJ11" i="13" s="1"/>
  <c r="BV11" i="13"/>
  <c r="BW11" i="13" s="1"/>
  <c r="CH13" i="16"/>
  <c r="CE13" i="16"/>
  <c r="CH19" i="12"/>
  <c r="CE19" i="12"/>
  <c r="BV31" i="14"/>
  <c r="CI31" i="14"/>
  <c r="CJ31" i="14" s="1"/>
  <c r="CL31" i="14" s="1"/>
  <c r="BW31" i="14"/>
  <c r="BX31" i="14" s="1"/>
  <c r="CA51" i="12"/>
  <c r="CE12" i="16"/>
  <c r="CH12" i="16"/>
  <c r="BV29" i="13"/>
  <c r="BW29" i="13" s="1"/>
  <c r="BX29" i="13" s="1"/>
  <c r="CI29" i="13"/>
  <c r="CJ29" i="13" s="1"/>
  <c r="CL29" i="13" s="1"/>
  <c r="CE25" i="15"/>
  <c r="CH25" i="15"/>
  <c r="CH28" i="15"/>
  <c r="CE28" i="15"/>
  <c r="CE27" i="15"/>
  <c r="CH27" i="15"/>
  <c r="CE33" i="12"/>
  <c r="CH33" i="12"/>
  <c r="CH13" i="12"/>
  <c r="CE13" i="12"/>
  <c r="CH48" i="12"/>
  <c r="CE48" i="12"/>
  <c r="BS17" i="16"/>
  <c r="BT17" i="16" s="1"/>
  <c r="BS34" i="16"/>
  <c r="BT34" i="16" s="1"/>
  <c r="BS16" i="16"/>
  <c r="BT16" i="16" s="1"/>
  <c r="BS42" i="16"/>
  <c r="BT42" i="16" s="1"/>
  <c r="BS36" i="16"/>
  <c r="BT36" i="16" s="1"/>
  <c r="BS26" i="16"/>
  <c r="BT26" i="16" s="1"/>
  <c r="BS40" i="16"/>
  <c r="BT40" i="16" s="1"/>
  <c r="BS20" i="16"/>
  <c r="BT20" i="16" s="1"/>
  <c r="BS32" i="16"/>
  <c r="BT32" i="16" s="1"/>
  <c r="BS22" i="16"/>
  <c r="BT22" i="16" s="1"/>
  <c r="BS21" i="16"/>
  <c r="BT21" i="16" s="1"/>
  <c r="BS28" i="16"/>
  <c r="BT28" i="16" s="1"/>
  <c r="BS15" i="16"/>
  <c r="BT15" i="16" s="1"/>
  <c r="BS12" i="16"/>
  <c r="BT12" i="16" s="1"/>
  <c r="BS43" i="16"/>
  <c r="BT43" i="16" s="1"/>
  <c r="BS24" i="16"/>
  <c r="BT24" i="16" s="1"/>
  <c r="BS14" i="16"/>
  <c r="BT14" i="16" s="1"/>
  <c r="BS18" i="16"/>
  <c r="BT18" i="16" s="1"/>
  <c r="BS50" i="16"/>
  <c r="BT50" i="16" s="1"/>
  <c r="BS44" i="16"/>
  <c r="BT44" i="16" s="1"/>
  <c r="BS38" i="16"/>
  <c r="BT38" i="16" s="1"/>
  <c r="BS41" i="16"/>
  <c r="BT41" i="16" s="1"/>
  <c r="BS25" i="16"/>
  <c r="BT25" i="16" s="1"/>
  <c r="BS45" i="16"/>
  <c r="BT45" i="16" s="1"/>
  <c r="BS27" i="16"/>
  <c r="BT27" i="16" s="1"/>
  <c r="BS29" i="16"/>
  <c r="BT29" i="16" s="1"/>
  <c r="BS46" i="16"/>
  <c r="BT46" i="16" s="1"/>
  <c r="BS13" i="16"/>
  <c r="BT13" i="16" s="1"/>
  <c r="BS49" i="16"/>
  <c r="BT49" i="16" s="1"/>
  <c r="BS23" i="16"/>
  <c r="BT23" i="16" s="1"/>
  <c r="BS48" i="16"/>
  <c r="BT48" i="16" s="1"/>
  <c r="BS30" i="16"/>
  <c r="BT30" i="16" s="1"/>
  <c r="BS19" i="16"/>
  <c r="BT19" i="16" s="1"/>
  <c r="BS39" i="16"/>
  <c r="BT39" i="16" s="1"/>
  <c r="BS31" i="16"/>
  <c r="BT31" i="16" s="1"/>
  <c r="BS47" i="16"/>
  <c r="BT47" i="16" s="1"/>
  <c r="BS33" i="16"/>
  <c r="BT33" i="16" s="1"/>
  <c r="BS35" i="16"/>
  <c r="BT35" i="16" s="1"/>
  <c r="BS37" i="16"/>
  <c r="BT37" i="16" s="1"/>
  <c r="BV40" i="14"/>
  <c r="BW40" i="14" s="1"/>
  <c r="BX40" i="14" s="1"/>
  <c r="CI40" i="14"/>
  <c r="CJ40" i="14" s="1"/>
  <c r="CL40" i="14" s="1"/>
  <c r="BV33" i="14"/>
  <c r="BW33" i="14" s="1"/>
  <c r="BX33" i="14" s="1"/>
  <c r="CI33" i="14"/>
  <c r="CJ33" i="14" s="1"/>
  <c r="CL33" i="14" s="1"/>
  <c r="CI15" i="14"/>
  <c r="CJ15" i="14" s="1"/>
  <c r="CL15" i="14" s="1"/>
  <c r="BV15" i="14"/>
  <c r="BW15" i="14" s="1"/>
  <c r="BX15" i="14" s="1"/>
  <c r="CH29" i="16"/>
  <c r="CE29" i="16"/>
  <c r="CH27" i="16"/>
  <c r="CE27" i="16"/>
  <c r="CH14" i="16"/>
  <c r="CE14" i="16"/>
  <c r="CI26" i="13"/>
  <c r="CJ26" i="13" s="1"/>
  <c r="CL26" i="13" s="1"/>
  <c r="BV26" i="13"/>
  <c r="BW26" i="13" s="1"/>
  <c r="BX26" i="13" s="1"/>
  <c r="BV37" i="13"/>
  <c r="BW37" i="13" s="1"/>
  <c r="BX37" i="13" s="1"/>
  <c r="CI37" i="13"/>
  <c r="CJ37" i="13" s="1"/>
  <c r="CL37" i="13" s="1"/>
  <c r="CI18" i="13"/>
  <c r="CJ18" i="13" s="1"/>
  <c r="CL18" i="13" s="1"/>
  <c r="BV18" i="13"/>
  <c r="BW18" i="13" s="1"/>
  <c r="BX18" i="13" s="1"/>
  <c r="CH24" i="15"/>
  <c r="CE24" i="15"/>
  <c r="CH28" i="16"/>
  <c r="CE28" i="16"/>
  <c r="CI29" i="14"/>
  <c r="BV29" i="14"/>
  <c r="BW29" i="14" s="1"/>
  <c r="BX29" i="14" s="1"/>
  <c r="CJ29" i="14"/>
  <c r="CL29" i="14" s="1"/>
  <c r="CE18" i="15"/>
  <c r="CH18" i="15"/>
  <c r="CH45" i="12"/>
  <c r="CE45" i="12"/>
  <c r="BS17" i="12"/>
  <c r="BT17" i="12" s="1"/>
  <c r="BS34" i="12"/>
  <c r="BT34" i="12" s="1"/>
  <c r="BS38" i="12"/>
  <c r="BT38" i="12" s="1"/>
  <c r="BS22" i="12"/>
  <c r="BT22" i="12" s="1"/>
  <c r="BS15" i="12"/>
  <c r="BT15" i="12" s="1"/>
  <c r="BS35" i="12"/>
  <c r="BT35" i="12" s="1"/>
  <c r="BS45" i="12"/>
  <c r="BT45" i="12" s="1"/>
  <c r="BS43" i="12"/>
  <c r="BT43" i="12" s="1"/>
  <c r="BS29" i="12"/>
  <c r="BT29" i="12" s="1"/>
  <c r="BS48" i="12"/>
  <c r="BT48" i="12" s="1"/>
  <c r="BS44" i="12"/>
  <c r="BT44" i="12" s="1"/>
  <c r="BS46" i="12"/>
  <c r="BT46" i="12" s="1"/>
  <c r="BS23" i="12"/>
  <c r="BT23" i="12" s="1"/>
  <c r="BS30" i="12"/>
  <c r="BT30" i="12" s="1"/>
  <c r="BS16" i="12"/>
  <c r="BT16" i="12" s="1"/>
  <c r="BS41" i="12"/>
  <c r="BT41" i="12" s="1"/>
  <c r="BS24" i="12"/>
  <c r="BT24" i="12" s="1"/>
  <c r="BS18" i="12"/>
  <c r="BT18" i="12" s="1"/>
  <c r="BS42" i="12"/>
  <c r="BT42" i="12" s="1"/>
  <c r="BS28" i="12"/>
  <c r="BT28" i="12" s="1"/>
  <c r="BS40" i="12"/>
  <c r="BT40" i="12" s="1"/>
  <c r="BS12" i="12"/>
  <c r="BT12" i="12" s="1"/>
  <c r="BS19" i="12"/>
  <c r="BT19" i="12" s="1"/>
  <c r="BS27" i="12"/>
  <c r="BT27" i="12" s="1"/>
  <c r="BS21" i="12"/>
  <c r="BT21" i="12" s="1"/>
  <c r="BS14" i="12"/>
  <c r="BT14" i="12" s="1"/>
  <c r="BS25" i="12"/>
  <c r="BT25" i="12" s="1"/>
  <c r="BS47" i="12"/>
  <c r="BT47" i="12" s="1"/>
  <c r="BS13" i="12"/>
  <c r="BT13" i="12" s="1"/>
  <c r="BS37" i="12"/>
  <c r="BT37" i="12" s="1"/>
  <c r="BS26" i="12"/>
  <c r="BT26" i="12" s="1"/>
  <c r="BS31" i="12"/>
  <c r="BT31" i="12" s="1"/>
  <c r="BS32" i="12"/>
  <c r="BT32" i="12" s="1"/>
  <c r="BS36" i="12"/>
  <c r="BT36" i="12" s="1"/>
  <c r="BS49" i="12"/>
  <c r="BT49" i="12" s="1"/>
  <c r="BS33" i="12"/>
  <c r="BT33" i="12" s="1"/>
  <c r="BS39" i="12"/>
  <c r="BT39" i="12" s="1"/>
  <c r="BS20" i="12"/>
  <c r="BT20" i="12" s="1"/>
  <c r="BS50" i="12"/>
  <c r="BT50" i="12" s="1"/>
  <c r="BV43" i="14"/>
  <c r="BW43" i="14" s="1"/>
  <c r="BX43" i="14" s="1"/>
  <c r="CI43" i="14"/>
  <c r="CJ43" i="14" s="1"/>
  <c r="CL43" i="14" s="1"/>
  <c r="BV48" i="13"/>
  <c r="BW48" i="13" s="1"/>
  <c r="BX48" i="13" s="1"/>
  <c r="CI48" i="13"/>
  <c r="CJ48" i="13" s="1"/>
  <c r="CL48" i="13" s="1"/>
  <c r="CH33" i="15"/>
  <c r="CE33" i="15"/>
  <c r="CH47" i="15"/>
  <c r="CE47" i="15"/>
  <c r="CH32" i="15"/>
  <c r="CE32" i="15"/>
  <c r="CE20" i="12"/>
  <c r="CH20" i="12"/>
  <c r="CH15" i="12"/>
  <c r="CE15" i="12"/>
  <c r="BV37" i="14"/>
  <c r="BW37" i="14" s="1"/>
  <c r="BX37" i="14" s="1"/>
  <c r="CI37" i="14"/>
  <c r="CJ37" i="14" s="1"/>
  <c r="CL37" i="14" s="1"/>
  <c r="CH42" i="16"/>
  <c r="CE42" i="16"/>
  <c r="CH30" i="15"/>
  <c r="CE30" i="15"/>
  <c r="CH23" i="15"/>
  <c r="CE23" i="15"/>
  <c r="CH40" i="15"/>
  <c r="CE40" i="15"/>
  <c r="CB51" i="16"/>
  <c r="CC11" i="16"/>
  <c r="CE50" i="12"/>
  <c r="CH50" i="12"/>
  <c r="CE30" i="12"/>
  <c r="CH30" i="12"/>
  <c r="CE26" i="12"/>
  <c r="CH26" i="12"/>
  <c r="BV19" i="14"/>
  <c r="BW19" i="14" s="1"/>
  <c r="BX19" i="14" s="1"/>
  <c r="CI19" i="14"/>
  <c r="CJ19" i="14" s="1"/>
  <c r="CL19" i="14" s="1"/>
  <c r="BV32" i="14"/>
  <c r="BW32" i="14" s="1"/>
  <c r="BX32" i="14" s="1"/>
  <c r="CI32" i="14"/>
  <c r="CJ32" i="14" s="1"/>
  <c r="CL32" i="14" s="1"/>
  <c r="CI44" i="14"/>
  <c r="CJ44" i="14" s="1"/>
  <c r="CL44" i="14" s="1"/>
  <c r="BV44" i="14"/>
  <c r="BW44" i="14" s="1"/>
  <c r="BX44" i="14" s="1"/>
  <c r="CE25" i="16"/>
  <c r="CH25" i="16"/>
  <c r="CE38" i="16"/>
  <c r="CH38" i="16"/>
  <c r="CH19" i="16"/>
  <c r="CE19" i="16"/>
  <c r="CI46" i="13"/>
  <c r="CJ46" i="13" s="1"/>
  <c r="CL46" i="13" s="1"/>
  <c r="BV46" i="13"/>
  <c r="BW46" i="13" s="1"/>
  <c r="BX46" i="13" s="1"/>
  <c r="CI12" i="13"/>
  <c r="CJ12" i="13" s="1"/>
  <c r="CL12" i="13" s="1"/>
  <c r="BV12" i="13"/>
  <c r="BW12" i="13" s="1"/>
  <c r="BX12" i="13" s="1"/>
  <c r="CI34" i="13"/>
  <c r="CJ34" i="13" s="1"/>
  <c r="CL34" i="13" s="1"/>
  <c r="BV34" i="13"/>
  <c r="BW34" i="13" s="1"/>
  <c r="BX34" i="13" s="1"/>
  <c r="CH29" i="15"/>
  <c r="CE29" i="15"/>
  <c r="CI41" i="14"/>
  <c r="CJ41" i="14"/>
  <c r="CL41" i="14" s="1"/>
  <c r="BV41" i="14"/>
  <c r="BW41" i="14" s="1"/>
  <c r="BX41" i="14" s="1"/>
  <c r="BV45" i="13"/>
  <c r="BW45" i="13" s="1"/>
  <c r="BX45" i="13" s="1"/>
  <c r="CI45" i="13"/>
  <c r="CJ45" i="13" s="1"/>
  <c r="CL45" i="13" s="1"/>
  <c r="CH28" i="12"/>
  <c r="CE28" i="12"/>
  <c r="BV12" i="14"/>
  <c r="BW12" i="14" s="1"/>
  <c r="BX12" i="14" s="1"/>
  <c r="CI12" i="14"/>
  <c r="CJ12" i="14" s="1"/>
  <c r="CL12" i="14" s="1"/>
  <c r="CH21" i="16"/>
  <c r="CE21" i="16"/>
  <c r="CI21" i="14"/>
  <c r="CJ21" i="14" s="1"/>
  <c r="CL21" i="14" s="1"/>
  <c r="BV21" i="14"/>
  <c r="BW21" i="14" s="1"/>
  <c r="BX21" i="14" s="1"/>
  <c r="CE40" i="12"/>
  <c r="CH40" i="12"/>
  <c r="BT11" i="15"/>
  <c r="BV22" i="14"/>
  <c r="BW22" i="14" s="1"/>
  <c r="BX22" i="14" s="1"/>
  <c r="CI22" i="14"/>
  <c r="CJ22" i="14" s="1"/>
  <c r="CL22" i="14" s="1"/>
  <c r="BV30" i="13"/>
  <c r="BW30" i="13" s="1"/>
  <c r="BX30" i="13" s="1"/>
  <c r="CI30" i="13"/>
  <c r="CJ30" i="13" s="1"/>
  <c r="CL30" i="13" s="1"/>
  <c r="CH16" i="15"/>
  <c r="CE16" i="15"/>
  <c r="CH22" i="15"/>
  <c r="CE22" i="15"/>
  <c r="CH42" i="15"/>
  <c r="CE42" i="15"/>
  <c r="CA51" i="16"/>
  <c r="CH31" i="12"/>
  <c r="CE31" i="12"/>
  <c r="CE41" i="12"/>
  <c r="CH41" i="12"/>
  <c r="CH16" i="12"/>
  <c r="CE16" i="12"/>
  <c r="BV35" i="14"/>
  <c r="BW35" i="14" s="1"/>
  <c r="BX35" i="14" s="1"/>
  <c r="CI35" i="14"/>
  <c r="CJ35" i="14" s="1"/>
  <c r="CL35" i="14" s="1"/>
  <c r="CI38" i="14"/>
  <c r="CJ38" i="14" s="1"/>
  <c r="CL38" i="14" s="1"/>
  <c r="BV38" i="14"/>
  <c r="BW38" i="14" s="1"/>
  <c r="BX38" i="14" s="1"/>
  <c r="BV24" i="14"/>
  <c r="BW24" i="14" s="1"/>
  <c r="BX24" i="14" s="1"/>
  <c r="CI24" i="14"/>
  <c r="CJ24" i="14" s="1"/>
  <c r="CL24" i="14" s="1"/>
  <c r="CE31" i="16"/>
  <c r="CH31" i="16"/>
  <c r="CE15" i="16"/>
  <c r="CH15" i="16"/>
  <c r="CH39" i="16"/>
  <c r="CE39" i="16"/>
  <c r="BV39" i="13"/>
  <c r="BW39" i="13" s="1"/>
  <c r="BX39" i="13" s="1"/>
  <c r="CI39" i="13"/>
  <c r="CJ39" i="13" s="1"/>
  <c r="CL39" i="13" s="1"/>
  <c r="CI16" i="13"/>
  <c r="CJ16" i="13" s="1"/>
  <c r="CL16" i="13" s="1"/>
  <c r="BV16" i="13"/>
  <c r="BW16" i="13" s="1"/>
  <c r="BX16" i="13" s="1"/>
  <c r="CI14" i="13"/>
  <c r="CJ14" i="13" s="1"/>
  <c r="CL14" i="13" s="1"/>
  <c r="BV14" i="13"/>
  <c r="BW14" i="13" s="1"/>
  <c r="BX14" i="13" s="1"/>
  <c r="BV17" i="13"/>
  <c r="BW17" i="13" s="1"/>
  <c r="BX17" i="13" s="1"/>
  <c r="CI17" i="13"/>
  <c r="CJ17" i="13"/>
  <c r="CH26" i="15"/>
  <c r="CE26" i="15"/>
  <c r="CH23" i="12"/>
  <c r="CE23" i="12"/>
  <c r="CH48" i="16"/>
  <c r="CE48" i="16"/>
  <c r="CH45" i="15"/>
  <c r="CE45" i="15"/>
  <c r="CE43" i="16"/>
  <c r="CH43" i="16"/>
  <c r="CH48" i="15"/>
  <c r="CE48" i="15"/>
  <c r="CH46" i="12"/>
  <c r="CE46" i="12"/>
  <c r="CE24" i="16"/>
  <c r="CH24" i="16"/>
  <c r="BS51" i="13"/>
  <c r="CI14" i="14"/>
  <c r="CJ14" i="14" s="1"/>
  <c r="CL14" i="14" s="1"/>
  <c r="BV14" i="14"/>
  <c r="BW14" i="14" s="1"/>
  <c r="BX14" i="14" s="1"/>
  <c r="CI34" i="14"/>
  <c r="CJ34" i="14" s="1"/>
  <c r="CL34" i="14" s="1"/>
  <c r="BV34" i="14"/>
  <c r="BW34" i="14" s="1"/>
  <c r="BX34" i="14" s="1"/>
  <c r="CH44" i="16"/>
  <c r="CE44" i="16"/>
  <c r="CH20" i="16"/>
  <c r="CE20" i="16"/>
  <c r="BV25" i="13"/>
  <c r="BW25" i="13" s="1"/>
  <c r="BX25" i="13" s="1"/>
  <c r="CI25" i="13"/>
  <c r="CJ25" i="13" s="1"/>
  <c r="CL25" i="13" s="1"/>
  <c r="CH20" i="15"/>
  <c r="CE20" i="15"/>
  <c r="CH15" i="15"/>
  <c r="CE15" i="15"/>
  <c r="CH38" i="15"/>
  <c r="CE38" i="15"/>
  <c r="CB51" i="15"/>
  <c r="CC11" i="15"/>
  <c r="CH14" i="12"/>
  <c r="CE14" i="12"/>
  <c r="CH32" i="12"/>
  <c r="CE32" i="12"/>
  <c r="CH22" i="12"/>
  <c r="CE22" i="12"/>
  <c r="CI27" i="14"/>
  <c r="CJ27" i="14" s="1"/>
  <c r="CL27" i="14" s="1"/>
  <c r="BV27" i="14"/>
  <c r="BW27" i="14" s="1"/>
  <c r="BX27" i="14" s="1"/>
  <c r="CI47" i="14"/>
  <c r="CJ47" i="14" s="1"/>
  <c r="CL47" i="14" s="1"/>
  <c r="BV47" i="14"/>
  <c r="BW47" i="14" s="1"/>
  <c r="BX47" i="14" s="1"/>
  <c r="BV28" i="14"/>
  <c r="BW28" i="14" s="1"/>
  <c r="BX28" i="14" s="1"/>
  <c r="CI28" i="14"/>
  <c r="CJ28" i="14" s="1"/>
  <c r="CL28" i="14" s="1"/>
  <c r="BV17" i="14"/>
  <c r="BW17" i="14" s="1"/>
  <c r="BX17" i="14" s="1"/>
  <c r="CI17" i="14"/>
  <c r="CJ17" i="14" s="1"/>
  <c r="CH46" i="16"/>
  <c r="CE46" i="16"/>
  <c r="CH26" i="16"/>
  <c r="CE26" i="16"/>
  <c r="CH50" i="16"/>
  <c r="CE50" i="16"/>
  <c r="CI13" i="13"/>
  <c r="CJ13" i="13" s="1"/>
  <c r="CL13" i="13" s="1"/>
  <c r="BV13" i="13"/>
  <c r="BW13" i="13" s="1"/>
  <c r="BX13" i="13" s="1"/>
  <c r="BV31" i="13"/>
  <c r="BW31" i="13" s="1"/>
  <c r="BX31" i="13" s="1"/>
  <c r="CI31" i="13"/>
  <c r="CJ31" i="13" s="1"/>
  <c r="CL31" i="13" s="1"/>
  <c r="CI32" i="13"/>
  <c r="CJ32" i="13" s="1"/>
  <c r="CL32" i="13" s="1"/>
  <c r="BV32" i="13"/>
  <c r="BW32" i="13" s="1"/>
  <c r="BX32" i="13" s="1"/>
  <c r="CE24" i="12"/>
  <c r="CH24" i="12"/>
  <c r="BV46" i="14"/>
  <c r="BW46" i="14" s="1"/>
  <c r="BX46" i="14" s="1"/>
  <c r="CI46" i="14"/>
  <c r="CJ46" i="14" s="1"/>
  <c r="CL46" i="14" s="1"/>
  <c r="CI28" i="13"/>
  <c r="CJ28" i="13" s="1"/>
  <c r="CL28" i="13" s="1"/>
  <c r="BV28" i="13"/>
  <c r="BW28" i="13" s="1"/>
  <c r="BX28" i="13" s="1"/>
  <c r="BT11" i="12"/>
  <c r="BV15" i="13"/>
  <c r="BW15" i="13" s="1"/>
  <c r="BX15" i="13" s="1"/>
  <c r="CI15" i="13"/>
  <c r="CJ15" i="13" s="1"/>
  <c r="CL15" i="13" s="1"/>
  <c r="BV21" i="13"/>
  <c r="BW21" i="13" s="1"/>
  <c r="BX21" i="13" s="1"/>
  <c r="CI21" i="13"/>
  <c r="CJ21" i="13" s="1"/>
  <c r="CL21" i="13" s="1"/>
  <c r="CE27" i="12"/>
  <c r="CH27" i="12"/>
  <c r="CI48" i="14"/>
  <c r="CJ48" i="14" s="1"/>
  <c r="CL48" i="14" s="1"/>
  <c r="BV48" i="14"/>
  <c r="BW48" i="14" s="1"/>
  <c r="BX48" i="14" s="1"/>
  <c r="BW49" i="14"/>
  <c r="BX49" i="14" s="1"/>
  <c r="BV49" i="14"/>
  <c r="CI49" i="14"/>
  <c r="CJ49" i="14" s="1"/>
  <c r="CL49" i="14" s="1"/>
  <c r="CE41" i="16"/>
  <c r="CH41" i="16"/>
  <c r="BV44" i="13"/>
  <c r="BW44" i="13" s="1"/>
  <c r="BX44" i="13" s="1"/>
  <c r="CI44" i="13"/>
  <c r="CJ44" i="13" s="1"/>
  <c r="CL44" i="13" s="1"/>
  <c r="CI20" i="13"/>
  <c r="CJ20" i="13" s="1"/>
  <c r="CL20" i="13" s="1"/>
  <c r="BV20" i="13"/>
  <c r="BW20" i="13" s="1"/>
  <c r="BX20" i="13" s="1"/>
  <c r="CE19" i="15"/>
  <c r="CH19" i="15"/>
  <c r="CH36" i="15"/>
  <c r="CE36" i="15"/>
  <c r="CE12" i="15"/>
  <c r="CH12" i="15"/>
  <c r="CA51" i="15"/>
  <c r="BV23" i="13"/>
  <c r="BW23" i="13" s="1"/>
  <c r="BX23" i="13" s="1"/>
  <c r="CI23" i="13"/>
  <c r="CJ23" i="13" s="1"/>
  <c r="CL23" i="13" s="1"/>
  <c r="CH43" i="12"/>
  <c r="CE43" i="12"/>
  <c r="CH36" i="12"/>
  <c r="CE36" i="12"/>
  <c r="CH38" i="12"/>
  <c r="CE38" i="12"/>
  <c r="CB51" i="12"/>
  <c r="CC11" i="12"/>
  <c r="BV18" i="14"/>
  <c r="BW18" i="14" s="1"/>
  <c r="BX18" i="14" s="1"/>
  <c r="CI18" i="14"/>
  <c r="CJ18" i="14" s="1"/>
  <c r="CL18" i="14" s="1"/>
  <c r="BV23" i="14"/>
  <c r="BW23" i="14" s="1"/>
  <c r="BX23" i="14" s="1"/>
  <c r="CI23" i="14"/>
  <c r="CJ23" i="14" s="1"/>
  <c r="CL23" i="14" s="1"/>
  <c r="CE30" i="16"/>
  <c r="CH30" i="16"/>
  <c r="CH32" i="16"/>
  <c r="CE32" i="16"/>
  <c r="CE36" i="16"/>
  <c r="CH36" i="16"/>
  <c r="BV42" i="13"/>
  <c r="BW42" i="13" s="1"/>
  <c r="BX42" i="13" s="1"/>
  <c r="CI42" i="13"/>
  <c r="CJ42" i="13" s="1"/>
  <c r="CL42" i="13" s="1"/>
  <c r="BV33" i="13"/>
  <c r="BW33" i="13" s="1"/>
  <c r="BX33" i="13" s="1"/>
  <c r="CI33" i="13"/>
  <c r="CJ33" i="13" s="1"/>
  <c r="CL33" i="13" s="1"/>
  <c r="CI38" i="13"/>
  <c r="CJ38" i="13" s="1"/>
  <c r="CL38" i="13" s="1"/>
  <c r="BV38" i="13"/>
  <c r="BW38" i="13"/>
  <c r="BX38" i="13" s="1"/>
  <c r="BS11" i="6"/>
  <c r="BU40" i="4"/>
  <c r="BV40" i="4" s="1"/>
  <c r="BW40" i="4" s="1"/>
  <c r="BU28" i="4"/>
  <c r="BV28" i="4" s="1"/>
  <c r="BW28" i="4" s="1"/>
  <c r="BU30" i="4"/>
  <c r="BV30" i="4" s="1"/>
  <c r="BW30" i="4" s="1"/>
  <c r="BU30" i="2"/>
  <c r="BV30" i="2" s="1"/>
  <c r="BW30" i="2" s="1"/>
  <c r="BU46" i="2"/>
  <c r="BV46" i="2" s="1"/>
  <c r="BW46" i="2" s="1"/>
  <c r="BU14" i="2"/>
  <c r="BV14" i="2" s="1"/>
  <c r="BW14" i="2" s="1"/>
  <c r="BU38" i="2"/>
  <c r="BV38" i="2" s="1"/>
  <c r="BW38" i="2" s="1"/>
  <c r="BU21" i="3"/>
  <c r="BV21" i="3" s="1"/>
  <c r="BW21" i="3" s="1"/>
  <c r="BU35" i="3"/>
  <c r="BV35" i="3" s="1"/>
  <c r="BW35" i="3" s="1"/>
  <c r="BU18" i="3"/>
  <c r="BV18" i="3" s="1"/>
  <c r="BW18" i="3" s="1"/>
  <c r="BU34" i="2"/>
  <c r="BV34" i="2" s="1"/>
  <c r="BW34" i="2" s="1"/>
  <c r="BU33" i="3"/>
  <c r="BV33" i="3" s="1"/>
  <c r="BW33" i="3" s="1"/>
  <c r="BU43" i="3"/>
  <c r="BV43" i="3" s="1"/>
  <c r="BW43" i="3" s="1"/>
  <c r="BU41" i="3"/>
  <c r="BV41" i="3" s="1"/>
  <c r="BW41" i="3" s="1"/>
  <c r="BU17" i="2"/>
  <c r="BV17" i="2" s="1"/>
  <c r="BW17" i="2" s="1"/>
  <c r="BU28" i="3"/>
  <c r="BV28" i="3" s="1"/>
  <c r="BW28" i="3" s="1"/>
  <c r="BU30" i="3"/>
  <c r="BV30" i="3" s="1"/>
  <c r="BW30" i="3" s="1"/>
  <c r="BU49" i="3"/>
  <c r="BV49" i="3" s="1"/>
  <c r="BW49" i="3" s="1"/>
  <c r="BU47" i="2"/>
  <c r="BV47" i="2" s="1"/>
  <c r="BW47" i="2" s="1"/>
  <c r="BU46" i="4"/>
  <c r="BV46" i="4" s="1"/>
  <c r="BW46" i="4" s="1"/>
  <c r="BU15" i="4"/>
  <c r="BV15" i="4" s="1"/>
  <c r="BW15" i="4" s="1"/>
  <c r="BU39" i="4"/>
  <c r="BV39" i="4" s="1"/>
  <c r="BW39" i="4" s="1"/>
  <c r="BU29" i="2"/>
  <c r="BV29" i="2" s="1"/>
  <c r="BW29" i="2" s="1"/>
  <c r="BU24" i="4"/>
  <c r="BV24" i="4" s="1"/>
  <c r="BW24" i="4" s="1"/>
  <c r="BU25" i="2"/>
  <c r="BV25" i="2" s="1"/>
  <c r="BW25" i="2" s="1"/>
  <c r="BU27" i="2"/>
  <c r="BV27" i="2" s="1"/>
  <c r="BW27" i="2" s="1"/>
  <c r="BU36" i="2"/>
  <c r="BV36" i="2" s="1"/>
  <c r="BW36" i="2" s="1"/>
  <c r="BU37" i="3"/>
  <c r="BV37" i="3" s="1"/>
  <c r="BW37" i="3" s="1"/>
  <c r="BU48" i="3"/>
  <c r="BV48" i="3" s="1"/>
  <c r="BW48" i="3" s="1"/>
  <c r="BU26" i="3"/>
  <c r="BV26" i="3" s="1"/>
  <c r="BW26" i="3" s="1"/>
  <c r="BU34" i="3"/>
  <c r="BV34" i="3" s="1"/>
  <c r="BW34" i="3" s="1"/>
  <c r="BU14" i="4"/>
  <c r="BV14" i="4" s="1"/>
  <c r="BW14" i="4" s="1"/>
  <c r="BU50" i="2"/>
  <c r="BV50" i="2" s="1"/>
  <c r="BW50" i="2" s="1"/>
  <c r="BU48" i="2"/>
  <c r="BV48" i="2" s="1"/>
  <c r="BW48" i="2" s="1"/>
  <c r="BU32" i="2"/>
  <c r="BV32" i="2"/>
  <c r="BW32" i="2" s="1"/>
  <c r="BU47" i="3"/>
  <c r="BV47" i="3" s="1"/>
  <c r="BW47" i="3" s="1"/>
  <c r="BU27" i="3"/>
  <c r="BV27" i="3" s="1"/>
  <c r="BW27" i="3" s="1"/>
  <c r="BU38" i="3"/>
  <c r="BV38" i="3" s="1"/>
  <c r="BW38" i="3" s="1"/>
  <c r="BU17" i="3"/>
  <c r="BV17" i="3" s="1"/>
  <c r="BW17" i="3" s="1"/>
  <c r="BU34" i="4"/>
  <c r="BV34" i="4" s="1"/>
  <c r="BW34" i="4" s="1"/>
  <c r="BU39" i="2"/>
  <c r="BV39" i="2" s="1"/>
  <c r="BW39" i="2" s="1"/>
  <c r="BU49" i="2"/>
  <c r="BV49" i="2" s="1"/>
  <c r="BW49" i="2" s="1"/>
  <c r="BU31" i="2"/>
  <c r="BV31" i="2" s="1"/>
  <c r="BW31" i="2" s="1"/>
  <c r="BU22" i="3"/>
  <c r="BV22" i="3" s="1"/>
  <c r="BW22" i="3" s="1"/>
  <c r="BU14" i="3"/>
  <c r="BV14" i="3" s="1"/>
  <c r="BW14" i="3" s="1"/>
  <c r="BU19" i="3"/>
  <c r="BV19" i="3" s="1"/>
  <c r="BW19" i="3" s="1"/>
  <c r="BU41" i="2"/>
  <c r="BV41" i="2" s="1"/>
  <c r="BW41" i="2" s="1"/>
  <c r="BU27" i="4"/>
  <c r="BV27" i="4" s="1"/>
  <c r="BW27" i="4" s="1"/>
  <c r="BU28" i="2"/>
  <c r="BV28" i="2" s="1"/>
  <c r="BW28" i="2" s="1"/>
  <c r="BU46" i="3"/>
  <c r="BV46" i="3" s="1"/>
  <c r="BW46" i="3" s="1"/>
  <c r="BU13" i="3"/>
  <c r="BV13" i="3" s="1"/>
  <c r="BW13" i="3" s="1"/>
  <c r="BU16" i="3"/>
  <c r="BV16" i="3" s="1"/>
  <c r="BW16" i="3" s="1"/>
  <c r="BU48" i="4"/>
  <c r="BV48" i="4" s="1"/>
  <c r="BW48" i="4" s="1"/>
  <c r="BU21" i="4"/>
  <c r="BV21" i="4" s="1"/>
  <c r="BW21" i="4" s="1"/>
  <c r="BU50" i="4"/>
  <c r="BV50" i="4" s="1"/>
  <c r="BW50" i="4" s="1"/>
  <c r="BU41" i="4"/>
  <c r="BV41" i="4" s="1"/>
  <c r="BW41" i="4" s="1"/>
  <c r="BU22" i="4"/>
  <c r="BV22" i="4" s="1"/>
  <c r="BW22" i="4" s="1"/>
  <c r="BU32" i="4"/>
  <c r="BV32" i="4" s="1"/>
  <c r="BW32" i="4" s="1"/>
  <c r="BU44" i="4"/>
  <c r="BV44" i="4" s="1"/>
  <c r="BW44" i="4" s="1"/>
  <c r="BU24" i="2"/>
  <c r="BV24" i="2" s="1"/>
  <c r="BW24" i="2" s="1"/>
  <c r="BU20" i="3"/>
  <c r="BV20" i="3" s="1"/>
  <c r="BW20" i="3" s="1"/>
  <c r="BU16" i="4"/>
  <c r="BV16" i="4" s="1"/>
  <c r="BW16" i="4" s="1"/>
  <c r="BU38" i="4"/>
  <c r="BV38" i="4" s="1"/>
  <c r="BW38" i="4" s="1"/>
  <c r="BS11" i="5"/>
  <c r="BU18" i="2"/>
  <c r="BV18" i="2" s="1"/>
  <c r="BW18" i="2" s="1"/>
  <c r="BU40" i="2"/>
  <c r="BV40" i="2" s="1"/>
  <c r="BW40" i="2" s="1"/>
  <c r="BU13" i="2"/>
  <c r="BV13" i="2" s="1"/>
  <c r="BW13" i="2" s="1"/>
  <c r="BU39" i="3"/>
  <c r="BV39" i="3" s="1"/>
  <c r="BW39" i="3" s="1"/>
  <c r="BU23" i="3"/>
  <c r="BV23" i="3" s="1"/>
  <c r="BW23" i="3" s="1"/>
  <c r="BU36" i="3"/>
  <c r="BV36" i="3" s="1"/>
  <c r="BW36" i="3" s="1"/>
  <c r="BS51" i="4"/>
  <c r="BU11" i="4"/>
  <c r="BV11" i="4" s="1"/>
  <c r="BU35" i="4"/>
  <c r="BV35" i="4" s="1"/>
  <c r="BW35" i="4" s="1"/>
  <c r="BU15" i="2"/>
  <c r="BV15" i="2" s="1"/>
  <c r="BW15" i="2" s="1"/>
  <c r="BU26" i="2"/>
  <c r="BV26" i="2" s="1"/>
  <c r="BW26" i="2" s="1"/>
  <c r="BU36" i="4"/>
  <c r="BV36" i="4" s="1"/>
  <c r="BW36" i="4" s="1"/>
  <c r="BU35" i="2"/>
  <c r="BV35" i="2" s="1"/>
  <c r="BW35" i="2" s="1"/>
  <c r="BU43" i="2"/>
  <c r="BV43" i="2" s="1"/>
  <c r="BW43" i="2" s="1"/>
  <c r="BR17" i="6"/>
  <c r="BS17" i="6" s="1"/>
  <c r="BR24" i="6"/>
  <c r="BS24" i="6" s="1"/>
  <c r="BR14" i="6"/>
  <c r="BS14" i="6" s="1"/>
  <c r="BR34" i="6"/>
  <c r="BS34" i="6" s="1"/>
  <c r="BR33" i="6"/>
  <c r="BS33" i="6" s="1"/>
  <c r="BR19" i="6"/>
  <c r="BS19" i="6" s="1"/>
  <c r="BR16" i="6"/>
  <c r="BS16" i="6" s="1"/>
  <c r="BR32" i="6"/>
  <c r="BS32" i="6" s="1"/>
  <c r="BR45" i="6"/>
  <c r="BS45" i="6" s="1"/>
  <c r="BR44" i="6"/>
  <c r="BS44" i="6" s="1"/>
  <c r="BR15" i="6"/>
  <c r="BS15" i="6" s="1"/>
  <c r="BR49" i="6"/>
  <c r="BS49" i="6" s="1"/>
  <c r="BR21" i="6"/>
  <c r="BS21" i="6" s="1"/>
  <c r="BR23" i="6"/>
  <c r="BS23" i="6" s="1"/>
  <c r="BR30" i="6"/>
  <c r="BS30" i="6" s="1"/>
  <c r="BR40" i="6"/>
  <c r="BS40" i="6" s="1"/>
  <c r="BR22" i="6"/>
  <c r="BS22" i="6" s="1"/>
  <c r="BR20" i="6"/>
  <c r="BS20" i="6" s="1"/>
  <c r="BR43" i="6"/>
  <c r="BS43" i="6" s="1"/>
  <c r="BR41" i="6"/>
  <c r="BS41" i="6" s="1"/>
  <c r="BR25" i="6"/>
  <c r="BS25" i="6" s="1"/>
  <c r="BR12" i="6"/>
  <c r="BS12" i="6" s="1"/>
  <c r="BR27" i="6"/>
  <c r="BS27" i="6" s="1"/>
  <c r="BR26" i="6"/>
  <c r="BS26" i="6" s="1"/>
  <c r="BR48" i="6"/>
  <c r="BS48" i="6" s="1"/>
  <c r="BR28" i="6"/>
  <c r="BS28" i="6" s="1"/>
  <c r="BR42" i="6"/>
  <c r="BS42" i="6" s="1"/>
  <c r="BR36" i="6"/>
  <c r="BS36" i="6" s="1"/>
  <c r="BR39" i="6"/>
  <c r="BS39" i="6" s="1"/>
  <c r="BR38" i="6"/>
  <c r="BS38" i="6" s="1"/>
  <c r="BR37" i="6"/>
  <c r="BS37" i="6" s="1"/>
  <c r="BR31" i="6"/>
  <c r="BS31" i="6" s="1"/>
  <c r="BR18" i="6"/>
  <c r="BS18" i="6" s="1"/>
  <c r="BR46" i="6"/>
  <c r="BS46" i="6" s="1"/>
  <c r="BR29" i="6"/>
  <c r="BS29" i="6" s="1"/>
  <c r="BR47" i="6"/>
  <c r="BS47" i="6" s="1"/>
  <c r="BR50" i="6"/>
  <c r="BS50" i="6" s="1"/>
  <c r="BR13" i="6"/>
  <c r="BS13" i="6" s="1"/>
  <c r="BR35" i="6"/>
  <c r="BS35" i="6" s="1"/>
  <c r="BU29" i="4"/>
  <c r="BV29" i="4" s="1"/>
  <c r="BW29" i="4" s="1"/>
  <c r="BU26" i="4"/>
  <c r="BV26" i="4" s="1"/>
  <c r="BW26" i="4" s="1"/>
  <c r="BU19" i="4"/>
  <c r="BV19" i="4" s="1"/>
  <c r="BW19" i="4" s="1"/>
  <c r="BU33" i="4"/>
  <c r="BV33" i="4" s="1"/>
  <c r="BW33" i="4" s="1"/>
  <c r="BR17" i="5"/>
  <c r="BS17" i="5" s="1"/>
  <c r="BR34" i="5"/>
  <c r="BS34" i="5" s="1"/>
  <c r="BR23" i="5"/>
  <c r="BS23" i="5" s="1"/>
  <c r="BR37" i="5"/>
  <c r="BS37" i="5" s="1"/>
  <c r="BR47" i="5"/>
  <c r="BS47" i="5" s="1"/>
  <c r="BR29" i="5"/>
  <c r="BS29" i="5" s="1"/>
  <c r="BR13" i="5"/>
  <c r="BS13" i="5" s="1"/>
  <c r="BR46" i="5"/>
  <c r="BS46" i="5" s="1"/>
  <c r="BR32" i="5"/>
  <c r="BS32" i="5" s="1"/>
  <c r="BR35" i="5"/>
  <c r="BS35" i="5" s="1"/>
  <c r="BR44" i="5"/>
  <c r="BS44" i="5" s="1"/>
  <c r="BR49" i="5"/>
  <c r="BS49" i="5" s="1"/>
  <c r="BR31" i="5"/>
  <c r="BS31" i="5" s="1"/>
  <c r="BR42" i="5"/>
  <c r="BS42" i="5" s="1"/>
  <c r="BR45" i="5"/>
  <c r="BS45" i="5" s="1"/>
  <c r="BR12" i="5"/>
  <c r="BS12" i="5" s="1"/>
  <c r="BR50" i="5"/>
  <c r="BS50" i="5" s="1"/>
  <c r="BR28" i="5"/>
  <c r="BS28" i="5" s="1"/>
  <c r="BR36" i="5"/>
  <c r="BS36" i="5" s="1"/>
  <c r="BR25" i="5"/>
  <c r="BS25" i="5" s="1"/>
  <c r="BR41" i="5"/>
  <c r="BS41" i="5" s="1"/>
  <c r="BR43" i="5"/>
  <c r="BS43" i="5" s="1"/>
  <c r="BR22" i="5"/>
  <c r="BS22" i="5" s="1"/>
  <c r="BR20" i="5"/>
  <c r="BS20" i="5" s="1"/>
  <c r="BR26" i="5"/>
  <c r="BS26" i="5" s="1"/>
  <c r="BR33" i="5"/>
  <c r="BS33" i="5" s="1"/>
  <c r="BR30" i="5"/>
  <c r="BS30" i="5" s="1"/>
  <c r="BR21" i="5"/>
  <c r="BS21" i="5" s="1"/>
  <c r="BR14" i="5"/>
  <c r="BS14" i="5" s="1"/>
  <c r="BR16" i="5"/>
  <c r="BS16" i="5" s="1"/>
  <c r="BR27" i="5"/>
  <c r="BS27" i="5" s="1"/>
  <c r="BR40" i="5"/>
  <c r="BS40" i="5" s="1"/>
  <c r="BR19" i="5"/>
  <c r="BS19" i="5" s="1"/>
  <c r="BR38" i="5"/>
  <c r="BS38" i="5" s="1"/>
  <c r="BR48" i="5"/>
  <c r="BS48" i="5" s="1"/>
  <c r="BR24" i="5"/>
  <c r="BS24" i="5" s="1"/>
  <c r="BR18" i="5"/>
  <c r="BS18" i="5" s="1"/>
  <c r="BR15" i="5"/>
  <c r="BS15" i="5" s="1"/>
  <c r="BR39" i="5"/>
  <c r="BS39" i="5" s="1"/>
  <c r="BU20" i="2"/>
  <c r="BV20" i="2" s="1"/>
  <c r="BW20" i="2" s="1"/>
  <c r="BU44" i="2"/>
  <c r="BV44" i="2" s="1"/>
  <c r="BW44" i="2" s="1"/>
  <c r="BU16" i="2"/>
  <c r="BV16" i="2" s="1"/>
  <c r="BW16" i="2" s="1"/>
  <c r="BU50" i="3"/>
  <c r="BV50" i="3" s="1"/>
  <c r="BW50" i="3" s="1"/>
  <c r="BU32" i="3"/>
  <c r="BV32" i="3" s="1"/>
  <c r="BW32" i="3" s="1"/>
  <c r="BU25" i="3"/>
  <c r="BV25" i="3" s="1"/>
  <c r="BW25" i="3" s="1"/>
  <c r="BR51" i="4"/>
  <c r="BU42" i="4"/>
  <c r="BV42" i="4" s="1"/>
  <c r="BW42" i="4" s="1"/>
  <c r="BU19" i="2"/>
  <c r="BV19" i="2" s="1"/>
  <c r="BW19" i="2" s="1"/>
  <c r="BU45" i="4"/>
  <c r="BV45" i="4" s="1"/>
  <c r="BW45" i="4" s="1"/>
  <c r="BU44" i="3"/>
  <c r="BV44" i="3" s="1"/>
  <c r="BW44" i="3" s="1"/>
  <c r="BU31" i="4"/>
  <c r="BV31" i="4" s="1"/>
  <c r="BW31" i="4" s="1"/>
  <c r="BU18" i="4"/>
  <c r="BV18" i="4" s="1"/>
  <c r="BW18" i="4" s="1"/>
  <c r="BU13" i="4"/>
  <c r="BV13" i="4" s="1"/>
  <c r="BW13" i="4" s="1"/>
  <c r="BU20" i="4"/>
  <c r="BV20" i="4" s="1"/>
  <c r="BW20" i="4" s="1"/>
  <c r="BU12" i="3"/>
  <c r="BV12" i="3" s="1"/>
  <c r="BW12" i="3" s="1"/>
  <c r="BU49" i="4"/>
  <c r="BV49" i="4" s="1"/>
  <c r="BW49" i="4" s="1"/>
  <c r="BU43" i="4"/>
  <c r="BV43" i="4" s="1"/>
  <c r="BW43" i="4" s="1"/>
  <c r="BU23" i="4"/>
  <c r="BV23" i="4" s="1"/>
  <c r="BW23" i="4" s="1"/>
  <c r="BS51" i="3"/>
  <c r="BU11" i="3"/>
  <c r="BV11" i="3" s="1"/>
  <c r="BU42" i="2"/>
  <c r="BV42" i="2" s="1"/>
  <c r="BW42" i="2" s="1"/>
  <c r="BU33" i="2"/>
  <c r="BV33" i="2" s="1"/>
  <c r="BW33" i="2" s="1"/>
  <c r="BU12" i="2"/>
  <c r="BV12" i="2" s="1"/>
  <c r="BW12" i="2" s="1"/>
  <c r="BU24" i="3"/>
  <c r="BV24" i="3" s="1"/>
  <c r="BW24" i="3" s="1"/>
  <c r="BU15" i="3"/>
  <c r="BV15" i="3" s="1"/>
  <c r="BW15" i="3" s="1"/>
  <c r="BU40" i="3"/>
  <c r="BV40" i="3" s="1"/>
  <c r="BW40" i="3" s="1"/>
  <c r="BS51" i="2"/>
  <c r="BU11" i="2"/>
  <c r="BV11" i="2" s="1"/>
  <c r="BU47" i="4"/>
  <c r="BV47" i="4" s="1"/>
  <c r="BW47" i="4" s="1"/>
  <c r="BU37" i="2"/>
  <c r="BV37" i="2" s="1"/>
  <c r="BW37" i="2" s="1"/>
  <c r="BU17" i="4"/>
  <c r="BV17" i="4" s="1"/>
  <c r="BW17" i="4" s="1"/>
  <c r="BU45" i="2"/>
  <c r="BV45" i="2" s="1"/>
  <c r="BW45" i="2" s="1"/>
  <c r="BU31" i="3"/>
  <c r="BV31" i="3" s="1"/>
  <c r="BW31" i="3" s="1"/>
  <c r="BU12" i="4"/>
  <c r="BV12" i="4" s="1"/>
  <c r="BW12" i="4" s="1"/>
  <c r="BU25" i="4"/>
  <c r="BV25" i="4" s="1"/>
  <c r="BW25" i="4" s="1"/>
  <c r="BU37" i="4"/>
  <c r="BV37" i="4" s="1"/>
  <c r="BW37" i="4" s="1"/>
  <c r="BR51" i="3"/>
  <c r="BU21" i="2"/>
  <c r="BV21" i="2" s="1"/>
  <c r="BW21" i="2" s="1"/>
  <c r="BU23" i="2"/>
  <c r="BV23" i="2" s="1"/>
  <c r="BW23" i="2" s="1"/>
  <c r="BU22" i="2"/>
  <c r="BV22" i="2" s="1"/>
  <c r="BW22" i="2" s="1"/>
  <c r="BU45" i="3"/>
  <c r="BV45" i="3" s="1"/>
  <c r="BW45" i="3" s="1"/>
  <c r="BU42" i="3"/>
  <c r="BV42" i="3" s="1"/>
  <c r="BW42" i="3" s="1"/>
  <c r="BU29" i="3"/>
  <c r="BV29" i="3" s="1"/>
  <c r="BW29" i="3" s="1"/>
  <c r="BR51" i="2"/>
  <c r="CM50" i="26" l="1"/>
  <c r="CM46" i="26"/>
  <c r="CN46" i="26" s="1"/>
  <c r="CO46" i="26" s="1"/>
  <c r="CM47" i="26"/>
  <c r="CM39" i="26"/>
  <c r="CM44" i="26"/>
  <c r="CN44" i="26" s="1"/>
  <c r="CO44" i="26" s="1"/>
  <c r="BW12" i="25"/>
  <c r="BW50" i="25" s="1"/>
  <c r="CM41" i="25"/>
  <c r="CN41" i="25" s="1"/>
  <c r="CO41" i="25" s="1"/>
  <c r="CP41" i="25" s="1"/>
  <c r="CQ41" i="25" s="1"/>
  <c r="CT12" i="25"/>
  <c r="CP12" i="25"/>
  <c r="CQ12" i="25" s="1"/>
  <c r="CP12" i="24"/>
  <c r="CQ12" i="24" s="1"/>
  <c r="CT12" i="24"/>
  <c r="CU12" i="24" s="1"/>
  <c r="CM27" i="26"/>
  <c r="CN27" i="26" s="1"/>
  <c r="CO27" i="26" s="1"/>
  <c r="CM38" i="26"/>
  <c r="CN38" i="26" s="1"/>
  <c r="CO38" i="26" s="1"/>
  <c r="CM33" i="26"/>
  <c r="CN33" i="26" s="1"/>
  <c r="CO33" i="26" s="1"/>
  <c r="CM24" i="26"/>
  <c r="CN24" i="26" s="1"/>
  <c r="CO24" i="26" s="1"/>
  <c r="CM28" i="26"/>
  <c r="CN28" i="26" s="1"/>
  <c r="CO28" i="26" s="1"/>
  <c r="CP20" i="24"/>
  <c r="CQ20" i="24" s="1"/>
  <c r="CT20" i="24"/>
  <c r="CU20" i="24" s="1"/>
  <c r="CL50" i="23"/>
  <c r="CM12" i="23" s="1"/>
  <c r="CN12" i="23" s="1"/>
  <c r="CO12" i="23" s="1"/>
  <c r="CM22" i="26"/>
  <c r="CN22" i="26" s="1"/>
  <c r="CO22" i="26" s="1"/>
  <c r="CM35" i="26"/>
  <c r="CN35" i="26" s="1"/>
  <c r="CO35" i="26" s="1"/>
  <c r="CM29" i="26"/>
  <c r="CN29" i="26" s="1"/>
  <c r="CO29" i="26" s="1"/>
  <c r="CM25" i="26"/>
  <c r="CN25" i="26" s="1"/>
  <c r="CO25" i="26" s="1"/>
  <c r="CM30" i="26"/>
  <c r="CN30" i="26" s="1"/>
  <c r="CO30" i="26" s="1"/>
  <c r="CM50" i="25"/>
  <c r="CN50" i="25" s="1"/>
  <c r="CO50" i="25" s="1"/>
  <c r="CP50" i="25" s="1"/>
  <c r="CM20" i="25"/>
  <c r="CN20" i="25" s="1"/>
  <c r="CO20" i="25" s="1"/>
  <c r="CM34" i="25"/>
  <c r="CN34" i="25" s="1"/>
  <c r="CO34" i="25" s="1"/>
  <c r="CM25" i="25"/>
  <c r="CN25" i="25" s="1"/>
  <c r="CO25" i="25" s="1"/>
  <c r="CM24" i="25"/>
  <c r="CN24" i="25" s="1"/>
  <c r="CO24" i="25" s="1"/>
  <c r="CM23" i="25"/>
  <c r="CN23" i="25" s="1"/>
  <c r="CO23" i="25" s="1"/>
  <c r="CM27" i="25"/>
  <c r="CN27" i="25" s="1"/>
  <c r="CO27" i="25" s="1"/>
  <c r="CM26" i="25"/>
  <c r="CN26" i="25" s="1"/>
  <c r="CO26" i="25" s="1"/>
  <c r="CM30" i="25"/>
  <c r="CN30" i="25" s="1"/>
  <c r="CO30" i="25" s="1"/>
  <c r="CM35" i="25"/>
  <c r="CN35" i="25" s="1"/>
  <c r="CO35" i="25" s="1"/>
  <c r="CM18" i="25"/>
  <c r="CN18" i="25" s="1"/>
  <c r="CO18" i="25" s="1"/>
  <c r="CM32" i="25"/>
  <c r="CN32" i="25" s="1"/>
  <c r="CO32" i="25" s="1"/>
  <c r="CM46" i="25"/>
  <c r="CN46" i="25" s="1"/>
  <c r="CO46" i="25" s="1"/>
  <c r="CM48" i="25"/>
  <c r="CN48" i="25" s="1"/>
  <c r="CO48" i="25" s="1"/>
  <c r="CM47" i="25"/>
  <c r="CN47" i="25" s="1"/>
  <c r="CO47" i="25" s="1"/>
  <c r="CM16" i="25"/>
  <c r="CN16" i="25" s="1"/>
  <c r="CO16" i="25" s="1"/>
  <c r="CM33" i="25"/>
  <c r="CN33" i="25" s="1"/>
  <c r="CO33" i="25" s="1"/>
  <c r="CM17" i="25"/>
  <c r="CN17" i="25" s="1"/>
  <c r="CO17" i="25" s="1"/>
  <c r="CM22" i="25"/>
  <c r="CN22" i="25" s="1"/>
  <c r="CO22" i="25" s="1"/>
  <c r="CM29" i="25"/>
  <c r="CN29" i="25" s="1"/>
  <c r="CO29" i="25" s="1"/>
  <c r="CM31" i="25"/>
  <c r="CN31" i="25" s="1"/>
  <c r="CO31" i="25" s="1"/>
  <c r="CM21" i="25"/>
  <c r="CN21" i="25" s="1"/>
  <c r="CO21" i="25" s="1"/>
  <c r="CM45" i="25"/>
  <c r="CN45" i="25" s="1"/>
  <c r="CO45" i="25" s="1"/>
  <c r="CM38" i="25"/>
  <c r="CN38" i="25" s="1"/>
  <c r="CO38" i="25" s="1"/>
  <c r="CM49" i="25"/>
  <c r="CN49" i="25" s="1"/>
  <c r="CO49" i="25" s="1"/>
  <c r="CM40" i="25"/>
  <c r="CN40" i="25" s="1"/>
  <c r="CO40" i="25" s="1"/>
  <c r="CM43" i="25"/>
  <c r="CN43" i="25" s="1"/>
  <c r="CO43" i="25" s="1"/>
  <c r="CM36" i="25"/>
  <c r="CN36" i="25" s="1"/>
  <c r="CO36" i="25" s="1"/>
  <c r="CM19" i="25"/>
  <c r="CN19" i="25" s="1"/>
  <c r="CO19" i="25" s="1"/>
  <c r="CM44" i="25"/>
  <c r="CN44" i="25" s="1"/>
  <c r="CO44" i="25" s="1"/>
  <c r="CM39" i="25"/>
  <c r="CN39" i="25" s="1"/>
  <c r="CO39" i="25" s="1"/>
  <c r="CM37" i="25"/>
  <c r="CN37" i="25" s="1"/>
  <c r="CO37" i="25" s="1"/>
  <c r="CM42" i="25"/>
  <c r="CN42" i="25" s="1"/>
  <c r="CO42" i="25" s="1"/>
  <c r="CM14" i="25"/>
  <c r="CN14" i="25" s="1"/>
  <c r="CO14" i="25" s="1"/>
  <c r="CM28" i="25"/>
  <c r="CN28" i="25" s="1"/>
  <c r="CO28" i="25" s="1"/>
  <c r="CM15" i="25"/>
  <c r="CN15" i="25" s="1"/>
  <c r="CO15" i="25" s="1"/>
  <c r="BV50" i="26"/>
  <c r="CM14" i="23"/>
  <c r="CN14" i="23" s="1"/>
  <c r="CO14" i="23" s="1"/>
  <c r="BV50" i="23"/>
  <c r="CM34" i="26"/>
  <c r="CN34" i="26" s="1"/>
  <c r="CO34" i="26" s="1"/>
  <c r="CM49" i="26"/>
  <c r="CN49" i="26" s="1"/>
  <c r="CO49" i="26" s="1"/>
  <c r="BW50" i="26"/>
  <c r="BX12" i="26"/>
  <c r="BX12" i="25"/>
  <c r="BV50" i="22"/>
  <c r="CM32" i="23"/>
  <c r="CN32" i="23" s="1"/>
  <c r="CO32" i="23" s="1"/>
  <c r="BW50" i="23"/>
  <c r="BX12" i="23"/>
  <c r="CM13" i="26"/>
  <c r="CN13" i="26" s="1"/>
  <c r="CO13" i="26" s="1"/>
  <c r="CM21" i="26"/>
  <c r="CN21" i="26" s="1"/>
  <c r="CO21" i="26" s="1"/>
  <c r="CM17" i="26"/>
  <c r="CN17" i="26" s="1"/>
  <c r="CO17" i="26" s="1"/>
  <c r="BW12" i="22"/>
  <c r="CM14" i="26"/>
  <c r="CN14" i="26" s="1"/>
  <c r="CO14" i="26" s="1"/>
  <c r="CM37" i="26"/>
  <c r="CN37" i="26" s="1"/>
  <c r="CO37" i="26" s="1"/>
  <c r="CM46" i="22"/>
  <c r="CN46" i="22" s="1"/>
  <c r="CO46" i="22" s="1"/>
  <c r="CM20" i="26"/>
  <c r="CN20" i="26" s="1"/>
  <c r="CO20" i="26" s="1"/>
  <c r="CM35" i="23"/>
  <c r="CN35" i="23" s="1"/>
  <c r="CO35" i="23" s="1"/>
  <c r="CM32" i="26"/>
  <c r="CN32" i="26" s="1"/>
  <c r="CO32" i="26" s="1"/>
  <c r="CL50" i="22"/>
  <c r="CM40" i="22" s="1"/>
  <c r="CN40" i="22" s="1"/>
  <c r="CO40" i="22" s="1"/>
  <c r="CM23" i="22"/>
  <c r="CN23" i="22" s="1"/>
  <c r="CO23" i="22" s="1"/>
  <c r="CM36" i="26"/>
  <c r="CN36" i="26" s="1"/>
  <c r="CO36" i="26" s="1"/>
  <c r="CN39" i="26"/>
  <c r="CO39" i="26" s="1"/>
  <c r="CM42" i="26"/>
  <c r="CN42" i="26" s="1"/>
  <c r="CO42" i="26" s="1"/>
  <c r="CT48" i="24"/>
  <c r="CU48" i="24" s="1"/>
  <c r="CP48" i="24"/>
  <c r="CQ48" i="24" s="1"/>
  <c r="CM19" i="26"/>
  <c r="CN19" i="26" s="1"/>
  <c r="CO19" i="26" s="1"/>
  <c r="CM12" i="26"/>
  <c r="CN12" i="26" s="1"/>
  <c r="CO12" i="26" s="1"/>
  <c r="CM13" i="25"/>
  <c r="CN13" i="25" s="1"/>
  <c r="CO13" i="25" s="1"/>
  <c r="CM15" i="26"/>
  <c r="CN15" i="26" s="1"/>
  <c r="CO15" i="26" s="1"/>
  <c r="CN47" i="26"/>
  <c r="CO47" i="26" s="1"/>
  <c r="CN50" i="26"/>
  <c r="CO50" i="26" s="1"/>
  <c r="CP50" i="26" s="1"/>
  <c r="CM45" i="26"/>
  <c r="CN45" i="26" s="1"/>
  <c r="CO45" i="26" s="1"/>
  <c r="CM50" i="24"/>
  <c r="CN50" i="24" s="1"/>
  <c r="CO50" i="24" s="1"/>
  <c r="CP50" i="24" s="1"/>
  <c r="CM45" i="24"/>
  <c r="CN45" i="24" s="1"/>
  <c r="CO45" i="24" s="1"/>
  <c r="CM33" i="24"/>
  <c r="CN33" i="24" s="1"/>
  <c r="CO33" i="24" s="1"/>
  <c r="CM25" i="24"/>
  <c r="CN25" i="24" s="1"/>
  <c r="CO25" i="24" s="1"/>
  <c r="CM49" i="24"/>
  <c r="CN49" i="24" s="1"/>
  <c r="CO49" i="24" s="1"/>
  <c r="CM15" i="24"/>
  <c r="CN15" i="24" s="1"/>
  <c r="CO15" i="24" s="1"/>
  <c r="CM35" i="24"/>
  <c r="CN35" i="24" s="1"/>
  <c r="CO35" i="24" s="1"/>
  <c r="CM38" i="24"/>
  <c r="CN38" i="24" s="1"/>
  <c r="CO38" i="24" s="1"/>
  <c r="CM39" i="24"/>
  <c r="CN39" i="24" s="1"/>
  <c r="CO39" i="24" s="1"/>
  <c r="CM26" i="24"/>
  <c r="CN26" i="24" s="1"/>
  <c r="CO26" i="24" s="1"/>
  <c r="CM13" i="24"/>
  <c r="CN13" i="24" s="1"/>
  <c r="CO13" i="24" s="1"/>
  <c r="CM34" i="24"/>
  <c r="CN34" i="24" s="1"/>
  <c r="CO34" i="24" s="1"/>
  <c r="CM18" i="24"/>
  <c r="CN18" i="24" s="1"/>
  <c r="CO18" i="24" s="1"/>
  <c r="CM24" i="24"/>
  <c r="CN24" i="24" s="1"/>
  <c r="CO24" i="24" s="1"/>
  <c r="CM41" i="24"/>
  <c r="CN41" i="24" s="1"/>
  <c r="CO41" i="24" s="1"/>
  <c r="CM14" i="24"/>
  <c r="CN14" i="24" s="1"/>
  <c r="CO14" i="24" s="1"/>
  <c r="CM37" i="24"/>
  <c r="CN37" i="24" s="1"/>
  <c r="CO37" i="24" s="1"/>
  <c r="CM32" i="24"/>
  <c r="CN32" i="24" s="1"/>
  <c r="CO32" i="24" s="1"/>
  <c r="CM40" i="24"/>
  <c r="CN40" i="24" s="1"/>
  <c r="CO40" i="24" s="1"/>
  <c r="CM36" i="24"/>
  <c r="CN36" i="24" s="1"/>
  <c r="CO36" i="24" s="1"/>
  <c r="CM16" i="24"/>
  <c r="CN16" i="24" s="1"/>
  <c r="CO16" i="24" s="1"/>
  <c r="CM47" i="24"/>
  <c r="CN47" i="24" s="1"/>
  <c r="CO47" i="24" s="1"/>
  <c r="CM23" i="24"/>
  <c r="CN23" i="24" s="1"/>
  <c r="CO23" i="24" s="1"/>
  <c r="CM31" i="24"/>
  <c r="CN31" i="24" s="1"/>
  <c r="CO31" i="24" s="1"/>
  <c r="CM28" i="24"/>
  <c r="CN28" i="24" s="1"/>
  <c r="CO28" i="24" s="1"/>
  <c r="CM42" i="24"/>
  <c r="CN42" i="24" s="1"/>
  <c r="CO42" i="24" s="1"/>
  <c r="CM22" i="24"/>
  <c r="CN22" i="24" s="1"/>
  <c r="CO22" i="24" s="1"/>
  <c r="CM21" i="24"/>
  <c r="CN21" i="24" s="1"/>
  <c r="CO21" i="24" s="1"/>
  <c r="CM29" i="24"/>
  <c r="CN29" i="24" s="1"/>
  <c r="CO29" i="24" s="1"/>
  <c r="CM17" i="24"/>
  <c r="CN17" i="24" s="1"/>
  <c r="CO17" i="24" s="1"/>
  <c r="CM44" i="24"/>
  <c r="CN44" i="24" s="1"/>
  <c r="CO44" i="24" s="1"/>
  <c r="CM27" i="24"/>
  <c r="CN27" i="24" s="1"/>
  <c r="CO27" i="24" s="1"/>
  <c r="CM30" i="24"/>
  <c r="CN30" i="24" s="1"/>
  <c r="CO30" i="24" s="1"/>
  <c r="CM43" i="24"/>
  <c r="CN43" i="24" s="1"/>
  <c r="CO43" i="24" s="1"/>
  <c r="CM46" i="24"/>
  <c r="CN46" i="24" s="1"/>
  <c r="CO46" i="24" s="1"/>
  <c r="CM19" i="24"/>
  <c r="CN19" i="24" s="1"/>
  <c r="CO19" i="24" s="1"/>
  <c r="CM16" i="26"/>
  <c r="CN16" i="26" s="1"/>
  <c r="CO16" i="26" s="1"/>
  <c r="CM43" i="26"/>
  <c r="CN43" i="26" s="1"/>
  <c r="CO43" i="26" s="1"/>
  <c r="CM40" i="26"/>
  <c r="CN40" i="26" s="1"/>
  <c r="CO40" i="26" s="1"/>
  <c r="CM23" i="26"/>
  <c r="CN23" i="26" s="1"/>
  <c r="CO23" i="26" s="1"/>
  <c r="CM18" i="26"/>
  <c r="CN18" i="26" s="1"/>
  <c r="CO18" i="26" s="1"/>
  <c r="CM26" i="26"/>
  <c r="CN26" i="26" s="1"/>
  <c r="CO26" i="26" s="1"/>
  <c r="CM31" i="26"/>
  <c r="CN31" i="26" s="1"/>
  <c r="CO31" i="26" s="1"/>
  <c r="CM29" i="22"/>
  <c r="CN29" i="22" s="1"/>
  <c r="CO29" i="22" s="1"/>
  <c r="CM48" i="26"/>
  <c r="CN48" i="26" s="1"/>
  <c r="CO48" i="26" s="1"/>
  <c r="BW12" i="24"/>
  <c r="CM26" i="23"/>
  <c r="CN26" i="23" s="1"/>
  <c r="CO26" i="23" s="1"/>
  <c r="CM41" i="26"/>
  <c r="CN41" i="26" s="1"/>
  <c r="CO41" i="26" s="1"/>
  <c r="BW51" i="13"/>
  <c r="BX11" i="13"/>
  <c r="BX51" i="13" s="1"/>
  <c r="CJ51" i="13"/>
  <c r="CM6" i="13" s="1"/>
  <c r="CI26" i="12"/>
  <c r="CJ26" i="12" s="1"/>
  <c r="CL26" i="12" s="1"/>
  <c r="BV26" i="12"/>
  <c r="BW26" i="12" s="1"/>
  <c r="BX26" i="12" s="1"/>
  <c r="BV42" i="12"/>
  <c r="BW42" i="12" s="1"/>
  <c r="BX42" i="12" s="1"/>
  <c r="CI42" i="12"/>
  <c r="CJ42" i="12" s="1"/>
  <c r="CL42" i="12" s="1"/>
  <c r="CI45" i="12"/>
  <c r="CJ45" i="12" s="1"/>
  <c r="CL45" i="12" s="1"/>
  <c r="BV45" i="12"/>
  <c r="BW45" i="12" s="1"/>
  <c r="BX45" i="12" s="1"/>
  <c r="BV13" i="16"/>
  <c r="BW13" i="16" s="1"/>
  <c r="BX13" i="16" s="1"/>
  <c r="CI13" i="16"/>
  <c r="CJ13" i="16" s="1"/>
  <c r="CL13" i="16" s="1"/>
  <c r="CI24" i="16"/>
  <c r="CJ24" i="16" s="1"/>
  <c r="CL24" i="16" s="1"/>
  <c r="BV24" i="16"/>
  <c r="BW24" i="16" s="1"/>
  <c r="BX24" i="16" s="1"/>
  <c r="CI42" i="16"/>
  <c r="CJ42" i="16" s="1"/>
  <c r="CL42" i="16" s="1"/>
  <c r="BV42" i="16"/>
  <c r="BW42" i="16" s="1"/>
  <c r="BX42" i="16" s="1"/>
  <c r="BT51" i="16"/>
  <c r="CI11" i="16"/>
  <c r="BV11" i="16"/>
  <c r="BW11" i="16" s="1"/>
  <c r="BV31" i="15"/>
  <c r="BW31" i="15" s="1"/>
  <c r="BX31" i="15" s="1"/>
  <c r="CI31" i="15"/>
  <c r="CJ31" i="15" s="1"/>
  <c r="CL31" i="15" s="1"/>
  <c r="CI18" i="15"/>
  <c r="CJ18" i="15" s="1"/>
  <c r="CL18" i="15" s="1"/>
  <c r="BV18" i="15"/>
  <c r="BW18" i="15" s="1"/>
  <c r="BX18" i="15" s="1"/>
  <c r="BV28" i="15"/>
  <c r="BW28" i="15" s="1"/>
  <c r="BX28" i="15" s="1"/>
  <c r="CI28" i="15"/>
  <c r="CJ28" i="15" s="1"/>
  <c r="CL28" i="15" s="1"/>
  <c r="BV43" i="12"/>
  <c r="BW43" i="12" s="1"/>
  <c r="BX43" i="12" s="1"/>
  <c r="CI43" i="12"/>
  <c r="CJ43" i="12" s="1"/>
  <c r="CL43" i="12" s="1"/>
  <c r="BV37" i="16"/>
  <c r="BW37" i="16" s="1"/>
  <c r="BX37" i="16" s="1"/>
  <c r="CI37" i="16"/>
  <c r="CJ37" i="16" s="1"/>
  <c r="CL37" i="16" s="1"/>
  <c r="BV46" i="16"/>
  <c r="BW46" i="16" s="1"/>
  <c r="BX46" i="16" s="1"/>
  <c r="CI46" i="16"/>
  <c r="CJ46" i="16" s="1"/>
  <c r="CL46" i="16" s="1"/>
  <c r="CI43" i="16"/>
  <c r="CJ43" i="16" s="1"/>
  <c r="CL43" i="16" s="1"/>
  <c r="BV43" i="16"/>
  <c r="BW43" i="16" s="1"/>
  <c r="BX43" i="16" s="1"/>
  <c r="CI16" i="16"/>
  <c r="CJ16" i="16" s="1"/>
  <c r="CL16" i="16" s="1"/>
  <c r="BV16" i="16"/>
  <c r="BW16" i="16" s="1"/>
  <c r="BX16" i="16" s="1"/>
  <c r="BS51" i="16"/>
  <c r="BV14" i="15"/>
  <c r="BW14" i="15" s="1"/>
  <c r="BX14" i="15" s="1"/>
  <c r="CI14" i="15"/>
  <c r="CJ14" i="15" s="1"/>
  <c r="CL14" i="15" s="1"/>
  <c r="BV36" i="15"/>
  <c r="BW36" i="15" s="1"/>
  <c r="BX36" i="15" s="1"/>
  <c r="CI36" i="15"/>
  <c r="CJ36" i="15" s="1"/>
  <c r="CL36" i="15" s="1"/>
  <c r="BV12" i="15"/>
  <c r="BW12" i="15" s="1"/>
  <c r="BX12" i="15" s="1"/>
  <c r="CI12" i="15"/>
  <c r="CJ12" i="15" s="1"/>
  <c r="CL12" i="15" s="1"/>
  <c r="CI11" i="12"/>
  <c r="CJ11" i="12" s="1"/>
  <c r="BT51" i="12"/>
  <c r="BV11" i="12"/>
  <c r="CI13" i="12"/>
  <c r="CJ13" i="12" s="1"/>
  <c r="CL13" i="12" s="1"/>
  <c r="BV13" i="12"/>
  <c r="BW13" i="12" s="1"/>
  <c r="BX13" i="12" s="1"/>
  <c r="BV24" i="12"/>
  <c r="BW24" i="12"/>
  <c r="BX24" i="12" s="1"/>
  <c r="CI24" i="12"/>
  <c r="CJ24" i="12" s="1"/>
  <c r="CL24" i="12" s="1"/>
  <c r="CI15" i="12"/>
  <c r="CJ15" i="12" s="1"/>
  <c r="CL15" i="12" s="1"/>
  <c r="BV15" i="12"/>
  <c r="BW15" i="12" s="1"/>
  <c r="BX15" i="12" s="1"/>
  <c r="CI35" i="16"/>
  <c r="CJ35" i="16" s="1"/>
  <c r="CL35" i="16" s="1"/>
  <c r="BV35" i="16"/>
  <c r="BW35" i="16" s="1"/>
  <c r="BX35" i="16" s="1"/>
  <c r="CI29" i="16"/>
  <c r="CJ29" i="16" s="1"/>
  <c r="CL29" i="16" s="1"/>
  <c r="BV29" i="16"/>
  <c r="BW29" i="16" s="1"/>
  <c r="BX29" i="16" s="1"/>
  <c r="BV12" i="16"/>
  <c r="BW12" i="16" s="1"/>
  <c r="BX12" i="16" s="1"/>
  <c r="CI12" i="16"/>
  <c r="CJ12" i="16" s="1"/>
  <c r="CL12" i="16" s="1"/>
  <c r="CI34" i="16"/>
  <c r="CJ34" i="16" s="1"/>
  <c r="CL34" i="16" s="1"/>
  <c r="BV34" i="16"/>
  <c r="BW34" i="16" s="1"/>
  <c r="BX34" i="16" s="1"/>
  <c r="CI16" i="15"/>
  <c r="CJ16" i="15" s="1"/>
  <c r="CL16" i="15" s="1"/>
  <c r="BV16" i="15"/>
  <c r="BW16" i="15" s="1"/>
  <c r="BX16" i="15" s="1"/>
  <c r="BV21" i="15"/>
  <c r="BW21" i="15" s="1"/>
  <c r="BX21" i="15" s="1"/>
  <c r="CI21" i="15"/>
  <c r="CJ21" i="15" s="1"/>
  <c r="CL21" i="15" s="1"/>
  <c r="BV32" i="15"/>
  <c r="BW32" i="15" s="1"/>
  <c r="BX32" i="15" s="1"/>
  <c r="CI32" i="15"/>
  <c r="CJ32" i="15" s="1"/>
  <c r="CL32" i="15" s="1"/>
  <c r="BV28" i="12"/>
  <c r="BW28" i="12" s="1"/>
  <c r="BX28" i="12" s="1"/>
  <c r="CI28" i="12"/>
  <c r="CJ28" i="12" s="1"/>
  <c r="CL28" i="12" s="1"/>
  <c r="BV36" i="16"/>
  <c r="BW36" i="16" s="1"/>
  <c r="BX36" i="16" s="1"/>
  <c r="CI36" i="16"/>
  <c r="CJ36" i="16" s="1"/>
  <c r="CL36" i="16" s="1"/>
  <c r="CI37" i="15"/>
  <c r="CJ37" i="15" s="1"/>
  <c r="CL37" i="15" s="1"/>
  <c r="BV37" i="15"/>
  <c r="BW37" i="15" s="1"/>
  <c r="BX37" i="15" s="1"/>
  <c r="BV18" i="12"/>
  <c r="BW18" i="12" s="1"/>
  <c r="BX18" i="12" s="1"/>
  <c r="CI18" i="12"/>
  <c r="CJ18" i="12" s="1"/>
  <c r="CL18" i="12" s="1"/>
  <c r="CC51" i="12"/>
  <c r="CD8" i="12" s="1"/>
  <c r="CE11" i="12"/>
  <c r="CE51" i="12" s="1"/>
  <c r="CH11" i="12"/>
  <c r="BS51" i="12"/>
  <c r="BV47" i="12"/>
  <c r="BW47" i="12" s="1"/>
  <c r="BX47" i="12" s="1"/>
  <c r="CI47" i="12"/>
  <c r="CJ47" i="12"/>
  <c r="CL47" i="12" s="1"/>
  <c r="CI41" i="12"/>
  <c r="CJ41" i="12" s="1"/>
  <c r="CL41" i="12" s="1"/>
  <c r="BV41" i="12"/>
  <c r="BW41" i="12" s="1"/>
  <c r="BX41" i="12" s="1"/>
  <c r="BV22" i="12"/>
  <c r="CI22" i="12"/>
  <c r="CJ22" i="12" s="1"/>
  <c r="CL22" i="12" s="1"/>
  <c r="BW22" i="12"/>
  <c r="BX22" i="12" s="1"/>
  <c r="CI33" i="16"/>
  <c r="CJ33" i="16" s="1"/>
  <c r="CL33" i="16" s="1"/>
  <c r="BV33" i="16"/>
  <c r="BW33" i="16" s="1"/>
  <c r="BX33" i="16" s="1"/>
  <c r="CI27" i="16"/>
  <c r="CJ27" i="16" s="1"/>
  <c r="CL27" i="16" s="1"/>
  <c r="BV27" i="16"/>
  <c r="BW27" i="16" s="1"/>
  <c r="BX27" i="16" s="1"/>
  <c r="BV15" i="16"/>
  <c r="BW15" i="16" s="1"/>
  <c r="BX15" i="16" s="1"/>
  <c r="CI15" i="16"/>
  <c r="CJ15" i="16"/>
  <c r="CL15" i="16" s="1"/>
  <c r="BV17" i="16"/>
  <c r="BW17" i="16" s="1"/>
  <c r="BX17" i="16" s="1"/>
  <c r="CI17" i="16"/>
  <c r="CJ17" i="16" s="1"/>
  <c r="BV26" i="15"/>
  <c r="BW26" i="15" s="1"/>
  <c r="BX26" i="15" s="1"/>
  <c r="CI26" i="15"/>
  <c r="CJ26" i="15" s="1"/>
  <c r="CL26" i="15" s="1"/>
  <c r="BV23" i="15"/>
  <c r="BW23" i="15" s="1"/>
  <c r="BX23" i="15" s="1"/>
  <c r="CI23" i="15"/>
  <c r="CJ23" i="15" s="1"/>
  <c r="CL23" i="15" s="1"/>
  <c r="BV13" i="15"/>
  <c r="BW13" i="15" s="1"/>
  <c r="BX13" i="15" s="1"/>
  <c r="CI13" i="15"/>
  <c r="CJ13" i="15" s="1"/>
  <c r="CL13" i="15" s="1"/>
  <c r="BV31" i="12"/>
  <c r="BW31" i="12" s="1"/>
  <c r="BX31" i="12" s="1"/>
  <c r="CI31" i="12"/>
  <c r="CJ31" i="12" s="1"/>
  <c r="CL31" i="12" s="1"/>
  <c r="BV49" i="16"/>
  <c r="BW49" i="16" s="1"/>
  <c r="BX49" i="16" s="1"/>
  <c r="CI49" i="16"/>
  <c r="CJ49" i="16" s="1"/>
  <c r="CL49" i="16" s="1"/>
  <c r="BV37" i="12"/>
  <c r="BW37" i="12" s="1"/>
  <c r="BX37" i="12" s="1"/>
  <c r="CI37" i="12"/>
  <c r="CJ37" i="12" s="1"/>
  <c r="CL37" i="12" s="1"/>
  <c r="BV35" i="12"/>
  <c r="BW35" i="12" s="1"/>
  <c r="BX35" i="12" s="1"/>
  <c r="CI35" i="12"/>
  <c r="CJ35" i="12" s="1"/>
  <c r="CL35" i="12" s="1"/>
  <c r="CI50" i="12"/>
  <c r="CJ50" i="12" s="1"/>
  <c r="CL50" i="12" s="1"/>
  <c r="BV50" i="12"/>
  <c r="BW50" i="12" s="1"/>
  <c r="BX50" i="12" s="1"/>
  <c r="BV25" i="12"/>
  <c r="BW25" i="12" s="1"/>
  <c r="BX25" i="12" s="1"/>
  <c r="CI25" i="12"/>
  <c r="CJ25" i="12" s="1"/>
  <c r="CL25" i="12" s="1"/>
  <c r="CI16" i="12"/>
  <c r="CJ16" i="12" s="1"/>
  <c r="CL16" i="12" s="1"/>
  <c r="BV16" i="12"/>
  <c r="BW16" i="12" s="1"/>
  <c r="BX16" i="12" s="1"/>
  <c r="BV38" i="12"/>
  <c r="BW38" i="12" s="1"/>
  <c r="BX38" i="12" s="1"/>
  <c r="CI38" i="12"/>
  <c r="CJ38" i="12" s="1"/>
  <c r="CL38" i="12" s="1"/>
  <c r="BV47" i="16"/>
  <c r="BW47" i="16" s="1"/>
  <c r="BX47" i="16" s="1"/>
  <c r="CI47" i="16"/>
  <c r="CJ47" i="16" s="1"/>
  <c r="CL47" i="16" s="1"/>
  <c r="BV45" i="16"/>
  <c r="BW45" i="16" s="1"/>
  <c r="BX45" i="16" s="1"/>
  <c r="CI45" i="16"/>
  <c r="CJ45" i="16" s="1"/>
  <c r="CL45" i="16" s="1"/>
  <c r="BV28" i="16"/>
  <c r="BW28" i="16" s="1"/>
  <c r="BX28" i="16" s="1"/>
  <c r="CI28" i="16"/>
  <c r="CJ28" i="16" s="1"/>
  <c r="CL28" i="16" s="1"/>
  <c r="CC51" i="14"/>
  <c r="CD8" i="14" s="1"/>
  <c r="CH11" i="14"/>
  <c r="CL11" i="14" s="1"/>
  <c r="CE11" i="14"/>
  <c r="CE51" i="14" s="1"/>
  <c r="BV44" i="15"/>
  <c r="BW44" i="15" s="1"/>
  <c r="BX44" i="15" s="1"/>
  <c r="CI44" i="15"/>
  <c r="CJ44" i="15" s="1"/>
  <c r="CL44" i="15" s="1"/>
  <c r="CI35" i="15"/>
  <c r="CJ35" i="15" s="1"/>
  <c r="CL35" i="15" s="1"/>
  <c r="BV35" i="15"/>
  <c r="BW35" i="15" s="1"/>
  <c r="BX35" i="15" s="1"/>
  <c r="BV29" i="15"/>
  <c r="BW29" i="15" s="1"/>
  <c r="BX29" i="15" s="1"/>
  <c r="CI29" i="15"/>
  <c r="CJ29" i="15" s="1"/>
  <c r="CL29" i="15" s="1"/>
  <c r="CC51" i="13"/>
  <c r="CD8" i="13" s="1"/>
  <c r="CH11" i="13"/>
  <c r="CL11" i="13" s="1"/>
  <c r="CE11" i="13"/>
  <c r="CE51" i="13" s="1"/>
  <c r="BV14" i="16"/>
  <c r="BW14" i="16" s="1"/>
  <c r="BX14" i="16" s="1"/>
  <c r="CI14" i="16"/>
  <c r="CJ14" i="16" s="1"/>
  <c r="CL14" i="16" s="1"/>
  <c r="CI17" i="15"/>
  <c r="CJ17" i="15" s="1"/>
  <c r="BV17" i="15"/>
  <c r="BW17" i="15" s="1"/>
  <c r="BX17" i="15" s="1"/>
  <c r="CI20" i="12"/>
  <c r="CJ20" i="12" s="1"/>
  <c r="CL20" i="12" s="1"/>
  <c r="BV20" i="12"/>
  <c r="BW20" i="12" s="1"/>
  <c r="BX20" i="12" s="1"/>
  <c r="CI14" i="12"/>
  <c r="CJ14" i="12" s="1"/>
  <c r="CL14" i="12" s="1"/>
  <c r="BV14" i="12"/>
  <c r="BW14" i="12" s="1"/>
  <c r="BX14" i="12" s="1"/>
  <c r="BV34" i="12"/>
  <c r="BW34" i="12" s="1"/>
  <c r="BX34" i="12" s="1"/>
  <c r="CI34" i="12"/>
  <c r="CJ34" i="12" s="1"/>
  <c r="CL34" i="12" s="1"/>
  <c r="BV31" i="16"/>
  <c r="BW31" i="16" s="1"/>
  <c r="BX31" i="16" s="1"/>
  <c r="CI31" i="16"/>
  <c r="CJ31" i="16" s="1"/>
  <c r="CL31" i="16" s="1"/>
  <c r="BV25" i="16"/>
  <c r="BW25" i="16" s="1"/>
  <c r="BX25" i="16" s="1"/>
  <c r="CI25" i="16"/>
  <c r="CJ25" i="16" s="1"/>
  <c r="CL25" i="16" s="1"/>
  <c r="BV21" i="16"/>
  <c r="BW21" i="16" s="1"/>
  <c r="BX21" i="16" s="1"/>
  <c r="CI21" i="16"/>
  <c r="CJ21" i="16" s="1"/>
  <c r="CL21" i="16" s="1"/>
  <c r="BV46" i="15"/>
  <c r="BW46" i="15" s="1"/>
  <c r="BX46" i="15" s="1"/>
  <c r="CI46" i="15"/>
  <c r="CJ46" i="15" s="1"/>
  <c r="CL46" i="15" s="1"/>
  <c r="BV50" i="15"/>
  <c r="BW50" i="15" s="1"/>
  <c r="BX50" i="15" s="1"/>
  <c r="CI50" i="15"/>
  <c r="CJ50" i="15" s="1"/>
  <c r="CL50" i="15" s="1"/>
  <c r="BV15" i="15"/>
  <c r="BW15" i="15" s="1"/>
  <c r="BX15" i="15" s="1"/>
  <c r="CI15" i="15"/>
  <c r="CJ15" i="15" s="1"/>
  <c r="CL15" i="15" s="1"/>
  <c r="BV42" i="15"/>
  <c r="BW42" i="15" s="1"/>
  <c r="BX42" i="15" s="1"/>
  <c r="CI42" i="15"/>
  <c r="CJ42" i="15" s="1"/>
  <c r="CL42" i="15" s="1"/>
  <c r="BV30" i="12"/>
  <c r="BW30" i="12" s="1"/>
  <c r="BX30" i="12" s="1"/>
  <c r="CI30" i="12"/>
  <c r="CJ30" i="12" s="1"/>
  <c r="CL30" i="12" s="1"/>
  <c r="CC51" i="15"/>
  <c r="CD8" i="15" s="1"/>
  <c r="CH11" i="15"/>
  <c r="CE11" i="15"/>
  <c r="CE51" i="15" s="1"/>
  <c r="BT51" i="15"/>
  <c r="CI11" i="15"/>
  <c r="CJ11" i="15" s="1"/>
  <c r="BV11" i="15"/>
  <c r="BW11" i="15" s="1"/>
  <c r="BV39" i="12"/>
  <c r="BW39" i="12" s="1"/>
  <c r="BX39" i="12" s="1"/>
  <c r="CI39" i="12"/>
  <c r="CJ39" i="12" s="1"/>
  <c r="CL39" i="12" s="1"/>
  <c r="CI21" i="12"/>
  <c r="CJ21" i="12" s="1"/>
  <c r="CL21" i="12" s="1"/>
  <c r="BV21" i="12"/>
  <c r="BW21" i="12" s="1"/>
  <c r="BX21" i="12" s="1"/>
  <c r="CI23" i="12"/>
  <c r="CJ23" i="12" s="1"/>
  <c r="CL23" i="12" s="1"/>
  <c r="BV23" i="12"/>
  <c r="BW23" i="12" s="1"/>
  <c r="BX23" i="12" s="1"/>
  <c r="BV17" i="12"/>
  <c r="BW17" i="12" s="1"/>
  <c r="BX17" i="12" s="1"/>
  <c r="CI17" i="12"/>
  <c r="CJ17" i="12" s="1"/>
  <c r="CI39" i="16"/>
  <c r="CJ39" i="16" s="1"/>
  <c r="CL39" i="16" s="1"/>
  <c r="BV39" i="16"/>
  <c r="BW39" i="16" s="1"/>
  <c r="BX39" i="16" s="1"/>
  <c r="BV41" i="16"/>
  <c r="BW41" i="16" s="1"/>
  <c r="BX41" i="16" s="1"/>
  <c r="CI41" i="16"/>
  <c r="CJ41" i="16" s="1"/>
  <c r="CL41" i="16" s="1"/>
  <c r="CI22" i="16"/>
  <c r="CJ22" i="16" s="1"/>
  <c r="CL22" i="16" s="1"/>
  <c r="BV22" i="16"/>
  <c r="BW22" i="16" s="1"/>
  <c r="BX22" i="16" s="1"/>
  <c r="BV51" i="14"/>
  <c r="CI40" i="15"/>
  <c r="CJ40" i="15" s="1"/>
  <c r="CL40" i="15" s="1"/>
  <c r="BV40" i="15"/>
  <c r="BW40" i="15" s="1"/>
  <c r="BX40" i="15" s="1"/>
  <c r="BV47" i="15"/>
  <c r="BW47" i="15" s="1"/>
  <c r="BX47" i="15" s="1"/>
  <c r="CI47" i="15"/>
  <c r="CJ47" i="15" s="1"/>
  <c r="CL47" i="15" s="1"/>
  <c r="BV39" i="15"/>
  <c r="BW39" i="15" s="1"/>
  <c r="BX39" i="15" s="1"/>
  <c r="CI39" i="15"/>
  <c r="CJ39" i="15" s="1"/>
  <c r="CL39" i="15" s="1"/>
  <c r="BS51" i="15"/>
  <c r="BV33" i="12"/>
  <c r="BW33" i="12" s="1"/>
  <c r="BX33" i="12" s="1"/>
  <c r="CI33" i="12"/>
  <c r="CJ33" i="12" s="1"/>
  <c r="CL33" i="12" s="1"/>
  <c r="CI27" i="12"/>
  <c r="CJ27" i="12" s="1"/>
  <c r="CL27" i="12" s="1"/>
  <c r="BV27" i="12"/>
  <c r="BW27" i="12" s="1"/>
  <c r="BX27" i="12" s="1"/>
  <c r="CI46" i="12"/>
  <c r="CJ46" i="12" s="1"/>
  <c r="CL46" i="12" s="1"/>
  <c r="BV46" i="12"/>
  <c r="BW46" i="12" s="1"/>
  <c r="BX46" i="12" s="1"/>
  <c r="BV19" i="16"/>
  <c r="BW19" i="16" s="1"/>
  <c r="BX19" i="16" s="1"/>
  <c r="CI19" i="16"/>
  <c r="CJ19" i="16" s="1"/>
  <c r="CL19" i="16" s="1"/>
  <c r="BV38" i="16"/>
  <c r="BW38" i="16" s="1"/>
  <c r="BX38" i="16" s="1"/>
  <c r="CI38" i="16"/>
  <c r="CJ38" i="16" s="1"/>
  <c r="CL38" i="16" s="1"/>
  <c r="BV32" i="16"/>
  <c r="BW32" i="16" s="1"/>
  <c r="BX32" i="16" s="1"/>
  <c r="CI32" i="16"/>
  <c r="CJ32" i="16"/>
  <c r="CL32" i="16" s="1"/>
  <c r="BW11" i="14"/>
  <c r="CI30" i="15"/>
  <c r="CJ30" i="15" s="1"/>
  <c r="CL30" i="15" s="1"/>
  <c r="BV30" i="15"/>
  <c r="BW30" i="15" s="1"/>
  <c r="BX30" i="15" s="1"/>
  <c r="BV27" i="15"/>
  <c r="BW27" i="15" s="1"/>
  <c r="BX27" i="15" s="1"/>
  <c r="CI27" i="15"/>
  <c r="CJ27" i="15" s="1"/>
  <c r="CL27" i="15" s="1"/>
  <c r="CI19" i="15"/>
  <c r="CJ19" i="15" s="1"/>
  <c r="CL19" i="15" s="1"/>
  <c r="BV19" i="15"/>
  <c r="BW19" i="15" s="1"/>
  <c r="BX19" i="15" s="1"/>
  <c r="CC51" i="16"/>
  <c r="CD8" i="16" s="1"/>
  <c r="CH11" i="16"/>
  <c r="CE11" i="16"/>
  <c r="CE51" i="16" s="1"/>
  <c r="BV49" i="12"/>
  <c r="BW49" i="12" s="1"/>
  <c r="BX49" i="12" s="1"/>
  <c r="CI49" i="12"/>
  <c r="CJ49" i="12" s="1"/>
  <c r="CL49" i="12" s="1"/>
  <c r="BV19" i="12"/>
  <c r="BW19" i="12" s="1"/>
  <c r="BX19" i="12" s="1"/>
  <c r="CI19" i="12"/>
  <c r="CJ19" i="12" s="1"/>
  <c r="CL19" i="12" s="1"/>
  <c r="BV44" i="12"/>
  <c r="BW44" i="12" s="1"/>
  <c r="BX44" i="12" s="1"/>
  <c r="CI44" i="12"/>
  <c r="CJ44" i="12"/>
  <c r="CL44" i="12" s="1"/>
  <c r="BV30" i="16"/>
  <c r="BW30" i="16" s="1"/>
  <c r="BX30" i="16" s="1"/>
  <c r="CI30" i="16"/>
  <c r="CJ30" i="16" s="1"/>
  <c r="CL30" i="16" s="1"/>
  <c r="CI44" i="16"/>
  <c r="CJ44" i="16" s="1"/>
  <c r="CL44" i="16" s="1"/>
  <c r="BV44" i="16"/>
  <c r="BW44" i="16" s="1"/>
  <c r="BX44" i="16" s="1"/>
  <c r="BV20" i="16"/>
  <c r="BW20" i="16" s="1"/>
  <c r="BX20" i="16" s="1"/>
  <c r="CI20" i="16"/>
  <c r="CJ20" i="16" s="1"/>
  <c r="CL20" i="16" s="1"/>
  <c r="CI51" i="14"/>
  <c r="BV22" i="15"/>
  <c r="BW22" i="15" s="1"/>
  <c r="BX22" i="15" s="1"/>
  <c r="CI22" i="15"/>
  <c r="CJ22" i="15" s="1"/>
  <c r="CL22" i="15" s="1"/>
  <c r="BV49" i="15"/>
  <c r="BW49" i="15" s="1"/>
  <c r="BX49" i="15" s="1"/>
  <c r="CI49" i="15"/>
  <c r="CJ49" i="15" s="1"/>
  <c r="CL49" i="15" s="1"/>
  <c r="CI20" i="15"/>
  <c r="CJ20" i="15" s="1"/>
  <c r="CL20" i="15" s="1"/>
  <c r="BV20" i="15"/>
  <c r="BW20" i="15" s="1"/>
  <c r="BX20" i="15" s="1"/>
  <c r="BV43" i="15"/>
  <c r="BW43" i="15" s="1"/>
  <c r="BX43" i="15" s="1"/>
  <c r="CI43" i="15"/>
  <c r="CJ43" i="15" s="1"/>
  <c r="CL43" i="15" s="1"/>
  <c r="BV51" i="13"/>
  <c r="CJ51" i="14"/>
  <c r="CM6" i="14" s="1"/>
  <c r="CI48" i="15"/>
  <c r="CJ48" i="15" s="1"/>
  <c r="CL48" i="15" s="1"/>
  <c r="BV48" i="15"/>
  <c r="BW48" i="15" s="1"/>
  <c r="BX48" i="15" s="1"/>
  <c r="BV33" i="15"/>
  <c r="BW33" i="15" s="1"/>
  <c r="BX33" i="15" s="1"/>
  <c r="CI33" i="15"/>
  <c r="CJ33" i="15" s="1"/>
  <c r="CL33" i="15" s="1"/>
  <c r="CI38" i="15"/>
  <c r="CJ38" i="15" s="1"/>
  <c r="CL38" i="15" s="1"/>
  <c r="BV38" i="15"/>
  <c r="BW38" i="15" s="1"/>
  <c r="BX38" i="15" s="1"/>
  <c r="CI24" i="15"/>
  <c r="CJ24" i="15" s="1"/>
  <c r="CL24" i="15" s="1"/>
  <c r="BV24" i="15"/>
  <c r="BW24" i="15" s="1"/>
  <c r="BX24" i="15" s="1"/>
  <c r="CI36" i="12"/>
  <c r="CJ36" i="12" s="1"/>
  <c r="CL36" i="12" s="1"/>
  <c r="BV36" i="12"/>
  <c r="BW36" i="12" s="1"/>
  <c r="BX36" i="12" s="1"/>
  <c r="BV12" i="12"/>
  <c r="BW12" i="12" s="1"/>
  <c r="BX12" i="12" s="1"/>
  <c r="CI12" i="12"/>
  <c r="CJ12" i="12" s="1"/>
  <c r="CL12" i="12" s="1"/>
  <c r="BV48" i="12"/>
  <c r="BW48" i="12" s="1"/>
  <c r="BX48" i="12" s="1"/>
  <c r="CI48" i="12"/>
  <c r="CJ48" i="12" s="1"/>
  <c r="CL48" i="12" s="1"/>
  <c r="CI48" i="16"/>
  <c r="CJ48" i="16" s="1"/>
  <c r="CL48" i="16" s="1"/>
  <c r="BV48" i="16"/>
  <c r="BW48" i="16" s="1"/>
  <c r="BX48" i="16" s="1"/>
  <c r="BV50" i="16"/>
  <c r="BW50" i="16" s="1"/>
  <c r="BX50" i="16" s="1"/>
  <c r="CI50" i="16"/>
  <c r="CJ50" i="16" s="1"/>
  <c r="CL50" i="16" s="1"/>
  <c r="BV40" i="16"/>
  <c r="BW40" i="16" s="1"/>
  <c r="BX40" i="16" s="1"/>
  <c r="CJ40" i="16"/>
  <c r="CL40" i="16" s="1"/>
  <c r="CI40" i="16"/>
  <c r="CI32" i="12"/>
  <c r="CJ32" i="12" s="1"/>
  <c r="CL32" i="12" s="1"/>
  <c r="BV32" i="12"/>
  <c r="BW32" i="12" s="1"/>
  <c r="BX32" i="12" s="1"/>
  <c r="BV40" i="12"/>
  <c r="BW40" i="12" s="1"/>
  <c r="BX40" i="12" s="1"/>
  <c r="CI40" i="12"/>
  <c r="CJ40" i="12" s="1"/>
  <c r="CL40" i="12" s="1"/>
  <c r="CI29" i="12"/>
  <c r="CJ29" i="12" s="1"/>
  <c r="CL29" i="12" s="1"/>
  <c r="BV29" i="12"/>
  <c r="BW29" i="12"/>
  <c r="BX29" i="12" s="1"/>
  <c r="CI23" i="16"/>
  <c r="CJ23" i="16" s="1"/>
  <c r="CL23" i="16" s="1"/>
  <c r="BV23" i="16"/>
  <c r="BW23" i="16" s="1"/>
  <c r="BX23" i="16" s="1"/>
  <c r="CI18" i="16"/>
  <c r="CJ18" i="16" s="1"/>
  <c r="CL18" i="16" s="1"/>
  <c r="BV18" i="16"/>
  <c r="BW18" i="16" s="1"/>
  <c r="BX18" i="16" s="1"/>
  <c r="BV26" i="16"/>
  <c r="BW26" i="16" s="1"/>
  <c r="BX26" i="16" s="1"/>
  <c r="CI26" i="16"/>
  <c r="CJ26" i="16" s="1"/>
  <c r="CL26" i="16" s="1"/>
  <c r="CI51" i="13"/>
  <c r="BV45" i="15"/>
  <c r="BW45" i="15" s="1"/>
  <c r="BX45" i="15" s="1"/>
  <c r="CI45" i="15"/>
  <c r="CJ45" i="15" s="1"/>
  <c r="CL45" i="15" s="1"/>
  <c r="BV41" i="15"/>
  <c r="BW41" i="15" s="1"/>
  <c r="BX41" i="15" s="1"/>
  <c r="CI41" i="15"/>
  <c r="CJ41" i="15" s="1"/>
  <c r="CL41" i="15" s="1"/>
  <c r="CI25" i="15"/>
  <c r="CJ25" i="15"/>
  <c r="CL25" i="15" s="1"/>
  <c r="BV25" i="15"/>
  <c r="BW25" i="15" s="1"/>
  <c r="BX25" i="15" s="1"/>
  <c r="BV34" i="15"/>
  <c r="BW34" i="15" s="1"/>
  <c r="BX34" i="15" s="1"/>
  <c r="CI34" i="15"/>
  <c r="CJ34" i="15" s="1"/>
  <c r="CL34" i="15" s="1"/>
  <c r="BV51" i="2"/>
  <c r="BW11" i="2"/>
  <c r="BW51" i="2" s="1"/>
  <c r="BV51" i="4"/>
  <c r="BW11" i="4"/>
  <c r="BW51" i="4" s="1"/>
  <c r="BU12" i="5"/>
  <c r="BV12" i="5" s="1"/>
  <c r="BW12" i="5" s="1"/>
  <c r="BU24" i="5"/>
  <c r="BV24" i="5" s="1"/>
  <c r="BW24" i="5" s="1"/>
  <c r="BU20" i="5"/>
  <c r="BV20" i="5" s="1"/>
  <c r="BW20" i="5" s="1"/>
  <c r="BU49" i="5"/>
  <c r="BV49" i="5" s="1"/>
  <c r="BW49" i="5" s="1"/>
  <c r="BU29" i="6"/>
  <c r="BV29" i="6" s="1"/>
  <c r="BW29" i="6" s="1"/>
  <c r="BU27" i="6"/>
  <c r="BV27" i="6" s="1"/>
  <c r="BW27" i="6" s="1"/>
  <c r="BU15" i="6"/>
  <c r="BV15" i="6" s="1"/>
  <c r="BW15" i="6" s="1"/>
  <c r="BU28" i="5"/>
  <c r="BV28" i="5" s="1"/>
  <c r="BW28" i="5" s="1"/>
  <c r="BU47" i="5"/>
  <c r="BV47" i="5" s="1"/>
  <c r="BW47" i="5" s="1"/>
  <c r="BU35" i="6"/>
  <c r="BV35" i="6" s="1"/>
  <c r="BW35" i="6" s="1"/>
  <c r="BU48" i="5"/>
  <c r="BV48" i="5" s="1"/>
  <c r="BW48" i="5" s="1"/>
  <c r="BU22" i="5"/>
  <c r="BV22" i="5" s="1"/>
  <c r="BW22" i="5" s="1"/>
  <c r="BU44" i="5"/>
  <c r="BV44" i="5" s="1"/>
  <c r="BW44" i="5" s="1"/>
  <c r="BU46" i="6"/>
  <c r="BV46" i="6" s="1"/>
  <c r="BW46" i="6" s="1"/>
  <c r="BU12" i="6"/>
  <c r="BV12" i="6" s="1"/>
  <c r="BW12" i="6" s="1"/>
  <c r="BU44" i="6"/>
  <c r="BV44" i="6" s="1"/>
  <c r="BW44" i="6" s="1"/>
  <c r="BU50" i="5"/>
  <c r="BV50" i="5" s="1"/>
  <c r="BW50" i="5" s="1"/>
  <c r="BU30" i="6"/>
  <c r="BV30" i="6" s="1"/>
  <c r="BW30" i="6" s="1"/>
  <c r="BU38" i="5"/>
  <c r="BV38" i="5" s="1"/>
  <c r="BW38" i="5" s="1"/>
  <c r="BU43" i="5"/>
  <c r="BV43" i="5" s="1"/>
  <c r="BW43" i="5" s="1"/>
  <c r="BU35" i="5"/>
  <c r="BV35" i="5" s="1"/>
  <c r="BW35" i="5" s="1"/>
  <c r="BU18" i="6"/>
  <c r="BV18" i="6"/>
  <c r="BW18" i="6" s="1"/>
  <c r="BU25" i="6"/>
  <c r="BV25" i="6" s="1"/>
  <c r="BW25" i="6" s="1"/>
  <c r="BU45" i="6"/>
  <c r="BV45" i="6" s="1"/>
  <c r="BW45" i="6" s="1"/>
  <c r="BS51" i="5"/>
  <c r="BU11" i="5"/>
  <c r="BV11" i="5" s="1"/>
  <c r="BU39" i="6"/>
  <c r="BV39" i="6" s="1"/>
  <c r="BW39" i="6" s="1"/>
  <c r="BU19" i="5"/>
  <c r="BV19" i="5" s="1"/>
  <c r="BW19" i="5" s="1"/>
  <c r="BU41" i="5"/>
  <c r="BV41" i="5" s="1"/>
  <c r="BW41" i="5" s="1"/>
  <c r="BU32" i="5"/>
  <c r="BV32" i="5" s="1"/>
  <c r="BW32" i="5" s="1"/>
  <c r="BU31" i="6"/>
  <c r="BV31" i="6" s="1"/>
  <c r="BW31" i="6" s="1"/>
  <c r="BU41" i="6"/>
  <c r="BV41" i="6" s="1"/>
  <c r="BW41" i="6" s="1"/>
  <c r="BU32" i="6"/>
  <c r="BV32" i="6" s="1"/>
  <c r="BW32" i="6" s="1"/>
  <c r="BR51" i="5"/>
  <c r="BU16" i="5"/>
  <c r="BV16" i="5" s="1"/>
  <c r="BW16" i="5" s="1"/>
  <c r="BU33" i="6"/>
  <c r="BV33" i="6" s="1"/>
  <c r="BW33" i="6" s="1"/>
  <c r="BU14" i="5"/>
  <c r="BV14" i="5" s="1"/>
  <c r="BW14" i="5" s="1"/>
  <c r="BU37" i="5"/>
  <c r="BV37" i="5" s="1"/>
  <c r="BW37" i="5" s="1"/>
  <c r="BU40" i="5"/>
  <c r="BV40" i="5" s="1"/>
  <c r="BW40" i="5" s="1"/>
  <c r="BU46" i="5"/>
  <c r="BV46" i="5" s="1"/>
  <c r="BW46" i="5" s="1"/>
  <c r="BU37" i="6"/>
  <c r="BV37" i="6" s="1"/>
  <c r="BW37" i="6" s="1"/>
  <c r="BU16" i="6"/>
  <c r="BV16" i="6" s="1"/>
  <c r="BW16" i="6" s="1"/>
  <c r="BU34" i="6"/>
  <c r="BV34" i="6" s="1"/>
  <c r="BW34" i="6" s="1"/>
  <c r="BU21" i="5"/>
  <c r="BV21" i="5" s="1"/>
  <c r="BW21" i="5" s="1"/>
  <c r="BU14" i="6"/>
  <c r="BV14" i="6" s="1"/>
  <c r="BW14" i="6" s="1"/>
  <c r="BU25" i="5"/>
  <c r="BV25" i="5" s="1"/>
  <c r="BW25" i="5" s="1"/>
  <c r="BU43" i="6"/>
  <c r="BV43" i="6"/>
  <c r="BW43" i="6" s="1"/>
  <c r="BU27" i="5"/>
  <c r="BV27" i="5" s="1"/>
  <c r="BW27" i="5" s="1"/>
  <c r="BU36" i="5"/>
  <c r="BV36" i="5" s="1"/>
  <c r="BW36" i="5" s="1"/>
  <c r="BU13" i="5"/>
  <c r="BV13" i="5" s="1"/>
  <c r="BW13" i="5" s="1"/>
  <c r="BU38" i="6"/>
  <c r="BV38" i="6" s="1"/>
  <c r="BW38" i="6" s="1"/>
  <c r="BU20" i="6"/>
  <c r="BV20" i="6" s="1"/>
  <c r="BW20" i="6" s="1"/>
  <c r="BU19" i="6"/>
  <c r="BV19" i="6" s="1"/>
  <c r="BW19" i="6" s="1"/>
  <c r="BU36" i="6"/>
  <c r="BV36" i="6"/>
  <c r="BW36" i="6" s="1"/>
  <c r="BU39" i="5"/>
  <c r="BV39" i="5"/>
  <c r="BW39" i="5" s="1"/>
  <c r="BU30" i="5"/>
  <c r="BV30" i="5" s="1"/>
  <c r="BW30" i="5" s="1"/>
  <c r="BU45" i="5"/>
  <c r="BV45" i="5" s="1"/>
  <c r="BW45" i="5" s="1"/>
  <c r="BU23" i="5"/>
  <c r="BV23" i="5" s="1"/>
  <c r="BW23" i="5" s="1"/>
  <c r="BU13" i="6"/>
  <c r="BV13" i="6" s="1"/>
  <c r="BW13" i="6" s="1"/>
  <c r="BU28" i="6"/>
  <c r="BV28" i="6" s="1"/>
  <c r="BW28" i="6" s="1"/>
  <c r="BU23" i="6"/>
  <c r="BV23" i="6" s="1"/>
  <c r="BW23" i="6" s="1"/>
  <c r="BU24" i="6"/>
  <c r="BV24" i="6" s="1"/>
  <c r="BW24" i="6" s="1"/>
  <c r="BU29" i="5"/>
  <c r="BV29" i="5" s="1"/>
  <c r="BW29" i="5" s="1"/>
  <c r="BU22" i="6"/>
  <c r="BV22" i="6" s="1"/>
  <c r="BW22" i="6" s="1"/>
  <c r="BV51" i="3"/>
  <c r="BW11" i="3"/>
  <c r="BW51" i="3" s="1"/>
  <c r="BU40" i="6"/>
  <c r="BV40" i="6" s="1"/>
  <c r="BW40" i="6" s="1"/>
  <c r="BU42" i="6"/>
  <c r="BV42" i="6" s="1"/>
  <c r="BW42" i="6" s="1"/>
  <c r="BU15" i="5"/>
  <c r="BV15" i="5" s="1"/>
  <c r="BW15" i="5" s="1"/>
  <c r="BU33" i="5"/>
  <c r="BV33" i="5" s="1"/>
  <c r="BW33" i="5" s="1"/>
  <c r="BU42" i="5"/>
  <c r="BV42" i="5"/>
  <c r="BW42" i="5" s="1"/>
  <c r="BU34" i="5"/>
  <c r="BV34" i="5" s="1"/>
  <c r="BW34" i="5" s="1"/>
  <c r="BU50" i="6"/>
  <c r="BV50" i="6" s="1"/>
  <c r="BW50" i="6" s="1"/>
  <c r="BU48" i="6"/>
  <c r="BV48" i="6" s="1"/>
  <c r="BW48" i="6" s="1"/>
  <c r="BU21" i="6"/>
  <c r="BV21" i="6" s="1"/>
  <c r="BW21" i="6" s="1"/>
  <c r="BU17" i="6"/>
  <c r="BV17" i="6" s="1"/>
  <c r="BW17" i="6" s="1"/>
  <c r="BS51" i="6"/>
  <c r="BU11" i="6"/>
  <c r="BV11" i="6" s="1"/>
  <c r="BU18" i="5"/>
  <c r="BV18" i="5" s="1"/>
  <c r="BW18" i="5" s="1"/>
  <c r="BU26" i="5"/>
  <c r="BV26" i="5" s="1"/>
  <c r="BW26" i="5" s="1"/>
  <c r="BU31" i="5"/>
  <c r="BV31" i="5" s="1"/>
  <c r="BW31" i="5" s="1"/>
  <c r="BU17" i="5"/>
  <c r="BV17" i="5" s="1"/>
  <c r="BW17" i="5" s="1"/>
  <c r="BU47" i="6"/>
  <c r="BV47" i="6" s="1"/>
  <c r="BW47" i="6" s="1"/>
  <c r="BU26" i="6"/>
  <c r="BV26" i="6" s="1"/>
  <c r="BW26" i="6" s="1"/>
  <c r="BU49" i="6"/>
  <c r="BV49" i="6" s="1"/>
  <c r="BW49" i="6" s="1"/>
  <c r="BR51" i="6"/>
  <c r="CT41" i="25" l="1"/>
  <c r="CU41" i="25" s="1"/>
  <c r="CT40" i="22"/>
  <c r="CU40" i="22" s="1"/>
  <c r="CP40" i="22"/>
  <c r="CQ40" i="22" s="1"/>
  <c r="CT12" i="23"/>
  <c r="CP12" i="23"/>
  <c r="CQ12" i="23" s="1"/>
  <c r="CU12" i="23"/>
  <c r="CT44" i="24"/>
  <c r="CU44" i="24" s="1"/>
  <c r="CP44" i="24"/>
  <c r="CQ44" i="24" s="1"/>
  <c r="CT40" i="24"/>
  <c r="CU40" i="24" s="1"/>
  <c r="CP40" i="24"/>
  <c r="CQ40" i="24" s="1"/>
  <c r="CT35" i="24"/>
  <c r="CU35" i="24" s="1"/>
  <c r="CP35" i="24"/>
  <c r="CQ35" i="24" s="1"/>
  <c r="CT36" i="26"/>
  <c r="CU36" i="26" s="1"/>
  <c r="CP36" i="26"/>
  <c r="CQ36" i="26" s="1"/>
  <c r="CT42" i="25"/>
  <c r="CU42" i="25" s="1"/>
  <c r="CP42" i="25"/>
  <c r="CQ42" i="25" s="1"/>
  <c r="CP31" i="25"/>
  <c r="CQ31" i="25" s="1"/>
  <c r="CT31" i="25"/>
  <c r="CU31" i="25" s="1"/>
  <c r="CT30" i="25"/>
  <c r="CU30" i="25" s="1"/>
  <c r="CP30" i="25"/>
  <c r="CQ30" i="25" s="1"/>
  <c r="CP28" i="26"/>
  <c r="CQ28" i="26" s="1"/>
  <c r="CT28" i="26"/>
  <c r="CU28" i="26" s="1"/>
  <c r="CZ12" i="24"/>
  <c r="CV12" i="24"/>
  <c r="CU12" i="25"/>
  <c r="CT17" i="24"/>
  <c r="CU17" i="24" s="1"/>
  <c r="CP17" i="24"/>
  <c r="CQ17" i="24" s="1"/>
  <c r="CT23" i="22"/>
  <c r="CU23" i="22" s="1"/>
  <c r="CP23" i="22"/>
  <c r="CQ23" i="22" s="1"/>
  <c r="CP49" i="26"/>
  <c r="CQ49" i="26" s="1"/>
  <c r="CT49" i="26"/>
  <c r="CU49" i="26"/>
  <c r="CP29" i="25"/>
  <c r="CQ29" i="25" s="1"/>
  <c r="CU29" i="25"/>
  <c r="CT29" i="25"/>
  <c r="CT24" i="26"/>
  <c r="CU24" i="26" s="1"/>
  <c r="CP24" i="26"/>
  <c r="CQ24" i="26" s="1"/>
  <c r="CT41" i="26"/>
  <c r="CU41" i="26" s="1"/>
  <c r="CP41" i="26"/>
  <c r="CQ41" i="26" s="1"/>
  <c r="CP23" i="26"/>
  <c r="CQ23" i="26" s="1"/>
  <c r="CT23" i="26"/>
  <c r="CU23" i="26" s="1"/>
  <c r="CP29" i="24"/>
  <c r="CQ29" i="24" s="1"/>
  <c r="CT29" i="24"/>
  <c r="CU29" i="24" s="1"/>
  <c r="CT37" i="24"/>
  <c r="CU37" i="24"/>
  <c r="CP37" i="24"/>
  <c r="CQ37" i="24" s="1"/>
  <c r="CP49" i="24"/>
  <c r="CQ49" i="24" s="1"/>
  <c r="CT49" i="24"/>
  <c r="CU49" i="24" s="1"/>
  <c r="CM12" i="22"/>
  <c r="CN12" i="22" s="1"/>
  <c r="CO12" i="22" s="1"/>
  <c r="CP37" i="26"/>
  <c r="CQ37" i="26" s="1"/>
  <c r="CT37" i="26"/>
  <c r="CU37" i="26" s="1"/>
  <c r="CT34" i="26"/>
  <c r="CP34" i="26"/>
  <c r="CQ34" i="26" s="1"/>
  <c r="CU34" i="26"/>
  <c r="CT39" i="25"/>
  <c r="CU39" i="25" s="1"/>
  <c r="CP39" i="25"/>
  <c r="CQ39" i="25" s="1"/>
  <c r="CU22" i="25"/>
  <c r="CT22" i="25"/>
  <c r="CP22" i="25"/>
  <c r="CQ22" i="25" s="1"/>
  <c r="CT27" i="25"/>
  <c r="CU27" i="25" s="1"/>
  <c r="CP27" i="25"/>
  <c r="CQ27" i="25" s="1"/>
  <c r="CT33" i="26"/>
  <c r="CU33" i="26" s="1"/>
  <c r="CP33" i="26"/>
  <c r="CQ33" i="26" s="1"/>
  <c r="CT32" i="24"/>
  <c r="CU32" i="24" s="1"/>
  <c r="CP32" i="24"/>
  <c r="CQ32" i="24" s="1"/>
  <c r="CV48" i="24"/>
  <c r="CZ48" i="24"/>
  <c r="DA48" i="24" s="1"/>
  <c r="CT26" i="25"/>
  <c r="CU26" i="25" s="1"/>
  <c r="CP26" i="25"/>
  <c r="CQ26" i="25" s="1"/>
  <c r="CT26" i="23"/>
  <c r="CU26" i="23" s="1"/>
  <c r="CP26" i="23"/>
  <c r="CQ26" i="23" s="1"/>
  <c r="CT21" i="24"/>
  <c r="CU21" i="24" s="1"/>
  <c r="CP21" i="24"/>
  <c r="CQ21" i="24" s="1"/>
  <c r="CT25" i="24"/>
  <c r="CU25" i="24" s="1"/>
  <c r="CP25" i="24"/>
  <c r="CQ25" i="24" s="1"/>
  <c r="CT47" i="26"/>
  <c r="CP47" i="26"/>
  <c r="CQ47" i="26" s="1"/>
  <c r="CU47" i="26"/>
  <c r="CT44" i="26"/>
  <c r="CU44" i="26" s="1"/>
  <c r="CP44" i="26"/>
  <c r="CQ44" i="26" s="1"/>
  <c r="CT14" i="26"/>
  <c r="CU14" i="26"/>
  <c r="CP14" i="26"/>
  <c r="CQ14" i="26" s="1"/>
  <c r="CT44" i="25"/>
  <c r="CU44" i="25" s="1"/>
  <c r="CP44" i="25"/>
  <c r="CQ44" i="25" s="1"/>
  <c r="BW50" i="24"/>
  <c r="BX12" i="24"/>
  <c r="CP43" i="26"/>
  <c r="CQ43" i="26" s="1"/>
  <c r="CT43" i="26"/>
  <c r="CU43" i="26" s="1"/>
  <c r="CT22" i="24"/>
  <c r="CU22" i="24" s="1"/>
  <c r="CP22" i="24"/>
  <c r="CQ22" i="24" s="1"/>
  <c r="CP41" i="24"/>
  <c r="CQ41" i="24" s="1"/>
  <c r="CT41" i="24"/>
  <c r="CU41" i="24" s="1"/>
  <c r="CT33" i="24"/>
  <c r="CU33" i="24" s="1"/>
  <c r="CP33" i="24"/>
  <c r="CQ33" i="24" s="1"/>
  <c r="CT32" i="26"/>
  <c r="CP32" i="26"/>
  <c r="CQ32" i="26" s="1"/>
  <c r="CU32" i="26"/>
  <c r="CM25" i="22"/>
  <c r="CN25" i="22" s="1"/>
  <c r="CO25" i="22" s="1"/>
  <c r="CT19" i="25"/>
  <c r="CP19" i="25"/>
  <c r="CQ19" i="25" s="1"/>
  <c r="CU19" i="25"/>
  <c r="CP33" i="25"/>
  <c r="CQ33" i="25" s="1"/>
  <c r="CT33" i="25"/>
  <c r="CU33" i="25" s="1"/>
  <c r="CT24" i="25"/>
  <c r="CU24" i="25" s="1"/>
  <c r="CP24" i="25"/>
  <c r="CQ24" i="25" s="1"/>
  <c r="CT15" i="24"/>
  <c r="CU15" i="24" s="1"/>
  <c r="CP15" i="24"/>
  <c r="CQ15" i="24" s="1"/>
  <c r="CT46" i="22"/>
  <c r="CU46" i="22" s="1"/>
  <c r="CP46" i="22"/>
  <c r="CQ46" i="22" s="1"/>
  <c r="CT37" i="25"/>
  <c r="CP37" i="25"/>
  <c r="CQ37" i="25" s="1"/>
  <c r="CU37" i="25"/>
  <c r="CT40" i="26"/>
  <c r="CU40" i="26" s="1"/>
  <c r="CP40" i="26"/>
  <c r="CQ40" i="26" s="1"/>
  <c r="CT14" i="24"/>
  <c r="CU14" i="24" s="1"/>
  <c r="CP14" i="24"/>
  <c r="CQ14" i="24" s="1"/>
  <c r="CM50" i="22"/>
  <c r="CN50" i="22" s="1"/>
  <c r="CO50" i="22" s="1"/>
  <c r="CP50" i="22" s="1"/>
  <c r="CM30" i="22"/>
  <c r="CN30" i="22" s="1"/>
  <c r="CO30" i="22" s="1"/>
  <c r="CM13" i="22"/>
  <c r="CN13" i="22" s="1"/>
  <c r="CO13" i="22" s="1"/>
  <c r="CM26" i="22"/>
  <c r="CN26" i="22" s="1"/>
  <c r="CO26" i="22" s="1"/>
  <c r="CM31" i="22"/>
  <c r="CN31" i="22" s="1"/>
  <c r="CO31" i="22" s="1"/>
  <c r="CM36" i="22"/>
  <c r="CN36" i="22" s="1"/>
  <c r="CO36" i="22" s="1"/>
  <c r="CM47" i="22"/>
  <c r="CN47" i="22" s="1"/>
  <c r="CO47" i="22" s="1"/>
  <c r="CM45" i="22"/>
  <c r="CN45" i="22" s="1"/>
  <c r="CO45" i="22" s="1"/>
  <c r="CM39" i="22"/>
  <c r="CN39" i="22" s="1"/>
  <c r="CO39" i="22" s="1"/>
  <c r="CM35" i="22"/>
  <c r="CN35" i="22" s="1"/>
  <c r="CO35" i="22" s="1"/>
  <c r="CM34" i="22"/>
  <c r="CN34" i="22" s="1"/>
  <c r="CO34" i="22" s="1"/>
  <c r="CM41" i="22"/>
  <c r="CN41" i="22" s="1"/>
  <c r="CO41" i="22" s="1"/>
  <c r="CM38" i="22"/>
  <c r="CN38" i="22" s="1"/>
  <c r="CO38" i="22" s="1"/>
  <c r="CM37" i="22"/>
  <c r="CN37" i="22" s="1"/>
  <c r="CO37" i="22" s="1"/>
  <c r="CM22" i="22"/>
  <c r="CN22" i="22" s="1"/>
  <c r="CO22" i="22" s="1"/>
  <c r="CM14" i="22"/>
  <c r="CN14" i="22" s="1"/>
  <c r="CO14" i="22" s="1"/>
  <c r="CM28" i="22"/>
  <c r="CN28" i="22" s="1"/>
  <c r="CO28" i="22" s="1"/>
  <c r="CM16" i="22"/>
  <c r="CN16" i="22" s="1"/>
  <c r="CO16" i="22" s="1"/>
  <c r="CM44" i="22"/>
  <c r="CN44" i="22" s="1"/>
  <c r="CO44" i="22" s="1"/>
  <c r="CM49" i="22"/>
  <c r="CN49" i="22" s="1"/>
  <c r="CO49" i="22" s="1"/>
  <c r="CM33" i="22"/>
  <c r="CN33" i="22" s="1"/>
  <c r="CO33" i="22" s="1"/>
  <c r="CM17" i="22"/>
  <c r="CN17" i="22" s="1"/>
  <c r="CO17" i="22" s="1"/>
  <c r="CM27" i="22"/>
  <c r="CN27" i="22" s="1"/>
  <c r="CO27" i="22" s="1"/>
  <c r="CM48" i="22"/>
  <c r="CN48" i="22" s="1"/>
  <c r="CO48" i="22" s="1"/>
  <c r="CM18" i="22"/>
  <c r="CN18" i="22" s="1"/>
  <c r="CO18" i="22" s="1"/>
  <c r="CM19" i="22"/>
  <c r="CN19" i="22" s="1"/>
  <c r="CO19" i="22" s="1"/>
  <c r="CM32" i="22"/>
  <c r="CN32" i="22" s="1"/>
  <c r="CO32" i="22" s="1"/>
  <c r="CM21" i="22"/>
  <c r="CN21" i="22" s="1"/>
  <c r="CO21" i="22" s="1"/>
  <c r="CM43" i="22"/>
  <c r="CN43" i="22" s="1"/>
  <c r="CO43" i="22" s="1"/>
  <c r="CM24" i="22"/>
  <c r="CN24" i="22" s="1"/>
  <c r="CO24" i="22" s="1"/>
  <c r="CM15" i="22"/>
  <c r="CN15" i="22" s="1"/>
  <c r="CO15" i="22" s="1"/>
  <c r="CM42" i="22"/>
  <c r="CN42" i="22" s="1"/>
  <c r="CO42" i="22" s="1"/>
  <c r="CM20" i="22"/>
  <c r="CN20" i="22" s="1"/>
  <c r="CO20" i="22" s="1"/>
  <c r="CT32" i="23"/>
  <c r="CP32" i="23"/>
  <c r="CQ32" i="23" s="1"/>
  <c r="CU32" i="23"/>
  <c r="CP17" i="25"/>
  <c r="CQ17" i="25" s="1"/>
  <c r="CT17" i="25"/>
  <c r="CU17" i="25" s="1"/>
  <c r="CP23" i="25"/>
  <c r="CQ23" i="25" s="1"/>
  <c r="CT23" i="25"/>
  <c r="CU23" i="25" s="1"/>
  <c r="CU48" i="26"/>
  <c r="CT48" i="26"/>
  <c r="CP48" i="26"/>
  <c r="CQ48" i="26" s="1"/>
  <c r="CP16" i="26"/>
  <c r="CQ16" i="26" s="1"/>
  <c r="CT16" i="26"/>
  <c r="CU16" i="26" s="1"/>
  <c r="CT42" i="24"/>
  <c r="CU42" i="24" s="1"/>
  <c r="CP42" i="24"/>
  <c r="CQ42" i="24" s="1"/>
  <c r="CT24" i="24"/>
  <c r="CU24" i="24" s="1"/>
  <c r="CP24" i="24"/>
  <c r="CQ24" i="24" s="1"/>
  <c r="CT45" i="24"/>
  <c r="CU45" i="24" s="1"/>
  <c r="CP45" i="24"/>
  <c r="CQ45" i="24" s="1"/>
  <c r="BW50" i="22"/>
  <c r="BX12" i="22"/>
  <c r="CP36" i="25"/>
  <c r="CQ36" i="25" s="1"/>
  <c r="CT36" i="25"/>
  <c r="CU36" i="25" s="1"/>
  <c r="CT16" i="25"/>
  <c r="CU16" i="25" s="1"/>
  <c r="CP16" i="25"/>
  <c r="CQ16" i="25" s="1"/>
  <c r="CP25" i="25"/>
  <c r="CQ25" i="25" s="1"/>
  <c r="CT25" i="25"/>
  <c r="CU25" i="25" s="1"/>
  <c r="CP29" i="26"/>
  <c r="CQ29" i="26" s="1"/>
  <c r="CT29" i="26"/>
  <c r="CU29" i="26" s="1"/>
  <c r="CU46" i="26"/>
  <c r="CP46" i="26"/>
  <c r="CQ46" i="26" s="1"/>
  <c r="CT46" i="26"/>
  <c r="CP28" i="24"/>
  <c r="CQ28" i="24" s="1"/>
  <c r="CT28" i="24"/>
  <c r="CU28" i="24" s="1"/>
  <c r="CT18" i="24"/>
  <c r="CU18" i="24"/>
  <c r="CP18" i="24"/>
  <c r="CQ18" i="24" s="1"/>
  <c r="CT15" i="26"/>
  <c r="CU15" i="26" s="1"/>
  <c r="CP15" i="26"/>
  <c r="CQ15" i="26" s="1"/>
  <c r="CT17" i="26"/>
  <c r="CU17" i="26" s="1"/>
  <c r="CP17" i="26"/>
  <c r="CQ17" i="26" s="1"/>
  <c r="BX50" i="25"/>
  <c r="BY12" i="25" s="1"/>
  <c r="CT14" i="23"/>
  <c r="CU14" i="23" s="1"/>
  <c r="CP14" i="23"/>
  <c r="CQ14" i="23" s="1"/>
  <c r="CP43" i="25"/>
  <c r="CQ43" i="25" s="1"/>
  <c r="CT43" i="25"/>
  <c r="CU43" i="25" s="1"/>
  <c r="CT47" i="25"/>
  <c r="CU47" i="25" s="1"/>
  <c r="CP47" i="25"/>
  <c r="CQ47" i="25" s="1"/>
  <c r="CP34" i="25"/>
  <c r="CQ34" i="25" s="1"/>
  <c r="CT34" i="25"/>
  <c r="CU34" i="25" s="1"/>
  <c r="CT35" i="26"/>
  <c r="CU35" i="26" s="1"/>
  <c r="CP35" i="26"/>
  <c r="CQ35" i="26" s="1"/>
  <c r="CT29" i="22"/>
  <c r="CU29" i="22" s="1"/>
  <c r="CP29" i="22"/>
  <c r="CQ29" i="22" s="1"/>
  <c r="CT31" i="24"/>
  <c r="CU31" i="24" s="1"/>
  <c r="CP31" i="24"/>
  <c r="CQ31" i="24" s="1"/>
  <c r="CP34" i="24"/>
  <c r="CQ34" i="24" s="1"/>
  <c r="CU34" i="24"/>
  <c r="CT34" i="24"/>
  <c r="CT40" i="25"/>
  <c r="CU40" i="25" s="1"/>
  <c r="CP40" i="25"/>
  <c r="CQ40" i="25" s="1"/>
  <c r="CT48" i="25"/>
  <c r="CP48" i="25"/>
  <c r="CQ48" i="25" s="1"/>
  <c r="CU48" i="25"/>
  <c r="CP46" i="24"/>
  <c r="CQ46" i="24" s="1"/>
  <c r="CT46" i="24"/>
  <c r="CU46" i="24"/>
  <c r="CT23" i="24"/>
  <c r="CU23" i="24" s="1"/>
  <c r="CP23" i="24"/>
  <c r="CQ23" i="24" s="1"/>
  <c r="CT13" i="24"/>
  <c r="CU13" i="24" s="1"/>
  <c r="CP13" i="24"/>
  <c r="CQ13" i="24" s="1"/>
  <c r="CP12" i="26"/>
  <c r="CQ12" i="26" s="1"/>
  <c r="CT12" i="26"/>
  <c r="CT50" i="26" s="1"/>
  <c r="CT49" i="25"/>
  <c r="CP49" i="25"/>
  <c r="CQ49" i="25" s="1"/>
  <c r="CU49" i="25"/>
  <c r="CT46" i="25"/>
  <c r="CU46" i="25" s="1"/>
  <c r="CP46" i="25"/>
  <c r="CQ46" i="25" s="1"/>
  <c r="CP38" i="26"/>
  <c r="CQ38" i="26" s="1"/>
  <c r="CT38" i="26"/>
  <c r="CU38" i="26" s="1"/>
  <c r="CT19" i="24"/>
  <c r="CU19" i="24" s="1"/>
  <c r="CP19" i="24"/>
  <c r="CQ19" i="24" s="1"/>
  <c r="CT13" i="25"/>
  <c r="CU13" i="25" s="1"/>
  <c r="CP13" i="25"/>
  <c r="CQ13" i="25" s="1"/>
  <c r="CP31" i="26"/>
  <c r="CQ31" i="26" s="1"/>
  <c r="CT31" i="26"/>
  <c r="CU31" i="26" s="1"/>
  <c r="CT43" i="24"/>
  <c r="CU43" i="24" s="1"/>
  <c r="CP43" i="24"/>
  <c r="CQ43" i="24" s="1"/>
  <c r="CT47" i="24"/>
  <c r="CU47" i="24" s="1"/>
  <c r="CP47" i="24"/>
  <c r="CQ47" i="24" s="1"/>
  <c r="CP26" i="24"/>
  <c r="CQ26" i="24" s="1"/>
  <c r="CT26" i="24"/>
  <c r="CU26" i="24" s="1"/>
  <c r="CP19" i="26"/>
  <c r="CQ19" i="26" s="1"/>
  <c r="CT19" i="26"/>
  <c r="CU19" i="26" s="1"/>
  <c r="CT20" i="26"/>
  <c r="CU20" i="26" s="1"/>
  <c r="CP20" i="26"/>
  <c r="CQ20" i="26" s="1"/>
  <c r="CT21" i="26"/>
  <c r="CU21" i="26" s="1"/>
  <c r="CP21" i="26"/>
  <c r="CQ21" i="26" s="1"/>
  <c r="BX50" i="26"/>
  <c r="BY12" i="26" s="1"/>
  <c r="BZ12" i="26" s="1"/>
  <c r="S42" i="37" s="1"/>
  <c r="CP15" i="25"/>
  <c r="CQ15" i="25" s="1"/>
  <c r="CT15" i="25"/>
  <c r="CU15" i="25" s="1"/>
  <c r="CP38" i="25"/>
  <c r="CQ38" i="25" s="1"/>
  <c r="CT38" i="25"/>
  <c r="CU38" i="25" s="1"/>
  <c r="CT32" i="25"/>
  <c r="CU32" i="25" s="1"/>
  <c r="CP32" i="25"/>
  <c r="CQ32" i="25" s="1"/>
  <c r="CU30" i="26"/>
  <c r="CT30" i="26"/>
  <c r="CP30" i="26"/>
  <c r="CQ30" i="26" s="1"/>
  <c r="CM50" i="23"/>
  <c r="CN50" i="23" s="1"/>
  <c r="CO50" i="23" s="1"/>
  <c r="CP50" i="23" s="1"/>
  <c r="CM44" i="23"/>
  <c r="CN44" i="23" s="1"/>
  <c r="CO44" i="23" s="1"/>
  <c r="CM24" i="23"/>
  <c r="CN24" i="23" s="1"/>
  <c r="CO24" i="23" s="1"/>
  <c r="CM30" i="23"/>
  <c r="CN30" i="23" s="1"/>
  <c r="CO30" i="23" s="1"/>
  <c r="CM39" i="23"/>
  <c r="CN39" i="23" s="1"/>
  <c r="CO39" i="23" s="1"/>
  <c r="CM47" i="23"/>
  <c r="CN47" i="23" s="1"/>
  <c r="CO47" i="23" s="1"/>
  <c r="CM17" i="23"/>
  <c r="CN17" i="23" s="1"/>
  <c r="CO17" i="23" s="1"/>
  <c r="CM20" i="23"/>
  <c r="CN20" i="23" s="1"/>
  <c r="CO20" i="23" s="1"/>
  <c r="CM31" i="23"/>
  <c r="CN31" i="23" s="1"/>
  <c r="CO31" i="23" s="1"/>
  <c r="CM19" i="23"/>
  <c r="CN19" i="23" s="1"/>
  <c r="CO19" i="23" s="1"/>
  <c r="CM34" i="23"/>
  <c r="CN34" i="23" s="1"/>
  <c r="CO34" i="23" s="1"/>
  <c r="CM40" i="23"/>
  <c r="CN40" i="23" s="1"/>
  <c r="CO40" i="23" s="1"/>
  <c r="CM28" i="23"/>
  <c r="CN28" i="23" s="1"/>
  <c r="CO28" i="23" s="1"/>
  <c r="CM48" i="23"/>
  <c r="CN48" i="23" s="1"/>
  <c r="CO48" i="23" s="1"/>
  <c r="CM33" i="23"/>
  <c r="CN33" i="23" s="1"/>
  <c r="CO33" i="23" s="1"/>
  <c r="CM38" i="23"/>
  <c r="CN38" i="23" s="1"/>
  <c r="CO38" i="23" s="1"/>
  <c r="CM42" i="23"/>
  <c r="CN42" i="23" s="1"/>
  <c r="CO42" i="23" s="1"/>
  <c r="CM49" i="23"/>
  <c r="CN49" i="23" s="1"/>
  <c r="CO49" i="23" s="1"/>
  <c r="CM27" i="23"/>
  <c r="CN27" i="23" s="1"/>
  <c r="CO27" i="23" s="1"/>
  <c r="CM22" i="23"/>
  <c r="CN22" i="23" s="1"/>
  <c r="CO22" i="23" s="1"/>
  <c r="CM25" i="23"/>
  <c r="CN25" i="23" s="1"/>
  <c r="CO25" i="23" s="1"/>
  <c r="CM21" i="23"/>
  <c r="CN21" i="23" s="1"/>
  <c r="CO21" i="23" s="1"/>
  <c r="CM29" i="23"/>
  <c r="CN29" i="23" s="1"/>
  <c r="CO29" i="23" s="1"/>
  <c r="CM46" i="23"/>
  <c r="CN46" i="23" s="1"/>
  <c r="CO46" i="23" s="1"/>
  <c r="CM18" i="23"/>
  <c r="CN18" i="23" s="1"/>
  <c r="CO18" i="23" s="1"/>
  <c r="CM23" i="23"/>
  <c r="CN23" i="23" s="1"/>
  <c r="CO23" i="23" s="1"/>
  <c r="CM13" i="23"/>
  <c r="CN13" i="23" s="1"/>
  <c r="CO13" i="23" s="1"/>
  <c r="CM43" i="23"/>
  <c r="CN43" i="23" s="1"/>
  <c r="CO43" i="23" s="1"/>
  <c r="CM37" i="23"/>
  <c r="CN37" i="23" s="1"/>
  <c r="CO37" i="23" s="1"/>
  <c r="CM36" i="23"/>
  <c r="CN36" i="23" s="1"/>
  <c r="CO36" i="23" s="1"/>
  <c r="CM45" i="23"/>
  <c r="CN45" i="23" s="1"/>
  <c r="CO45" i="23" s="1"/>
  <c r="CM15" i="23"/>
  <c r="CN15" i="23" s="1"/>
  <c r="CO15" i="23" s="1"/>
  <c r="CM16" i="23"/>
  <c r="CN16" i="23" s="1"/>
  <c r="CO16" i="23" s="1"/>
  <c r="CM41" i="23"/>
  <c r="CN41" i="23" s="1"/>
  <c r="CO41" i="23" s="1"/>
  <c r="CV20" i="24"/>
  <c r="CZ20" i="24"/>
  <c r="DA20" i="24" s="1"/>
  <c r="CT26" i="26"/>
  <c r="CU26" i="26" s="1"/>
  <c r="CP26" i="26"/>
  <c r="CQ26" i="26" s="1"/>
  <c r="CT30" i="24"/>
  <c r="CU30" i="24" s="1"/>
  <c r="CP30" i="24"/>
  <c r="CQ30" i="24" s="1"/>
  <c r="CT16" i="24"/>
  <c r="CU16" i="24" s="1"/>
  <c r="CP16" i="24"/>
  <c r="CQ16" i="24" s="1"/>
  <c r="CP39" i="24"/>
  <c r="CQ39" i="24" s="1"/>
  <c r="CT39" i="24"/>
  <c r="CU39" i="24" s="1"/>
  <c r="CU42" i="26"/>
  <c r="CT42" i="26"/>
  <c r="CP42" i="26"/>
  <c r="CQ42" i="26" s="1"/>
  <c r="CP13" i="26"/>
  <c r="CQ13" i="26" s="1"/>
  <c r="CT13" i="26"/>
  <c r="CU13" i="26" s="1"/>
  <c r="CP28" i="25"/>
  <c r="CQ28" i="25" s="1"/>
  <c r="CT28" i="25"/>
  <c r="CU28" i="25" s="1"/>
  <c r="CU45" i="25"/>
  <c r="CP45" i="25"/>
  <c r="CQ45" i="25" s="1"/>
  <c r="CT45" i="25"/>
  <c r="CP18" i="25"/>
  <c r="CQ18" i="25" s="1"/>
  <c r="CT18" i="25"/>
  <c r="CU18" i="25" s="1"/>
  <c r="CU25" i="26"/>
  <c r="CT25" i="26"/>
  <c r="CP25" i="26"/>
  <c r="CQ25" i="26" s="1"/>
  <c r="CP27" i="26"/>
  <c r="CQ27" i="26" s="1"/>
  <c r="CT27" i="26"/>
  <c r="CU27" i="26" s="1"/>
  <c r="CT45" i="26"/>
  <c r="CU45" i="26" s="1"/>
  <c r="CP45" i="26"/>
  <c r="CQ45" i="26" s="1"/>
  <c r="CT35" i="23"/>
  <c r="CU35" i="23" s="1"/>
  <c r="CP35" i="23"/>
  <c r="CQ35" i="23" s="1"/>
  <c r="CT20" i="25"/>
  <c r="CU20" i="25" s="1"/>
  <c r="CP20" i="25"/>
  <c r="CQ20" i="25" s="1"/>
  <c r="CT22" i="26"/>
  <c r="CU22" i="26" s="1"/>
  <c r="CP22" i="26"/>
  <c r="CQ22" i="26" s="1"/>
  <c r="CP18" i="26"/>
  <c r="CQ18" i="26" s="1"/>
  <c r="CT18" i="26"/>
  <c r="CU18" i="26" s="1"/>
  <c r="CP27" i="24"/>
  <c r="CQ27" i="24" s="1"/>
  <c r="CT27" i="24"/>
  <c r="CU27" i="24" s="1"/>
  <c r="CT36" i="24"/>
  <c r="CU36" i="24" s="1"/>
  <c r="CP36" i="24"/>
  <c r="CQ36" i="24" s="1"/>
  <c r="CP38" i="24"/>
  <c r="CQ38" i="24" s="1"/>
  <c r="CU38" i="24"/>
  <c r="CT38" i="24"/>
  <c r="CU39" i="26"/>
  <c r="CP39" i="26"/>
  <c r="CQ39" i="26" s="1"/>
  <c r="CT39" i="26"/>
  <c r="BX50" i="23"/>
  <c r="BY12" i="23" s="1"/>
  <c r="CU14" i="25"/>
  <c r="CT14" i="25"/>
  <c r="CP14" i="25"/>
  <c r="CQ14" i="25" s="1"/>
  <c r="CT21" i="25"/>
  <c r="CU21" i="25" s="1"/>
  <c r="CP21" i="25"/>
  <c r="CQ21" i="25" s="1"/>
  <c r="CP35" i="25"/>
  <c r="CQ35" i="25" s="1"/>
  <c r="CT35" i="25"/>
  <c r="CU35" i="25" s="1"/>
  <c r="CJ51" i="12"/>
  <c r="CM6" i="12" s="1"/>
  <c r="CL11" i="12"/>
  <c r="CL51" i="13"/>
  <c r="CM11" i="13" s="1"/>
  <c r="CN11" i="13" s="1"/>
  <c r="CO11" i="13" s="1"/>
  <c r="BW51" i="15"/>
  <c r="BX11" i="15"/>
  <c r="BX51" i="15" s="1"/>
  <c r="BW51" i="14"/>
  <c r="BX11" i="14"/>
  <c r="BX51" i="14" s="1"/>
  <c r="CJ51" i="15"/>
  <c r="CM6" i="15" s="1"/>
  <c r="CL11" i="15"/>
  <c r="BV51" i="16"/>
  <c r="CI51" i="16"/>
  <c r="CJ11" i="16"/>
  <c r="BW51" i="16"/>
  <c r="BX11" i="16"/>
  <c r="BX51" i="16" s="1"/>
  <c r="CL51" i="14"/>
  <c r="CM11" i="14" s="1"/>
  <c r="CN11" i="14" s="1"/>
  <c r="CO11" i="14" s="1"/>
  <c r="BY50" i="13"/>
  <c r="BY44" i="13"/>
  <c r="BZ44" i="13" s="1"/>
  <c r="BY38" i="13"/>
  <c r="BZ38" i="13" s="1"/>
  <c r="BY49" i="13"/>
  <c r="BY43" i="13"/>
  <c r="BZ43" i="13" s="1"/>
  <c r="BY15" i="13"/>
  <c r="BZ15" i="13" s="1"/>
  <c r="BY48" i="13"/>
  <c r="BY28" i="13"/>
  <c r="BZ28" i="13" s="1"/>
  <c r="BY30" i="13"/>
  <c r="BZ30" i="13" s="1"/>
  <c r="BY22" i="13"/>
  <c r="BZ22" i="13" s="1"/>
  <c r="BY18" i="13"/>
  <c r="BZ18" i="13" s="1"/>
  <c r="BY47" i="13"/>
  <c r="BZ47" i="13" s="1"/>
  <c r="BY45" i="13"/>
  <c r="BZ45" i="13" s="1"/>
  <c r="BY41" i="13"/>
  <c r="BZ41" i="13" s="1"/>
  <c r="BY37" i="13"/>
  <c r="BY31" i="13"/>
  <c r="BZ31" i="13" s="1"/>
  <c r="BY29" i="13"/>
  <c r="BZ29" i="13" s="1"/>
  <c r="BY16" i="13"/>
  <c r="BZ16" i="13" s="1"/>
  <c r="BY11" i="13"/>
  <c r="BZ11" i="13" s="1"/>
  <c r="R42" i="34" s="1"/>
  <c r="BY21" i="13"/>
  <c r="BZ21" i="13" s="1"/>
  <c r="BY46" i="13"/>
  <c r="BZ46" i="13" s="1"/>
  <c r="BY19" i="13"/>
  <c r="BZ19" i="13" s="1"/>
  <c r="BY36" i="13"/>
  <c r="BZ36" i="13" s="1"/>
  <c r="BY26" i="13"/>
  <c r="BZ26" i="13" s="1"/>
  <c r="BY12" i="13"/>
  <c r="BZ12" i="13" s="1"/>
  <c r="BY39" i="13"/>
  <c r="BZ39" i="13" s="1"/>
  <c r="BY35" i="13"/>
  <c r="BZ35" i="13" s="1"/>
  <c r="BY42" i="13"/>
  <c r="BY14" i="13"/>
  <c r="BZ14" i="13" s="1"/>
  <c r="BY17" i="13"/>
  <c r="BZ17" i="13" s="1"/>
  <c r="CQ17" i="13" s="1"/>
  <c r="BY40" i="13"/>
  <c r="BZ40" i="13" s="1"/>
  <c r="BY23" i="13"/>
  <c r="BY24" i="13"/>
  <c r="BZ24" i="13" s="1"/>
  <c r="BY33" i="13"/>
  <c r="BZ33" i="13" s="1"/>
  <c r="BY32" i="13"/>
  <c r="BZ32" i="13" s="1"/>
  <c r="BY20" i="13"/>
  <c r="BZ20" i="13" s="1"/>
  <c r="BY25" i="13"/>
  <c r="BZ25" i="13" s="1"/>
  <c r="BY27" i="13"/>
  <c r="BZ27" i="13" s="1"/>
  <c r="BY13" i="13"/>
  <c r="BZ13" i="13" s="1"/>
  <c r="BY34" i="13"/>
  <c r="BZ34" i="13" s="1"/>
  <c r="BZ49" i="13"/>
  <c r="BZ37" i="13"/>
  <c r="BZ48" i="13"/>
  <c r="BZ23" i="13"/>
  <c r="BZ42" i="13"/>
  <c r="BZ50" i="13"/>
  <c r="BV51" i="15"/>
  <c r="BV51" i="12"/>
  <c r="CI51" i="12"/>
  <c r="CI51" i="15"/>
  <c r="BW11" i="12"/>
  <c r="BV51" i="6"/>
  <c r="BW11" i="6"/>
  <c r="BW51" i="6" s="1"/>
  <c r="BX47" i="3"/>
  <c r="BY47" i="3" s="1"/>
  <c r="Q77" i="34" s="1"/>
  <c r="BX43" i="3"/>
  <c r="BY43" i="3" s="1"/>
  <c r="Q73" i="34" s="1"/>
  <c r="BX39" i="3"/>
  <c r="BY39" i="3" s="1"/>
  <c r="Q69" i="34" s="1"/>
  <c r="BX50" i="3"/>
  <c r="BX46" i="3"/>
  <c r="BX42" i="3"/>
  <c r="BY42" i="3" s="1"/>
  <c r="Q72" i="34" s="1"/>
  <c r="BX38" i="3"/>
  <c r="BY38" i="3" s="1"/>
  <c r="Q68" i="34" s="1"/>
  <c r="BX34" i="3"/>
  <c r="BY34" i="3" s="1"/>
  <c r="Q64" i="34" s="1"/>
  <c r="BX30" i="3"/>
  <c r="BX26" i="3"/>
  <c r="BY26" i="3" s="1"/>
  <c r="Q56" i="34" s="1"/>
  <c r="BX22" i="3"/>
  <c r="BX18" i="3"/>
  <c r="BY18" i="3" s="1"/>
  <c r="Q48" i="34" s="1"/>
  <c r="BX49" i="3"/>
  <c r="BY49" i="3" s="1"/>
  <c r="Q79" i="34" s="1"/>
  <c r="BX45" i="3"/>
  <c r="BY45" i="3" s="1"/>
  <c r="Q75" i="34" s="1"/>
  <c r="BX41" i="3"/>
  <c r="BY41" i="3" s="1"/>
  <c r="Q71" i="34" s="1"/>
  <c r="BX37" i="3"/>
  <c r="BY37" i="3" s="1"/>
  <c r="Q67" i="34" s="1"/>
  <c r="BX33" i="3"/>
  <c r="BY33" i="3" s="1"/>
  <c r="Q63" i="34" s="1"/>
  <c r="BX29" i="3"/>
  <c r="BY29" i="3" s="1"/>
  <c r="Q59" i="34" s="1"/>
  <c r="BX25" i="3"/>
  <c r="BY25" i="3" s="1"/>
  <c r="Q55" i="34" s="1"/>
  <c r="BX21" i="3"/>
  <c r="BY21" i="3" s="1"/>
  <c r="Q51" i="34" s="1"/>
  <c r="BX44" i="3"/>
  <c r="BX40" i="3"/>
  <c r="BY40" i="3" s="1"/>
  <c r="Q70" i="34" s="1"/>
  <c r="BX35" i="3"/>
  <c r="BY35" i="3" s="1"/>
  <c r="Q65" i="34" s="1"/>
  <c r="BX32" i="3"/>
  <c r="BY32" i="3" s="1"/>
  <c r="Q62" i="34" s="1"/>
  <c r="BX27" i="3"/>
  <c r="BY27" i="3" s="1"/>
  <c r="Q57" i="34" s="1"/>
  <c r="BX24" i="3"/>
  <c r="BY24" i="3" s="1"/>
  <c r="Q54" i="34" s="1"/>
  <c r="BX48" i="3"/>
  <c r="BY48" i="3" s="1"/>
  <c r="Q78" i="34" s="1"/>
  <c r="BX36" i="3"/>
  <c r="BY36" i="3" s="1"/>
  <c r="Q66" i="34" s="1"/>
  <c r="BX14" i="3"/>
  <c r="BY14" i="3" s="1"/>
  <c r="Q45" i="34" s="1"/>
  <c r="BX23" i="3"/>
  <c r="BY23" i="3" s="1"/>
  <c r="Q53" i="34" s="1"/>
  <c r="BX19" i="3"/>
  <c r="BY19" i="3" s="1"/>
  <c r="Q49" i="34" s="1"/>
  <c r="BX13" i="3"/>
  <c r="BY13" i="3" s="1"/>
  <c r="Q44" i="34" s="1"/>
  <c r="BX20" i="3"/>
  <c r="BX28" i="3"/>
  <c r="BY28" i="3" s="1"/>
  <c r="Q58" i="34" s="1"/>
  <c r="BX16" i="3"/>
  <c r="BY16" i="3" s="1"/>
  <c r="Q47" i="34" s="1"/>
  <c r="BX12" i="3"/>
  <c r="BY12" i="3" s="1"/>
  <c r="Q43" i="34" s="1"/>
  <c r="BX11" i="3"/>
  <c r="BY11" i="3" s="1"/>
  <c r="Q42" i="34" s="1"/>
  <c r="BX31" i="3"/>
  <c r="BY31" i="3" s="1"/>
  <c r="Q61" i="34" s="1"/>
  <c r="BX17" i="3"/>
  <c r="BX15" i="3"/>
  <c r="BY15" i="3" s="1"/>
  <c r="Q46" i="34" s="1"/>
  <c r="BY50" i="3"/>
  <c r="Q80" i="34" s="1"/>
  <c r="BY30" i="3"/>
  <c r="Q60" i="34" s="1"/>
  <c r="BY22" i="3"/>
  <c r="Q52" i="34" s="1"/>
  <c r="BY17" i="3"/>
  <c r="CP17" i="3" s="1"/>
  <c r="BY20" i="3"/>
  <c r="Q50" i="34" s="1"/>
  <c r="BY44" i="3"/>
  <c r="Q74" i="34" s="1"/>
  <c r="BY46" i="3"/>
  <c r="Q76" i="34" s="1"/>
  <c r="BV51" i="5"/>
  <c r="BW11" i="5"/>
  <c r="BW51" i="5" s="1"/>
  <c r="BX50" i="4"/>
  <c r="BX46" i="4"/>
  <c r="BY46" i="4" s="1"/>
  <c r="Q76" i="35" s="1"/>
  <c r="BX42" i="4"/>
  <c r="BX48" i="4"/>
  <c r="BY48" i="4" s="1"/>
  <c r="Q78" i="35" s="1"/>
  <c r="BX49" i="4"/>
  <c r="BX40" i="4"/>
  <c r="BY40" i="4" s="1"/>
  <c r="Q70" i="35" s="1"/>
  <c r="BX36" i="4"/>
  <c r="BY36" i="4" s="1"/>
  <c r="Q66" i="35" s="1"/>
  <c r="BX32" i="4"/>
  <c r="BY32" i="4" s="1"/>
  <c r="Q62" i="35" s="1"/>
  <c r="BX28" i="4"/>
  <c r="BY28" i="4" s="1"/>
  <c r="Q58" i="35" s="1"/>
  <c r="BX24" i="4"/>
  <c r="BY24" i="4" s="1"/>
  <c r="Q54" i="35" s="1"/>
  <c r="BX45" i="4"/>
  <c r="BY45" i="4" s="1"/>
  <c r="Q75" i="35" s="1"/>
  <c r="BX39" i="4"/>
  <c r="BY39" i="4" s="1"/>
  <c r="Q69" i="35" s="1"/>
  <c r="BX35" i="4"/>
  <c r="BY35" i="4" s="1"/>
  <c r="Q65" i="35" s="1"/>
  <c r="BX31" i="4"/>
  <c r="BY31" i="4" s="1"/>
  <c r="Q61" i="35" s="1"/>
  <c r="BX27" i="4"/>
  <c r="BY27" i="4" s="1"/>
  <c r="Q57" i="35" s="1"/>
  <c r="BX38" i="4"/>
  <c r="BY38" i="4" s="1"/>
  <c r="Q68" i="35" s="1"/>
  <c r="BX33" i="4"/>
  <c r="BY33" i="4" s="1"/>
  <c r="Q63" i="35" s="1"/>
  <c r="BX30" i="4"/>
  <c r="BY30" i="4" s="1"/>
  <c r="Q60" i="35" s="1"/>
  <c r="BX44" i="4"/>
  <c r="BY44" i="4" s="1"/>
  <c r="Q74" i="35" s="1"/>
  <c r="BX19" i="4"/>
  <c r="BY19" i="4" s="1"/>
  <c r="Q49" i="35" s="1"/>
  <c r="BX43" i="4"/>
  <c r="BY43" i="4" s="1"/>
  <c r="Q73" i="35" s="1"/>
  <c r="BX47" i="4"/>
  <c r="BY47" i="4" s="1"/>
  <c r="Q77" i="35" s="1"/>
  <c r="BX37" i="4"/>
  <c r="BY37" i="4" s="1"/>
  <c r="Q67" i="35" s="1"/>
  <c r="BX34" i="4"/>
  <c r="BY34" i="4" s="1"/>
  <c r="Q64" i="35" s="1"/>
  <c r="F64" i="35" s="1"/>
  <c r="BX29" i="4"/>
  <c r="BY29" i="4" s="1"/>
  <c r="Q59" i="35" s="1"/>
  <c r="BX26" i="4"/>
  <c r="BY26" i="4" s="1"/>
  <c r="Q56" i="35" s="1"/>
  <c r="BX22" i="4"/>
  <c r="BY22" i="4" s="1"/>
  <c r="Q52" i="35" s="1"/>
  <c r="BX18" i="4"/>
  <c r="BY18" i="4" s="1"/>
  <c r="Q48" i="35" s="1"/>
  <c r="BX25" i="4"/>
  <c r="BY25" i="4" s="1"/>
  <c r="Q55" i="35" s="1"/>
  <c r="BX17" i="4"/>
  <c r="BY17" i="4" s="1"/>
  <c r="CP17" i="4" s="1"/>
  <c r="BX13" i="4"/>
  <c r="BY13" i="4" s="1"/>
  <c r="Q44" i="35" s="1"/>
  <c r="BX21" i="4"/>
  <c r="BY21" i="4" s="1"/>
  <c r="Q51" i="35" s="1"/>
  <c r="BX15" i="4"/>
  <c r="BY15" i="4" s="1"/>
  <c r="Q46" i="35" s="1"/>
  <c r="BX41" i="4"/>
  <c r="BY41" i="4" s="1"/>
  <c r="Q71" i="35" s="1"/>
  <c r="BX23" i="4"/>
  <c r="BY23" i="4" s="1"/>
  <c r="Q53" i="35" s="1"/>
  <c r="BX20" i="4"/>
  <c r="BY20" i="4" s="1"/>
  <c r="Q50" i="35" s="1"/>
  <c r="BX14" i="4"/>
  <c r="BX11" i="4"/>
  <c r="BY11" i="4" s="1"/>
  <c r="Q42" i="35" s="1"/>
  <c r="BX16" i="4"/>
  <c r="BY16" i="4" s="1"/>
  <c r="Q47" i="35" s="1"/>
  <c r="BX12" i="4"/>
  <c r="BY12" i="4" s="1"/>
  <c r="Q43" i="35" s="1"/>
  <c r="BY49" i="4"/>
  <c r="Q79" i="35" s="1"/>
  <c r="BY50" i="4"/>
  <c r="Q80" i="35" s="1"/>
  <c r="BY42" i="4"/>
  <c r="Q72" i="35" s="1"/>
  <c r="BY14" i="4"/>
  <c r="Q45" i="35" s="1"/>
  <c r="BX43" i="2"/>
  <c r="BY43" i="2" s="1"/>
  <c r="BX48" i="2"/>
  <c r="BY48" i="2" s="1"/>
  <c r="BX38" i="2"/>
  <c r="BY38" i="2" s="1"/>
  <c r="BX50" i="2"/>
  <c r="BY50" i="2" s="1"/>
  <c r="BX42" i="2"/>
  <c r="BY42" i="2" s="1"/>
  <c r="BX41" i="2"/>
  <c r="BY41" i="2" s="1"/>
  <c r="BX37" i="2"/>
  <c r="BY37" i="2" s="1"/>
  <c r="BX47" i="2"/>
  <c r="BY47" i="2" s="1"/>
  <c r="BX45" i="2"/>
  <c r="BY45" i="2" s="1"/>
  <c r="BX39" i="2"/>
  <c r="BY39" i="2" s="1"/>
  <c r="BX11" i="2"/>
  <c r="BY11" i="2" s="1"/>
  <c r="BX44" i="2"/>
  <c r="BY44" i="2" s="1"/>
  <c r="BX32" i="2"/>
  <c r="BY32" i="2" s="1"/>
  <c r="BX27" i="2"/>
  <c r="BY27" i="2" s="1"/>
  <c r="BX25" i="2"/>
  <c r="BY25" i="2" s="1"/>
  <c r="BX20" i="2"/>
  <c r="BY20" i="2" s="1"/>
  <c r="BX12" i="2"/>
  <c r="BX30" i="2"/>
  <c r="BY30" i="2" s="1"/>
  <c r="BX15" i="2"/>
  <c r="BY15" i="2" s="1"/>
  <c r="BX34" i="2"/>
  <c r="BY34" i="2" s="1"/>
  <c r="BX46" i="2"/>
  <c r="BY46" i="2" s="1"/>
  <c r="BX31" i="2"/>
  <c r="BY31" i="2" s="1"/>
  <c r="BX21" i="2"/>
  <c r="BY21" i="2" s="1"/>
  <c r="BX16" i="2"/>
  <c r="BY16" i="2" s="1"/>
  <c r="BX49" i="2"/>
  <c r="BY49" i="2" s="1"/>
  <c r="BX40" i="2"/>
  <c r="BY40" i="2" s="1"/>
  <c r="BX24" i="2"/>
  <c r="BY24" i="2" s="1"/>
  <c r="BX18" i="2"/>
  <c r="BY18" i="2" s="1"/>
  <c r="BX22" i="2"/>
  <c r="BY22" i="2" s="1"/>
  <c r="BX19" i="2"/>
  <c r="BY19" i="2" s="1"/>
  <c r="BX13" i="2"/>
  <c r="BY13" i="2" s="1"/>
  <c r="BX28" i="2"/>
  <c r="BY28" i="2" s="1"/>
  <c r="BX35" i="2"/>
  <c r="BY35" i="2" s="1"/>
  <c r="BX26" i="2"/>
  <c r="BY26" i="2" s="1"/>
  <c r="BX17" i="2"/>
  <c r="BY17" i="2" s="1"/>
  <c r="CP17" i="2" s="1"/>
  <c r="BX33" i="2"/>
  <c r="BY33" i="2" s="1"/>
  <c r="BX14" i="2"/>
  <c r="BY14" i="2" s="1"/>
  <c r="BX36" i="2"/>
  <c r="BY36" i="2" s="1"/>
  <c r="BX23" i="2"/>
  <c r="BY23" i="2" s="1"/>
  <c r="BX29" i="2"/>
  <c r="BY29" i="2" s="1"/>
  <c r="BY12" i="2"/>
  <c r="CQ32" i="13" l="1"/>
  <c r="R62" i="34"/>
  <c r="R108" i="34" s="1"/>
  <c r="V42" i="34"/>
  <c r="W42" i="34" s="1"/>
  <c r="CQ14" i="13"/>
  <c r="R45" i="34"/>
  <c r="V45" i="34" s="1"/>
  <c r="W45" i="34" s="1"/>
  <c r="CQ19" i="13"/>
  <c r="R49" i="34"/>
  <c r="R95" i="34" s="1"/>
  <c r="CQ30" i="13"/>
  <c r="R60" i="34"/>
  <c r="R106" i="34" s="1"/>
  <c r="CQ31" i="13"/>
  <c r="R61" i="34"/>
  <c r="R107" i="34" s="1"/>
  <c r="CQ38" i="13"/>
  <c r="R68" i="34"/>
  <c r="CQ24" i="13"/>
  <c r="R54" i="34"/>
  <c r="R100" i="34" s="1"/>
  <c r="CQ34" i="13"/>
  <c r="R64" i="34"/>
  <c r="CQ46" i="13"/>
  <c r="R76" i="34"/>
  <c r="V76" i="34" s="1"/>
  <c r="W76" i="34" s="1"/>
  <c r="CQ29" i="13"/>
  <c r="R59" i="34"/>
  <c r="R105" i="34" s="1"/>
  <c r="CQ50" i="13"/>
  <c r="R80" i="34"/>
  <c r="V80" i="34" s="1"/>
  <c r="W80" i="34" s="1"/>
  <c r="CQ49" i="13"/>
  <c r="R79" i="34"/>
  <c r="V79" i="34" s="1"/>
  <c r="W79" i="34" s="1"/>
  <c r="CQ42" i="13"/>
  <c r="R72" i="34"/>
  <c r="CQ27" i="13"/>
  <c r="R57" i="34"/>
  <c r="CQ39" i="13"/>
  <c r="R69" i="34"/>
  <c r="R115" i="34" s="1"/>
  <c r="CQ41" i="13"/>
  <c r="R71" i="34"/>
  <c r="R117" i="34" s="1"/>
  <c r="CQ44" i="13"/>
  <c r="R74" i="34"/>
  <c r="R120" i="34" s="1"/>
  <c r="CQ33" i="13"/>
  <c r="R63" i="34"/>
  <c r="R109" i="34" s="1"/>
  <c r="CQ23" i="13"/>
  <c r="R53" i="34"/>
  <c r="V53" i="34" s="1"/>
  <c r="W53" i="34" s="1"/>
  <c r="CQ20" i="13"/>
  <c r="R50" i="34"/>
  <c r="V50" i="34" s="1"/>
  <c r="W50" i="34" s="1"/>
  <c r="CQ35" i="13"/>
  <c r="R65" i="34"/>
  <c r="R111" i="34" s="1"/>
  <c r="CQ37" i="13"/>
  <c r="R67" i="34"/>
  <c r="R113" i="34" s="1"/>
  <c r="CQ13" i="13"/>
  <c r="R44" i="34"/>
  <c r="R90" i="34" s="1"/>
  <c r="CQ25" i="13"/>
  <c r="R55" i="34"/>
  <c r="CQ12" i="13"/>
  <c r="R43" i="34"/>
  <c r="CQ45" i="13"/>
  <c r="R75" i="34"/>
  <c r="R121" i="34" s="1"/>
  <c r="CQ28" i="13"/>
  <c r="R58" i="34"/>
  <c r="V58" i="34" s="1"/>
  <c r="W58" i="34" s="1"/>
  <c r="CQ16" i="13"/>
  <c r="R47" i="34"/>
  <c r="CQ21" i="13"/>
  <c r="R51" i="34"/>
  <c r="R31" i="34" s="1"/>
  <c r="CQ15" i="13"/>
  <c r="R46" i="34"/>
  <c r="V46" i="34" s="1"/>
  <c r="W46" i="34" s="1"/>
  <c r="CQ26" i="13"/>
  <c r="R56" i="34"/>
  <c r="V56" i="34" s="1"/>
  <c r="W56" i="34" s="1"/>
  <c r="CQ47" i="13"/>
  <c r="R77" i="34"/>
  <c r="R123" i="34" s="1"/>
  <c r="CQ22" i="13"/>
  <c r="R52" i="34"/>
  <c r="V52" i="34" s="1"/>
  <c r="W52" i="34" s="1"/>
  <c r="CQ48" i="13"/>
  <c r="R78" i="34"/>
  <c r="V78" i="34" s="1"/>
  <c r="W78" i="34" s="1"/>
  <c r="CQ40" i="13"/>
  <c r="R70" i="34"/>
  <c r="R116" i="34" s="1"/>
  <c r="CQ43" i="13"/>
  <c r="R73" i="34"/>
  <c r="R119" i="34" s="1"/>
  <c r="CQ36" i="13"/>
  <c r="R66" i="34"/>
  <c r="CQ18" i="13"/>
  <c r="R48" i="34"/>
  <c r="R30" i="34" s="1"/>
  <c r="T46" i="35"/>
  <c r="U46" i="35" s="1"/>
  <c r="T55" i="35"/>
  <c r="U55" i="35" s="1"/>
  <c r="R101" i="34"/>
  <c r="T55" i="34"/>
  <c r="U55" i="34" s="1"/>
  <c r="T52" i="35"/>
  <c r="U52" i="35" s="1"/>
  <c r="Q33" i="34"/>
  <c r="Q31" i="34"/>
  <c r="T78" i="35"/>
  <c r="U78" i="35" s="1"/>
  <c r="T50" i="34"/>
  <c r="U50" i="34" s="1"/>
  <c r="T42" i="35"/>
  <c r="U42" i="35" s="1"/>
  <c r="Q81" i="35"/>
  <c r="Q29" i="34"/>
  <c r="Q83" i="34"/>
  <c r="T83" i="34" s="1"/>
  <c r="U83" i="34" s="1"/>
  <c r="T80" i="35"/>
  <c r="U80" i="35" s="1"/>
  <c r="Q36" i="34"/>
  <c r="T56" i="34"/>
  <c r="U56" i="34" s="1"/>
  <c r="T79" i="35"/>
  <c r="U79" i="35" s="1"/>
  <c r="Q83" i="35"/>
  <c r="T83" i="35" s="1"/>
  <c r="U83" i="35" s="1"/>
  <c r="T58" i="34"/>
  <c r="U58" i="34" s="1"/>
  <c r="T50" i="35"/>
  <c r="U50" i="35" s="1"/>
  <c r="Z27" i="32"/>
  <c r="AA27" i="32" s="1"/>
  <c r="AB27" i="32" s="1"/>
  <c r="J27" i="32"/>
  <c r="G64" i="35"/>
  <c r="H64" i="35" s="1"/>
  <c r="T52" i="34"/>
  <c r="U52" i="34" s="1"/>
  <c r="AF64" i="34"/>
  <c r="AG64" i="34" s="1"/>
  <c r="F64" i="34"/>
  <c r="T53" i="35"/>
  <c r="U53" i="35" s="1"/>
  <c r="T80" i="34"/>
  <c r="U80" i="34" s="1"/>
  <c r="R114" i="34"/>
  <c r="Q35" i="34"/>
  <c r="T58" i="35"/>
  <c r="U58" i="35" s="1"/>
  <c r="T42" i="34"/>
  <c r="U42" i="34" s="1"/>
  <c r="Q28" i="34"/>
  <c r="Q81" i="34"/>
  <c r="R88" i="34"/>
  <c r="T78" i="34"/>
  <c r="U78" i="34" s="1"/>
  <c r="T53" i="34"/>
  <c r="U53" i="34" s="1"/>
  <c r="R99" i="34"/>
  <c r="T56" i="35"/>
  <c r="U56" i="35" s="1"/>
  <c r="T45" i="34"/>
  <c r="U45" i="34" s="1"/>
  <c r="R91" i="34"/>
  <c r="T79" i="34"/>
  <c r="U79" i="34" s="1"/>
  <c r="T45" i="35"/>
  <c r="U45" i="35" s="1"/>
  <c r="T76" i="35"/>
  <c r="U76" i="35" s="1"/>
  <c r="Z66" i="35"/>
  <c r="AA66" i="35" s="1"/>
  <c r="Z66" i="34"/>
  <c r="AA66" i="34" s="1"/>
  <c r="R112" i="34"/>
  <c r="T46" i="34"/>
  <c r="U46" i="34" s="1"/>
  <c r="Q34" i="34"/>
  <c r="T75" i="35"/>
  <c r="U75" i="35" s="1"/>
  <c r="Q30" i="34"/>
  <c r="Q37" i="34"/>
  <c r="T76" i="34"/>
  <c r="U76" i="34" s="1"/>
  <c r="T75" i="34"/>
  <c r="U75" i="34" s="1"/>
  <c r="Q32" i="34"/>
  <c r="R103" i="34"/>
  <c r="X42" i="37"/>
  <c r="Y42" i="37" s="1"/>
  <c r="CV41" i="25"/>
  <c r="CZ41" i="25"/>
  <c r="DA41" i="25" s="1"/>
  <c r="CQ50" i="25"/>
  <c r="CQ50" i="24"/>
  <c r="CZ22" i="26"/>
  <c r="DA22" i="26" s="1"/>
  <c r="CV22" i="26"/>
  <c r="CZ16" i="26"/>
  <c r="DA16" i="26" s="1"/>
  <c r="CV16" i="26"/>
  <c r="CZ25" i="24"/>
  <c r="DA25" i="24" s="1"/>
  <c r="CV25" i="24"/>
  <c r="CV30" i="25"/>
  <c r="CZ30" i="25"/>
  <c r="DA30" i="25" s="1"/>
  <c r="CZ28" i="24"/>
  <c r="DA28" i="24" s="1"/>
  <c r="CV28" i="24"/>
  <c r="CZ26" i="26"/>
  <c r="DA26" i="26" s="1"/>
  <c r="CV26" i="26"/>
  <c r="CZ29" i="22"/>
  <c r="DA29" i="22" s="1"/>
  <c r="CV29" i="22"/>
  <c r="CZ33" i="24"/>
  <c r="DA33" i="24" s="1"/>
  <c r="CV33" i="24"/>
  <c r="CZ37" i="26"/>
  <c r="DA37" i="26" s="1"/>
  <c r="CV37" i="26"/>
  <c r="CV23" i="26"/>
  <c r="CZ23" i="26"/>
  <c r="DA23" i="26" s="1"/>
  <c r="CZ31" i="25"/>
  <c r="DA31" i="25" s="1"/>
  <c r="CV31" i="25"/>
  <c r="CZ31" i="24"/>
  <c r="DA31" i="24" s="1"/>
  <c r="CV31" i="24"/>
  <c r="CZ21" i="26"/>
  <c r="DA21" i="26" s="1"/>
  <c r="CV21" i="26"/>
  <c r="BZ12" i="25"/>
  <c r="S42" i="36" s="1"/>
  <c r="CZ44" i="25"/>
  <c r="DA44" i="25" s="1"/>
  <c r="CV44" i="25"/>
  <c r="CZ21" i="24"/>
  <c r="DA21" i="24" s="1"/>
  <c r="CV21" i="24"/>
  <c r="CV23" i="22"/>
  <c r="CZ23" i="22"/>
  <c r="DA23" i="22" s="1"/>
  <c r="CZ32" i="24"/>
  <c r="DA32" i="24" s="1"/>
  <c r="CV32" i="24"/>
  <c r="CZ44" i="24"/>
  <c r="DA44" i="24" s="1"/>
  <c r="CV44" i="24"/>
  <c r="CZ43" i="24"/>
  <c r="DA43" i="24" s="1"/>
  <c r="CV43" i="24"/>
  <c r="CV20" i="26"/>
  <c r="CZ20" i="26"/>
  <c r="DA20" i="26" s="1"/>
  <c r="CZ17" i="26"/>
  <c r="DA17" i="26" s="1"/>
  <c r="CV17" i="26"/>
  <c r="CZ26" i="23"/>
  <c r="DA26" i="23" s="1"/>
  <c r="CV26" i="23"/>
  <c r="CZ27" i="25"/>
  <c r="DA27" i="25" s="1"/>
  <c r="CV27" i="25"/>
  <c r="CZ41" i="26"/>
  <c r="DA41" i="26" s="1"/>
  <c r="CV41" i="26"/>
  <c r="CZ17" i="24"/>
  <c r="DA17" i="24" s="1"/>
  <c r="CV17" i="24"/>
  <c r="CV47" i="24"/>
  <c r="CZ47" i="24"/>
  <c r="DA47" i="24" s="1"/>
  <c r="CZ35" i="24"/>
  <c r="DA35" i="24" s="1"/>
  <c r="CV35" i="24"/>
  <c r="CZ24" i="25"/>
  <c r="DA24" i="25" s="1"/>
  <c r="CV24" i="25"/>
  <c r="CV35" i="25"/>
  <c r="CZ35" i="25"/>
  <c r="DA35" i="25" s="1"/>
  <c r="CV35" i="26"/>
  <c r="CZ35" i="26"/>
  <c r="DA35" i="26" s="1"/>
  <c r="CV39" i="24"/>
  <c r="CZ39" i="24"/>
  <c r="DA39" i="24" s="1"/>
  <c r="CZ19" i="26"/>
  <c r="DA19" i="26" s="1"/>
  <c r="CV19" i="26"/>
  <c r="CZ13" i="25"/>
  <c r="DA13" i="25" s="1"/>
  <c r="CV13" i="25"/>
  <c r="CV23" i="25"/>
  <c r="CZ23" i="25"/>
  <c r="DA23" i="25" s="1"/>
  <c r="DB12" i="26"/>
  <c r="DC12" i="26"/>
  <c r="CZ32" i="25"/>
  <c r="DA32" i="25" s="1"/>
  <c r="CV32" i="25"/>
  <c r="CZ15" i="26"/>
  <c r="DA15" i="26" s="1"/>
  <c r="CV15" i="26"/>
  <c r="CV25" i="25"/>
  <c r="CZ25" i="25"/>
  <c r="DA25" i="25" s="1"/>
  <c r="CV24" i="26"/>
  <c r="CZ24" i="26"/>
  <c r="DA24" i="26" s="1"/>
  <c r="CZ14" i="24"/>
  <c r="DA14" i="24" s="1"/>
  <c r="CV14" i="24"/>
  <c r="CZ38" i="25"/>
  <c r="DA38" i="25" s="1"/>
  <c r="CV38" i="25"/>
  <c r="CV26" i="24"/>
  <c r="CZ26" i="24"/>
  <c r="DA26" i="24" s="1"/>
  <c r="CZ19" i="24"/>
  <c r="DA19" i="24" s="1"/>
  <c r="CV19" i="24"/>
  <c r="CZ13" i="24"/>
  <c r="DA13" i="24" s="1"/>
  <c r="CV13" i="24"/>
  <c r="CU50" i="24"/>
  <c r="CV46" i="22"/>
  <c r="CZ46" i="22"/>
  <c r="DA46" i="22" s="1"/>
  <c r="CZ44" i="26"/>
  <c r="DA44" i="26" s="1"/>
  <c r="CV44" i="26"/>
  <c r="CZ42" i="24"/>
  <c r="DA42" i="24" s="1"/>
  <c r="CV42" i="24"/>
  <c r="CZ18" i="25"/>
  <c r="DA18" i="25" s="1"/>
  <c r="CV18" i="25"/>
  <c r="CV27" i="24"/>
  <c r="CZ27" i="24"/>
  <c r="DA27" i="24" s="1"/>
  <c r="BZ12" i="23"/>
  <c r="S42" i="35" s="1"/>
  <c r="CV45" i="26"/>
  <c r="CZ45" i="26"/>
  <c r="DA45" i="26" s="1"/>
  <c r="CZ16" i="24"/>
  <c r="DA16" i="24" s="1"/>
  <c r="CV16" i="24"/>
  <c r="CZ47" i="25"/>
  <c r="DA47" i="25" s="1"/>
  <c r="CV47" i="25"/>
  <c r="CV46" i="25"/>
  <c r="CZ46" i="25"/>
  <c r="DA46" i="25" s="1"/>
  <c r="CV15" i="25"/>
  <c r="CZ15" i="25"/>
  <c r="DA15" i="25" s="1"/>
  <c r="CZ23" i="24"/>
  <c r="DA23" i="24" s="1"/>
  <c r="CV23" i="24"/>
  <c r="CV43" i="25"/>
  <c r="CZ43" i="25"/>
  <c r="DA43" i="25" s="1"/>
  <c r="CV15" i="24"/>
  <c r="CZ15" i="24"/>
  <c r="DA15" i="24" s="1"/>
  <c r="CZ39" i="25"/>
  <c r="DA39" i="25" s="1"/>
  <c r="CV39" i="25"/>
  <c r="CZ32" i="23"/>
  <c r="DA32" i="23" s="1"/>
  <c r="CV32" i="23"/>
  <c r="CV21" i="25"/>
  <c r="CZ21" i="25"/>
  <c r="DA21" i="25" s="1"/>
  <c r="CU16" i="23"/>
  <c r="CT16" i="23"/>
  <c r="CP16" i="23"/>
  <c r="CQ16" i="23" s="1"/>
  <c r="CP31" i="23"/>
  <c r="CQ31" i="23" s="1"/>
  <c r="CT31" i="23"/>
  <c r="CU31" i="23" s="1"/>
  <c r="CV29" i="26"/>
  <c r="CZ29" i="26"/>
  <c r="DA29" i="26" s="1"/>
  <c r="CV32" i="26"/>
  <c r="CZ32" i="26"/>
  <c r="DA32" i="26" s="1"/>
  <c r="CZ34" i="26"/>
  <c r="DA34" i="26" s="1"/>
  <c r="CV34" i="26"/>
  <c r="CZ36" i="24"/>
  <c r="DA36" i="24" s="1"/>
  <c r="CV36" i="24"/>
  <c r="CZ20" i="25"/>
  <c r="DA20" i="25" s="1"/>
  <c r="CV20" i="25"/>
  <c r="CZ25" i="26"/>
  <c r="DA25" i="26" s="1"/>
  <c r="CV25" i="26"/>
  <c r="CV30" i="24"/>
  <c r="CZ30" i="24"/>
  <c r="DA30" i="24" s="1"/>
  <c r="CT36" i="23"/>
  <c r="CU36" i="23"/>
  <c r="CP36" i="23"/>
  <c r="CQ36" i="23" s="1"/>
  <c r="CP49" i="23"/>
  <c r="CQ49" i="23" s="1"/>
  <c r="CU49" i="23"/>
  <c r="CT49" i="23"/>
  <c r="CP47" i="23"/>
  <c r="CQ47" i="23" s="1"/>
  <c r="CT47" i="23"/>
  <c r="CU47" i="23" s="1"/>
  <c r="CV38" i="26"/>
  <c r="CZ38" i="26"/>
  <c r="DA38" i="26" s="1"/>
  <c r="CP42" i="22"/>
  <c r="CQ42" i="22" s="1"/>
  <c r="CT42" i="22"/>
  <c r="CU42" i="22" s="1"/>
  <c r="CU49" i="22"/>
  <c r="CT49" i="22"/>
  <c r="CP49" i="22"/>
  <c r="CQ49" i="22" s="1"/>
  <c r="CT45" i="22"/>
  <c r="CU45" i="22" s="1"/>
  <c r="CP45" i="22"/>
  <c r="CQ45" i="22" s="1"/>
  <c r="DA12" i="24"/>
  <c r="CZ40" i="24"/>
  <c r="DA40" i="24" s="1"/>
  <c r="CV40" i="24"/>
  <c r="CP21" i="23"/>
  <c r="CQ21" i="23" s="1"/>
  <c r="CT21" i="23"/>
  <c r="CU21" i="23" s="1"/>
  <c r="CP41" i="22"/>
  <c r="CQ41" i="22" s="1"/>
  <c r="CT41" i="22"/>
  <c r="CU41" i="22" s="1"/>
  <c r="CU42" i="23"/>
  <c r="CT42" i="23"/>
  <c r="CP42" i="23"/>
  <c r="CQ42" i="23" s="1"/>
  <c r="CZ40" i="25"/>
  <c r="DA40" i="25" s="1"/>
  <c r="CV40" i="25"/>
  <c r="CT15" i="22"/>
  <c r="CU15" i="22" s="1"/>
  <c r="CP15" i="22"/>
  <c r="CQ15" i="22" s="1"/>
  <c r="CV40" i="26"/>
  <c r="CZ40" i="26"/>
  <c r="DA40" i="26" s="1"/>
  <c r="CZ49" i="26"/>
  <c r="DA49" i="26" s="1"/>
  <c r="CV49" i="26"/>
  <c r="CV27" i="26"/>
  <c r="CZ27" i="26"/>
  <c r="DA27" i="26" s="1"/>
  <c r="CT25" i="22"/>
  <c r="CU25" i="22" s="1"/>
  <c r="CP25" i="22"/>
  <c r="CQ25" i="22" s="1"/>
  <c r="CZ14" i="25"/>
  <c r="DA14" i="25" s="1"/>
  <c r="CV14" i="25"/>
  <c r="CZ13" i="26"/>
  <c r="DA13" i="26" s="1"/>
  <c r="CV13" i="26"/>
  <c r="CP37" i="23"/>
  <c r="CQ37" i="23" s="1"/>
  <c r="CU37" i="23"/>
  <c r="CT37" i="23"/>
  <c r="CU39" i="23"/>
  <c r="CT39" i="23"/>
  <c r="CP39" i="23"/>
  <c r="CQ39" i="23" s="1"/>
  <c r="CZ18" i="24"/>
  <c r="DA18" i="24" s="1"/>
  <c r="CV18" i="24"/>
  <c r="CZ45" i="24"/>
  <c r="DA45" i="24" s="1"/>
  <c r="CV45" i="24"/>
  <c r="CV48" i="26"/>
  <c r="CZ48" i="26"/>
  <c r="DA48" i="26" s="1"/>
  <c r="CT44" i="22"/>
  <c r="CP44" i="22"/>
  <c r="CQ44" i="22" s="1"/>
  <c r="CU44" i="22"/>
  <c r="CU47" i="22"/>
  <c r="CT47" i="22"/>
  <c r="CP47" i="22"/>
  <c r="CQ47" i="22" s="1"/>
  <c r="CV43" i="26"/>
  <c r="CZ43" i="26"/>
  <c r="DA43" i="26" s="1"/>
  <c r="CZ47" i="26"/>
  <c r="DA47" i="26" s="1"/>
  <c r="CV47" i="26"/>
  <c r="CV26" i="25"/>
  <c r="CZ26" i="25"/>
  <c r="DA26" i="25" s="1"/>
  <c r="CP43" i="23"/>
  <c r="CQ43" i="23" s="1"/>
  <c r="CU43" i="23"/>
  <c r="CT43" i="23"/>
  <c r="CU38" i="23"/>
  <c r="CT38" i="23"/>
  <c r="CP38" i="23"/>
  <c r="CQ38" i="23" s="1"/>
  <c r="CP30" i="23"/>
  <c r="CQ30" i="23" s="1"/>
  <c r="CT30" i="23"/>
  <c r="CU30" i="23" s="1"/>
  <c r="CP24" i="22"/>
  <c r="CQ24" i="22" s="1"/>
  <c r="CT24" i="22"/>
  <c r="CU24" i="22" s="1"/>
  <c r="CT16" i="22"/>
  <c r="CU16" i="22" s="1"/>
  <c r="CP16" i="22"/>
  <c r="CQ16" i="22" s="1"/>
  <c r="CP36" i="22"/>
  <c r="CQ36" i="22" s="1"/>
  <c r="CT36" i="22"/>
  <c r="CU36" i="22" s="1"/>
  <c r="CV37" i="25"/>
  <c r="CZ37" i="25"/>
  <c r="DA37" i="25" s="1"/>
  <c r="CV33" i="25"/>
  <c r="CZ33" i="25"/>
  <c r="DA33" i="25" s="1"/>
  <c r="BX50" i="24"/>
  <c r="BY12" i="24"/>
  <c r="BZ12" i="24" s="1"/>
  <c r="S42" i="34" s="1"/>
  <c r="CT50" i="25"/>
  <c r="CV14" i="23"/>
  <c r="CZ14" i="23"/>
  <c r="DA14" i="23" s="1"/>
  <c r="CP43" i="22"/>
  <c r="CQ43" i="22" s="1"/>
  <c r="CT43" i="22"/>
  <c r="CU43" i="22" s="1"/>
  <c r="CT28" i="22"/>
  <c r="CU28" i="22" s="1"/>
  <c r="CP28" i="22"/>
  <c r="CQ28" i="22" s="1"/>
  <c r="CT31" i="22"/>
  <c r="CU31" i="22" s="1"/>
  <c r="CP31" i="22"/>
  <c r="CQ31" i="22" s="1"/>
  <c r="CP12" i="22"/>
  <c r="CQ12" i="22" s="1"/>
  <c r="CT12" i="22"/>
  <c r="CZ42" i="25"/>
  <c r="DA42" i="25" s="1"/>
  <c r="CV42" i="25"/>
  <c r="CT19" i="23"/>
  <c r="CP19" i="23"/>
  <c r="CQ19" i="23" s="1"/>
  <c r="CU19" i="23"/>
  <c r="CZ35" i="23"/>
  <c r="DA35" i="23" s="1"/>
  <c r="CV35" i="23"/>
  <c r="CT13" i="23"/>
  <c r="CU13" i="23" s="1"/>
  <c r="CP13" i="23"/>
  <c r="CQ13" i="23" s="1"/>
  <c r="CT33" i="23"/>
  <c r="CP33" i="23"/>
  <c r="CQ33" i="23" s="1"/>
  <c r="CU33" i="23"/>
  <c r="CT24" i="23"/>
  <c r="CU24" i="23" s="1"/>
  <c r="CP24" i="23"/>
  <c r="CQ24" i="23" s="1"/>
  <c r="CT50" i="24"/>
  <c r="CT23" i="23"/>
  <c r="CU23" i="23" s="1"/>
  <c r="CP23" i="23"/>
  <c r="CQ23" i="23" s="1"/>
  <c r="CP48" i="23"/>
  <c r="CQ48" i="23" s="1"/>
  <c r="CT48" i="23"/>
  <c r="CU48" i="23" s="1"/>
  <c r="CT44" i="23"/>
  <c r="CU44" i="23" s="1"/>
  <c r="CP44" i="23"/>
  <c r="CQ44" i="23" s="1"/>
  <c r="CV31" i="26"/>
  <c r="CZ31" i="26"/>
  <c r="DA31" i="26" s="1"/>
  <c r="CZ24" i="24"/>
  <c r="DA24" i="24" s="1"/>
  <c r="CV24" i="24"/>
  <c r="CT21" i="22"/>
  <c r="CU21" i="22" s="1"/>
  <c r="CP21" i="22"/>
  <c r="CQ21" i="22" s="1"/>
  <c r="CP14" i="22"/>
  <c r="CQ14" i="22" s="1"/>
  <c r="CU14" i="22"/>
  <c r="CT14" i="22"/>
  <c r="CP26" i="22"/>
  <c r="CQ26" i="22" s="1"/>
  <c r="CU26" i="22"/>
  <c r="CT26" i="22"/>
  <c r="CZ30" i="26"/>
  <c r="DA30" i="26" s="1"/>
  <c r="CV30" i="26"/>
  <c r="CZ17" i="25"/>
  <c r="DA17" i="25" s="1"/>
  <c r="CV17" i="25"/>
  <c r="CT32" i="22"/>
  <c r="CU32" i="22" s="1"/>
  <c r="CP32" i="22"/>
  <c r="CQ32" i="22" s="1"/>
  <c r="CZ41" i="24"/>
  <c r="DA41" i="24" s="1"/>
  <c r="CV41" i="24"/>
  <c r="CZ22" i="25"/>
  <c r="DA22" i="25" s="1"/>
  <c r="CV22" i="25"/>
  <c r="CZ46" i="24"/>
  <c r="DA46" i="24" s="1"/>
  <c r="CV46" i="24"/>
  <c r="BY25" i="25"/>
  <c r="BZ25" i="25" s="1"/>
  <c r="S55" i="36" s="1"/>
  <c r="BY24" i="25"/>
  <c r="BZ24" i="25" s="1"/>
  <c r="S54" i="36" s="1"/>
  <c r="BY23" i="25"/>
  <c r="BZ23" i="25" s="1"/>
  <c r="S53" i="36" s="1"/>
  <c r="BY43" i="25"/>
  <c r="BZ43" i="25" s="1"/>
  <c r="S74" i="36" s="1"/>
  <c r="BY16" i="25"/>
  <c r="BZ16" i="25" s="1"/>
  <c r="S46" i="36" s="1"/>
  <c r="BY46" i="25"/>
  <c r="BZ46" i="25" s="1"/>
  <c r="S77" i="36" s="1"/>
  <c r="BY22" i="25"/>
  <c r="BZ22" i="25" s="1"/>
  <c r="S52" i="36" s="1"/>
  <c r="BY34" i="25"/>
  <c r="BZ34" i="25" s="1"/>
  <c r="S65" i="36" s="1"/>
  <c r="BY26" i="25"/>
  <c r="BZ26" i="25" s="1"/>
  <c r="S56" i="36" s="1"/>
  <c r="BY21" i="25"/>
  <c r="BZ21" i="25" s="1"/>
  <c r="S51" i="36" s="1"/>
  <c r="BY32" i="25"/>
  <c r="BZ32" i="25" s="1"/>
  <c r="S62" i="36" s="1"/>
  <c r="BY38" i="25"/>
  <c r="BZ38" i="25" s="1"/>
  <c r="S69" i="36" s="1"/>
  <c r="BY47" i="25"/>
  <c r="BZ47" i="25" s="1"/>
  <c r="S78" i="36" s="1"/>
  <c r="BY44" i="25"/>
  <c r="BZ44" i="25" s="1"/>
  <c r="S75" i="36" s="1"/>
  <c r="BY30" i="25"/>
  <c r="BZ30" i="25" s="1"/>
  <c r="S60" i="36" s="1"/>
  <c r="BY40" i="25"/>
  <c r="BZ40" i="25" s="1"/>
  <c r="S71" i="36" s="1"/>
  <c r="BY37" i="25"/>
  <c r="BZ37" i="25" s="1"/>
  <c r="S68" i="36" s="1"/>
  <c r="BY27" i="25"/>
  <c r="BZ27" i="25" s="1"/>
  <c r="S57" i="36" s="1"/>
  <c r="BY19" i="25"/>
  <c r="BZ19" i="25" s="1"/>
  <c r="S49" i="36" s="1"/>
  <c r="BY17" i="25"/>
  <c r="BZ17" i="25" s="1"/>
  <c r="S47" i="36" s="1"/>
  <c r="BY33" i="25"/>
  <c r="BZ33" i="25" s="1"/>
  <c r="S63" i="36" s="1"/>
  <c r="BY15" i="25"/>
  <c r="BZ15" i="25" s="1"/>
  <c r="S45" i="36" s="1"/>
  <c r="BY45" i="25"/>
  <c r="BZ45" i="25" s="1"/>
  <c r="S76" i="36" s="1"/>
  <c r="BY42" i="25"/>
  <c r="BZ42" i="25" s="1"/>
  <c r="S73" i="36" s="1"/>
  <c r="BY18" i="25"/>
  <c r="BZ18" i="25" s="1"/>
  <c r="S48" i="36" s="1"/>
  <c r="BY36" i="25"/>
  <c r="BZ36" i="25" s="1"/>
  <c r="S67" i="36" s="1"/>
  <c r="BY49" i="25"/>
  <c r="BZ49" i="25" s="1"/>
  <c r="S80" i="36" s="1"/>
  <c r="BY41" i="25"/>
  <c r="BZ41" i="25" s="1"/>
  <c r="S72" i="36" s="1"/>
  <c r="BY28" i="25"/>
  <c r="BZ28" i="25" s="1"/>
  <c r="S58" i="36" s="1"/>
  <c r="BY39" i="25"/>
  <c r="BZ39" i="25" s="1"/>
  <c r="S70" i="36" s="1"/>
  <c r="BY29" i="25"/>
  <c r="BZ29" i="25" s="1"/>
  <c r="S59" i="36" s="1"/>
  <c r="BY14" i="25"/>
  <c r="BZ14" i="25" s="1"/>
  <c r="S44" i="36" s="1"/>
  <c r="BY48" i="25"/>
  <c r="BZ48" i="25" s="1"/>
  <c r="S79" i="36" s="1"/>
  <c r="BY35" i="25"/>
  <c r="BZ35" i="25" s="1"/>
  <c r="S66" i="36" s="1"/>
  <c r="BY13" i="25"/>
  <c r="BZ13" i="25" s="1"/>
  <c r="S43" i="36" s="1"/>
  <c r="BY31" i="25"/>
  <c r="BZ31" i="25" s="1"/>
  <c r="S61" i="36" s="1"/>
  <c r="BY20" i="25"/>
  <c r="BZ20" i="25" s="1"/>
  <c r="S50" i="36" s="1"/>
  <c r="CP22" i="22"/>
  <c r="CQ22" i="22" s="1"/>
  <c r="CT22" i="22"/>
  <c r="CU22" i="22" s="1"/>
  <c r="CZ19" i="25"/>
  <c r="DA19" i="25" s="1"/>
  <c r="CV19" i="25"/>
  <c r="CZ39" i="26"/>
  <c r="DA39" i="26" s="1"/>
  <c r="CV39" i="26"/>
  <c r="CZ36" i="25"/>
  <c r="DA36" i="25" s="1"/>
  <c r="CV36" i="25"/>
  <c r="CU19" i="22"/>
  <c r="CP19" i="22"/>
  <c r="CQ19" i="22" s="1"/>
  <c r="CT19" i="22"/>
  <c r="CP37" i="22"/>
  <c r="CQ37" i="22" s="1"/>
  <c r="CT37" i="22"/>
  <c r="CU37" i="22" s="1"/>
  <c r="CT30" i="22"/>
  <c r="CU30" i="22" s="1"/>
  <c r="CP30" i="22"/>
  <c r="CQ30" i="22" s="1"/>
  <c r="CZ49" i="24"/>
  <c r="DA49" i="24" s="1"/>
  <c r="CV49" i="24"/>
  <c r="CV28" i="26"/>
  <c r="CZ28" i="26"/>
  <c r="DA28" i="26" s="1"/>
  <c r="CZ12" i="23"/>
  <c r="CV12" i="23"/>
  <c r="BY49" i="23"/>
  <c r="BZ49" i="23" s="1"/>
  <c r="S80" i="35" s="1"/>
  <c r="BY15" i="23"/>
  <c r="BZ15" i="23" s="1"/>
  <c r="S45" i="35" s="1"/>
  <c r="BY35" i="23"/>
  <c r="BZ35" i="23" s="1"/>
  <c r="S66" i="35" s="1"/>
  <c r="BY40" i="23"/>
  <c r="BZ40" i="23" s="1"/>
  <c r="S71" i="35" s="1"/>
  <c r="BY47" i="23"/>
  <c r="BZ47" i="23" s="1"/>
  <c r="S78" i="35" s="1"/>
  <c r="BY17" i="23"/>
  <c r="BZ17" i="23" s="1"/>
  <c r="S47" i="35" s="1"/>
  <c r="BY16" i="23"/>
  <c r="BZ16" i="23" s="1"/>
  <c r="S46" i="35" s="1"/>
  <c r="BY36" i="23"/>
  <c r="BZ36" i="23" s="1"/>
  <c r="S67" i="35" s="1"/>
  <c r="BY25" i="23"/>
  <c r="BZ25" i="23" s="1"/>
  <c r="S55" i="35" s="1"/>
  <c r="BY33" i="23"/>
  <c r="BZ33" i="23" s="1"/>
  <c r="S63" i="35" s="1"/>
  <c r="BY41" i="23"/>
  <c r="BZ41" i="23" s="1"/>
  <c r="S72" i="35" s="1"/>
  <c r="BY39" i="23"/>
  <c r="BZ39" i="23" s="1"/>
  <c r="S70" i="35" s="1"/>
  <c r="BY46" i="23"/>
  <c r="BZ46" i="23" s="1"/>
  <c r="S77" i="35" s="1"/>
  <c r="BY13" i="23"/>
  <c r="BZ13" i="23" s="1"/>
  <c r="S43" i="35" s="1"/>
  <c r="BY44" i="23"/>
  <c r="BZ44" i="23" s="1"/>
  <c r="S75" i="35" s="1"/>
  <c r="BY20" i="23"/>
  <c r="BZ20" i="23" s="1"/>
  <c r="S50" i="35" s="1"/>
  <c r="BY27" i="23"/>
  <c r="BZ27" i="23" s="1"/>
  <c r="S57" i="35" s="1"/>
  <c r="BY26" i="23"/>
  <c r="BZ26" i="23" s="1"/>
  <c r="S56" i="35" s="1"/>
  <c r="BY22" i="23"/>
  <c r="BZ22" i="23" s="1"/>
  <c r="S52" i="35" s="1"/>
  <c r="BY18" i="23"/>
  <c r="BZ18" i="23" s="1"/>
  <c r="S48" i="35" s="1"/>
  <c r="BY38" i="23"/>
  <c r="BZ38" i="23" s="1"/>
  <c r="S69" i="35" s="1"/>
  <c r="BY23" i="23"/>
  <c r="BZ23" i="23" s="1"/>
  <c r="S53" i="35" s="1"/>
  <c r="BY42" i="23"/>
  <c r="BZ42" i="23" s="1"/>
  <c r="S73" i="35" s="1"/>
  <c r="BY19" i="23"/>
  <c r="BZ19" i="23" s="1"/>
  <c r="S49" i="35" s="1"/>
  <c r="BY48" i="23"/>
  <c r="BZ48" i="23" s="1"/>
  <c r="S79" i="35" s="1"/>
  <c r="BY43" i="23"/>
  <c r="BZ43" i="23" s="1"/>
  <c r="S74" i="35" s="1"/>
  <c r="BY24" i="23"/>
  <c r="BZ24" i="23" s="1"/>
  <c r="S54" i="35" s="1"/>
  <c r="BY31" i="23"/>
  <c r="BZ31" i="23" s="1"/>
  <c r="S61" i="35" s="1"/>
  <c r="BY14" i="23"/>
  <c r="BZ14" i="23" s="1"/>
  <c r="S44" i="35" s="1"/>
  <c r="BY30" i="23"/>
  <c r="BZ30" i="23" s="1"/>
  <c r="S60" i="35" s="1"/>
  <c r="BY34" i="23"/>
  <c r="BZ34" i="23" s="1"/>
  <c r="S65" i="35" s="1"/>
  <c r="BY45" i="23"/>
  <c r="BZ45" i="23" s="1"/>
  <c r="S76" i="35" s="1"/>
  <c r="BY28" i="23"/>
  <c r="BZ28" i="23" s="1"/>
  <c r="S58" i="35" s="1"/>
  <c r="BY21" i="23"/>
  <c r="BZ21" i="23" s="1"/>
  <c r="S51" i="35" s="1"/>
  <c r="BY37" i="23"/>
  <c r="BZ37" i="23" s="1"/>
  <c r="S68" i="35" s="1"/>
  <c r="BY29" i="23"/>
  <c r="BZ29" i="23" s="1"/>
  <c r="S59" i="35" s="1"/>
  <c r="BY32" i="23"/>
  <c r="BZ32" i="23" s="1"/>
  <c r="S62" i="35" s="1"/>
  <c r="CZ42" i="26"/>
  <c r="DA42" i="26" s="1"/>
  <c r="CV42" i="26"/>
  <c r="CT18" i="23"/>
  <c r="CU18" i="23" s="1"/>
  <c r="CP18" i="23"/>
  <c r="CQ18" i="23" s="1"/>
  <c r="CP28" i="23"/>
  <c r="CQ28" i="23" s="1"/>
  <c r="CT28" i="23"/>
  <c r="CU28" i="23" s="1"/>
  <c r="CV49" i="25"/>
  <c r="CZ49" i="25"/>
  <c r="DA49" i="25" s="1"/>
  <c r="CV34" i="24"/>
  <c r="CZ34" i="24"/>
  <c r="DA34" i="24" s="1"/>
  <c r="CV34" i="25"/>
  <c r="CZ34" i="25"/>
  <c r="DA34" i="25" s="1"/>
  <c r="CV16" i="25"/>
  <c r="CZ16" i="25"/>
  <c r="DA16" i="25" s="1"/>
  <c r="CP13" i="22"/>
  <c r="CQ13" i="22" s="1"/>
  <c r="CT13" i="22"/>
  <c r="CU13" i="22" s="1"/>
  <c r="CZ18" i="26"/>
  <c r="DA18" i="26" s="1"/>
  <c r="CV18" i="26"/>
  <c r="CV45" i="25"/>
  <c r="CZ45" i="25"/>
  <c r="DA45" i="25" s="1"/>
  <c r="CT46" i="23"/>
  <c r="CU46" i="23" s="1"/>
  <c r="CP46" i="23"/>
  <c r="CQ46" i="23" s="1"/>
  <c r="CT40" i="23"/>
  <c r="CU40" i="23" s="1"/>
  <c r="CP40" i="23"/>
  <c r="CQ40" i="23" s="1"/>
  <c r="CP29" i="23"/>
  <c r="CQ29" i="23" s="1"/>
  <c r="CT29" i="23"/>
  <c r="CU29" i="23" s="1"/>
  <c r="CT34" i="23"/>
  <c r="CU34" i="23" s="1"/>
  <c r="CP34" i="23"/>
  <c r="CQ34" i="23" s="1"/>
  <c r="BY30" i="26"/>
  <c r="BZ30" i="26" s="1"/>
  <c r="S60" i="37" s="1"/>
  <c r="BY15" i="26"/>
  <c r="BZ15" i="26" s="1"/>
  <c r="S45" i="37" s="1"/>
  <c r="BY13" i="26"/>
  <c r="BZ13" i="26" s="1"/>
  <c r="S43" i="37" s="1"/>
  <c r="BY42" i="26"/>
  <c r="BZ42" i="26" s="1"/>
  <c r="S73" i="37" s="1"/>
  <c r="BY20" i="26"/>
  <c r="BZ20" i="26" s="1"/>
  <c r="S50" i="37" s="1"/>
  <c r="BY17" i="26"/>
  <c r="BZ17" i="26" s="1"/>
  <c r="S47" i="37" s="1"/>
  <c r="BY37" i="26"/>
  <c r="BZ37" i="26" s="1"/>
  <c r="S68" i="37" s="1"/>
  <c r="BY21" i="26"/>
  <c r="BZ21" i="26" s="1"/>
  <c r="S51" i="37" s="1"/>
  <c r="BY41" i="26"/>
  <c r="BZ41" i="26" s="1"/>
  <c r="S72" i="37" s="1"/>
  <c r="BY31" i="26"/>
  <c r="BZ31" i="26" s="1"/>
  <c r="S61" i="37" s="1"/>
  <c r="BY29" i="26"/>
  <c r="BZ29" i="26" s="1"/>
  <c r="S59" i="37" s="1"/>
  <c r="BY16" i="26"/>
  <c r="BZ16" i="26" s="1"/>
  <c r="BY27" i="26"/>
  <c r="BZ27" i="26" s="1"/>
  <c r="S57" i="37" s="1"/>
  <c r="BY34" i="26"/>
  <c r="BZ34" i="26" s="1"/>
  <c r="S65" i="37" s="1"/>
  <c r="BY19" i="26"/>
  <c r="BZ19" i="26" s="1"/>
  <c r="S49" i="37" s="1"/>
  <c r="BY18" i="26"/>
  <c r="BZ18" i="26" s="1"/>
  <c r="S48" i="37" s="1"/>
  <c r="BY49" i="26"/>
  <c r="BZ49" i="26" s="1"/>
  <c r="S80" i="37" s="1"/>
  <c r="BY25" i="26"/>
  <c r="BZ25" i="26" s="1"/>
  <c r="S55" i="37" s="1"/>
  <c r="BY48" i="26"/>
  <c r="BZ48" i="26" s="1"/>
  <c r="S79" i="37" s="1"/>
  <c r="BY23" i="26"/>
  <c r="BZ23" i="26" s="1"/>
  <c r="S53" i="37" s="1"/>
  <c r="BY43" i="26"/>
  <c r="BZ43" i="26" s="1"/>
  <c r="S74" i="37" s="1"/>
  <c r="BY14" i="26"/>
  <c r="BZ14" i="26" s="1"/>
  <c r="S44" i="37" s="1"/>
  <c r="BY45" i="26"/>
  <c r="BZ45" i="26" s="1"/>
  <c r="S76" i="37" s="1"/>
  <c r="BY38" i="26"/>
  <c r="BZ38" i="26" s="1"/>
  <c r="S69" i="37" s="1"/>
  <c r="BY33" i="26"/>
  <c r="BZ33" i="26" s="1"/>
  <c r="S63" i="37" s="1"/>
  <c r="BY44" i="26"/>
  <c r="BZ44" i="26" s="1"/>
  <c r="S75" i="37" s="1"/>
  <c r="BY32" i="26"/>
  <c r="BZ32" i="26" s="1"/>
  <c r="S62" i="37" s="1"/>
  <c r="BY35" i="26"/>
  <c r="BZ35" i="26" s="1"/>
  <c r="S66" i="37" s="1"/>
  <c r="BY26" i="26"/>
  <c r="BZ26" i="26" s="1"/>
  <c r="S56" i="37" s="1"/>
  <c r="BY46" i="26"/>
  <c r="BZ46" i="26" s="1"/>
  <c r="S77" i="37" s="1"/>
  <c r="BY39" i="26"/>
  <c r="BZ39" i="26" s="1"/>
  <c r="S70" i="37" s="1"/>
  <c r="BY22" i="26"/>
  <c r="BZ22" i="26" s="1"/>
  <c r="S52" i="37" s="1"/>
  <c r="BY36" i="26"/>
  <c r="BZ36" i="26" s="1"/>
  <c r="S67" i="37" s="1"/>
  <c r="BY28" i="26"/>
  <c r="BZ28" i="26" s="1"/>
  <c r="S58" i="37" s="1"/>
  <c r="BY24" i="26"/>
  <c r="BZ24" i="26" s="1"/>
  <c r="S54" i="37" s="1"/>
  <c r="BY47" i="26"/>
  <c r="BZ47" i="26" s="1"/>
  <c r="S78" i="37" s="1"/>
  <c r="BY40" i="26"/>
  <c r="BZ40" i="26" s="1"/>
  <c r="S71" i="37" s="1"/>
  <c r="CT18" i="22"/>
  <c r="CU18" i="22" s="1"/>
  <c r="CP18" i="22"/>
  <c r="CQ18" i="22" s="1"/>
  <c r="CT38" i="22"/>
  <c r="CU38" i="22" s="1"/>
  <c r="CP38" i="22"/>
  <c r="CQ38" i="22" s="1"/>
  <c r="CV36" i="26"/>
  <c r="CZ36" i="26"/>
  <c r="DA36" i="26" s="1"/>
  <c r="CZ37" i="24"/>
  <c r="DA37" i="24" s="1"/>
  <c r="CV37" i="24"/>
  <c r="CZ38" i="24"/>
  <c r="DA38" i="24" s="1"/>
  <c r="CV38" i="24"/>
  <c r="CP41" i="23"/>
  <c r="CQ41" i="23" s="1"/>
  <c r="CT41" i="23"/>
  <c r="CU41" i="23" s="1"/>
  <c r="CV48" i="25"/>
  <c r="CZ48" i="25"/>
  <c r="DA48" i="25" s="1"/>
  <c r="CV46" i="26"/>
  <c r="CZ46" i="26"/>
  <c r="DA46" i="26" s="1"/>
  <c r="CT34" i="22"/>
  <c r="CU34" i="22" s="1"/>
  <c r="CP34" i="22"/>
  <c r="CQ34" i="22" s="1"/>
  <c r="CP15" i="23"/>
  <c r="CQ15" i="23" s="1"/>
  <c r="CT15" i="23"/>
  <c r="CU15" i="23" s="1"/>
  <c r="CT22" i="23"/>
  <c r="CU22" i="23" s="1"/>
  <c r="CP22" i="23"/>
  <c r="CQ22" i="23" s="1"/>
  <c r="CT20" i="23"/>
  <c r="CU20" i="23" s="1"/>
  <c r="CP20" i="23"/>
  <c r="CQ20" i="23" s="1"/>
  <c r="CU12" i="26"/>
  <c r="CT17" i="22"/>
  <c r="CU17" i="22" s="1"/>
  <c r="CP17" i="22"/>
  <c r="CQ17" i="22" s="1"/>
  <c r="CP35" i="22"/>
  <c r="CQ35" i="22" s="1"/>
  <c r="CT35" i="22"/>
  <c r="CU35" i="22" s="1"/>
  <c r="CU50" i="25"/>
  <c r="CZ12" i="25"/>
  <c r="CV12" i="25"/>
  <c r="CZ40" i="22"/>
  <c r="DA40" i="22" s="1"/>
  <c r="CV40" i="22"/>
  <c r="CP48" i="22"/>
  <c r="CQ48" i="22" s="1"/>
  <c r="CU48" i="22"/>
  <c r="CT48" i="22"/>
  <c r="CZ22" i="24"/>
  <c r="DA22" i="24" s="1"/>
  <c r="CV22" i="24"/>
  <c r="CZ14" i="26"/>
  <c r="DA14" i="26" s="1"/>
  <c r="CV14" i="26"/>
  <c r="CZ28" i="25"/>
  <c r="DA28" i="25" s="1"/>
  <c r="CV28" i="25"/>
  <c r="CU25" i="23"/>
  <c r="CT25" i="23"/>
  <c r="CP25" i="23"/>
  <c r="CQ25" i="23" s="1"/>
  <c r="CQ50" i="26"/>
  <c r="BX50" i="22"/>
  <c r="BY12" i="22" s="1"/>
  <c r="CP27" i="22"/>
  <c r="CQ27" i="22" s="1"/>
  <c r="CT27" i="22"/>
  <c r="CU27" i="22" s="1"/>
  <c r="CZ33" i="26"/>
  <c r="DA33" i="26" s="1"/>
  <c r="CV33" i="26"/>
  <c r="CP45" i="23"/>
  <c r="CQ45" i="23" s="1"/>
  <c r="CT45" i="23"/>
  <c r="CU45" i="23" s="1"/>
  <c r="CP27" i="23"/>
  <c r="CQ27" i="23" s="1"/>
  <c r="CT27" i="23"/>
  <c r="CU27" i="23" s="1"/>
  <c r="CT17" i="23"/>
  <c r="CU17" i="23" s="1"/>
  <c r="CP17" i="23"/>
  <c r="CQ17" i="23" s="1"/>
  <c r="CP20" i="22"/>
  <c r="CQ20" i="22" s="1"/>
  <c r="CT20" i="22"/>
  <c r="CU20" i="22" s="1"/>
  <c r="CU33" i="22"/>
  <c r="CT33" i="22"/>
  <c r="CP33" i="22"/>
  <c r="CQ33" i="22" s="1"/>
  <c r="CP39" i="22"/>
  <c r="CQ39" i="22" s="1"/>
  <c r="CT39" i="22"/>
  <c r="CU39" i="22" s="1"/>
  <c r="CZ29" i="24"/>
  <c r="DA29" i="24" s="1"/>
  <c r="CV29" i="24"/>
  <c r="CV29" i="25"/>
  <c r="CZ29" i="25"/>
  <c r="DA29" i="25" s="1"/>
  <c r="BY50" i="14"/>
  <c r="BZ50" i="14" s="1"/>
  <c r="BY49" i="14"/>
  <c r="BY41" i="14"/>
  <c r="BZ41" i="14" s="1"/>
  <c r="BY35" i="14"/>
  <c r="BZ35" i="14" s="1"/>
  <c r="BY47" i="14"/>
  <c r="BZ47" i="14" s="1"/>
  <c r="BY46" i="14"/>
  <c r="BZ46" i="14" s="1"/>
  <c r="BY30" i="14"/>
  <c r="BZ30" i="14" s="1"/>
  <c r="BY28" i="14"/>
  <c r="BZ28" i="14" s="1"/>
  <c r="BY22" i="14"/>
  <c r="BZ22" i="14" s="1"/>
  <c r="BY36" i="14"/>
  <c r="BZ36" i="14" s="1"/>
  <c r="BY44" i="14"/>
  <c r="BZ44" i="14" s="1"/>
  <c r="BY42" i="14"/>
  <c r="BZ42" i="14" s="1"/>
  <c r="BY40" i="14"/>
  <c r="BZ40" i="14" s="1"/>
  <c r="BY27" i="14"/>
  <c r="BZ27" i="14" s="1"/>
  <c r="BY45" i="14"/>
  <c r="BZ45" i="14" s="1"/>
  <c r="BY33" i="14"/>
  <c r="BY32" i="14"/>
  <c r="BZ32" i="14" s="1"/>
  <c r="BY12" i="14"/>
  <c r="BY43" i="14"/>
  <c r="BZ43" i="14" s="1"/>
  <c r="BY31" i="14"/>
  <c r="BZ31" i="14" s="1"/>
  <c r="BY23" i="14"/>
  <c r="BZ23" i="14" s="1"/>
  <c r="BY21" i="14"/>
  <c r="BZ21" i="14" s="1"/>
  <c r="BY18" i="14"/>
  <c r="BZ18" i="14" s="1"/>
  <c r="BY15" i="14"/>
  <c r="BY11" i="14"/>
  <c r="BZ11" i="14" s="1"/>
  <c r="R42" i="35" s="1"/>
  <c r="BY24" i="14"/>
  <c r="BY20" i="14"/>
  <c r="BZ20" i="14" s="1"/>
  <c r="BY38" i="14"/>
  <c r="BZ38" i="14" s="1"/>
  <c r="BY37" i="14"/>
  <c r="BZ37" i="14" s="1"/>
  <c r="BY39" i="14"/>
  <c r="BZ39" i="14" s="1"/>
  <c r="BY29" i="14"/>
  <c r="BZ29" i="14" s="1"/>
  <c r="BY34" i="14"/>
  <c r="BZ34" i="14" s="1"/>
  <c r="BY48" i="14"/>
  <c r="BZ48" i="14" s="1"/>
  <c r="BY16" i="14"/>
  <c r="BZ16" i="14" s="1"/>
  <c r="BY25" i="14"/>
  <c r="BZ25" i="14" s="1"/>
  <c r="BY14" i="14"/>
  <c r="BZ14" i="14" s="1"/>
  <c r="BY17" i="14"/>
  <c r="BZ17" i="14" s="1"/>
  <c r="CQ17" i="14" s="1"/>
  <c r="BY26" i="14"/>
  <c r="BY19" i="14"/>
  <c r="BZ19" i="14" s="1"/>
  <c r="BY13" i="14"/>
  <c r="BZ13" i="14" s="1"/>
  <c r="BZ49" i="15"/>
  <c r="BZ49" i="14"/>
  <c r="BZ15" i="14"/>
  <c r="BZ24" i="14"/>
  <c r="BZ26" i="14"/>
  <c r="BZ33" i="14"/>
  <c r="BZ12" i="14"/>
  <c r="BY46" i="15"/>
  <c r="BZ46" i="15" s="1"/>
  <c r="BY45" i="15"/>
  <c r="BZ45" i="15" s="1"/>
  <c r="BY39" i="15"/>
  <c r="BZ39" i="15" s="1"/>
  <c r="BY49" i="15"/>
  <c r="BY50" i="15"/>
  <c r="BZ50" i="15" s="1"/>
  <c r="BY28" i="15"/>
  <c r="BZ28" i="15" s="1"/>
  <c r="BY22" i="15"/>
  <c r="BZ22" i="15" s="1"/>
  <c r="BY47" i="15"/>
  <c r="BZ47" i="15" s="1"/>
  <c r="BY42" i="15"/>
  <c r="BZ42" i="15" s="1"/>
  <c r="BY36" i="15"/>
  <c r="BZ36" i="15" s="1"/>
  <c r="BY35" i="15"/>
  <c r="BZ35" i="15" s="1"/>
  <c r="BY33" i="15"/>
  <c r="BZ33" i="15" s="1"/>
  <c r="BY27" i="15"/>
  <c r="BZ27" i="15" s="1"/>
  <c r="BY37" i="15"/>
  <c r="BZ37" i="15" s="1"/>
  <c r="BY41" i="15"/>
  <c r="BZ41" i="15" s="1"/>
  <c r="BY48" i="15"/>
  <c r="BZ48" i="15" s="1"/>
  <c r="BY34" i="15"/>
  <c r="BZ34" i="15" s="1"/>
  <c r="BY19" i="15"/>
  <c r="BZ19" i="15" s="1"/>
  <c r="BY21" i="15"/>
  <c r="BZ21" i="15" s="1"/>
  <c r="BY12" i="15"/>
  <c r="BZ12" i="15" s="1"/>
  <c r="BY23" i="15"/>
  <c r="BZ23" i="15" s="1"/>
  <c r="BY26" i="15"/>
  <c r="BZ26" i="15" s="1"/>
  <c r="BY40" i="15"/>
  <c r="BZ40" i="15" s="1"/>
  <c r="BY25" i="15"/>
  <c r="BZ25" i="15" s="1"/>
  <c r="BY24" i="15"/>
  <c r="BZ24" i="15" s="1"/>
  <c r="BY38" i="15"/>
  <c r="BZ38" i="15" s="1"/>
  <c r="BY43" i="15"/>
  <c r="BZ43" i="15" s="1"/>
  <c r="BY29" i="15"/>
  <c r="BZ29" i="15" s="1"/>
  <c r="BY32" i="15"/>
  <c r="BZ32" i="15" s="1"/>
  <c r="BY18" i="15"/>
  <c r="BZ18" i="15" s="1"/>
  <c r="BY17" i="15"/>
  <c r="BZ17" i="15" s="1"/>
  <c r="CQ17" i="15" s="1"/>
  <c r="BY11" i="15"/>
  <c r="BY30" i="15"/>
  <c r="BZ30" i="15" s="1"/>
  <c r="BY13" i="15"/>
  <c r="BZ13" i="15" s="1"/>
  <c r="BY44" i="15"/>
  <c r="BZ44" i="15" s="1"/>
  <c r="BY14" i="15"/>
  <c r="BZ14" i="15" s="1"/>
  <c r="BY31" i="15"/>
  <c r="BZ31" i="15" s="1"/>
  <c r="BY16" i="15"/>
  <c r="BZ16" i="15" s="1"/>
  <c r="BY20" i="15"/>
  <c r="BZ20" i="15" s="1"/>
  <c r="BY15" i="15"/>
  <c r="BZ15" i="15" s="1"/>
  <c r="BW51" i="12"/>
  <c r="BX11" i="12"/>
  <c r="BX51" i="12" s="1"/>
  <c r="CL51" i="15"/>
  <c r="CM11" i="15"/>
  <c r="CN11" i="15" s="1"/>
  <c r="CO11" i="15" s="1"/>
  <c r="BZ51" i="13"/>
  <c r="CQ51" i="13" s="1"/>
  <c r="CQ11" i="13"/>
  <c r="CM51" i="14"/>
  <c r="CN51" i="14" s="1"/>
  <c r="CM17" i="14"/>
  <c r="CN17" i="14" s="1"/>
  <c r="CM25" i="14"/>
  <c r="CN25" i="14" s="1"/>
  <c r="CO25" i="14" s="1"/>
  <c r="CM16" i="14"/>
  <c r="CN16" i="14" s="1"/>
  <c r="CO16" i="14" s="1"/>
  <c r="CM21" i="14"/>
  <c r="CN21" i="14" s="1"/>
  <c r="CO21" i="14" s="1"/>
  <c r="CM30" i="14"/>
  <c r="CN30" i="14" s="1"/>
  <c r="CO30" i="14" s="1"/>
  <c r="CM18" i="14"/>
  <c r="CN18" i="14" s="1"/>
  <c r="CO18" i="14" s="1"/>
  <c r="CM20" i="14"/>
  <c r="CN20" i="14" s="1"/>
  <c r="CO20" i="14" s="1"/>
  <c r="CM43" i="14"/>
  <c r="CN43" i="14" s="1"/>
  <c r="CO43" i="14" s="1"/>
  <c r="CM35" i="14"/>
  <c r="CN35" i="14" s="1"/>
  <c r="CO35" i="14" s="1"/>
  <c r="CM32" i="14"/>
  <c r="CN32" i="14" s="1"/>
  <c r="CO32" i="14" s="1"/>
  <c r="CM12" i="14"/>
  <c r="CN12" i="14" s="1"/>
  <c r="CO12" i="14" s="1"/>
  <c r="CM23" i="14"/>
  <c r="CN23" i="14" s="1"/>
  <c r="CO23" i="14" s="1"/>
  <c r="CM46" i="14"/>
  <c r="CN46" i="14" s="1"/>
  <c r="CO46" i="14" s="1"/>
  <c r="CM22" i="14"/>
  <c r="CN22" i="14" s="1"/>
  <c r="CO22" i="14" s="1"/>
  <c r="CM28" i="14"/>
  <c r="CN28" i="14" s="1"/>
  <c r="CO28" i="14" s="1"/>
  <c r="CM36" i="14"/>
  <c r="CN36" i="14" s="1"/>
  <c r="CO36" i="14" s="1"/>
  <c r="CM48" i="14"/>
  <c r="CN48" i="14" s="1"/>
  <c r="CO48" i="14" s="1"/>
  <c r="CM19" i="14"/>
  <c r="CN19" i="14" s="1"/>
  <c r="CO19" i="14" s="1"/>
  <c r="CM37" i="14"/>
  <c r="CN37" i="14" s="1"/>
  <c r="CO37" i="14" s="1"/>
  <c r="CM14" i="14"/>
  <c r="CN14" i="14" s="1"/>
  <c r="CO14" i="14" s="1"/>
  <c r="CM15" i="14"/>
  <c r="CN15" i="14" s="1"/>
  <c r="CO15" i="14" s="1"/>
  <c r="CM41" i="14"/>
  <c r="CN41" i="14" s="1"/>
  <c r="CO41" i="14" s="1"/>
  <c r="CM44" i="14"/>
  <c r="CN44" i="14" s="1"/>
  <c r="CO44" i="14" s="1"/>
  <c r="CM33" i="14"/>
  <c r="CN33" i="14" s="1"/>
  <c r="CO33" i="14" s="1"/>
  <c r="CM50" i="14"/>
  <c r="CN50" i="14" s="1"/>
  <c r="CO50" i="14" s="1"/>
  <c r="CM24" i="14"/>
  <c r="CN24" i="14" s="1"/>
  <c r="CO24" i="14" s="1"/>
  <c r="CM49" i="14"/>
  <c r="CN49" i="14" s="1"/>
  <c r="CO49" i="14" s="1"/>
  <c r="CM26" i="14"/>
  <c r="CN26" i="14" s="1"/>
  <c r="CO26" i="14" s="1"/>
  <c r="CM38" i="14"/>
  <c r="CN38" i="14" s="1"/>
  <c r="CO38" i="14" s="1"/>
  <c r="CM47" i="14"/>
  <c r="CN47" i="14" s="1"/>
  <c r="CO47" i="14" s="1"/>
  <c r="CM29" i="14"/>
  <c r="CN29" i="14" s="1"/>
  <c r="CO29" i="14" s="1"/>
  <c r="CM45" i="14"/>
  <c r="CN45" i="14" s="1"/>
  <c r="CO45" i="14" s="1"/>
  <c r="CM27" i="14"/>
  <c r="CN27" i="14" s="1"/>
  <c r="CO27" i="14" s="1"/>
  <c r="CM31" i="14"/>
  <c r="CN31" i="14" s="1"/>
  <c r="CO31" i="14" s="1"/>
  <c r="CM13" i="14"/>
  <c r="CN13" i="14" s="1"/>
  <c r="CO13" i="14" s="1"/>
  <c r="CM40" i="14"/>
  <c r="CN40" i="14" s="1"/>
  <c r="CO40" i="14" s="1"/>
  <c r="CM42" i="14"/>
  <c r="CN42" i="14" s="1"/>
  <c r="CO42" i="14" s="1"/>
  <c r="CM39" i="14"/>
  <c r="CN39" i="14" s="1"/>
  <c r="CO39" i="14" s="1"/>
  <c r="CM34" i="14"/>
  <c r="CN34" i="14" s="1"/>
  <c r="CO34" i="14" s="1"/>
  <c r="CJ51" i="16"/>
  <c r="CM6" i="16" s="1"/>
  <c r="CL11" i="16"/>
  <c r="CM51" i="13"/>
  <c r="CN51" i="13" s="1"/>
  <c r="CM17" i="13"/>
  <c r="CN17" i="13" s="1"/>
  <c r="CM47" i="13"/>
  <c r="CN47" i="13" s="1"/>
  <c r="CO47" i="13" s="1"/>
  <c r="CM37" i="13"/>
  <c r="CN37" i="13" s="1"/>
  <c r="CO37" i="13" s="1"/>
  <c r="CM42" i="13"/>
  <c r="CN42" i="13" s="1"/>
  <c r="CO42" i="13" s="1"/>
  <c r="CM41" i="13"/>
  <c r="CN41" i="13" s="1"/>
  <c r="CO41" i="13" s="1"/>
  <c r="CM32" i="13"/>
  <c r="CN32" i="13" s="1"/>
  <c r="CO32" i="13" s="1"/>
  <c r="CM35" i="13"/>
  <c r="CN35" i="13" s="1"/>
  <c r="CO35" i="13" s="1"/>
  <c r="CM23" i="13"/>
  <c r="CN23" i="13" s="1"/>
  <c r="CO23" i="13" s="1"/>
  <c r="CM26" i="13"/>
  <c r="CN26" i="13" s="1"/>
  <c r="CO26" i="13" s="1"/>
  <c r="CM21" i="13"/>
  <c r="CN21" i="13" s="1"/>
  <c r="CO21" i="13" s="1"/>
  <c r="CM46" i="13"/>
  <c r="CN46" i="13" s="1"/>
  <c r="CO46" i="13" s="1"/>
  <c r="CM28" i="13"/>
  <c r="CN28" i="13" s="1"/>
  <c r="CO28" i="13" s="1"/>
  <c r="CM18" i="13"/>
  <c r="CN18" i="13" s="1"/>
  <c r="CO18" i="13" s="1"/>
  <c r="CM33" i="13"/>
  <c r="CN33" i="13" s="1"/>
  <c r="CO33" i="13" s="1"/>
  <c r="CM13" i="13"/>
  <c r="CN13" i="13" s="1"/>
  <c r="CO13" i="13" s="1"/>
  <c r="CM14" i="13"/>
  <c r="CN14" i="13" s="1"/>
  <c r="CO14" i="13" s="1"/>
  <c r="CM31" i="13"/>
  <c r="CN31" i="13" s="1"/>
  <c r="CO31" i="13" s="1"/>
  <c r="CM24" i="13"/>
  <c r="CN24" i="13" s="1"/>
  <c r="CO24" i="13" s="1"/>
  <c r="CM49" i="13"/>
  <c r="CN49" i="13" s="1"/>
  <c r="CO49" i="13" s="1"/>
  <c r="CM39" i="13"/>
  <c r="CN39" i="13" s="1"/>
  <c r="CO39" i="13" s="1"/>
  <c r="CM50" i="13"/>
  <c r="CN50" i="13" s="1"/>
  <c r="CO50" i="13" s="1"/>
  <c r="CM22" i="13"/>
  <c r="CN22" i="13" s="1"/>
  <c r="CO22" i="13" s="1"/>
  <c r="CM20" i="13"/>
  <c r="CN20" i="13" s="1"/>
  <c r="CO20" i="13" s="1"/>
  <c r="CM25" i="13"/>
  <c r="CN25" i="13" s="1"/>
  <c r="CO25" i="13" s="1"/>
  <c r="CM43" i="13"/>
  <c r="CN43" i="13" s="1"/>
  <c r="CO43" i="13" s="1"/>
  <c r="CM48" i="13"/>
  <c r="CN48" i="13" s="1"/>
  <c r="CO48" i="13" s="1"/>
  <c r="CM45" i="13"/>
  <c r="CN45" i="13" s="1"/>
  <c r="CO45" i="13" s="1"/>
  <c r="CM30" i="13"/>
  <c r="CN30" i="13" s="1"/>
  <c r="CO30" i="13" s="1"/>
  <c r="CM44" i="13"/>
  <c r="CN44" i="13" s="1"/>
  <c r="CO44" i="13" s="1"/>
  <c r="CM29" i="13"/>
  <c r="CN29" i="13" s="1"/>
  <c r="CO29" i="13" s="1"/>
  <c r="CM16" i="13"/>
  <c r="CN16" i="13" s="1"/>
  <c r="CO16" i="13" s="1"/>
  <c r="CM34" i="13"/>
  <c r="CN34" i="13" s="1"/>
  <c r="CO34" i="13" s="1"/>
  <c r="CM12" i="13"/>
  <c r="CN12" i="13" s="1"/>
  <c r="CO12" i="13" s="1"/>
  <c r="CM27" i="13"/>
  <c r="CN27" i="13" s="1"/>
  <c r="CO27" i="13" s="1"/>
  <c r="CM38" i="13"/>
  <c r="CN38" i="13" s="1"/>
  <c r="CO38" i="13" s="1"/>
  <c r="CM15" i="13"/>
  <c r="CN15" i="13" s="1"/>
  <c r="CO15" i="13" s="1"/>
  <c r="CM19" i="13"/>
  <c r="CN19" i="13" s="1"/>
  <c r="CO19" i="13" s="1"/>
  <c r="CM36" i="13"/>
  <c r="CN36" i="13" s="1"/>
  <c r="CO36" i="13" s="1"/>
  <c r="CM40" i="13"/>
  <c r="CN40" i="13" s="1"/>
  <c r="CO40" i="13" s="1"/>
  <c r="BY51" i="13"/>
  <c r="BZ32" i="16"/>
  <c r="BZ28" i="16"/>
  <c r="BZ17" i="16"/>
  <c r="CQ17" i="16" s="1"/>
  <c r="CL51" i="12"/>
  <c r="CM11" i="12" s="1"/>
  <c r="CN11" i="12" s="1"/>
  <c r="CO11" i="12" s="1"/>
  <c r="BY46" i="16"/>
  <c r="BZ46" i="16" s="1"/>
  <c r="BY40" i="16"/>
  <c r="BZ40" i="16" s="1"/>
  <c r="BY47" i="16"/>
  <c r="BZ47" i="16" s="1"/>
  <c r="BY33" i="16"/>
  <c r="BZ33" i="16" s="1"/>
  <c r="BY48" i="16"/>
  <c r="BZ48" i="16" s="1"/>
  <c r="BY41" i="16"/>
  <c r="BZ41" i="16" s="1"/>
  <c r="BY50" i="16"/>
  <c r="BZ50" i="16" s="1"/>
  <c r="BY36" i="16"/>
  <c r="BZ36" i="16" s="1"/>
  <c r="BY42" i="16"/>
  <c r="BZ42" i="16" s="1"/>
  <c r="BY43" i="16"/>
  <c r="BZ43" i="16" s="1"/>
  <c r="BY39" i="16"/>
  <c r="BZ39" i="16" s="1"/>
  <c r="BY35" i="16"/>
  <c r="BZ35" i="16" s="1"/>
  <c r="BY45" i="16"/>
  <c r="BZ45" i="16" s="1"/>
  <c r="BY44" i="16"/>
  <c r="BZ44" i="16" s="1"/>
  <c r="BY34" i="16"/>
  <c r="BZ34" i="16" s="1"/>
  <c r="BY27" i="16"/>
  <c r="BZ27" i="16" s="1"/>
  <c r="BY38" i="16"/>
  <c r="BZ38" i="16" s="1"/>
  <c r="BY23" i="16"/>
  <c r="BZ23" i="16" s="1"/>
  <c r="BY20" i="16"/>
  <c r="BZ20" i="16" s="1"/>
  <c r="BY29" i="16"/>
  <c r="BZ29" i="16" s="1"/>
  <c r="BY11" i="16"/>
  <c r="BY37" i="16"/>
  <c r="BZ37" i="16" s="1"/>
  <c r="BY25" i="16"/>
  <c r="BZ25" i="16" s="1"/>
  <c r="BY30" i="16"/>
  <c r="BZ30" i="16" s="1"/>
  <c r="BY28" i="16"/>
  <c r="BY49" i="16"/>
  <c r="BZ49" i="16" s="1"/>
  <c r="BY19" i="16"/>
  <c r="BZ19" i="16" s="1"/>
  <c r="BY32" i="16"/>
  <c r="BY31" i="16"/>
  <c r="BZ31" i="16" s="1"/>
  <c r="BY24" i="16"/>
  <c r="BZ24" i="16" s="1"/>
  <c r="BY26" i="16"/>
  <c r="BZ26" i="16" s="1"/>
  <c r="BY17" i="16"/>
  <c r="BY16" i="16"/>
  <c r="BZ16" i="16" s="1"/>
  <c r="BY18" i="16"/>
  <c r="BZ18" i="16" s="1"/>
  <c r="BY22" i="16"/>
  <c r="BZ22" i="16" s="1"/>
  <c r="BY21" i="16"/>
  <c r="BZ21" i="16" s="1"/>
  <c r="BY13" i="16"/>
  <c r="BZ13" i="16" s="1"/>
  <c r="BY14" i="16"/>
  <c r="BZ14" i="16" s="1"/>
  <c r="BY12" i="16"/>
  <c r="BZ12" i="16" s="1"/>
  <c r="BY15" i="16"/>
  <c r="BZ15" i="16" s="1"/>
  <c r="BZ34" i="3"/>
  <c r="CA34" i="3" s="1"/>
  <c r="CQ34" i="3"/>
  <c r="CP34" i="3"/>
  <c r="CQ38" i="3"/>
  <c r="CP38" i="3"/>
  <c r="BZ38" i="3"/>
  <c r="CA38" i="3" s="1"/>
  <c r="CQ40" i="3"/>
  <c r="CP40" i="3"/>
  <c r="BZ40" i="3"/>
  <c r="CA40" i="3" s="1"/>
  <c r="BZ23" i="3"/>
  <c r="CA23" i="3" s="1"/>
  <c r="CQ23" i="3"/>
  <c r="CP23" i="3"/>
  <c r="CQ34" i="4"/>
  <c r="CP34" i="4"/>
  <c r="BZ34" i="4"/>
  <c r="CA34" i="4" s="1"/>
  <c r="CP35" i="2"/>
  <c r="BZ35" i="2"/>
  <c r="CA35" i="2" s="1"/>
  <c r="CQ35" i="2"/>
  <c r="BZ47" i="2"/>
  <c r="CA47" i="2" s="1"/>
  <c r="CQ47" i="2"/>
  <c r="CP47" i="2"/>
  <c r="CQ41" i="4"/>
  <c r="CP41" i="4"/>
  <c r="BZ41" i="4"/>
  <c r="CA41" i="4" s="1"/>
  <c r="CQ47" i="4"/>
  <c r="CP47" i="4"/>
  <c r="BZ47" i="4"/>
  <c r="CA47" i="4" s="1"/>
  <c r="CP28" i="4"/>
  <c r="CQ28" i="4"/>
  <c r="BZ28" i="4"/>
  <c r="CA28" i="4" s="1"/>
  <c r="CQ21" i="4"/>
  <c r="BZ21" i="4"/>
  <c r="CA21" i="4" s="1"/>
  <c r="CP21" i="4"/>
  <c r="CP19" i="4"/>
  <c r="CQ19" i="4"/>
  <c r="BZ19" i="4"/>
  <c r="CA19" i="4" s="1"/>
  <c r="CQ33" i="3"/>
  <c r="CP33" i="3"/>
  <c r="BZ33" i="3"/>
  <c r="CA33" i="3" s="1"/>
  <c r="CP42" i="2"/>
  <c r="CQ42" i="2"/>
  <c r="BZ42" i="2"/>
  <c r="CA42" i="2" s="1"/>
  <c r="CQ13" i="4"/>
  <c r="CP13" i="4"/>
  <c r="BZ13" i="4"/>
  <c r="CA13" i="4" s="1"/>
  <c r="CP36" i="4"/>
  <c r="CQ36" i="4"/>
  <c r="BZ36" i="4"/>
  <c r="CA36" i="4" s="1"/>
  <c r="CQ28" i="3"/>
  <c r="BZ28" i="3"/>
  <c r="CA28" i="3" s="1"/>
  <c r="CP28" i="3"/>
  <c r="CQ39" i="4"/>
  <c r="BZ39" i="4"/>
  <c r="CA39" i="4" s="1"/>
  <c r="CP39" i="4"/>
  <c r="BZ13" i="3"/>
  <c r="CA13" i="3" s="1"/>
  <c r="CQ13" i="3"/>
  <c r="CP13" i="3"/>
  <c r="BZ34" i="2"/>
  <c r="CA34" i="2" s="1"/>
  <c r="CQ34" i="2"/>
  <c r="CP34" i="2"/>
  <c r="CP20" i="2"/>
  <c r="BZ20" i="2"/>
  <c r="CA20" i="2" s="1"/>
  <c r="CQ20" i="2"/>
  <c r="CQ30" i="4"/>
  <c r="BZ30" i="4"/>
  <c r="CA30" i="4" s="1"/>
  <c r="CP30" i="4"/>
  <c r="CP25" i="2"/>
  <c r="BZ25" i="2"/>
  <c r="CA25" i="2" s="1"/>
  <c r="CQ25" i="2"/>
  <c r="BZ33" i="4"/>
  <c r="CA33" i="4" s="1"/>
  <c r="CQ33" i="4"/>
  <c r="CP33" i="4"/>
  <c r="BZ31" i="3"/>
  <c r="CA31" i="3" s="1"/>
  <c r="CQ31" i="3"/>
  <c r="CP31" i="3"/>
  <c r="CQ24" i="3"/>
  <c r="CP24" i="3"/>
  <c r="BZ24" i="3"/>
  <c r="CA24" i="3" s="1"/>
  <c r="CP27" i="2"/>
  <c r="BZ27" i="2"/>
  <c r="CA27" i="2" s="1"/>
  <c r="CQ27" i="2"/>
  <c r="CQ48" i="2"/>
  <c r="BZ48" i="2"/>
  <c r="CA48" i="2" s="1"/>
  <c r="CP48" i="2"/>
  <c r="BZ12" i="4"/>
  <c r="CA12" i="4" s="1"/>
  <c r="CQ12" i="4"/>
  <c r="CP12" i="4"/>
  <c r="CQ38" i="4"/>
  <c r="BZ38" i="4"/>
  <c r="CA38" i="4" s="1"/>
  <c r="CP38" i="4"/>
  <c r="BZ48" i="4"/>
  <c r="CA48" i="4" s="1"/>
  <c r="CQ48" i="4"/>
  <c r="CP48" i="4"/>
  <c r="BZ21" i="2"/>
  <c r="CA21" i="2" s="1"/>
  <c r="CQ21" i="2"/>
  <c r="CP21" i="2"/>
  <c r="BZ20" i="4"/>
  <c r="CA20" i="4" s="1"/>
  <c r="CP20" i="4"/>
  <c r="CQ20" i="4"/>
  <c r="CQ45" i="4"/>
  <c r="CP45" i="4"/>
  <c r="BZ45" i="4"/>
  <c r="CA45" i="4" s="1"/>
  <c r="BZ18" i="2"/>
  <c r="CA18" i="2" s="1"/>
  <c r="CP18" i="2"/>
  <c r="CQ18" i="2"/>
  <c r="CP23" i="2"/>
  <c r="BZ23" i="2"/>
  <c r="CA23" i="2" s="1"/>
  <c r="CQ23" i="2"/>
  <c r="CQ45" i="3"/>
  <c r="CP45" i="3"/>
  <c r="BZ45" i="3"/>
  <c r="CA45" i="3" s="1"/>
  <c r="CQ18" i="4"/>
  <c r="BZ18" i="4"/>
  <c r="CA18" i="4" s="1"/>
  <c r="CP18" i="4"/>
  <c r="CP26" i="3"/>
  <c r="CQ26" i="3"/>
  <c r="BZ26" i="3"/>
  <c r="CA26" i="3" s="1"/>
  <c r="CQ23" i="4"/>
  <c r="CP23" i="4"/>
  <c r="BZ23" i="4"/>
  <c r="CA23" i="4" s="1"/>
  <c r="CP29" i="2"/>
  <c r="BZ29" i="2"/>
  <c r="CA29" i="2" s="1"/>
  <c r="CQ29" i="2"/>
  <c r="CP50" i="2"/>
  <c r="BZ50" i="2"/>
  <c r="CA50" i="2" s="1"/>
  <c r="CQ50" i="2"/>
  <c r="CP24" i="2"/>
  <c r="BZ24" i="2"/>
  <c r="CA24" i="2" s="1"/>
  <c r="CQ24" i="2"/>
  <c r="CP43" i="3"/>
  <c r="BZ43" i="3"/>
  <c r="CA43" i="3" s="1"/>
  <c r="CQ43" i="3"/>
  <c r="CQ40" i="2"/>
  <c r="CP40" i="2"/>
  <c r="BZ40" i="2"/>
  <c r="CA40" i="2" s="1"/>
  <c r="BZ44" i="2"/>
  <c r="CA44" i="2" s="1"/>
  <c r="CP44" i="2"/>
  <c r="CQ44" i="2"/>
  <c r="BZ16" i="3"/>
  <c r="CA16" i="3" s="1"/>
  <c r="CQ16" i="3"/>
  <c r="CP16" i="3"/>
  <c r="CQ26" i="2"/>
  <c r="BZ26" i="2"/>
  <c r="CA26" i="2" s="1"/>
  <c r="CP26" i="2"/>
  <c r="CQ26" i="4"/>
  <c r="CP26" i="4"/>
  <c r="BZ26" i="4"/>
  <c r="CA26" i="4" s="1"/>
  <c r="CQ37" i="4"/>
  <c r="CP37" i="4"/>
  <c r="BZ37" i="4"/>
  <c r="CA37" i="4" s="1"/>
  <c r="CQ46" i="4"/>
  <c r="CP46" i="4"/>
  <c r="BZ46" i="4"/>
  <c r="CA46" i="4" s="1"/>
  <c r="CQ20" i="3"/>
  <c r="BZ20" i="3"/>
  <c r="CA20" i="3" s="1"/>
  <c r="CP20" i="3"/>
  <c r="CQ14" i="3"/>
  <c r="CP14" i="3"/>
  <c r="BZ14" i="3"/>
  <c r="CA14" i="3" s="1"/>
  <c r="BZ30" i="3"/>
  <c r="CA30" i="3" s="1"/>
  <c r="CQ30" i="3"/>
  <c r="CP30" i="3"/>
  <c r="CP28" i="2"/>
  <c r="BZ28" i="2"/>
  <c r="CA28" i="2" s="1"/>
  <c r="CQ28" i="2"/>
  <c r="CP29" i="4"/>
  <c r="CQ29" i="4"/>
  <c r="BZ29" i="4"/>
  <c r="CA29" i="4" s="1"/>
  <c r="BZ43" i="4"/>
  <c r="CA43" i="4" s="1"/>
  <c r="CQ43" i="4"/>
  <c r="CP43" i="4"/>
  <c r="CP50" i="4"/>
  <c r="CQ50" i="4"/>
  <c r="BZ50" i="4"/>
  <c r="CA50" i="4" s="1"/>
  <c r="CQ21" i="3"/>
  <c r="CP21" i="3"/>
  <c r="BZ21" i="3"/>
  <c r="CA21" i="3" s="1"/>
  <c r="CQ29" i="3"/>
  <c r="BZ29" i="3"/>
  <c r="CA29" i="3" s="1"/>
  <c r="CP29" i="3"/>
  <c r="CQ50" i="3"/>
  <c r="BZ50" i="3"/>
  <c r="CA50" i="3" s="1"/>
  <c r="CP50" i="3"/>
  <c r="CP38" i="2"/>
  <c r="BZ38" i="2"/>
  <c r="CA38" i="2" s="1"/>
  <c r="CQ38" i="2"/>
  <c r="CP33" i="2"/>
  <c r="BZ33" i="2"/>
  <c r="CA33" i="2" s="1"/>
  <c r="CQ33" i="2"/>
  <c r="CQ12" i="2"/>
  <c r="CP12" i="2"/>
  <c r="BZ12" i="2"/>
  <c r="CA12" i="2" s="1"/>
  <c r="CP15" i="4"/>
  <c r="BZ15" i="4"/>
  <c r="CA15" i="4" s="1"/>
  <c r="CQ15" i="4"/>
  <c r="BZ32" i="4"/>
  <c r="CA32" i="4" s="1"/>
  <c r="CQ32" i="4"/>
  <c r="CP32" i="4"/>
  <c r="BZ19" i="3"/>
  <c r="CA19" i="3" s="1"/>
  <c r="CQ19" i="3"/>
  <c r="CP19" i="3"/>
  <c r="CQ37" i="3"/>
  <c r="BZ37" i="3"/>
  <c r="CA37" i="3" s="1"/>
  <c r="CP37" i="3"/>
  <c r="CQ41" i="3"/>
  <c r="BZ41" i="3"/>
  <c r="CA41" i="3" s="1"/>
  <c r="CP41" i="3"/>
  <c r="BX48" i="5"/>
  <c r="BY48" i="5" s="1"/>
  <c r="Q78" i="36" s="1"/>
  <c r="BX44" i="5"/>
  <c r="BY44" i="5" s="1"/>
  <c r="Q74" i="36" s="1"/>
  <c r="BX40" i="5"/>
  <c r="BY40" i="5" s="1"/>
  <c r="Q70" i="36" s="1"/>
  <c r="BX42" i="5"/>
  <c r="BY42" i="5" s="1"/>
  <c r="Q72" i="36" s="1"/>
  <c r="BX47" i="5"/>
  <c r="BY47" i="5" s="1"/>
  <c r="Q77" i="36" s="1"/>
  <c r="BX49" i="5"/>
  <c r="BY49" i="5" s="1"/>
  <c r="Q79" i="36" s="1"/>
  <c r="BX50" i="5"/>
  <c r="BY50" i="5" s="1"/>
  <c r="Q80" i="36" s="1"/>
  <c r="BX46" i="5"/>
  <c r="BY46" i="5" s="1"/>
  <c r="Q76" i="36" s="1"/>
  <c r="BX45" i="5"/>
  <c r="BY45" i="5" s="1"/>
  <c r="Q75" i="36" s="1"/>
  <c r="BX31" i="5"/>
  <c r="BY31" i="5" s="1"/>
  <c r="Q61" i="36" s="1"/>
  <c r="BX38" i="5"/>
  <c r="BY38" i="5" s="1"/>
  <c r="Q68" i="36" s="1"/>
  <c r="BX35" i="5"/>
  <c r="BY35" i="5" s="1"/>
  <c r="Q65" i="36" s="1"/>
  <c r="BX43" i="5"/>
  <c r="BY43" i="5" s="1"/>
  <c r="Q73" i="36" s="1"/>
  <c r="BX36" i="5"/>
  <c r="BY36" i="5" s="1"/>
  <c r="Q66" i="36" s="1"/>
  <c r="BX14" i="5"/>
  <c r="BY14" i="5" s="1"/>
  <c r="Q45" i="36" s="1"/>
  <c r="BX34" i="5"/>
  <c r="BY34" i="5" s="1"/>
  <c r="Q64" i="36" s="1"/>
  <c r="F64" i="36" s="1"/>
  <c r="BX27" i="5"/>
  <c r="BY27" i="5" s="1"/>
  <c r="Q57" i="36" s="1"/>
  <c r="BX33" i="5"/>
  <c r="BY33" i="5" s="1"/>
  <c r="Q63" i="36" s="1"/>
  <c r="BX41" i="5"/>
  <c r="BY41" i="5" s="1"/>
  <c r="Q71" i="36" s="1"/>
  <c r="BX19" i="5"/>
  <c r="BY19" i="5" s="1"/>
  <c r="Q49" i="36" s="1"/>
  <c r="BX37" i="5"/>
  <c r="BY37" i="5" s="1"/>
  <c r="Q67" i="36" s="1"/>
  <c r="BX13" i="5"/>
  <c r="BY13" i="5" s="1"/>
  <c r="Q44" i="36" s="1"/>
  <c r="BX12" i="5"/>
  <c r="BY12" i="5" s="1"/>
  <c r="Q43" i="36" s="1"/>
  <c r="BX30" i="5"/>
  <c r="BY30" i="5" s="1"/>
  <c r="Q60" i="36" s="1"/>
  <c r="BX25" i="5"/>
  <c r="BY25" i="5" s="1"/>
  <c r="Q55" i="36" s="1"/>
  <c r="BX21" i="5"/>
  <c r="BY21" i="5" s="1"/>
  <c r="Q51" i="36" s="1"/>
  <c r="BX24" i="5"/>
  <c r="BY24" i="5" s="1"/>
  <c r="Q54" i="36" s="1"/>
  <c r="BX32" i="5"/>
  <c r="BY32" i="5" s="1"/>
  <c r="Q62" i="36" s="1"/>
  <c r="BX28" i="5"/>
  <c r="BY28" i="5" s="1"/>
  <c r="Q58" i="36" s="1"/>
  <c r="BX39" i="5"/>
  <c r="BY39" i="5" s="1"/>
  <c r="Q69" i="36" s="1"/>
  <c r="BX29" i="5"/>
  <c r="BY29" i="5" s="1"/>
  <c r="Q59" i="36" s="1"/>
  <c r="BX26" i="5"/>
  <c r="BY26" i="5" s="1"/>
  <c r="Q56" i="36" s="1"/>
  <c r="BX17" i="5"/>
  <c r="BY17" i="5" s="1"/>
  <c r="CP17" i="5" s="1"/>
  <c r="BX16" i="5"/>
  <c r="BY16" i="5" s="1"/>
  <c r="Q47" i="36" s="1"/>
  <c r="BX15" i="5"/>
  <c r="BY15" i="5" s="1"/>
  <c r="Q46" i="36" s="1"/>
  <c r="BX23" i="5"/>
  <c r="BY23" i="5" s="1"/>
  <c r="Q53" i="36" s="1"/>
  <c r="BX11" i="5"/>
  <c r="BY11" i="5" s="1"/>
  <c r="Q42" i="36" s="1"/>
  <c r="BX22" i="5"/>
  <c r="BY22" i="5" s="1"/>
  <c r="Q52" i="36" s="1"/>
  <c r="BX20" i="5"/>
  <c r="BY20" i="5" s="1"/>
  <c r="Q50" i="36" s="1"/>
  <c r="BX18" i="5"/>
  <c r="BY18" i="5" s="1"/>
  <c r="Q48" i="36" s="1"/>
  <c r="CP32" i="2"/>
  <c r="BZ32" i="2"/>
  <c r="CA32" i="2" s="1"/>
  <c r="CQ32" i="2"/>
  <c r="BZ16" i="2"/>
  <c r="CA16" i="2" s="1"/>
  <c r="CP16" i="2"/>
  <c r="CQ16" i="2"/>
  <c r="CP11" i="4"/>
  <c r="BZ11" i="4"/>
  <c r="BY51" i="4"/>
  <c r="CQ11" i="4"/>
  <c r="BZ40" i="4"/>
  <c r="CA40" i="4" s="1"/>
  <c r="CQ40" i="4"/>
  <c r="CP40" i="4"/>
  <c r="BY51" i="3"/>
  <c r="BZ11" i="3"/>
  <c r="CQ11" i="3"/>
  <c r="CP11" i="3"/>
  <c r="CQ42" i="3"/>
  <c r="CP42" i="3"/>
  <c r="BZ42" i="3"/>
  <c r="CA42" i="3" s="1"/>
  <c r="CP39" i="3"/>
  <c r="BZ39" i="3"/>
  <c r="CA39" i="3" s="1"/>
  <c r="CQ39" i="3"/>
  <c r="CQ22" i="3"/>
  <c r="CP22" i="3"/>
  <c r="BZ22" i="3"/>
  <c r="CA22" i="3" s="1"/>
  <c r="CP14" i="2"/>
  <c r="BZ14" i="2"/>
  <c r="CA14" i="2" s="1"/>
  <c r="CQ14" i="2"/>
  <c r="BZ45" i="2"/>
  <c r="CA45" i="2" s="1"/>
  <c r="CQ45" i="2"/>
  <c r="CP45" i="2"/>
  <c r="CP25" i="4"/>
  <c r="BZ25" i="4"/>
  <c r="CA25" i="4" s="1"/>
  <c r="CQ25" i="4"/>
  <c r="BZ12" i="3"/>
  <c r="CA12" i="3" s="1"/>
  <c r="CP12" i="3"/>
  <c r="CQ12" i="3"/>
  <c r="CQ25" i="3"/>
  <c r="CP25" i="3"/>
  <c r="BZ25" i="3"/>
  <c r="CA25" i="3" s="1"/>
  <c r="CQ49" i="3"/>
  <c r="CP49" i="3"/>
  <c r="BZ49" i="3"/>
  <c r="CA49" i="3" s="1"/>
  <c r="CQ42" i="4"/>
  <c r="CP42" i="4"/>
  <c r="BZ42" i="4"/>
  <c r="CA42" i="4" s="1"/>
  <c r="CP39" i="2"/>
  <c r="BZ39" i="2"/>
  <c r="CA39" i="2" s="1"/>
  <c r="CQ39" i="2"/>
  <c r="CQ27" i="4"/>
  <c r="BZ27" i="4"/>
  <c r="CA27" i="4" s="1"/>
  <c r="CP27" i="4"/>
  <c r="CQ36" i="3"/>
  <c r="BZ36" i="3"/>
  <c r="CA36" i="3" s="1"/>
  <c r="CP36" i="3"/>
  <c r="CQ27" i="3"/>
  <c r="CP27" i="3"/>
  <c r="BZ27" i="3"/>
  <c r="CA27" i="3" s="1"/>
  <c r="CP11" i="2"/>
  <c r="BY51" i="2"/>
  <c r="BZ11" i="2"/>
  <c r="CQ11" i="2"/>
  <c r="CQ49" i="2"/>
  <c r="CP49" i="2"/>
  <c r="BZ49" i="2"/>
  <c r="CA49" i="2" s="1"/>
  <c r="CP19" i="2"/>
  <c r="BZ19" i="2"/>
  <c r="CA19" i="2" s="1"/>
  <c r="CQ19" i="2"/>
  <c r="CP31" i="2"/>
  <c r="BZ31" i="2"/>
  <c r="CA31" i="2" s="1"/>
  <c r="CQ31" i="2"/>
  <c r="BZ13" i="2"/>
  <c r="CA13" i="2" s="1"/>
  <c r="CQ13" i="2"/>
  <c r="CP13" i="2"/>
  <c r="CQ35" i="4"/>
  <c r="BZ35" i="4"/>
  <c r="CA35" i="4" s="1"/>
  <c r="CP35" i="4"/>
  <c r="CQ49" i="4"/>
  <c r="CP49" i="4"/>
  <c r="BZ49" i="4"/>
  <c r="CA49" i="4" s="1"/>
  <c r="BZ15" i="3"/>
  <c r="CA15" i="3" s="1"/>
  <c r="CQ15" i="3"/>
  <c r="CP15" i="3"/>
  <c r="CQ32" i="3"/>
  <c r="CP32" i="3"/>
  <c r="BZ32" i="3"/>
  <c r="CA32" i="3" s="1"/>
  <c r="CP14" i="4"/>
  <c r="BZ14" i="4"/>
  <c r="CA14" i="4" s="1"/>
  <c r="CQ14" i="4"/>
  <c r="CQ48" i="3"/>
  <c r="CP48" i="3"/>
  <c r="BZ48" i="3"/>
  <c r="CA48" i="3" s="1"/>
  <c r="CQ30" i="2"/>
  <c r="CP30" i="2"/>
  <c r="BZ30" i="2"/>
  <c r="CA30" i="2" s="1"/>
  <c r="BZ46" i="2"/>
  <c r="CA46" i="2" s="1"/>
  <c r="CQ46" i="2"/>
  <c r="CP46" i="2"/>
  <c r="BZ16" i="4"/>
  <c r="CA16" i="4" s="1"/>
  <c r="CQ16" i="4"/>
  <c r="CP16" i="4"/>
  <c r="BZ44" i="4"/>
  <c r="CA44" i="4" s="1"/>
  <c r="CQ44" i="4"/>
  <c r="CP44" i="4"/>
  <c r="CP18" i="3"/>
  <c r="CQ18" i="3"/>
  <c r="BZ18" i="3"/>
  <c r="CA18" i="3" s="1"/>
  <c r="BZ22" i="4"/>
  <c r="CA22" i="4" s="1"/>
  <c r="CQ22" i="4"/>
  <c r="CP22" i="4"/>
  <c r="CP36" i="2"/>
  <c r="BZ36" i="2"/>
  <c r="CA36" i="2" s="1"/>
  <c r="CQ36" i="2"/>
  <c r="CQ41" i="2"/>
  <c r="BZ41" i="2"/>
  <c r="CA41" i="2" s="1"/>
  <c r="CP41" i="2"/>
  <c r="CQ44" i="3"/>
  <c r="CP44" i="3"/>
  <c r="BZ44" i="3"/>
  <c r="CA44" i="3" s="1"/>
  <c r="BZ22" i="2"/>
  <c r="CA22" i="2" s="1"/>
  <c r="CQ22" i="2"/>
  <c r="CP22" i="2"/>
  <c r="CQ43" i="2"/>
  <c r="BZ43" i="2"/>
  <c r="CA43" i="2" s="1"/>
  <c r="CP43" i="2"/>
  <c r="CQ24" i="4"/>
  <c r="CP24" i="4"/>
  <c r="BZ24" i="4"/>
  <c r="CA24" i="4" s="1"/>
  <c r="CQ46" i="3"/>
  <c r="CP46" i="3"/>
  <c r="BZ46" i="3"/>
  <c r="CA46" i="3" s="1"/>
  <c r="CQ35" i="3"/>
  <c r="CP35" i="3"/>
  <c r="BZ35" i="3"/>
  <c r="CA35" i="3" s="1"/>
  <c r="CQ37" i="2"/>
  <c r="BZ37" i="2"/>
  <c r="CA37" i="2" s="1"/>
  <c r="CP37" i="2"/>
  <c r="CQ31" i="4"/>
  <c r="CP31" i="4"/>
  <c r="BZ31" i="4"/>
  <c r="CA31" i="4" s="1"/>
  <c r="BX50" i="6"/>
  <c r="BX49" i="6"/>
  <c r="BY49" i="6" s="1"/>
  <c r="Q79" i="37" s="1"/>
  <c r="BX45" i="6"/>
  <c r="BY45" i="6" s="1"/>
  <c r="Q75" i="37" s="1"/>
  <c r="BX41" i="6"/>
  <c r="BY41" i="6" s="1"/>
  <c r="Q71" i="37" s="1"/>
  <c r="BX48" i="6"/>
  <c r="BY48" i="6" s="1"/>
  <c r="Q78" i="37" s="1"/>
  <c r="BX35" i="6"/>
  <c r="BY35" i="6" s="1"/>
  <c r="Q65" i="37" s="1"/>
  <c r="BX47" i="6"/>
  <c r="BY47" i="6" s="1"/>
  <c r="Q77" i="37" s="1"/>
  <c r="BX43" i="6"/>
  <c r="BY43" i="6" s="1"/>
  <c r="Q73" i="37" s="1"/>
  <c r="BX34" i="6"/>
  <c r="BY34" i="6" s="1"/>
  <c r="Q64" i="37" s="1"/>
  <c r="F64" i="37" s="1"/>
  <c r="BX30" i="6"/>
  <c r="BY30" i="6" s="1"/>
  <c r="Q60" i="37" s="1"/>
  <c r="BX46" i="6"/>
  <c r="BY46" i="6" s="1"/>
  <c r="Q76" i="37" s="1"/>
  <c r="BX33" i="6"/>
  <c r="BY33" i="6" s="1"/>
  <c r="Q63" i="37" s="1"/>
  <c r="BX44" i="6"/>
  <c r="BY44" i="6" s="1"/>
  <c r="Q74" i="37" s="1"/>
  <c r="BX42" i="6"/>
  <c r="BY42" i="6" s="1"/>
  <c r="Q72" i="37" s="1"/>
  <c r="BX32" i="6"/>
  <c r="BY32" i="6" s="1"/>
  <c r="Q62" i="37" s="1"/>
  <c r="BX38" i="6"/>
  <c r="BY38" i="6" s="1"/>
  <c r="Q68" i="37" s="1"/>
  <c r="BX31" i="6"/>
  <c r="BY31" i="6" s="1"/>
  <c r="Q61" i="37" s="1"/>
  <c r="BX29" i="6"/>
  <c r="BY29" i="6" s="1"/>
  <c r="Q59" i="37" s="1"/>
  <c r="BX39" i="6"/>
  <c r="BY39" i="6" s="1"/>
  <c r="Q69" i="37" s="1"/>
  <c r="BX40" i="6"/>
  <c r="BY40" i="6" s="1"/>
  <c r="Q70" i="37" s="1"/>
  <c r="BX36" i="6"/>
  <c r="BY36" i="6" s="1"/>
  <c r="Q66" i="37" s="1"/>
  <c r="BX37" i="6"/>
  <c r="BX26" i="6"/>
  <c r="BY26" i="6" s="1"/>
  <c r="Q56" i="37" s="1"/>
  <c r="BX27" i="6"/>
  <c r="BY27" i="6" s="1"/>
  <c r="Q57" i="37" s="1"/>
  <c r="BX19" i="6"/>
  <c r="BY19" i="6" s="1"/>
  <c r="Q49" i="37" s="1"/>
  <c r="BX25" i="6"/>
  <c r="BY25" i="6" s="1"/>
  <c r="Q55" i="37" s="1"/>
  <c r="BX13" i="6"/>
  <c r="BY13" i="6" s="1"/>
  <c r="Q44" i="37" s="1"/>
  <c r="BX23" i="6"/>
  <c r="BY23" i="6" s="1"/>
  <c r="Q53" i="37" s="1"/>
  <c r="BX21" i="6"/>
  <c r="BY21" i="6" s="1"/>
  <c r="Q51" i="37" s="1"/>
  <c r="BX20" i="6"/>
  <c r="BY20" i="6" s="1"/>
  <c r="Q50" i="37" s="1"/>
  <c r="BX16" i="6"/>
  <c r="BY16" i="6" s="1"/>
  <c r="Q47" i="37" s="1"/>
  <c r="BX12" i="6"/>
  <c r="BY12" i="6" s="1"/>
  <c r="Q43" i="37" s="1"/>
  <c r="BX22" i="6"/>
  <c r="BY22" i="6" s="1"/>
  <c r="Q52" i="37" s="1"/>
  <c r="BX17" i="6"/>
  <c r="BY17" i="6" s="1"/>
  <c r="CP17" i="6" s="1"/>
  <c r="BX24" i="6"/>
  <c r="BY24" i="6" s="1"/>
  <c r="Q54" i="37" s="1"/>
  <c r="BX15" i="6"/>
  <c r="BY15" i="6" s="1"/>
  <c r="Q46" i="37" s="1"/>
  <c r="BX28" i="6"/>
  <c r="BY28" i="6" s="1"/>
  <c r="Q58" i="37" s="1"/>
  <c r="BX18" i="6"/>
  <c r="BY18" i="6" s="1"/>
  <c r="Q48" i="37" s="1"/>
  <c r="BX14" i="6"/>
  <c r="BY14" i="6" s="1"/>
  <c r="Q45" i="37" s="1"/>
  <c r="BX11" i="6"/>
  <c r="BY11" i="6" s="1"/>
  <c r="Q42" i="37" s="1"/>
  <c r="CQ15" i="2"/>
  <c r="CP15" i="2"/>
  <c r="BZ15" i="2"/>
  <c r="CA15" i="2" s="1"/>
  <c r="CP47" i="3"/>
  <c r="BZ47" i="3"/>
  <c r="CA47" i="3" s="1"/>
  <c r="CQ47" i="3"/>
  <c r="BY50" i="6"/>
  <c r="Q80" i="37" s="1"/>
  <c r="BY37" i="6"/>
  <c r="Q67" i="37" s="1"/>
  <c r="R96" i="34" l="1"/>
  <c r="R125" i="34"/>
  <c r="R104" i="34"/>
  <c r="R126" i="34"/>
  <c r="R28" i="34"/>
  <c r="R36" i="34"/>
  <c r="R102" i="34"/>
  <c r="R98" i="34"/>
  <c r="CQ44" i="16"/>
  <c r="R74" i="37"/>
  <c r="CQ35" i="16"/>
  <c r="R65" i="37"/>
  <c r="CQ50" i="15"/>
  <c r="R80" i="36"/>
  <c r="V80" i="36" s="1"/>
  <c r="W80" i="36" s="1"/>
  <c r="CQ35" i="14"/>
  <c r="R65" i="35"/>
  <c r="R111" i="35" s="1"/>
  <c r="CQ29" i="15"/>
  <c r="R59" i="36"/>
  <c r="R105" i="36" s="1"/>
  <c r="CQ46" i="14"/>
  <c r="R76" i="35"/>
  <c r="CQ47" i="14"/>
  <c r="R77" i="35"/>
  <c r="R123" i="35" s="1"/>
  <c r="CQ16" i="15"/>
  <c r="R47" i="36"/>
  <c r="CQ37" i="15"/>
  <c r="R67" i="36"/>
  <c r="R113" i="36" s="1"/>
  <c r="V42" i="35"/>
  <c r="W42" i="35" s="1"/>
  <c r="R88" i="35"/>
  <c r="CQ34" i="14"/>
  <c r="R64" i="35"/>
  <c r="CQ40" i="16"/>
  <c r="R70" i="37"/>
  <c r="R116" i="37" s="1"/>
  <c r="CQ13" i="16"/>
  <c r="R44" i="37"/>
  <c r="R90" i="37" s="1"/>
  <c r="CQ30" i="16"/>
  <c r="R60" i="37"/>
  <c r="R106" i="37" s="1"/>
  <c r="CQ45" i="16"/>
  <c r="R75" i="37"/>
  <c r="V75" i="37" s="1"/>
  <c r="W75" i="37" s="1"/>
  <c r="CQ18" i="14"/>
  <c r="R48" i="35"/>
  <c r="R94" i="35" s="1"/>
  <c r="CQ39" i="14"/>
  <c r="R69" i="35"/>
  <c r="R115" i="35" s="1"/>
  <c r="CQ22" i="16"/>
  <c r="R52" i="37"/>
  <c r="V52" i="37" s="1"/>
  <c r="W52" i="37" s="1"/>
  <c r="CQ19" i="16"/>
  <c r="R49" i="37"/>
  <c r="R95" i="37" s="1"/>
  <c r="CQ31" i="14"/>
  <c r="R61" i="35"/>
  <c r="R107" i="35" s="1"/>
  <c r="CQ49" i="16"/>
  <c r="R79" i="37"/>
  <c r="V79" i="37" s="1"/>
  <c r="W79" i="37" s="1"/>
  <c r="CQ21" i="16"/>
  <c r="R51" i="37"/>
  <c r="R97" i="37" s="1"/>
  <c r="CQ27" i="16"/>
  <c r="R57" i="37"/>
  <c r="S103" i="37" s="1"/>
  <c r="CQ23" i="14"/>
  <c r="R53" i="35"/>
  <c r="S99" i="35" s="1"/>
  <c r="CQ14" i="16"/>
  <c r="R45" i="37"/>
  <c r="V45" i="37" s="1"/>
  <c r="W45" i="37" s="1"/>
  <c r="CQ28" i="14"/>
  <c r="R58" i="35"/>
  <c r="CQ18" i="15"/>
  <c r="R48" i="36"/>
  <c r="CQ15" i="16"/>
  <c r="R46" i="37"/>
  <c r="V46" i="37" s="1"/>
  <c r="W46" i="37" s="1"/>
  <c r="CQ15" i="15"/>
  <c r="R46" i="36"/>
  <c r="V46" i="36" s="1"/>
  <c r="W46" i="36" s="1"/>
  <c r="CQ38" i="14"/>
  <c r="R68" i="35"/>
  <c r="R114" i="35" s="1"/>
  <c r="CQ37" i="14"/>
  <c r="R67" i="35"/>
  <c r="R113" i="35" s="1"/>
  <c r="CQ39" i="16"/>
  <c r="R69" i="37"/>
  <c r="R115" i="37" s="1"/>
  <c r="CQ37" i="16"/>
  <c r="R67" i="37"/>
  <c r="R113" i="37" s="1"/>
  <c r="CQ43" i="16"/>
  <c r="R73" i="37"/>
  <c r="S119" i="37" s="1"/>
  <c r="CQ33" i="16"/>
  <c r="R63" i="37"/>
  <c r="R109" i="37" s="1"/>
  <c r="CQ20" i="15"/>
  <c r="R50" i="36"/>
  <c r="V50" i="36" s="1"/>
  <c r="W50" i="36" s="1"/>
  <c r="CQ41" i="15"/>
  <c r="R71" i="36"/>
  <c r="S117" i="36" s="1"/>
  <c r="CQ39" i="15"/>
  <c r="R69" i="36"/>
  <c r="R115" i="36" s="1"/>
  <c r="CQ26" i="14"/>
  <c r="R56" i="35"/>
  <c r="CQ49" i="14"/>
  <c r="R79" i="35"/>
  <c r="S125" i="35" s="1"/>
  <c r="R120" i="37"/>
  <c r="CQ47" i="16"/>
  <c r="R77" i="37"/>
  <c r="R123" i="37" s="1"/>
  <c r="CQ47" i="15"/>
  <c r="R77" i="36"/>
  <c r="F77" i="36" s="1"/>
  <c r="CQ12" i="14"/>
  <c r="R43" i="35"/>
  <c r="R89" i="35" s="1"/>
  <c r="CQ43" i="14"/>
  <c r="R73" i="35"/>
  <c r="R119" i="35" s="1"/>
  <c r="CQ22" i="14"/>
  <c r="R52" i="35"/>
  <c r="F52" i="35" s="1"/>
  <c r="CQ48" i="14"/>
  <c r="R78" i="35"/>
  <c r="S124" i="35" s="1"/>
  <c r="CQ21" i="15"/>
  <c r="R51" i="36"/>
  <c r="R97" i="36" s="1"/>
  <c r="CQ45" i="14"/>
  <c r="R75" i="35"/>
  <c r="CQ48" i="15"/>
  <c r="R78" i="36"/>
  <c r="V78" i="36" s="1"/>
  <c r="W78" i="36" s="1"/>
  <c r="CQ19" i="15"/>
  <c r="R49" i="36"/>
  <c r="F49" i="36" s="1"/>
  <c r="CQ33" i="14"/>
  <c r="R63" i="35"/>
  <c r="R109" i="35" s="1"/>
  <c r="CQ32" i="15"/>
  <c r="R62" i="36"/>
  <c r="R108" i="36" s="1"/>
  <c r="CQ34" i="15"/>
  <c r="R64" i="36"/>
  <c r="CQ49" i="15"/>
  <c r="R79" i="36"/>
  <c r="V79" i="36" s="1"/>
  <c r="W79" i="36" s="1"/>
  <c r="CQ25" i="16"/>
  <c r="R55" i="37"/>
  <c r="V55" i="37" s="1"/>
  <c r="W55" i="37" s="1"/>
  <c r="CQ42" i="16"/>
  <c r="R72" i="37"/>
  <c r="R118" i="37" s="1"/>
  <c r="CO51" i="13"/>
  <c r="CQ38" i="15"/>
  <c r="R68" i="36"/>
  <c r="S114" i="36" s="1"/>
  <c r="CQ45" i="15"/>
  <c r="R75" i="36"/>
  <c r="V75" i="36" s="1"/>
  <c r="W75" i="36" s="1"/>
  <c r="CQ24" i="14"/>
  <c r="R54" i="35"/>
  <c r="R100" i="35" s="1"/>
  <c r="R122" i="34"/>
  <c r="R29" i="34"/>
  <c r="R83" i="34"/>
  <c r="V83" i="34" s="1"/>
  <c r="W83" i="34" s="1"/>
  <c r="CQ12" i="16"/>
  <c r="R43" i="37"/>
  <c r="R89" i="37" s="1"/>
  <c r="CQ34" i="16"/>
  <c r="R64" i="37"/>
  <c r="CQ12" i="15"/>
  <c r="R43" i="36"/>
  <c r="S89" i="36" s="1"/>
  <c r="CQ43" i="15"/>
  <c r="R73" i="36"/>
  <c r="R119" i="36" s="1"/>
  <c r="CQ28" i="16"/>
  <c r="R58" i="37"/>
  <c r="V58" i="37" s="1"/>
  <c r="W58" i="37" s="1"/>
  <c r="CQ22" i="15"/>
  <c r="R52" i="36"/>
  <c r="V52" i="36" s="1"/>
  <c r="W52" i="36" s="1"/>
  <c r="CQ20" i="14"/>
  <c r="R50" i="35"/>
  <c r="CQ28" i="15"/>
  <c r="R58" i="36"/>
  <c r="V58" i="36" s="1"/>
  <c r="W58" i="36" s="1"/>
  <c r="CQ29" i="14"/>
  <c r="R59" i="35"/>
  <c r="R105" i="35" s="1"/>
  <c r="R92" i="34"/>
  <c r="CQ29" i="16"/>
  <c r="R59" i="37"/>
  <c r="R118" i="34"/>
  <c r="CQ32" i="16"/>
  <c r="R62" i="37"/>
  <c r="R108" i="37" s="1"/>
  <c r="CQ18" i="16"/>
  <c r="R48" i="37"/>
  <c r="R94" i="37" s="1"/>
  <c r="R111" i="37"/>
  <c r="CQ36" i="16"/>
  <c r="R66" i="37"/>
  <c r="AB66" i="37" s="1"/>
  <c r="AC66" i="37" s="1"/>
  <c r="CQ31" i="15"/>
  <c r="R61" i="36"/>
  <c r="R107" i="36" s="1"/>
  <c r="CQ24" i="15"/>
  <c r="R54" i="36"/>
  <c r="F54" i="36" s="1"/>
  <c r="CQ27" i="15"/>
  <c r="R57" i="36"/>
  <c r="S103" i="36" s="1"/>
  <c r="CQ21" i="14"/>
  <c r="R51" i="35"/>
  <c r="R97" i="35" s="1"/>
  <c r="CQ41" i="14"/>
  <c r="R71" i="35"/>
  <c r="R117" i="35" s="1"/>
  <c r="R93" i="34"/>
  <c r="R34" i="34"/>
  <c r="AB66" i="34"/>
  <c r="AC66" i="34" s="1"/>
  <c r="CQ26" i="16"/>
  <c r="R56" i="37"/>
  <c r="V56" i="37" s="1"/>
  <c r="W56" i="37" s="1"/>
  <c r="CQ20" i="16"/>
  <c r="R50" i="37"/>
  <c r="V50" i="37" s="1"/>
  <c r="W50" i="37" s="1"/>
  <c r="CQ50" i="16"/>
  <c r="R80" i="37"/>
  <c r="V80" i="37" s="1"/>
  <c r="W80" i="37" s="1"/>
  <c r="CQ16" i="16"/>
  <c r="R47" i="37"/>
  <c r="F47" i="37" s="1"/>
  <c r="CQ14" i="15"/>
  <c r="R45" i="36"/>
  <c r="V45" i="36" s="1"/>
  <c r="W45" i="36" s="1"/>
  <c r="CQ25" i="15"/>
  <c r="R55" i="36"/>
  <c r="V55" i="36" s="1"/>
  <c r="W55" i="36" s="1"/>
  <c r="CQ33" i="15"/>
  <c r="R63" i="36"/>
  <c r="R109" i="36" s="1"/>
  <c r="CQ14" i="14"/>
  <c r="R45" i="35"/>
  <c r="CQ15" i="14"/>
  <c r="R46" i="35"/>
  <c r="CQ27" i="14"/>
  <c r="R57" i="35"/>
  <c r="R103" i="35" s="1"/>
  <c r="CQ50" i="14"/>
  <c r="R80" i="35"/>
  <c r="R94" i="34"/>
  <c r="R97" i="34"/>
  <c r="R81" i="34"/>
  <c r="R105" i="37"/>
  <c r="CQ46" i="15"/>
  <c r="R76" i="36"/>
  <c r="V76" i="36" s="1"/>
  <c r="W76" i="36" s="1"/>
  <c r="CQ32" i="14"/>
  <c r="R62" i="35"/>
  <c r="R108" i="35" s="1"/>
  <c r="R123" i="36"/>
  <c r="CQ24" i="16"/>
  <c r="R54" i="37"/>
  <c r="F54" i="37" s="1"/>
  <c r="CQ23" i="16"/>
  <c r="R53" i="37"/>
  <c r="V53" i="37" s="1"/>
  <c r="W53" i="37" s="1"/>
  <c r="CQ41" i="16"/>
  <c r="R71" i="37"/>
  <c r="R117" i="37" s="1"/>
  <c r="CQ44" i="15"/>
  <c r="R74" i="36"/>
  <c r="F74" i="36" s="1"/>
  <c r="CQ40" i="15"/>
  <c r="R70" i="36"/>
  <c r="S116" i="36" s="1"/>
  <c r="CQ35" i="15"/>
  <c r="R65" i="36"/>
  <c r="F65" i="36" s="1"/>
  <c r="CQ16" i="14"/>
  <c r="R47" i="35"/>
  <c r="F47" i="35" s="1"/>
  <c r="CQ42" i="14"/>
  <c r="R72" i="35"/>
  <c r="R118" i="35" s="1"/>
  <c r="R124" i="34"/>
  <c r="R89" i="34"/>
  <c r="CQ40" i="14"/>
  <c r="R70" i="35"/>
  <c r="R116" i="35" s="1"/>
  <c r="R32" i="34"/>
  <c r="V55" i="34"/>
  <c r="W55" i="34" s="1"/>
  <c r="CQ31" i="16"/>
  <c r="R61" i="37"/>
  <c r="F61" i="37" s="1"/>
  <c r="CQ38" i="16"/>
  <c r="R68" i="37"/>
  <c r="R114" i="37" s="1"/>
  <c r="CO51" i="14"/>
  <c r="CQ13" i="15"/>
  <c r="R44" i="36"/>
  <c r="R90" i="36" s="1"/>
  <c r="CQ26" i="15"/>
  <c r="R56" i="36"/>
  <c r="V56" i="36" s="1"/>
  <c r="W56" i="36" s="1"/>
  <c r="CQ36" i="15"/>
  <c r="R66" i="36"/>
  <c r="AB66" i="36" s="1"/>
  <c r="AC66" i="36" s="1"/>
  <c r="CQ13" i="14"/>
  <c r="R44" i="35"/>
  <c r="R90" i="35" s="1"/>
  <c r="CQ44" i="14"/>
  <c r="R74" i="35"/>
  <c r="R120" i="35" s="1"/>
  <c r="CQ25" i="14"/>
  <c r="R55" i="35"/>
  <c r="S101" i="35" s="1"/>
  <c r="R33" i="34"/>
  <c r="R35" i="34"/>
  <c r="CQ46" i="16"/>
  <c r="R76" i="37"/>
  <c r="V76" i="37" s="1"/>
  <c r="W76" i="37" s="1"/>
  <c r="CQ30" i="14"/>
  <c r="R60" i="35"/>
  <c r="R106" i="35" s="1"/>
  <c r="R94" i="36"/>
  <c r="CQ48" i="16"/>
  <c r="R78" i="37"/>
  <c r="V78" i="37" s="1"/>
  <c r="W78" i="37" s="1"/>
  <c r="R114" i="36"/>
  <c r="CQ30" i="15"/>
  <c r="R60" i="36"/>
  <c r="S106" i="36" s="1"/>
  <c r="CQ23" i="15"/>
  <c r="R53" i="36"/>
  <c r="V53" i="36" s="1"/>
  <c r="W53" i="36" s="1"/>
  <c r="CQ42" i="15"/>
  <c r="R72" i="36"/>
  <c r="R118" i="36" s="1"/>
  <c r="CQ19" i="14"/>
  <c r="R49" i="35"/>
  <c r="R95" i="35" s="1"/>
  <c r="CQ36" i="14"/>
  <c r="R66" i="35"/>
  <c r="S112" i="35" s="1"/>
  <c r="V75" i="34"/>
  <c r="W75" i="34" s="1"/>
  <c r="R37" i="34"/>
  <c r="R101" i="37"/>
  <c r="T55" i="37"/>
  <c r="U55" i="37" s="1"/>
  <c r="T55" i="36"/>
  <c r="U55" i="36" s="1"/>
  <c r="T79" i="37"/>
  <c r="U79" i="37" s="1"/>
  <c r="R125" i="37"/>
  <c r="T42" i="36"/>
  <c r="U42" i="36" s="1"/>
  <c r="Q81" i="36"/>
  <c r="T50" i="36"/>
  <c r="U50" i="36" s="1"/>
  <c r="R96" i="36"/>
  <c r="T78" i="36"/>
  <c r="U78" i="36" s="1"/>
  <c r="R92" i="37"/>
  <c r="T46" i="37"/>
  <c r="U46" i="37" s="1"/>
  <c r="T42" i="37"/>
  <c r="U42" i="37" s="1"/>
  <c r="Q81" i="37"/>
  <c r="T75" i="37"/>
  <c r="U75" i="37" s="1"/>
  <c r="R121" i="37"/>
  <c r="AF27" i="32"/>
  <c r="AG27" i="32" s="1"/>
  <c r="AH27" i="32" s="1"/>
  <c r="P27" i="32"/>
  <c r="G64" i="37"/>
  <c r="H64" i="37" s="1"/>
  <c r="R93" i="36"/>
  <c r="Q83" i="36"/>
  <c r="T83" i="36" s="1"/>
  <c r="U83" i="36" s="1"/>
  <c r="R121" i="36"/>
  <c r="T75" i="36"/>
  <c r="U75" i="36" s="1"/>
  <c r="T53" i="37"/>
  <c r="U53" i="37" s="1"/>
  <c r="T52" i="37"/>
  <c r="U52" i="37" s="1"/>
  <c r="Z66" i="37"/>
  <c r="AA66" i="37" s="1"/>
  <c r="T80" i="36"/>
  <c r="U80" i="36" s="1"/>
  <c r="R126" i="36"/>
  <c r="R93" i="37"/>
  <c r="Q83" i="37"/>
  <c r="T83" i="37" s="1"/>
  <c r="U83" i="37" s="1"/>
  <c r="T79" i="36"/>
  <c r="U79" i="36" s="1"/>
  <c r="T58" i="36"/>
  <c r="U58" i="36" s="1"/>
  <c r="AC27" i="32"/>
  <c r="AD27" i="32" s="1"/>
  <c r="AE27" i="32" s="1"/>
  <c r="G64" i="36"/>
  <c r="H64" i="36" s="1"/>
  <c r="M27" i="32"/>
  <c r="AH64" i="34"/>
  <c r="G64" i="34"/>
  <c r="H64" i="34" s="1"/>
  <c r="G27" i="32"/>
  <c r="W27" i="32"/>
  <c r="X27" i="32" s="1"/>
  <c r="Y27" i="32" s="1"/>
  <c r="T45" i="37"/>
  <c r="U45" i="37" s="1"/>
  <c r="R91" i="37"/>
  <c r="T45" i="36"/>
  <c r="U45" i="36" s="1"/>
  <c r="R91" i="36"/>
  <c r="T53" i="36"/>
  <c r="U53" i="36" s="1"/>
  <c r="Q84" i="34"/>
  <c r="T84" i="34" s="1"/>
  <c r="U84" i="34" s="1"/>
  <c r="Q84" i="35"/>
  <c r="T84" i="35" s="1"/>
  <c r="U84" i="35" s="1"/>
  <c r="T78" i="37"/>
  <c r="U78" i="37" s="1"/>
  <c r="T58" i="37"/>
  <c r="U58" i="37" s="1"/>
  <c r="R98" i="36"/>
  <c r="T52" i="36"/>
  <c r="U52" i="36" s="1"/>
  <c r="Z66" i="36"/>
  <c r="AA66" i="36" s="1"/>
  <c r="T56" i="36"/>
  <c r="U56" i="36" s="1"/>
  <c r="Q38" i="34"/>
  <c r="T56" i="37"/>
  <c r="U56" i="37" s="1"/>
  <c r="T76" i="37"/>
  <c r="U76" i="37" s="1"/>
  <c r="T76" i="36"/>
  <c r="U76" i="36" s="1"/>
  <c r="T50" i="37"/>
  <c r="U50" i="37" s="1"/>
  <c r="T46" i="36"/>
  <c r="U46" i="36" s="1"/>
  <c r="T80" i="37"/>
  <c r="U80" i="37" s="1"/>
  <c r="F72" i="37"/>
  <c r="S121" i="35"/>
  <c r="F75" i="35"/>
  <c r="X75" i="35"/>
  <c r="Y75" i="35" s="1"/>
  <c r="AD66" i="35"/>
  <c r="AE66" i="35" s="1"/>
  <c r="F66" i="35"/>
  <c r="S96" i="36"/>
  <c r="F50" i="36"/>
  <c r="X50" i="36"/>
  <c r="Y50" i="36" s="1"/>
  <c r="S94" i="36"/>
  <c r="F48" i="36"/>
  <c r="X78" i="36"/>
  <c r="Y78" i="36" s="1"/>
  <c r="X55" i="36"/>
  <c r="Y55" i="36" s="1"/>
  <c r="CQ50" i="23"/>
  <c r="F67" i="37"/>
  <c r="S113" i="37"/>
  <c r="F74" i="37"/>
  <c r="S120" i="37"/>
  <c r="S116" i="37"/>
  <c r="F70" i="37"/>
  <c r="S125" i="37"/>
  <c r="X79" i="37"/>
  <c r="Y79" i="37" s="1"/>
  <c r="F79" i="37"/>
  <c r="BY50" i="26"/>
  <c r="F77" i="37"/>
  <c r="S123" i="37"/>
  <c r="F55" i="37"/>
  <c r="X55" i="37"/>
  <c r="Y55" i="37" s="1"/>
  <c r="S101" i="37"/>
  <c r="S93" i="37"/>
  <c r="S83" i="37"/>
  <c r="X83" i="37" s="1"/>
  <c r="Y83" i="37" s="1"/>
  <c r="X45" i="35"/>
  <c r="Y45" i="35" s="1"/>
  <c r="F69" i="36"/>
  <c r="CV50" i="24"/>
  <c r="X42" i="36"/>
  <c r="Y42" i="36" s="1"/>
  <c r="S81" i="36"/>
  <c r="X56" i="37"/>
  <c r="Y56" i="37" s="1"/>
  <c r="X80" i="37"/>
  <c r="Y80" i="37" s="1"/>
  <c r="F80" i="37"/>
  <c r="X50" i="37"/>
  <c r="Y50" i="37" s="1"/>
  <c r="S108" i="35"/>
  <c r="X79" i="35"/>
  <c r="Y79" i="35" s="1"/>
  <c r="F77" i="35"/>
  <c r="S123" i="35"/>
  <c r="F80" i="35"/>
  <c r="S126" i="35"/>
  <c r="X80" i="35"/>
  <c r="Y80" i="35" s="1"/>
  <c r="X76" i="36"/>
  <c r="Y76" i="36" s="1"/>
  <c r="S108" i="36"/>
  <c r="F62" i="36"/>
  <c r="F73" i="37"/>
  <c r="AD66" i="36"/>
  <c r="AE66" i="36" s="1"/>
  <c r="F45" i="36"/>
  <c r="S91" i="36"/>
  <c r="X45" i="36"/>
  <c r="Y45" i="36" s="1"/>
  <c r="S97" i="36"/>
  <c r="F51" i="36"/>
  <c r="AD66" i="37"/>
  <c r="AE66" i="37" s="1"/>
  <c r="F49" i="37"/>
  <c r="F43" i="37"/>
  <c r="S114" i="35"/>
  <c r="F73" i="35"/>
  <c r="S119" i="35"/>
  <c r="X79" i="36"/>
  <c r="Y79" i="36" s="1"/>
  <c r="F63" i="36"/>
  <c r="X56" i="36"/>
  <c r="Y56" i="36" s="1"/>
  <c r="F58" i="37"/>
  <c r="X58" i="37"/>
  <c r="Y58" i="37" s="1"/>
  <c r="S104" i="37"/>
  <c r="S121" i="37"/>
  <c r="F75" i="37"/>
  <c r="X75" i="37"/>
  <c r="Y75" i="37" s="1"/>
  <c r="S111" i="37"/>
  <c r="F65" i="37"/>
  <c r="S91" i="37"/>
  <c r="X45" i="37"/>
  <c r="Y45" i="37" s="1"/>
  <c r="F45" i="37"/>
  <c r="X53" i="35"/>
  <c r="Y53" i="35" s="1"/>
  <c r="F53" i="35"/>
  <c r="S109" i="35"/>
  <c r="F63" i="35"/>
  <c r="F47" i="36"/>
  <c r="S93" i="36"/>
  <c r="S83" i="36"/>
  <c r="X83" i="36" s="1"/>
  <c r="Y83" i="36" s="1"/>
  <c r="F71" i="37"/>
  <c r="F60" i="37"/>
  <c r="S106" i="37"/>
  <c r="X58" i="35"/>
  <c r="Y58" i="35" s="1"/>
  <c r="S104" i="35"/>
  <c r="F58" i="35"/>
  <c r="X55" i="35"/>
  <c r="Y55" i="35" s="1"/>
  <c r="S98" i="36"/>
  <c r="F52" i="36"/>
  <c r="X52" i="36"/>
  <c r="Y52" i="36" s="1"/>
  <c r="S113" i="35"/>
  <c r="F67" i="35"/>
  <c r="S123" i="36"/>
  <c r="X78" i="37"/>
  <c r="Y78" i="37" s="1"/>
  <c r="BZ50" i="26"/>
  <c r="S46" i="37"/>
  <c r="X76" i="35"/>
  <c r="Y76" i="35" s="1"/>
  <c r="X76" i="37"/>
  <c r="Y76" i="37" s="1"/>
  <c r="F59" i="37"/>
  <c r="S105" i="37"/>
  <c r="S111" i="35"/>
  <c r="F65" i="35"/>
  <c r="X52" i="35"/>
  <c r="Y52" i="35" s="1"/>
  <c r="S98" i="35"/>
  <c r="S92" i="35"/>
  <c r="X46" i="35"/>
  <c r="Y46" i="35" s="1"/>
  <c r="F46" i="35"/>
  <c r="X58" i="36"/>
  <c r="Y58" i="36" s="1"/>
  <c r="X46" i="36"/>
  <c r="Y46" i="36" s="1"/>
  <c r="S81" i="37"/>
  <c r="S90" i="37"/>
  <c r="F44" i="37"/>
  <c r="X56" i="35"/>
  <c r="Y56" i="35" s="1"/>
  <c r="F56" i="35"/>
  <c r="S102" i="35"/>
  <c r="S83" i="35"/>
  <c r="X83" i="35" s="1"/>
  <c r="Y83" i="35" s="1"/>
  <c r="S118" i="36"/>
  <c r="F72" i="36"/>
  <c r="F57" i="35"/>
  <c r="S103" i="35"/>
  <c r="X78" i="35"/>
  <c r="Y78" i="35" s="1"/>
  <c r="S126" i="36"/>
  <c r="F80" i="36"/>
  <c r="X80" i="36"/>
  <c r="Y80" i="36" s="1"/>
  <c r="X53" i="36"/>
  <c r="Y53" i="36" s="1"/>
  <c r="X42" i="34"/>
  <c r="Y42" i="34" s="1"/>
  <c r="S88" i="34"/>
  <c r="AF42" i="34"/>
  <c r="F42" i="34"/>
  <c r="X52" i="37"/>
  <c r="Y52" i="37" s="1"/>
  <c r="F52" i="37"/>
  <c r="X53" i="37"/>
  <c r="Y53" i="37" s="1"/>
  <c r="S97" i="37"/>
  <c r="F51" i="37"/>
  <c r="S107" i="35"/>
  <c r="F61" i="35"/>
  <c r="X50" i="35"/>
  <c r="Y50" i="35" s="1"/>
  <c r="F50" i="35"/>
  <c r="S96" i="35"/>
  <c r="S117" i="35"/>
  <c r="F67" i="36"/>
  <c r="F75" i="36"/>
  <c r="X75" i="36"/>
  <c r="Y75" i="36" s="1"/>
  <c r="S100" i="36"/>
  <c r="S88" i="35"/>
  <c r="X42" i="35"/>
  <c r="Y42" i="35" s="1"/>
  <c r="F42" i="35"/>
  <c r="S81" i="35"/>
  <c r="CZ46" i="23"/>
  <c r="DA46" i="23" s="1"/>
  <c r="CV46" i="23"/>
  <c r="CV28" i="22"/>
  <c r="CZ28" i="22"/>
  <c r="DA28" i="22" s="1"/>
  <c r="CV36" i="22"/>
  <c r="CZ36" i="22"/>
  <c r="DA36" i="22" s="1"/>
  <c r="CZ43" i="22"/>
  <c r="DA43" i="22" s="1"/>
  <c r="CV43" i="22"/>
  <c r="CZ17" i="23"/>
  <c r="DA17" i="23" s="1"/>
  <c r="CV17" i="23"/>
  <c r="CZ16" i="22"/>
  <c r="DA16" i="22" s="1"/>
  <c r="CV16" i="22"/>
  <c r="CZ27" i="23"/>
  <c r="DA27" i="23" s="1"/>
  <c r="CV27" i="23"/>
  <c r="CZ22" i="23"/>
  <c r="DA22" i="23" s="1"/>
  <c r="CV22" i="23"/>
  <c r="CV32" i="22"/>
  <c r="CZ32" i="22"/>
  <c r="DA32" i="22" s="1"/>
  <c r="CZ21" i="22"/>
  <c r="DA21" i="22" s="1"/>
  <c r="CV21" i="22"/>
  <c r="CZ24" i="22"/>
  <c r="DA24" i="22" s="1"/>
  <c r="CV24" i="22"/>
  <c r="CZ15" i="23"/>
  <c r="DA15" i="23" s="1"/>
  <c r="CV15" i="23"/>
  <c r="CZ13" i="22"/>
  <c r="DA13" i="22" s="1"/>
  <c r="CV13" i="22"/>
  <c r="CZ47" i="23"/>
  <c r="DA47" i="23" s="1"/>
  <c r="CV47" i="23"/>
  <c r="CV39" i="22"/>
  <c r="CZ39" i="22"/>
  <c r="DA39" i="22" s="1"/>
  <c r="CZ29" i="23"/>
  <c r="DA29" i="23" s="1"/>
  <c r="CV29" i="23"/>
  <c r="CZ30" i="22"/>
  <c r="DA30" i="22" s="1"/>
  <c r="CV30" i="22"/>
  <c r="CZ22" i="22"/>
  <c r="DA22" i="22" s="1"/>
  <c r="CV22" i="22"/>
  <c r="DC12" i="24"/>
  <c r="DB12" i="24"/>
  <c r="BZ12" i="22"/>
  <c r="CZ41" i="23"/>
  <c r="DA41" i="23" s="1"/>
  <c r="CV41" i="23"/>
  <c r="CZ20" i="23"/>
  <c r="DA20" i="23" s="1"/>
  <c r="CV20" i="23"/>
  <c r="CZ23" i="23"/>
  <c r="DA23" i="23" s="1"/>
  <c r="CV23" i="23"/>
  <c r="CV21" i="23"/>
  <c r="CZ21" i="23"/>
  <c r="DA21" i="23" s="1"/>
  <c r="CZ18" i="23"/>
  <c r="DA18" i="23" s="1"/>
  <c r="CV18" i="23"/>
  <c r="CZ37" i="22"/>
  <c r="DA37" i="22" s="1"/>
  <c r="CV37" i="22"/>
  <c r="CZ35" i="22"/>
  <c r="DA35" i="22" s="1"/>
  <c r="CV35" i="22"/>
  <c r="CV34" i="22"/>
  <c r="CZ34" i="22"/>
  <c r="DA34" i="22" s="1"/>
  <c r="CZ25" i="22"/>
  <c r="DA25" i="22" s="1"/>
  <c r="CV25" i="22"/>
  <c r="CZ45" i="22"/>
  <c r="DA45" i="22" s="1"/>
  <c r="CV45" i="22"/>
  <c r="CZ38" i="22"/>
  <c r="DA38" i="22" s="1"/>
  <c r="CV38" i="22"/>
  <c r="CZ40" i="23"/>
  <c r="DA40" i="23" s="1"/>
  <c r="CV40" i="23"/>
  <c r="CZ44" i="23"/>
  <c r="DA44" i="23" s="1"/>
  <c r="CV44" i="23"/>
  <c r="CV31" i="22"/>
  <c r="CZ31" i="22"/>
  <c r="DA31" i="22" s="1"/>
  <c r="CZ27" i="22"/>
  <c r="DA27" i="22" s="1"/>
  <c r="CV27" i="22"/>
  <c r="CZ17" i="22"/>
  <c r="DA17" i="22" s="1"/>
  <c r="CV17" i="22"/>
  <c r="CV48" i="23"/>
  <c r="CZ48" i="23"/>
  <c r="DA48" i="23" s="1"/>
  <c r="CZ13" i="23"/>
  <c r="DA13" i="23" s="1"/>
  <c r="CV13" i="23"/>
  <c r="CU50" i="23"/>
  <c r="CV20" i="22"/>
  <c r="CZ20" i="22"/>
  <c r="DA20" i="22" s="1"/>
  <c r="DB39" i="26"/>
  <c r="DC39" i="26"/>
  <c r="DC48" i="26"/>
  <c r="DB48" i="26"/>
  <c r="DC37" i="26"/>
  <c r="DB37" i="26"/>
  <c r="DC45" i="23"/>
  <c r="DB45" i="23"/>
  <c r="DC18" i="23"/>
  <c r="DB18" i="23"/>
  <c r="DB36" i="23"/>
  <c r="DC36" i="23"/>
  <c r="DC35" i="25"/>
  <c r="DB35" i="25"/>
  <c r="DC15" i="25"/>
  <c r="DB15" i="25"/>
  <c r="DB21" i="25"/>
  <c r="DC21" i="25"/>
  <c r="CZ26" i="22"/>
  <c r="DA26" i="22" s="1"/>
  <c r="CV26" i="22"/>
  <c r="CV24" i="23"/>
  <c r="CZ24" i="23"/>
  <c r="DA24" i="23" s="1"/>
  <c r="DA50" i="24"/>
  <c r="CZ33" i="23"/>
  <c r="DA33" i="23" s="1"/>
  <c r="CV33" i="23"/>
  <c r="CZ50" i="24"/>
  <c r="CZ31" i="23"/>
  <c r="DA31" i="23" s="1"/>
  <c r="CV31" i="23"/>
  <c r="DC26" i="26"/>
  <c r="DB26" i="26"/>
  <c r="DB49" i="26"/>
  <c r="DC49" i="26"/>
  <c r="DC20" i="26"/>
  <c r="DB20" i="26"/>
  <c r="DC30" i="23"/>
  <c r="DB30" i="23"/>
  <c r="DC26" i="23"/>
  <c r="DB26" i="23"/>
  <c r="DC17" i="23"/>
  <c r="DB17" i="23"/>
  <c r="DC14" i="25"/>
  <c r="DB14" i="25"/>
  <c r="DC17" i="25"/>
  <c r="DB17" i="25"/>
  <c r="DB34" i="25"/>
  <c r="DC34" i="25"/>
  <c r="CT50" i="22"/>
  <c r="DC35" i="26"/>
  <c r="DB35" i="26"/>
  <c r="DB18" i="26"/>
  <c r="DC18" i="26"/>
  <c r="DC42" i="26"/>
  <c r="DB42" i="26"/>
  <c r="DC14" i="23"/>
  <c r="DB14" i="23"/>
  <c r="DB27" i="23"/>
  <c r="DC27" i="23"/>
  <c r="DC47" i="23"/>
  <c r="DB47" i="23"/>
  <c r="DB29" i="25"/>
  <c r="DC29" i="25"/>
  <c r="DC19" i="25"/>
  <c r="DB19" i="25"/>
  <c r="DC22" i="25"/>
  <c r="DB22" i="25"/>
  <c r="CZ14" i="22"/>
  <c r="DA14" i="22" s="1"/>
  <c r="CV14" i="22"/>
  <c r="CQ50" i="22"/>
  <c r="CZ38" i="23"/>
  <c r="DA38" i="23" s="1"/>
  <c r="CV38" i="23"/>
  <c r="CZ47" i="22"/>
  <c r="DA47" i="22" s="1"/>
  <c r="CV47" i="22"/>
  <c r="CZ39" i="23"/>
  <c r="DA39" i="23" s="1"/>
  <c r="CV39" i="23"/>
  <c r="CZ42" i="23"/>
  <c r="DA42" i="23" s="1"/>
  <c r="CV42" i="23"/>
  <c r="CZ18" i="22"/>
  <c r="DA18" i="22" s="1"/>
  <c r="CV18" i="22"/>
  <c r="DB32" i="26"/>
  <c r="DC32" i="26"/>
  <c r="DC19" i="26"/>
  <c r="DB19" i="26"/>
  <c r="DC13" i="26"/>
  <c r="DB13" i="26"/>
  <c r="DC31" i="23"/>
  <c r="DB31" i="23"/>
  <c r="DB20" i="23"/>
  <c r="DC20" i="23"/>
  <c r="DC40" i="23"/>
  <c r="DB40" i="23"/>
  <c r="DC39" i="25"/>
  <c r="DB39" i="25"/>
  <c r="DC27" i="25"/>
  <c r="DB27" i="25"/>
  <c r="DB46" i="25"/>
  <c r="DC46" i="25"/>
  <c r="CU12" i="22"/>
  <c r="CV44" i="22"/>
  <c r="CZ44" i="22"/>
  <c r="DA44" i="22" s="1"/>
  <c r="BZ50" i="23"/>
  <c r="DC12" i="23"/>
  <c r="DB12" i="23"/>
  <c r="DB48" i="25"/>
  <c r="DC48" i="25"/>
  <c r="DC33" i="25"/>
  <c r="DB33" i="25"/>
  <c r="DB26" i="25"/>
  <c r="DC26" i="25"/>
  <c r="BY34" i="22"/>
  <c r="BZ34" i="22" s="1"/>
  <c r="BY13" i="22"/>
  <c r="BZ13" i="22" s="1"/>
  <c r="BY20" i="22"/>
  <c r="BZ20" i="22" s="1"/>
  <c r="BY36" i="22"/>
  <c r="BZ36" i="22" s="1"/>
  <c r="BY26" i="22"/>
  <c r="BZ26" i="22" s="1"/>
  <c r="BY33" i="22"/>
  <c r="BZ33" i="22" s="1"/>
  <c r="BY14" i="22"/>
  <c r="BZ14" i="22" s="1"/>
  <c r="BY31" i="22"/>
  <c r="BZ31" i="22" s="1"/>
  <c r="BY35" i="22"/>
  <c r="BZ35" i="22" s="1"/>
  <c r="BY46" i="22"/>
  <c r="BZ46" i="22" s="1"/>
  <c r="BY28" i="22"/>
  <c r="BZ28" i="22" s="1"/>
  <c r="BY29" i="22"/>
  <c r="BZ29" i="22" s="1"/>
  <c r="BY30" i="22"/>
  <c r="BZ30" i="22" s="1"/>
  <c r="BY49" i="22"/>
  <c r="BZ49" i="22" s="1"/>
  <c r="BY39" i="22"/>
  <c r="BZ39" i="22" s="1"/>
  <c r="BY18" i="22"/>
  <c r="BZ18" i="22" s="1"/>
  <c r="BY32" i="22"/>
  <c r="BZ32" i="22" s="1"/>
  <c r="BY19" i="22"/>
  <c r="BZ19" i="22" s="1"/>
  <c r="BY47" i="22"/>
  <c r="BZ47" i="22" s="1"/>
  <c r="BY25" i="22"/>
  <c r="BZ25" i="22" s="1"/>
  <c r="BY27" i="22"/>
  <c r="BZ27" i="22" s="1"/>
  <c r="BY43" i="22"/>
  <c r="BZ43" i="22" s="1"/>
  <c r="BY41" i="22"/>
  <c r="BZ41" i="22" s="1"/>
  <c r="BY38" i="22"/>
  <c r="BZ38" i="22" s="1"/>
  <c r="BY37" i="22"/>
  <c r="BZ37" i="22" s="1"/>
  <c r="BY45" i="22"/>
  <c r="BZ45" i="22" s="1"/>
  <c r="BY48" i="22"/>
  <c r="BZ48" i="22" s="1"/>
  <c r="BY42" i="22"/>
  <c r="BZ42" i="22" s="1"/>
  <c r="BY21" i="22"/>
  <c r="BZ21" i="22" s="1"/>
  <c r="BY22" i="22"/>
  <c r="BZ22" i="22" s="1"/>
  <c r="BY24" i="22"/>
  <c r="BZ24" i="22" s="1"/>
  <c r="BY17" i="22"/>
  <c r="BZ17" i="22" s="1"/>
  <c r="BY44" i="22"/>
  <c r="BZ44" i="22" s="1"/>
  <c r="BY15" i="22"/>
  <c r="BZ15" i="22" s="1"/>
  <c r="BY23" i="22"/>
  <c r="BZ23" i="22" s="1"/>
  <c r="BY16" i="22"/>
  <c r="BZ16" i="22" s="1"/>
  <c r="BY40" i="22"/>
  <c r="BZ40" i="22" s="1"/>
  <c r="CZ48" i="22"/>
  <c r="DA48" i="22" s="1"/>
  <c r="CV48" i="22"/>
  <c r="DB44" i="26"/>
  <c r="DC44" i="26"/>
  <c r="DB34" i="26"/>
  <c r="DC34" i="26"/>
  <c r="DB15" i="26"/>
  <c r="DC15" i="26"/>
  <c r="DC24" i="23"/>
  <c r="DB24" i="23"/>
  <c r="DB44" i="23"/>
  <c r="DC44" i="23"/>
  <c r="DC35" i="23"/>
  <c r="DB35" i="23"/>
  <c r="DC28" i="25"/>
  <c r="DB28" i="25"/>
  <c r="DB37" i="25"/>
  <c r="DC37" i="25"/>
  <c r="DC16" i="25"/>
  <c r="DB16" i="25"/>
  <c r="CZ43" i="23"/>
  <c r="DA43" i="23" s="1"/>
  <c r="CV43" i="23"/>
  <c r="CZ37" i="23"/>
  <c r="DA37" i="23" s="1"/>
  <c r="CV37" i="23"/>
  <c r="CZ41" i="22"/>
  <c r="DA41" i="22" s="1"/>
  <c r="CV41" i="22"/>
  <c r="CZ49" i="23"/>
  <c r="DA49" i="23" s="1"/>
  <c r="CV49" i="23"/>
  <c r="CZ16" i="23"/>
  <c r="DA16" i="23" s="1"/>
  <c r="CV16" i="23"/>
  <c r="BY50" i="23"/>
  <c r="DB46" i="26"/>
  <c r="DC46" i="26"/>
  <c r="DB25" i="26"/>
  <c r="DC25" i="26"/>
  <c r="DB17" i="26"/>
  <c r="DC17" i="26"/>
  <c r="CZ28" i="23"/>
  <c r="DA28" i="23" s="1"/>
  <c r="CV28" i="23"/>
  <c r="DB34" i="23"/>
  <c r="DC34" i="23"/>
  <c r="DC22" i="23"/>
  <c r="DB22" i="23"/>
  <c r="DC16" i="23"/>
  <c r="DB16" i="23"/>
  <c r="CT50" i="23"/>
  <c r="DC40" i="26"/>
  <c r="DB40" i="26"/>
  <c r="DC33" i="26"/>
  <c r="DB33" i="26"/>
  <c r="DB27" i="26"/>
  <c r="DC27" i="26"/>
  <c r="DC30" i="26"/>
  <c r="DB30" i="26"/>
  <c r="DC43" i="23"/>
  <c r="DB43" i="23"/>
  <c r="DC13" i="23"/>
  <c r="DB13" i="23"/>
  <c r="DC15" i="23"/>
  <c r="DB15" i="23"/>
  <c r="DC41" i="25"/>
  <c r="DB41" i="25"/>
  <c r="DC40" i="25"/>
  <c r="DB40" i="25"/>
  <c r="DC43" i="25"/>
  <c r="DB43" i="25"/>
  <c r="DC47" i="26"/>
  <c r="DB47" i="26"/>
  <c r="DB23" i="25"/>
  <c r="DC23" i="25"/>
  <c r="CZ49" i="22"/>
  <c r="DA49" i="22" s="1"/>
  <c r="CV49" i="22"/>
  <c r="CU50" i="26"/>
  <c r="CV12" i="26"/>
  <c r="CV50" i="26" s="1"/>
  <c r="CZ12" i="26"/>
  <c r="DC24" i="26"/>
  <c r="DB24" i="26"/>
  <c r="DB45" i="26"/>
  <c r="DC45" i="26"/>
  <c r="DB29" i="26"/>
  <c r="DC29" i="26"/>
  <c r="DC29" i="23"/>
  <c r="DB29" i="23"/>
  <c r="DC19" i="23"/>
  <c r="DB19" i="23"/>
  <c r="DB39" i="23"/>
  <c r="DC39" i="23"/>
  <c r="DB36" i="25"/>
  <c r="DC36" i="25"/>
  <c r="DB44" i="25"/>
  <c r="DC44" i="25"/>
  <c r="DC24" i="25"/>
  <c r="DB24" i="25"/>
  <c r="BY45" i="24"/>
  <c r="BZ45" i="24" s="1"/>
  <c r="S76" i="34" s="1"/>
  <c r="BY49" i="24"/>
  <c r="BZ49" i="24" s="1"/>
  <c r="S80" i="34" s="1"/>
  <c r="BY36" i="24"/>
  <c r="BZ36" i="24" s="1"/>
  <c r="S67" i="34" s="1"/>
  <c r="BY41" i="24"/>
  <c r="BZ41" i="24" s="1"/>
  <c r="S72" i="34" s="1"/>
  <c r="BY18" i="24"/>
  <c r="BZ18" i="24" s="1"/>
  <c r="S48" i="34" s="1"/>
  <c r="BY23" i="24"/>
  <c r="BZ23" i="24" s="1"/>
  <c r="S53" i="34" s="1"/>
  <c r="BY43" i="24"/>
  <c r="BZ43" i="24" s="1"/>
  <c r="S74" i="34" s="1"/>
  <c r="BY34" i="24"/>
  <c r="BZ34" i="24" s="1"/>
  <c r="S65" i="34" s="1"/>
  <c r="BY24" i="24"/>
  <c r="BZ24" i="24" s="1"/>
  <c r="S54" i="34" s="1"/>
  <c r="BY21" i="24"/>
  <c r="BZ21" i="24" s="1"/>
  <c r="S51" i="34" s="1"/>
  <c r="BY47" i="24"/>
  <c r="BZ47" i="24" s="1"/>
  <c r="S78" i="34" s="1"/>
  <c r="BY14" i="24"/>
  <c r="BZ14" i="24" s="1"/>
  <c r="S44" i="34" s="1"/>
  <c r="BY33" i="24"/>
  <c r="BZ33" i="24" s="1"/>
  <c r="S63" i="34" s="1"/>
  <c r="BY37" i="24"/>
  <c r="BZ37" i="24" s="1"/>
  <c r="S68" i="34" s="1"/>
  <c r="BY16" i="24"/>
  <c r="BZ16" i="24" s="1"/>
  <c r="S46" i="34" s="1"/>
  <c r="BY35" i="24"/>
  <c r="BZ35" i="24" s="1"/>
  <c r="S66" i="34" s="1"/>
  <c r="BY44" i="24"/>
  <c r="BZ44" i="24" s="1"/>
  <c r="S75" i="34" s="1"/>
  <c r="BY20" i="24"/>
  <c r="BZ20" i="24" s="1"/>
  <c r="S50" i="34" s="1"/>
  <c r="BY46" i="24"/>
  <c r="BZ46" i="24" s="1"/>
  <c r="S77" i="34" s="1"/>
  <c r="BY29" i="24"/>
  <c r="BZ29" i="24" s="1"/>
  <c r="S59" i="34" s="1"/>
  <c r="BY15" i="24"/>
  <c r="BZ15" i="24" s="1"/>
  <c r="S45" i="34" s="1"/>
  <c r="BY22" i="24"/>
  <c r="BZ22" i="24" s="1"/>
  <c r="S52" i="34" s="1"/>
  <c r="BY27" i="24"/>
  <c r="BZ27" i="24" s="1"/>
  <c r="S57" i="34" s="1"/>
  <c r="BY19" i="24"/>
  <c r="BZ19" i="24" s="1"/>
  <c r="S49" i="34" s="1"/>
  <c r="BY26" i="24"/>
  <c r="BZ26" i="24" s="1"/>
  <c r="S56" i="34" s="1"/>
  <c r="BY25" i="24"/>
  <c r="BZ25" i="24" s="1"/>
  <c r="S55" i="34" s="1"/>
  <c r="BY48" i="24"/>
  <c r="BZ48" i="24" s="1"/>
  <c r="S79" i="34" s="1"/>
  <c r="BY17" i="24"/>
  <c r="BZ17" i="24" s="1"/>
  <c r="S47" i="34" s="1"/>
  <c r="BY39" i="24"/>
  <c r="BZ39" i="24" s="1"/>
  <c r="S70" i="34" s="1"/>
  <c r="BY38" i="24"/>
  <c r="BZ38" i="24" s="1"/>
  <c r="S69" i="34" s="1"/>
  <c r="BY32" i="24"/>
  <c r="BZ32" i="24" s="1"/>
  <c r="S62" i="34" s="1"/>
  <c r="BY42" i="24"/>
  <c r="BZ42" i="24" s="1"/>
  <c r="S73" i="34" s="1"/>
  <c r="BY40" i="24"/>
  <c r="BZ40" i="24" s="1"/>
  <c r="S71" i="34" s="1"/>
  <c r="BY30" i="24"/>
  <c r="BZ30" i="24" s="1"/>
  <c r="S60" i="34" s="1"/>
  <c r="BY13" i="24"/>
  <c r="BZ13" i="24" s="1"/>
  <c r="S43" i="34" s="1"/>
  <c r="BY31" i="24"/>
  <c r="BZ31" i="24" s="1"/>
  <c r="S61" i="34" s="1"/>
  <c r="BY28" i="24"/>
  <c r="BZ28" i="24" s="1"/>
  <c r="S58" i="34" s="1"/>
  <c r="CZ15" i="22"/>
  <c r="DA15" i="22" s="1"/>
  <c r="CV15" i="22"/>
  <c r="CZ42" i="22"/>
  <c r="DA42" i="22" s="1"/>
  <c r="CV42" i="22"/>
  <c r="CV36" i="23"/>
  <c r="CZ36" i="23"/>
  <c r="DA36" i="23" s="1"/>
  <c r="BZ50" i="25"/>
  <c r="DC12" i="25"/>
  <c r="DB12" i="25"/>
  <c r="DC16" i="26"/>
  <c r="DB16" i="26"/>
  <c r="CZ34" i="23"/>
  <c r="DA34" i="23" s="1"/>
  <c r="CV34" i="23"/>
  <c r="DB32" i="23"/>
  <c r="DC32" i="23"/>
  <c r="DC46" i="23"/>
  <c r="DB46" i="23"/>
  <c r="DB30" i="25"/>
  <c r="DC30" i="25"/>
  <c r="CV45" i="23"/>
  <c r="CZ45" i="23"/>
  <c r="DA45" i="23" s="1"/>
  <c r="CZ25" i="23"/>
  <c r="DA25" i="23" s="1"/>
  <c r="CV25" i="23"/>
  <c r="CV50" i="25"/>
  <c r="DC28" i="26"/>
  <c r="DB28" i="26"/>
  <c r="DC14" i="26"/>
  <c r="DB14" i="26"/>
  <c r="DC31" i="26"/>
  <c r="DB31" i="26"/>
  <c r="DC37" i="23"/>
  <c r="DB37" i="23"/>
  <c r="DB42" i="23"/>
  <c r="DC42" i="23"/>
  <c r="DC41" i="23"/>
  <c r="DB41" i="23"/>
  <c r="DA12" i="23"/>
  <c r="DC20" i="25"/>
  <c r="DB20" i="25"/>
  <c r="DC18" i="25"/>
  <c r="DB18" i="25"/>
  <c r="DC47" i="25"/>
  <c r="DB47" i="25"/>
  <c r="DC25" i="25"/>
  <c r="DB25" i="25"/>
  <c r="CZ19" i="23"/>
  <c r="DA19" i="23" s="1"/>
  <c r="CV19" i="23"/>
  <c r="BY50" i="25"/>
  <c r="DC38" i="26"/>
  <c r="DB38" i="26"/>
  <c r="DB48" i="23"/>
  <c r="DC48" i="23"/>
  <c r="DC49" i="23"/>
  <c r="DB49" i="23"/>
  <c r="CV33" i="22"/>
  <c r="CZ33" i="22"/>
  <c r="DA33" i="22" s="1"/>
  <c r="CZ50" i="25"/>
  <c r="DA12" i="25"/>
  <c r="DA50" i="25" s="1"/>
  <c r="DB36" i="26"/>
  <c r="DC36" i="26"/>
  <c r="DC43" i="26"/>
  <c r="DB43" i="26"/>
  <c r="DC41" i="26"/>
  <c r="DB41" i="26"/>
  <c r="DC21" i="23"/>
  <c r="DB21" i="23"/>
  <c r="DC23" i="23"/>
  <c r="DB23" i="23"/>
  <c r="DC33" i="23"/>
  <c r="DB33" i="23"/>
  <c r="DC31" i="25"/>
  <c r="DB31" i="25"/>
  <c r="DB42" i="25"/>
  <c r="DC42" i="25"/>
  <c r="DC38" i="25"/>
  <c r="DB38" i="25"/>
  <c r="DC49" i="25"/>
  <c r="DB49" i="25"/>
  <c r="DB22" i="26"/>
  <c r="DC22" i="26"/>
  <c r="DB23" i="26"/>
  <c r="DC23" i="26"/>
  <c r="DC21" i="26"/>
  <c r="DB21" i="26"/>
  <c r="DC28" i="23"/>
  <c r="DB28" i="23"/>
  <c r="DB38" i="23"/>
  <c r="DC38" i="23"/>
  <c r="DB25" i="23"/>
  <c r="DC25" i="23"/>
  <c r="CV19" i="22"/>
  <c r="CZ19" i="22"/>
  <c r="DA19" i="22" s="1"/>
  <c r="DC13" i="25"/>
  <c r="DB13" i="25"/>
  <c r="DC45" i="25"/>
  <c r="DB45" i="25"/>
  <c r="DC32" i="25"/>
  <c r="DB32" i="25"/>
  <c r="CZ30" i="23"/>
  <c r="DA30" i="23" s="1"/>
  <c r="CV30" i="23"/>
  <c r="BY51" i="16"/>
  <c r="BY51" i="15"/>
  <c r="CM51" i="15"/>
  <c r="CN51" i="15" s="1"/>
  <c r="CM17" i="15"/>
  <c r="CN17" i="15" s="1"/>
  <c r="CM19" i="15"/>
  <c r="CN19" i="15" s="1"/>
  <c r="CO19" i="15" s="1"/>
  <c r="CM15" i="15"/>
  <c r="CN15" i="15" s="1"/>
  <c r="CO15" i="15" s="1"/>
  <c r="CM13" i="15"/>
  <c r="CN13" i="15" s="1"/>
  <c r="CO13" i="15" s="1"/>
  <c r="CM12" i="15"/>
  <c r="CN12" i="15" s="1"/>
  <c r="CO12" i="15" s="1"/>
  <c r="CM37" i="15"/>
  <c r="CN37" i="15" s="1"/>
  <c r="CO37" i="15" s="1"/>
  <c r="CM26" i="15"/>
  <c r="CN26" i="15" s="1"/>
  <c r="CO26" i="15" s="1"/>
  <c r="CM21" i="15"/>
  <c r="CN21" i="15" s="1"/>
  <c r="CO21" i="15" s="1"/>
  <c r="CM49" i="15"/>
  <c r="CN49" i="15" s="1"/>
  <c r="CO49" i="15" s="1"/>
  <c r="CM29" i="15"/>
  <c r="CN29" i="15" s="1"/>
  <c r="CO29" i="15" s="1"/>
  <c r="CM22" i="15"/>
  <c r="CN22" i="15" s="1"/>
  <c r="CO22" i="15" s="1"/>
  <c r="CM20" i="15"/>
  <c r="CN20" i="15" s="1"/>
  <c r="CO20" i="15" s="1"/>
  <c r="CM30" i="15"/>
  <c r="CN30" i="15" s="1"/>
  <c r="CO30" i="15" s="1"/>
  <c r="CM38" i="15"/>
  <c r="CN38" i="15" s="1"/>
  <c r="CO38" i="15" s="1"/>
  <c r="CM23" i="15"/>
  <c r="CN23" i="15" s="1"/>
  <c r="CO23" i="15" s="1"/>
  <c r="CM25" i="15"/>
  <c r="CN25" i="15" s="1"/>
  <c r="CO25" i="15" s="1"/>
  <c r="CM39" i="15"/>
  <c r="CN39" i="15" s="1"/>
  <c r="CO39" i="15" s="1"/>
  <c r="CM43" i="15"/>
  <c r="CN43" i="15" s="1"/>
  <c r="CO43" i="15" s="1"/>
  <c r="CM27" i="15"/>
  <c r="CN27" i="15" s="1"/>
  <c r="CO27" i="15" s="1"/>
  <c r="CM40" i="15"/>
  <c r="CN40" i="15" s="1"/>
  <c r="CO40" i="15" s="1"/>
  <c r="CM41" i="15"/>
  <c r="CN41" i="15" s="1"/>
  <c r="CO41" i="15" s="1"/>
  <c r="CM44" i="15"/>
  <c r="CN44" i="15" s="1"/>
  <c r="CO44" i="15" s="1"/>
  <c r="CM31" i="15"/>
  <c r="CN31" i="15" s="1"/>
  <c r="CO31" i="15" s="1"/>
  <c r="CM33" i="15"/>
  <c r="CN33" i="15" s="1"/>
  <c r="CO33" i="15" s="1"/>
  <c r="CM47" i="15"/>
  <c r="CN47" i="15" s="1"/>
  <c r="CO47" i="15" s="1"/>
  <c r="CM28" i="15"/>
  <c r="CN28" i="15" s="1"/>
  <c r="CO28" i="15" s="1"/>
  <c r="CM16" i="15"/>
  <c r="CN16" i="15" s="1"/>
  <c r="CO16" i="15" s="1"/>
  <c r="CM14" i="15"/>
  <c r="CN14" i="15" s="1"/>
  <c r="CO14" i="15" s="1"/>
  <c r="CM42" i="15"/>
  <c r="CN42" i="15" s="1"/>
  <c r="CO42" i="15" s="1"/>
  <c r="CM36" i="15"/>
  <c r="CN36" i="15" s="1"/>
  <c r="CO36" i="15" s="1"/>
  <c r="CM32" i="15"/>
  <c r="CN32" i="15" s="1"/>
  <c r="CO32" i="15" s="1"/>
  <c r="CM48" i="15"/>
  <c r="CN48" i="15" s="1"/>
  <c r="CO48" i="15" s="1"/>
  <c r="CM46" i="15"/>
  <c r="CN46" i="15" s="1"/>
  <c r="CO46" i="15" s="1"/>
  <c r="CM50" i="15"/>
  <c r="CN50" i="15" s="1"/>
  <c r="CO50" i="15" s="1"/>
  <c r="CM34" i="15"/>
  <c r="CN34" i="15" s="1"/>
  <c r="CO34" i="15" s="1"/>
  <c r="CM24" i="15"/>
  <c r="CN24" i="15" s="1"/>
  <c r="CO24" i="15" s="1"/>
  <c r="CM45" i="15"/>
  <c r="CN45" i="15" s="1"/>
  <c r="CO45" i="15" s="1"/>
  <c r="CM18" i="15"/>
  <c r="CN18" i="15" s="1"/>
  <c r="CO18" i="15" s="1"/>
  <c r="CM35" i="15"/>
  <c r="CN35" i="15" s="1"/>
  <c r="CO35" i="15" s="1"/>
  <c r="BY44" i="12"/>
  <c r="BZ44" i="12" s="1"/>
  <c r="CQ44" i="12" s="1"/>
  <c r="BY45" i="12"/>
  <c r="BZ45" i="12" s="1"/>
  <c r="CQ45" i="12" s="1"/>
  <c r="BY41" i="12"/>
  <c r="BZ41" i="12" s="1"/>
  <c r="CQ41" i="12" s="1"/>
  <c r="BY35" i="12"/>
  <c r="BZ35" i="12" s="1"/>
  <c r="CQ35" i="12" s="1"/>
  <c r="BY33" i="12"/>
  <c r="BZ33" i="12" s="1"/>
  <c r="CQ33" i="12" s="1"/>
  <c r="BY47" i="12"/>
  <c r="BZ47" i="12" s="1"/>
  <c r="CQ47" i="12" s="1"/>
  <c r="BY48" i="12"/>
  <c r="BZ48" i="12" s="1"/>
  <c r="CQ48" i="12" s="1"/>
  <c r="BY14" i="12"/>
  <c r="BZ14" i="12" s="1"/>
  <c r="CQ14" i="12" s="1"/>
  <c r="BY42" i="12"/>
  <c r="BY38" i="12"/>
  <c r="BZ38" i="12" s="1"/>
  <c r="CQ38" i="12" s="1"/>
  <c r="BY27" i="12"/>
  <c r="BZ27" i="12" s="1"/>
  <c r="CQ27" i="12" s="1"/>
  <c r="BY46" i="12"/>
  <c r="BZ46" i="12" s="1"/>
  <c r="CQ46" i="12" s="1"/>
  <c r="BY32" i="12"/>
  <c r="BZ32" i="12" s="1"/>
  <c r="CQ32" i="12" s="1"/>
  <c r="BY34" i="12"/>
  <c r="BZ34" i="12" s="1"/>
  <c r="CQ34" i="12" s="1"/>
  <c r="BY19" i="12"/>
  <c r="BZ19" i="12" s="1"/>
  <c r="CQ19" i="12" s="1"/>
  <c r="BY12" i="12"/>
  <c r="BZ12" i="12" s="1"/>
  <c r="CQ12" i="12" s="1"/>
  <c r="BY20" i="12"/>
  <c r="BZ20" i="12" s="1"/>
  <c r="CQ20" i="12" s="1"/>
  <c r="BY39" i="12"/>
  <c r="BZ39" i="12" s="1"/>
  <c r="CQ39" i="12" s="1"/>
  <c r="BY28" i="12"/>
  <c r="BZ28" i="12" s="1"/>
  <c r="CQ28" i="12" s="1"/>
  <c r="BY40" i="12"/>
  <c r="BZ40" i="12" s="1"/>
  <c r="CQ40" i="12" s="1"/>
  <c r="BY50" i="12"/>
  <c r="BZ50" i="12" s="1"/>
  <c r="CQ50" i="12" s="1"/>
  <c r="BY43" i="12"/>
  <c r="BZ43" i="12" s="1"/>
  <c r="CQ43" i="12" s="1"/>
  <c r="BY37" i="12"/>
  <c r="BZ37" i="12" s="1"/>
  <c r="CQ37" i="12" s="1"/>
  <c r="BY31" i="12"/>
  <c r="BZ31" i="12" s="1"/>
  <c r="CQ31" i="12" s="1"/>
  <c r="BY36" i="12"/>
  <c r="BZ36" i="12" s="1"/>
  <c r="CQ36" i="12" s="1"/>
  <c r="BY30" i="12"/>
  <c r="BZ30" i="12" s="1"/>
  <c r="CQ30" i="12" s="1"/>
  <c r="BY18" i="12"/>
  <c r="BZ18" i="12" s="1"/>
  <c r="CQ18" i="12" s="1"/>
  <c r="BY13" i="12"/>
  <c r="BZ13" i="12" s="1"/>
  <c r="CQ13" i="12" s="1"/>
  <c r="BY21" i="12"/>
  <c r="BZ21" i="12" s="1"/>
  <c r="CQ21" i="12" s="1"/>
  <c r="BY29" i="12"/>
  <c r="BZ29" i="12" s="1"/>
  <c r="CQ29" i="12" s="1"/>
  <c r="BY26" i="12"/>
  <c r="BZ26" i="12" s="1"/>
  <c r="CQ26" i="12" s="1"/>
  <c r="BY11" i="12"/>
  <c r="BZ11" i="12" s="1"/>
  <c r="BY24" i="12"/>
  <c r="BY49" i="12"/>
  <c r="BZ49" i="12" s="1"/>
  <c r="CQ49" i="12" s="1"/>
  <c r="BY22" i="12"/>
  <c r="BZ22" i="12" s="1"/>
  <c r="CQ22" i="12" s="1"/>
  <c r="BY15" i="12"/>
  <c r="BZ15" i="12" s="1"/>
  <c r="CQ15" i="12" s="1"/>
  <c r="BY16" i="12"/>
  <c r="BZ16" i="12" s="1"/>
  <c r="CQ16" i="12" s="1"/>
  <c r="BY23" i="12"/>
  <c r="BZ23" i="12" s="1"/>
  <c r="CQ23" i="12" s="1"/>
  <c r="BY17" i="12"/>
  <c r="BZ17" i="12" s="1"/>
  <c r="CQ17" i="12" s="1"/>
  <c r="BY25" i="12"/>
  <c r="BZ25" i="12" s="1"/>
  <c r="CQ25" i="12" s="1"/>
  <c r="BZ11" i="16"/>
  <c r="R42" i="37" s="1"/>
  <c r="R88" i="37" s="1"/>
  <c r="BZ42" i="12"/>
  <c r="CQ42" i="12" s="1"/>
  <c r="BZ24" i="12"/>
  <c r="CQ24" i="12" s="1"/>
  <c r="CL51" i="16"/>
  <c r="CM11" i="16" s="1"/>
  <c r="CN11" i="16" s="1"/>
  <c r="CO11" i="16" s="1"/>
  <c r="CM51" i="12"/>
  <c r="CN51" i="12" s="1"/>
  <c r="CM17" i="12"/>
  <c r="CN17" i="12" s="1"/>
  <c r="CM30" i="12"/>
  <c r="CN30" i="12" s="1"/>
  <c r="CO30" i="12" s="1"/>
  <c r="CM49" i="12"/>
  <c r="CN49" i="12" s="1"/>
  <c r="CO49" i="12" s="1"/>
  <c r="CM27" i="12"/>
  <c r="CN27" i="12" s="1"/>
  <c r="CO27" i="12" s="1"/>
  <c r="CM47" i="12"/>
  <c r="CN47" i="12" s="1"/>
  <c r="CO47" i="12" s="1"/>
  <c r="CM14" i="12"/>
  <c r="CN14" i="12" s="1"/>
  <c r="CO14" i="12" s="1"/>
  <c r="CM36" i="12"/>
  <c r="CN36" i="12" s="1"/>
  <c r="CO36" i="12" s="1"/>
  <c r="CM23" i="12"/>
  <c r="CN23" i="12" s="1"/>
  <c r="CO23" i="12" s="1"/>
  <c r="CM31" i="12"/>
  <c r="CN31" i="12" s="1"/>
  <c r="CO31" i="12" s="1"/>
  <c r="CM40" i="12"/>
  <c r="CN40" i="12" s="1"/>
  <c r="CO40" i="12" s="1"/>
  <c r="CM28" i="12"/>
  <c r="CN28" i="12" s="1"/>
  <c r="CO28" i="12" s="1"/>
  <c r="CM22" i="12"/>
  <c r="CN22" i="12" s="1"/>
  <c r="CO22" i="12" s="1"/>
  <c r="CM41" i="12"/>
  <c r="CN41" i="12" s="1"/>
  <c r="CO41" i="12" s="1"/>
  <c r="CM44" i="12"/>
  <c r="CN44" i="12" s="1"/>
  <c r="CO44" i="12" s="1"/>
  <c r="CM34" i="12"/>
  <c r="CN34" i="12" s="1"/>
  <c r="CO34" i="12" s="1"/>
  <c r="CM48" i="12"/>
  <c r="CN48" i="12" s="1"/>
  <c r="CO48" i="12" s="1"/>
  <c r="CM33" i="12"/>
  <c r="CN33" i="12" s="1"/>
  <c r="CO33" i="12" s="1"/>
  <c r="CM46" i="12"/>
  <c r="CN46" i="12" s="1"/>
  <c r="CO46" i="12" s="1"/>
  <c r="CM25" i="12"/>
  <c r="CN25" i="12" s="1"/>
  <c r="CO25" i="12" s="1"/>
  <c r="CM29" i="12"/>
  <c r="CN29" i="12" s="1"/>
  <c r="CO29" i="12" s="1"/>
  <c r="CM32" i="12"/>
  <c r="CN32" i="12" s="1"/>
  <c r="CO32" i="12" s="1"/>
  <c r="CM37" i="12"/>
  <c r="CN37" i="12" s="1"/>
  <c r="CO37" i="12" s="1"/>
  <c r="CM12" i="12"/>
  <c r="CN12" i="12" s="1"/>
  <c r="CO12" i="12" s="1"/>
  <c r="CM38" i="12"/>
  <c r="CN38" i="12" s="1"/>
  <c r="CO38" i="12" s="1"/>
  <c r="CM42" i="12"/>
  <c r="CN42" i="12" s="1"/>
  <c r="CO42" i="12" s="1"/>
  <c r="CM13" i="12"/>
  <c r="CN13" i="12" s="1"/>
  <c r="CO13" i="12" s="1"/>
  <c r="CM24" i="12"/>
  <c r="CN24" i="12" s="1"/>
  <c r="CO24" i="12" s="1"/>
  <c r="CM39" i="12"/>
  <c r="CN39" i="12" s="1"/>
  <c r="CO39" i="12" s="1"/>
  <c r="CM43" i="12"/>
  <c r="CN43" i="12" s="1"/>
  <c r="CO43" i="12" s="1"/>
  <c r="CM15" i="12"/>
  <c r="CN15" i="12" s="1"/>
  <c r="CO15" i="12" s="1"/>
  <c r="CM45" i="12"/>
  <c r="CN45" i="12" s="1"/>
  <c r="CO45" i="12" s="1"/>
  <c r="CM26" i="12"/>
  <c r="CN26" i="12" s="1"/>
  <c r="CO26" i="12" s="1"/>
  <c r="CM35" i="12"/>
  <c r="CN35" i="12" s="1"/>
  <c r="CO35" i="12" s="1"/>
  <c r="CM19" i="12"/>
  <c r="CN19" i="12" s="1"/>
  <c r="CO19" i="12" s="1"/>
  <c r="CM16" i="12"/>
  <c r="CN16" i="12" s="1"/>
  <c r="CO16" i="12" s="1"/>
  <c r="CM21" i="12"/>
  <c r="CN21" i="12" s="1"/>
  <c r="CO21" i="12" s="1"/>
  <c r="CM20" i="12"/>
  <c r="CN20" i="12" s="1"/>
  <c r="CO20" i="12" s="1"/>
  <c r="CM18" i="12"/>
  <c r="CN18" i="12" s="1"/>
  <c r="CO18" i="12" s="1"/>
  <c r="CM50" i="12"/>
  <c r="CN50" i="12" s="1"/>
  <c r="CO50" i="12" s="1"/>
  <c r="BZ11" i="15"/>
  <c r="R42" i="36" s="1"/>
  <c r="BZ51" i="14"/>
  <c r="CQ51" i="14" s="1"/>
  <c r="CQ11" i="14"/>
  <c r="BY51" i="14"/>
  <c r="CP42" i="6"/>
  <c r="BZ42" i="6"/>
  <c r="CA42" i="6" s="1"/>
  <c r="CQ42" i="6"/>
  <c r="CP24" i="5"/>
  <c r="BZ24" i="5"/>
  <c r="CA24" i="5" s="1"/>
  <c r="CQ24" i="5"/>
  <c r="BZ14" i="5"/>
  <c r="CA14" i="5" s="1"/>
  <c r="CQ14" i="5"/>
  <c r="CP14" i="5"/>
  <c r="BZ40" i="5"/>
  <c r="CA40" i="5" s="1"/>
  <c r="CP40" i="5"/>
  <c r="CQ40" i="5"/>
  <c r="CP28" i="6"/>
  <c r="BZ28" i="6"/>
  <c r="CA28" i="6" s="1"/>
  <c r="CQ28" i="6"/>
  <c r="BZ22" i="5"/>
  <c r="CA22" i="5" s="1"/>
  <c r="CQ22" i="5"/>
  <c r="CP22" i="5"/>
  <c r="BZ21" i="5"/>
  <c r="CA21" i="5" s="1"/>
  <c r="CP21" i="5"/>
  <c r="CQ21" i="5"/>
  <c r="CQ36" i="5"/>
  <c r="BZ36" i="5"/>
  <c r="CA36" i="5" s="1"/>
  <c r="CP36" i="5"/>
  <c r="BY51" i="6"/>
  <c r="CP11" i="6"/>
  <c r="BZ11" i="6"/>
  <c r="CQ11" i="6"/>
  <c r="CQ18" i="6"/>
  <c r="CP18" i="6"/>
  <c r="BZ18" i="6"/>
  <c r="CA18" i="6" s="1"/>
  <c r="CQ13" i="6"/>
  <c r="CP13" i="6"/>
  <c r="BZ13" i="6"/>
  <c r="CA13" i="6" s="1"/>
  <c r="CQ34" i="5"/>
  <c r="CP34" i="5"/>
  <c r="BZ34" i="5"/>
  <c r="CA34" i="5" s="1"/>
  <c r="BZ24" i="6"/>
  <c r="CA24" i="6" s="1"/>
  <c r="CQ24" i="6"/>
  <c r="CP24" i="6"/>
  <c r="CP26" i="6"/>
  <c r="BZ26" i="6"/>
  <c r="CA26" i="6" s="1"/>
  <c r="CQ26" i="6"/>
  <c r="CP46" i="6"/>
  <c r="BZ46" i="6"/>
  <c r="CA46" i="6" s="1"/>
  <c r="CQ46" i="6"/>
  <c r="CQ30" i="5"/>
  <c r="CP30" i="5"/>
  <c r="BZ30" i="5"/>
  <c r="CA30" i="5" s="1"/>
  <c r="CP35" i="5"/>
  <c r="CQ35" i="5"/>
  <c r="BZ35" i="5"/>
  <c r="CA35" i="5" s="1"/>
  <c r="BZ18" i="5"/>
  <c r="CA18" i="5" s="1"/>
  <c r="CQ18" i="5"/>
  <c r="CP18" i="5"/>
  <c r="CP42" i="5"/>
  <c r="BZ42" i="5"/>
  <c r="CA42" i="5" s="1"/>
  <c r="CQ42" i="5"/>
  <c r="BZ15" i="5"/>
  <c r="CA15" i="5" s="1"/>
  <c r="CP15" i="5"/>
  <c r="CQ15" i="5"/>
  <c r="CQ12" i="5"/>
  <c r="CP12" i="5"/>
  <c r="BZ12" i="5"/>
  <c r="CA12" i="5" s="1"/>
  <c r="CP38" i="6"/>
  <c r="BZ38" i="6"/>
  <c r="CA38" i="6" s="1"/>
  <c r="CQ38" i="6"/>
  <c r="CP28" i="5"/>
  <c r="BZ28" i="5"/>
  <c r="CA28" i="5" s="1"/>
  <c r="CQ28" i="5"/>
  <c r="CP27" i="5"/>
  <c r="CQ27" i="5"/>
  <c r="BZ27" i="5"/>
  <c r="CA27" i="5" s="1"/>
  <c r="CQ36" i="6"/>
  <c r="CP36" i="6"/>
  <c r="BZ36" i="6"/>
  <c r="CA36" i="6" s="1"/>
  <c r="CQ31" i="5"/>
  <c r="CP31" i="5"/>
  <c r="BZ31" i="5"/>
  <c r="CA31" i="5" s="1"/>
  <c r="CP43" i="6"/>
  <c r="BZ43" i="6"/>
  <c r="CA43" i="6" s="1"/>
  <c r="CQ43" i="6"/>
  <c r="CP41" i="6"/>
  <c r="BZ41" i="6"/>
  <c r="CA41" i="6" s="1"/>
  <c r="CQ41" i="6"/>
  <c r="CP32" i="5"/>
  <c r="BZ32" i="5"/>
  <c r="CA32" i="5" s="1"/>
  <c r="CQ32" i="5"/>
  <c r="CQ34" i="6"/>
  <c r="BZ34" i="6"/>
  <c r="CA34" i="6" s="1"/>
  <c r="CP34" i="6"/>
  <c r="CQ13" i="5"/>
  <c r="CP13" i="5"/>
  <c r="BZ13" i="5"/>
  <c r="CA13" i="5" s="1"/>
  <c r="CQ40" i="6"/>
  <c r="CP40" i="6"/>
  <c r="BZ40" i="6"/>
  <c r="CA40" i="6" s="1"/>
  <c r="CQ45" i="5"/>
  <c r="CP45" i="5"/>
  <c r="BZ45" i="5"/>
  <c r="CA45" i="5" s="1"/>
  <c r="CP35" i="6"/>
  <c r="BZ35" i="6"/>
  <c r="CA35" i="6" s="1"/>
  <c r="CQ35" i="6"/>
  <c r="BZ29" i="5"/>
  <c r="CA29" i="5" s="1"/>
  <c r="CQ29" i="5"/>
  <c r="CP29" i="5"/>
  <c r="CQ50" i="5"/>
  <c r="BZ50" i="5"/>
  <c r="CA50" i="5" s="1"/>
  <c r="CP50" i="5"/>
  <c r="CQ23" i="6"/>
  <c r="BZ23" i="6"/>
  <c r="CA23" i="6" s="1"/>
  <c r="CP23" i="6"/>
  <c r="CQ22" i="6"/>
  <c r="BZ22" i="6"/>
  <c r="CA22" i="6" s="1"/>
  <c r="CP22" i="6"/>
  <c r="BZ16" i="5"/>
  <c r="CA16" i="5" s="1"/>
  <c r="CQ16" i="5"/>
  <c r="CP16" i="5"/>
  <c r="BZ49" i="5"/>
  <c r="CA49" i="5" s="1"/>
  <c r="CQ49" i="5"/>
  <c r="CP49" i="5"/>
  <c r="CP47" i="5"/>
  <c r="CQ47" i="5"/>
  <c r="BZ47" i="5"/>
  <c r="CA47" i="5" s="1"/>
  <c r="CG23" i="4"/>
  <c r="CH23" i="4" s="1"/>
  <c r="CJ23" i="4" s="1"/>
  <c r="CF23" i="4"/>
  <c r="CC23" i="4"/>
  <c r="CG36" i="4"/>
  <c r="CH36" i="4" s="1"/>
  <c r="CC36" i="4"/>
  <c r="CF36" i="4"/>
  <c r="CG19" i="4"/>
  <c r="CH19" i="4" s="1"/>
  <c r="CF19" i="4"/>
  <c r="CC19" i="4"/>
  <c r="CF41" i="4"/>
  <c r="CG41" i="4"/>
  <c r="CH41" i="4" s="1"/>
  <c r="CC41" i="4"/>
  <c r="CG49" i="2"/>
  <c r="CH49" i="2" s="1"/>
  <c r="CC49" i="2"/>
  <c r="CF49" i="2"/>
  <c r="CF30" i="4"/>
  <c r="CG30" i="4"/>
  <c r="CH30" i="4" s="1"/>
  <c r="CC30" i="4"/>
  <c r="CF22" i="4"/>
  <c r="CG22" i="4"/>
  <c r="CH22" i="4" s="1"/>
  <c r="CC22" i="4"/>
  <c r="CC13" i="2"/>
  <c r="CG13" i="2"/>
  <c r="CH13" i="2" s="1"/>
  <c r="CF13" i="2"/>
  <c r="CP20" i="5"/>
  <c r="BZ20" i="5"/>
  <c r="CA20" i="5" s="1"/>
  <c r="CQ20" i="5"/>
  <c r="CP45" i="6"/>
  <c r="BZ45" i="6"/>
  <c r="CA45" i="6" s="1"/>
  <c r="CQ45" i="6"/>
  <c r="CG18" i="3"/>
  <c r="CH18" i="3" s="1"/>
  <c r="CF18" i="3"/>
  <c r="CC18" i="3"/>
  <c r="CF30" i="2"/>
  <c r="CG30" i="2"/>
  <c r="CH30" i="2" s="1"/>
  <c r="CC30" i="2"/>
  <c r="CP51" i="2"/>
  <c r="CG12" i="3"/>
  <c r="CH12" i="3" s="1"/>
  <c r="CC12" i="3"/>
  <c r="CF12" i="3"/>
  <c r="CF19" i="3"/>
  <c r="CG19" i="3"/>
  <c r="CH19" i="3" s="1"/>
  <c r="CC19" i="3"/>
  <c r="CP19" i="5"/>
  <c r="CQ19" i="5"/>
  <c r="BZ19" i="5"/>
  <c r="CA19" i="5" s="1"/>
  <c r="CP46" i="5"/>
  <c r="CQ46" i="5"/>
  <c r="BZ46" i="5"/>
  <c r="CA46" i="5" s="1"/>
  <c r="CG26" i="2"/>
  <c r="CH26" i="2" s="1"/>
  <c r="CF26" i="2"/>
  <c r="CC26" i="2"/>
  <c r="CF43" i="3"/>
  <c r="CG43" i="3"/>
  <c r="CH43" i="3" s="1"/>
  <c r="CC43" i="3"/>
  <c r="CC23" i="2"/>
  <c r="CG23" i="2"/>
  <c r="CH23" i="2" s="1"/>
  <c r="CF23" i="2"/>
  <c r="CF48" i="2"/>
  <c r="CG48" i="2"/>
  <c r="CH48" i="2" s="1"/>
  <c r="CC48" i="2"/>
  <c r="CC28" i="2"/>
  <c r="CG28" i="2"/>
  <c r="CH28" i="2" s="1"/>
  <c r="CF28" i="2"/>
  <c r="CG46" i="3"/>
  <c r="CH46" i="3" s="1"/>
  <c r="CF46" i="3"/>
  <c r="CC46" i="3"/>
  <c r="CF27" i="3"/>
  <c r="CC27" i="3"/>
  <c r="CG27" i="3"/>
  <c r="CH27" i="3" s="1"/>
  <c r="CF40" i="4"/>
  <c r="CG40" i="4"/>
  <c r="CH40" i="4" s="1"/>
  <c r="CC40" i="4"/>
  <c r="CG50" i="4"/>
  <c r="CH50" i="4" s="1"/>
  <c r="CF50" i="4"/>
  <c r="CC50" i="4"/>
  <c r="CQ43" i="5"/>
  <c r="BZ43" i="5"/>
  <c r="CA43" i="5" s="1"/>
  <c r="CP43" i="5"/>
  <c r="CP48" i="5"/>
  <c r="BZ48" i="5"/>
  <c r="CA48" i="5" s="1"/>
  <c r="CQ48" i="5"/>
  <c r="CG21" i="2"/>
  <c r="CH21" i="2" s="1"/>
  <c r="CF21" i="2"/>
  <c r="CC21" i="2"/>
  <c r="CF33" i="4"/>
  <c r="CG33" i="4"/>
  <c r="CH33" i="4" s="1"/>
  <c r="CC33" i="4"/>
  <c r="CG34" i="2"/>
  <c r="CH34" i="2" s="1"/>
  <c r="CF34" i="2"/>
  <c r="CC34" i="2"/>
  <c r="CF23" i="3"/>
  <c r="CG23" i="3"/>
  <c r="CH23" i="3" s="1"/>
  <c r="CC23" i="3"/>
  <c r="CG43" i="4"/>
  <c r="CH43" i="4" s="1"/>
  <c r="CC43" i="4"/>
  <c r="CF43" i="4"/>
  <c r="BZ38" i="5"/>
  <c r="CA38" i="5" s="1"/>
  <c r="CP38" i="5"/>
  <c r="CQ38" i="5"/>
  <c r="CF44" i="3"/>
  <c r="CG44" i="3"/>
  <c r="CH44" i="3" s="1"/>
  <c r="CC44" i="3"/>
  <c r="CG15" i="3"/>
  <c r="CH15" i="3" s="1"/>
  <c r="CF15" i="3"/>
  <c r="CC15" i="3"/>
  <c r="CG25" i="4"/>
  <c r="CH25" i="4" s="1"/>
  <c r="CF25" i="4"/>
  <c r="CC25" i="4"/>
  <c r="CF39" i="3"/>
  <c r="CG39" i="3"/>
  <c r="CH39" i="3" s="1"/>
  <c r="CC39" i="3"/>
  <c r="CG38" i="2"/>
  <c r="CH38" i="2" s="1"/>
  <c r="CF38" i="2"/>
  <c r="CC38" i="2"/>
  <c r="CF46" i="4"/>
  <c r="CC46" i="4"/>
  <c r="CG46" i="4"/>
  <c r="CH46" i="4" s="1"/>
  <c r="CG26" i="3"/>
  <c r="CH26" i="3" s="1"/>
  <c r="CC26" i="3"/>
  <c r="CF26" i="3"/>
  <c r="CF13" i="4"/>
  <c r="CC13" i="4"/>
  <c r="CG13" i="4"/>
  <c r="CH13" i="4" s="1"/>
  <c r="CF40" i="3"/>
  <c r="CG40" i="3"/>
  <c r="CH40" i="3" s="1"/>
  <c r="CC40" i="3"/>
  <c r="CC18" i="4"/>
  <c r="CG18" i="4"/>
  <c r="CH18" i="4" s="1"/>
  <c r="CF18" i="4"/>
  <c r="CP14" i="6"/>
  <c r="CQ14" i="6"/>
  <c r="BZ14" i="6"/>
  <c r="CA14" i="6" s="1"/>
  <c r="CP32" i="6"/>
  <c r="BZ32" i="6"/>
  <c r="CA32" i="6" s="1"/>
  <c r="CQ32" i="6"/>
  <c r="CQ44" i="6"/>
  <c r="BZ44" i="6"/>
  <c r="CA44" i="6" s="1"/>
  <c r="CP44" i="6"/>
  <c r="CG22" i="2"/>
  <c r="CH22" i="2" s="1"/>
  <c r="CF22" i="2"/>
  <c r="CC22" i="2"/>
  <c r="CG46" i="2"/>
  <c r="CH46" i="2" s="1"/>
  <c r="CC46" i="2"/>
  <c r="CF46" i="2"/>
  <c r="CG33" i="2"/>
  <c r="CH33" i="2" s="1"/>
  <c r="CF33" i="2"/>
  <c r="CC33" i="2"/>
  <c r="BZ33" i="5"/>
  <c r="CA33" i="5" s="1"/>
  <c r="CQ33" i="5"/>
  <c r="CP33" i="5"/>
  <c r="CP25" i="6"/>
  <c r="BZ25" i="6"/>
  <c r="CA25" i="6" s="1"/>
  <c r="CQ25" i="6"/>
  <c r="CF31" i="2"/>
  <c r="CC31" i="2"/>
  <c r="CG31" i="2"/>
  <c r="CH31" i="2" s="1"/>
  <c r="CG42" i="4"/>
  <c r="CH42" i="4" s="1"/>
  <c r="CF42" i="4"/>
  <c r="CC42" i="4"/>
  <c r="CQ15" i="6"/>
  <c r="CP15" i="6"/>
  <c r="BZ15" i="6"/>
  <c r="CA15" i="6" s="1"/>
  <c r="CQ48" i="6"/>
  <c r="BZ48" i="6"/>
  <c r="CA48" i="6" s="1"/>
  <c r="CP48" i="6"/>
  <c r="CQ47" i="6"/>
  <c r="CP47" i="6"/>
  <c r="BZ47" i="6"/>
  <c r="CA47" i="6" s="1"/>
  <c r="CG31" i="4"/>
  <c r="CH31" i="4" s="1"/>
  <c r="CF31" i="4"/>
  <c r="CC31" i="4"/>
  <c r="CG24" i="4"/>
  <c r="CH24" i="4" s="1"/>
  <c r="CC24" i="4"/>
  <c r="CF24" i="4"/>
  <c r="CF48" i="3"/>
  <c r="CC48" i="3"/>
  <c r="CG48" i="3"/>
  <c r="CH48" i="3" s="1"/>
  <c r="CC49" i="4"/>
  <c r="CG49" i="4"/>
  <c r="CH49" i="4" s="1"/>
  <c r="CF49" i="4"/>
  <c r="CF32" i="4"/>
  <c r="CC32" i="4"/>
  <c r="CG32" i="4"/>
  <c r="CH32" i="4" s="1"/>
  <c r="CF30" i="3"/>
  <c r="CC30" i="3"/>
  <c r="CG30" i="3"/>
  <c r="CH30" i="3" s="1"/>
  <c r="CF24" i="2"/>
  <c r="CC24" i="2"/>
  <c r="CG24" i="2"/>
  <c r="CH24" i="2" s="1"/>
  <c r="CG27" i="2"/>
  <c r="CH27" i="2" s="1"/>
  <c r="CF27" i="2"/>
  <c r="CC27" i="2"/>
  <c r="CG25" i="2"/>
  <c r="CH25" i="2" s="1"/>
  <c r="CF25" i="2"/>
  <c r="CC25" i="2"/>
  <c r="CF21" i="4"/>
  <c r="CG21" i="4"/>
  <c r="CH21" i="4" s="1"/>
  <c r="CC21" i="4"/>
  <c r="CG42" i="3"/>
  <c r="CH42" i="3" s="1"/>
  <c r="CF42" i="3"/>
  <c r="CC42" i="3"/>
  <c r="BZ51" i="4"/>
  <c r="CA11" i="4"/>
  <c r="CG14" i="3"/>
  <c r="CH14" i="3" s="1"/>
  <c r="CF14" i="3"/>
  <c r="CC14" i="3"/>
  <c r="CG16" i="3"/>
  <c r="CH16" i="3" s="1"/>
  <c r="CC16" i="3"/>
  <c r="CF16" i="3"/>
  <c r="CF18" i="2"/>
  <c r="CC18" i="2"/>
  <c r="CG18" i="2"/>
  <c r="CH18" i="2" s="1"/>
  <c r="CF48" i="4"/>
  <c r="CC48" i="4"/>
  <c r="CG48" i="4"/>
  <c r="CH48" i="4" s="1"/>
  <c r="CC13" i="3"/>
  <c r="CF13" i="3"/>
  <c r="CG13" i="3"/>
  <c r="CH13" i="3" s="1"/>
  <c r="CC47" i="2"/>
  <c r="CF47" i="2"/>
  <c r="CG47" i="2"/>
  <c r="CH47" i="2" s="1"/>
  <c r="CG47" i="3"/>
  <c r="CH47" i="3" s="1"/>
  <c r="CF47" i="3"/>
  <c r="CC47" i="3"/>
  <c r="CF38" i="4"/>
  <c r="CG38" i="4"/>
  <c r="CH38" i="4" s="1"/>
  <c r="CC38" i="4"/>
  <c r="CF39" i="2"/>
  <c r="CG39" i="2"/>
  <c r="CH39" i="2" s="1"/>
  <c r="CC39" i="2"/>
  <c r="CQ29" i="6"/>
  <c r="BZ29" i="6"/>
  <c r="CA29" i="6" s="1"/>
  <c r="CP29" i="6"/>
  <c r="BZ31" i="6"/>
  <c r="CA31" i="6" s="1"/>
  <c r="CQ31" i="6"/>
  <c r="CP31" i="6"/>
  <c r="CQ39" i="6"/>
  <c r="BZ39" i="6"/>
  <c r="CA39" i="6" s="1"/>
  <c r="CP39" i="6"/>
  <c r="CQ49" i="6"/>
  <c r="CP49" i="6"/>
  <c r="BZ49" i="6"/>
  <c r="CA49" i="6" s="1"/>
  <c r="CG41" i="2"/>
  <c r="CH41" i="2" s="1"/>
  <c r="CF41" i="2"/>
  <c r="CC41" i="2"/>
  <c r="CF19" i="2"/>
  <c r="CG19" i="2"/>
  <c r="CH19" i="2" s="1"/>
  <c r="CC19" i="2"/>
  <c r="CF49" i="3"/>
  <c r="CG49" i="3"/>
  <c r="CH49" i="3" s="1"/>
  <c r="CC49" i="3"/>
  <c r="CF44" i="4"/>
  <c r="CC44" i="4"/>
  <c r="CG44" i="4"/>
  <c r="CH44" i="4" s="1"/>
  <c r="CF36" i="3"/>
  <c r="CG36" i="3"/>
  <c r="CH36" i="3" s="1"/>
  <c r="CC36" i="3"/>
  <c r="CP51" i="4"/>
  <c r="CF41" i="3"/>
  <c r="CG41" i="3"/>
  <c r="CH41" i="3" s="1"/>
  <c r="CC41" i="3"/>
  <c r="CC15" i="4"/>
  <c r="CG15" i="4"/>
  <c r="CH15" i="4" s="1"/>
  <c r="CF15" i="4"/>
  <c r="CF50" i="3"/>
  <c r="CG50" i="3"/>
  <c r="CH50" i="3" s="1"/>
  <c r="CJ50" i="3" s="1"/>
  <c r="CC50" i="3"/>
  <c r="CF37" i="4"/>
  <c r="CG37" i="4"/>
  <c r="CH37" i="4" s="1"/>
  <c r="CC37" i="4"/>
  <c r="CF45" i="4"/>
  <c r="CC45" i="4"/>
  <c r="CG45" i="4"/>
  <c r="CH45" i="4" s="1"/>
  <c r="CF24" i="3"/>
  <c r="CG24" i="3"/>
  <c r="CH24" i="3" s="1"/>
  <c r="CC24" i="3"/>
  <c r="CG42" i="2"/>
  <c r="CH42" i="2" s="1"/>
  <c r="CC42" i="2"/>
  <c r="CF42" i="2"/>
  <c r="CG28" i="4"/>
  <c r="CH28" i="4" s="1"/>
  <c r="CC28" i="4"/>
  <c r="CF28" i="4"/>
  <c r="CG38" i="3"/>
  <c r="CH38" i="3" s="1"/>
  <c r="CF38" i="3"/>
  <c r="CC38" i="3"/>
  <c r="CQ21" i="6"/>
  <c r="CP21" i="6"/>
  <c r="BZ21" i="6"/>
  <c r="CA21" i="6" s="1"/>
  <c r="CP27" i="6"/>
  <c r="BZ27" i="6"/>
  <c r="CA27" i="6" s="1"/>
  <c r="CQ27" i="6"/>
  <c r="CC43" i="2"/>
  <c r="CG43" i="2"/>
  <c r="CH43" i="2" s="1"/>
  <c r="CF43" i="2"/>
  <c r="CC35" i="4"/>
  <c r="CG35" i="4"/>
  <c r="CH35" i="4" s="1"/>
  <c r="CF35" i="4"/>
  <c r="CG25" i="3"/>
  <c r="CH25" i="3" s="1"/>
  <c r="CC25" i="3"/>
  <c r="CF25" i="3"/>
  <c r="CC12" i="2"/>
  <c r="CG12" i="2"/>
  <c r="CH12" i="2" s="1"/>
  <c r="CF12" i="2"/>
  <c r="CF29" i="4"/>
  <c r="CG29" i="4"/>
  <c r="CH29" i="4" s="1"/>
  <c r="CC29" i="4"/>
  <c r="CP23" i="5"/>
  <c r="BZ23" i="5"/>
  <c r="CA23" i="5" s="1"/>
  <c r="CQ23" i="5"/>
  <c r="CP44" i="5"/>
  <c r="BZ44" i="5"/>
  <c r="CA44" i="5" s="1"/>
  <c r="CQ44" i="5"/>
  <c r="CQ41" i="5"/>
  <c r="BZ41" i="5"/>
  <c r="CA41" i="5" s="1"/>
  <c r="CP41" i="5"/>
  <c r="CG44" i="2"/>
  <c r="CH44" i="2" s="1"/>
  <c r="CC44" i="2"/>
  <c r="CF44" i="2"/>
  <c r="CQ16" i="6"/>
  <c r="CP16" i="6"/>
  <c r="BZ16" i="6"/>
  <c r="CA16" i="6" s="1"/>
  <c r="CG15" i="2"/>
  <c r="CH15" i="2" s="1"/>
  <c r="CC15" i="2"/>
  <c r="CF15" i="2"/>
  <c r="CG16" i="4"/>
  <c r="CH16" i="4" s="1"/>
  <c r="CF16" i="4"/>
  <c r="CC16" i="4"/>
  <c r="CC27" i="4"/>
  <c r="CG27" i="4"/>
  <c r="CH27" i="4" s="1"/>
  <c r="CF27" i="4"/>
  <c r="CG14" i="2"/>
  <c r="CH14" i="2" s="1"/>
  <c r="CC14" i="2"/>
  <c r="CF14" i="2"/>
  <c r="CC16" i="2"/>
  <c r="CF16" i="2"/>
  <c r="CG16" i="2"/>
  <c r="CH16" i="2" s="1"/>
  <c r="CG37" i="3"/>
  <c r="CH37" i="3" s="1"/>
  <c r="CF37" i="3"/>
  <c r="CC37" i="3"/>
  <c r="CG29" i="3"/>
  <c r="CH29" i="3" s="1"/>
  <c r="CF29" i="3"/>
  <c r="CC29" i="3"/>
  <c r="CF20" i="3"/>
  <c r="CG20" i="3"/>
  <c r="CH20" i="3" s="1"/>
  <c r="CC20" i="3"/>
  <c r="CF26" i="4"/>
  <c r="CG26" i="4"/>
  <c r="CH26" i="4" s="1"/>
  <c r="CC26" i="4"/>
  <c r="CF40" i="2"/>
  <c r="CG40" i="2"/>
  <c r="CH40" i="2" s="1"/>
  <c r="CJ40" i="2" s="1"/>
  <c r="CC40" i="2"/>
  <c r="CF45" i="3"/>
  <c r="CG45" i="3"/>
  <c r="CH45" i="3" s="1"/>
  <c r="CC45" i="3"/>
  <c r="CG33" i="3"/>
  <c r="CH33" i="3" s="1"/>
  <c r="CF33" i="3"/>
  <c r="CC33" i="3"/>
  <c r="CG47" i="4"/>
  <c r="CH47" i="4" s="1"/>
  <c r="CF47" i="4"/>
  <c r="CC47" i="4"/>
  <c r="CF34" i="4"/>
  <c r="CG34" i="4"/>
  <c r="CH34" i="4" s="1"/>
  <c r="CJ34" i="4" s="1"/>
  <c r="CC34" i="4"/>
  <c r="CG45" i="2"/>
  <c r="CH45" i="2" s="1"/>
  <c r="CC45" i="2"/>
  <c r="CF45" i="2"/>
  <c r="BY51" i="5"/>
  <c r="CQ11" i="5"/>
  <c r="BZ11" i="5"/>
  <c r="CP11" i="5"/>
  <c r="CG50" i="2"/>
  <c r="CH50" i="2" s="1"/>
  <c r="CC50" i="2"/>
  <c r="CF50" i="2"/>
  <c r="CG39" i="4"/>
  <c r="CH39" i="4" s="1"/>
  <c r="CF39" i="4"/>
  <c r="CC39" i="4"/>
  <c r="CC35" i="2"/>
  <c r="CG35" i="2"/>
  <c r="CH35" i="2" s="1"/>
  <c r="CF35" i="2"/>
  <c r="CQ33" i="6"/>
  <c r="CP33" i="6"/>
  <c r="BZ33" i="6"/>
  <c r="CA33" i="6" s="1"/>
  <c r="CG36" i="2"/>
  <c r="CH36" i="2" s="1"/>
  <c r="CF36" i="2"/>
  <c r="CC36" i="2"/>
  <c r="CQ37" i="6"/>
  <c r="BZ37" i="6"/>
  <c r="CA37" i="6" s="1"/>
  <c r="CP37" i="6"/>
  <c r="CF35" i="3"/>
  <c r="CC35" i="3"/>
  <c r="CG35" i="3"/>
  <c r="CH35" i="3" s="1"/>
  <c r="CF32" i="3"/>
  <c r="CG32" i="3"/>
  <c r="CH32" i="3" s="1"/>
  <c r="CC32" i="3"/>
  <c r="BZ51" i="3"/>
  <c r="CA11" i="3"/>
  <c r="BZ26" i="5"/>
  <c r="CA26" i="5" s="1"/>
  <c r="CQ26" i="5"/>
  <c r="CP26" i="5"/>
  <c r="CP25" i="5"/>
  <c r="BZ25" i="5"/>
  <c r="CA25" i="5" s="1"/>
  <c r="CQ25" i="5"/>
  <c r="CQ39" i="5"/>
  <c r="BZ39" i="5"/>
  <c r="CA39" i="5" s="1"/>
  <c r="CP39" i="5"/>
  <c r="CC29" i="2"/>
  <c r="CG29" i="2"/>
  <c r="CH29" i="2" s="1"/>
  <c r="CF29" i="2"/>
  <c r="CG20" i="2"/>
  <c r="CH20" i="2" s="1"/>
  <c r="CF20" i="2"/>
  <c r="CC20" i="2"/>
  <c r="CF28" i="3"/>
  <c r="CG28" i="3"/>
  <c r="CH28" i="3" s="1"/>
  <c r="CC28" i="3"/>
  <c r="CP37" i="5"/>
  <c r="BZ37" i="5"/>
  <c r="CA37" i="5" s="1"/>
  <c r="CQ37" i="5"/>
  <c r="CQ12" i="6"/>
  <c r="BZ12" i="6"/>
  <c r="CA12" i="6" s="1"/>
  <c r="CP12" i="6"/>
  <c r="CQ30" i="6"/>
  <c r="CP30" i="6"/>
  <c r="BZ30" i="6"/>
  <c r="CA30" i="6" s="1"/>
  <c r="CG37" i="2"/>
  <c r="CH37" i="2" s="1"/>
  <c r="CF37" i="2"/>
  <c r="CC37" i="2"/>
  <c r="CG14" i="4"/>
  <c r="CH14" i="4" s="1"/>
  <c r="CF14" i="4"/>
  <c r="CC14" i="4"/>
  <c r="CP51" i="3"/>
  <c r="CQ20" i="6"/>
  <c r="CP20" i="6"/>
  <c r="BZ20" i="6"/>
  <c r="CA20" i="6" s="1"/>
  <c r="CQ19" i="6"/>
  <c r="BZ19" i="6"/>
  <c r="CA19" i="6" s="1"/>
  <c r="CP19" i="6"/>
  <c r="CQ50" i="6"/>
  <c r="CP50" i="6"/>
  <c r="BZ50" i="6"/>
  <c r="CA50" i="6" s="1"/>
  <c r="BZ51" i="2"/>
  <c r="CA11" i="2"/>
  <c r="CF22" i="3"/>
  <c r="CG22" i="3"/>
  <c r="CH22" i="3" s="1"/>
  <c r="CC22" i="3"/>
  <c r="CF32" i="2"/>
  <c r="CC32" i="2"/>
  <c r="CG32" i="2"/>
  <c r="CH32" i="2" s="1"/>
  <c r="CJ32" i="2" s="1"/>
  <c r="CG21" i="3"/>
  <c r="CH21" i="3" s="1"/>
  <c r="CF21" i="3"/>
  <c r="CC21" i="3"/>
  <c r="CF20" i="4"/>
  <c r="CG20" i="4"/>
  <c r="CH20" i="4" s="1"/>
  <c r="CC20" i="4"/>
  <c r="CG12" i="4"/>
  <c r="CH12" i="4" s="1"/>
  <c r="CF12" i="4"/>
  <c r="CC12" i="4"/>
  <c r="CF31" i="3"/>
  <c r="CG31" i="3"/>
  <c r="CH31" i="3" s="1"/>
  <c r="CJ31" i="3" s="1"/>
  <c r="CC31" i="3"/>
  <c r="CG34" i="3"/>
  <c r="CH34" i="3" s="1"/>
  <c r="CC34" i="3"/>
  <c r="CF34" i="3"/>
  <c r="CJ21" i="2" l="1"/>
  <c r="CJ13" i="2"/>
  <c r="CJ44" i="4"/>
  <c r="CJ43" i="3"/>
  <c r="CJ16" i="2"/>
  <c r="CJ48" i="2"/>
  <c r="CJ22" i="2"/>
  <c r="CJ23" i="2"/>
  <c r="CJ22" i="4"/>
  <c r="CJ49" i="3"/>
  <c r="CJ24" i="3"/>
  <c r="CJ50" i="2"/>
  <c r="S112" i="37"/>
  <c r="R112" i="37"/>
  <c r="F70" i="36"/>
  <c r="S117" i="37"/>
  <c r="S109" i="36"/>
  <c r="R126" i="37"/>
  <c r="R104" i="37"/>
  <c r="F59" i="35"/>
  <c r="S105" i="35"/>
  <c r="S120" i="36"/>
  <c r="F68" i="36"/>
  <c r="F44" i="36"/>
  <c r="F71" i="35"/>
  <c r="F71" i="36"/>
  <c r="S100" i="37"/>
  <c r="S90" i="36"/>
  <c r="S95" i="37"/>
  <c r="S126" i="37"/>
  <c r="R84" i="34"/>
  <c r="V84" i="34" s="1"/>
  <c r="W84" i="34" s="1"/>
  <c r="S116" i="35"/>
  <c r="F62" i="35"/>
  <c r="CJ20" i="4"/>
  <c r="CJ20" i="3"/>
  <c r="CJ34" i="2"/>
  <c r="CJ48" i="4"/>
  <c r="CJ31" i="4"/>
  <c r="CJ41" i="2"/>
  <c r="CJ35" i="2"/>
  <c r="CJ33" i="4"/>
  <c r="CJ44" i="2"/>
  <c r="CJ43" i="2"/>
  <c r="CJ18" i="2"/>
  <c r="CJ26" i="2"/>
  <c r="CJ28" i="4"/>
  <c r="CJ46" i="2"/>
  <c r="CJ12" i="3"/>
  <c r="CJ39" i="4"/>
  <c r="CJ47" i="3"/>
  <c r="CJ36" i="3"/>
  <c r="CJ21" i="4"/>
  <c r="CJ27" i="3"/>
  <c r="CJ47" i="4"/>
  <c r="CJ33" i="2"/>
  <c r="CJ41" i="4"/>
  <c r="CJ12" i="4"/>
  <c r="CJ42" i="3"/>
  <c r="CJ15" i="2"/>
  <c r="CJ47" i="2"/>
  <c r="CJ39" i="3"/>
  <c r="CJ33" i="3"/>
  <c r="CJ16" i="3"/>
  <c r="CJ19" i="4"/>
  <c r="CJ35" i="4"/>
  <c r="CJ32" i="4"/>
  <c r="CJ18" i="4"/>
  <c r="CJ29" i="4"/>
  <c r="CJ38" i="4"/>
  <c r="CJ37" i="3"/>
  <c r="CJ37" i="4"/>
  <c r="CJ19" i="2"/>
  <c r="CJ24" i="2"/>
  <c r="CJ49" i="4"/>
  <c r="F70" i="35"/>
  <c r="F49" i="35"/>
  <c r="Z12" i="32" s="1"/>
  <c r="F66" i="37"/>
  <c r="F112" i="37" s="1"/>
  <c r="S95" i="35"/>
  <c r="S119" i="36"/>
  <c r="R122" i="36"/>
  <c r="S99" i="37"/>
  <c r="F69" i="37"/>
  <c r="P32" i="32" s="1"/>
  <c r="Q32" i="32" s="1"/>
  <c r="R32" i="32" s="1"/>
  <c r="F73" i="36"/>
  <c r="R124" i="37"/>
  <c r="R117" i="36"/>
  <c r="F53" i="37"/>
  <c r="S115" i="37"/>
  <c r="F72" i="35"/>
  <c r="Z35" i="32" s="1"/>
  <c r="F61" i="36"/>
  <c r="S114" i="37"/>
  <c r="R122" i="37"/>
  <c r="F55" i="35"/>
  <c r="S118" i="35"/>
  <c r="S107" i="36"/>
  <c r="F68" i="37"/>
  <c r="S101" i="36"/>
  <c r="R99" i="37"/>
  <c r="R101" i="36"/>
  <c r="S102" i="36"/>
  <c r="F78" i="37"/>
  <c r="F78" i="36"/>
  <c r="F92" i="36" s="1"/>
  <c r="CO51" i="12"/>
  <c r="F76" i="37"/>
  <c r="S124" i="36"/>
  <c r="R102" i="36"/>
  <c r="R38" i="34"/>
  <c r="S124" i="37"/>
  <c r="S89" i="37"/>
  <c r="F66" i="36"/>
  <c r="S118" i="37"/>
  <c r="R125" i="36"/>
  <c r="R124" i="36"/>
  <c r="R116" i="36"/>
  <c r="S122" i="37"/>
  <c r="F56" i="36"/>
  <c r="V45" i="35"/>
  <c r="W45" i="35" s="1"/>
  <c r="R91" i="35"/>
  <c r="S125" i="36"/>
  <c r="S93" i="35"/>
  <c r="F46" i="36"/>
  <c r="AC9" i="32" s="1"/>
  <c r="AD9" i="32" s="1"/>
  <c r="AE9" i="32" s="1"/>
  <c r="S105" i="36"/>
  <c r="F57" i="37"/>
  <c r="F79" i="36"/>
  <c r="F62" i="37"/>
  <c r="S112" i="36"/>
  <c r="F79" i="35"/>
  <c r="J42" i="32" s="1"/>
  <c r="K42" i="32" s="1"/>
  <c r="L42" i="32" s="1"/>
  <c r="F56" i="37"/>
  <c r="AF19" i="32" s="1"/>
  <c r="AG19" i="32" s="1"/>
  <c r="AH19" i="32" s="1"/>
  <c r="S91" i="35"/>
  <c r="R102" i="37"/>
  <c r="R95" i="36"/>
  <c r="V50" i="35"/>
  <c r="W50" i="35" s="1"/>
  <c r="R96" i="35"/>
  <c r="V56" i="35"/>
  <c r="W56" i="35" s="1"/>
  <c r="R102" i="35"/>
  <c r="S95" i="36"/>
  <c r="F59" i="36"/>
  <c r="F121" i="36" s="1"/>
  <c r="R103" i="36"/>
  <c r="R100" i="37"/>
  <c r="S113" i="36"/>
  <c r="F78" i="35"/>
  <c r="J41" i="32" s="1"/>
  <c r="K41" i="32" s="1"/>
  <c r="L41" i="32" s="1"/>
  <c r="F63" i="37"/>
  <c r="F127" i="37" s="1"/>
  <c r="S108" i="37"/>
  <c r="S122" i="36"/>
  <c r="F45" i="35"/>
  <c r="Z8" i="32" s="1"/>
  <c r="AA8" i="32" s="1"/>
  <c r="AB8" i="32" s="1"/>
  <c r="AB66" i="35"/>
  <c r="AC66" i="35" s="1"/>
  <c r="R112" i="35"/>
  <c r="R100" i="36"/>
  <c r="R81" i="35"/>
  <c r="V76" i="35"/>
  <c r="W76" i="35" s="1"/>
  <c r="R122" i="35"/>
  <c r="S94" i="37"/>
  <c r="R111" i="36"/>
  <c r="V42" i="36"/>
  <c r="W42" i="36" s="1"/>
  <c r="R81" i="36"/>
  <c r="S127" i="36" s="1"/>
  <c r="S92" i="36"/>
  <c r="F57" i="36"/>
  <c r="M20" i="32" s="1"/>
  <c r="N20" i="32" s="1"/>
  <c r="O20" i="32" s="1"/>
  <c r="S102" i="37"/>
  <c r="S109" i="37"/>
  <c r="R88" i="36"/>
  <c r="V80" i="35"/>
  <c r="W80" i="35" s="1"/>
  <c r="R126" i="35"/>
  <c r="V75" i="35"/>
  <c r="W75" i="35" s="1"/>
  <c r="R121" i="35"/>
  <c r="F48" i="37"/>
  <c r="R127" i="34"/>
  <c r="F76" i="36"/>
  <c r="AC39" i="32" s="1"/>
  <c r="AD39" i="32" s="1"/>
  <c r="AE39" i="32" s="1"/>
  <c r="S88" i="36"/>
  <c r="F43" i="35"/>
  <c r="G43" i="35" s="1"/>
  <c r="H43" i="35" s="1"/>
  <c r="G94" i="35" s="1"/>
  <c r="I94" i="35" s="1"/>
  <c r="F54" i="35"/>
  <c r="G54" i="35" s="1"/>
  <c r="H54" i="35" s="1"/>
  <c r="G117" i="35" s="1"/>
  <c r="I117" i="35" s="1"/>
  <c r="R103" i="37"/>
  <c r="R120" i="36"/>
  <c r="V58" i="35"/>
  <c r="W58" i="35" s="1"/>
  <c r="R104" i="35"/>
  <c r="V52" i="35"/>
  <c r="W52" i="35" s="1"/>
  <c r="R98" i="35"/>
  <c r="S98" i="37"/>
  <c r="S99" i="36"/>
  <c r="F44" i="35"/>
  <c r="J7" i="32" s="1"/>
  <c r="K7" i="32" s="1"/>
  <c r="L7" i="32" s="1"/>
  <c r="F58" i="36"/>
  <c r="F48" i="35"/>
  <c r="G48" i="35" s="1"/>
  <c r="H48" i="35" s="1"/>
  <c r="G109" i="35" s="1"/>
  <c r="I109" i="35" s="1"/>
  <c r="F69" i="35"/>
  <c r="J32" i="32" s="1"/>
  <c r="K32" i="32" s="1"/>
  <c r="L32" i="32" s="1"/>
  <c r="F43" i="36"/>
  <c r="G43" i="36" s="1"/>
  <c r="H43" i="36" s="1"/>
  <c r="G94" i="36" s="1"/>
  <c r="I94" i="36" s="1"/>
  <c r="F42" i="36"/>
  <c r="M5" i="32" s="1"/>
  <c r="S89" i="35"/>
  <c r="S100" i="35"/>
  <c r="R92" i="36"/>
  <c r="F42" i="37"/>
  <c r="R83" i="37"/>
  <c r="V83" i="37" s="1"/>
  <c r="W83" i="37" s="1"/>
  <c r="R89" i="36"/>
  <c r="R83" i="36"/>
  <c r="V83" i="36" s="1"/>
  <c r="W83" i="36" s="1"/>
  <c r="R83" i="35"/>
  <c r="V83" i="35" s="1"/>
  <c r="W83" i="35" s="1"/>
  <c r="R93" i="35"/>
  <c r="S107" i="37"/>
  <c r="F53" i="36"/>
  <c r="G53" i="36" s="1"/>
  <c r="H53" i="36" s="1"/>
  <c r="G90" i="36" s="1"/>
  <c r="I90" i="36" s="1"/>
  <c r="S90" i="35"/>
  <c r="S94" i="35"/>
  <c r="S115" i="35"/>
  <c r="S111" i="36"/>
  <c r="S97" i="35"/>
  <c r="F50" i="37"/>
  <c r="S120" i="35"/>
  <c r="R96" i="37"/>
  <c r="R112" i="36"/>
  <c r="R99" i="36"/>
  <c r="R98" i="37"/>
  <c r="V55" i="35"/>
  <c r="W55" i="35" s="1"/>
  <c r="R101" i="35"/>
  <c r="R107" i="37"/>
  <c r="V79" i="35"/>
  <c r="W79" i="35" s="1"/>
  <c r="R125" i="35"/>
  <c r="S121" i="36"/>
  <c r="F60" i="36"/>
  <c r="S106" i="35"/>
  <c r="S104" i="36"/>
  <c r="F51" i="35"/>
  <c r="F68" i="35"/>
  <c r="G68" i="35" s="1"/>
  <c r="H68" i="35" s="1"/>
  <c r="G120" i="35" s="1"/>
  <c r="I120" i="35" s="1"/>
  <c r="S96" i="37"/>
  <c r="S115" i="36"/>
  <c r="F74" i="35"/>
  <c r="Z37" i="32" s="1"/>
  <c r="AA37" i="32" s="1"/>
  <c r="AB37" i="32" s="1"/>
  <c r="F55" i="36"/>
  <c r="AC18" i="32" s="1"/>
  <c r="V46" i="35"/>
  <c r="W46" i="35" s="1"/>
  <c r="R92" i="35"/>
  <c r="V78" i="35"/>
  <c r="W78" i="35" s="1"/>
  <c r="R124" i="35"/>
  <c r="CO51" i="15"/>
  <c r="S122" i="35"/>
  <c r="R119" i="37"/>
  <c r="R106" i="36"/>
  <c r="F76" i="35"/>
  <c r="J39" i="32" s="1"/>
  <c r="K39" i="32" s="1"/>
  <c r="L39" i="32" s="1"/>
  <c r="R81" i="37"/>
  <c r="R84" i="37" s="1"/>
  <c r="V84" i="37" s="1"/>
  <c r="W84" i="37" s="1"/>
  <c r="V42" i="37"/>
  <c r="W42" i="37" s="1"/>
  <c r="S88" i="37"/>
  <c r="F60" i="35"/>
  <c r="F122" i="35" s="1"/>
  <c r="R104" i="36"/>
  <c r="V53" i="35"/>
  <c r="W53" i="35" s="1"/>
  <c r="R99" i="35"/>
  <c r="CJ25" i="2"/>
  <c r="CJ20" i="2"/>
  <c r="CJ32" i="3"/>
  <c r="CJ15" i="4"/>
  <c r="CJ43" i="4"/>
  <c r="CJ18" i="3"/>
  <c r="CJ45" i="4"/>
  <c r="CJ39" i="2"/>
  <c r="CJ14" i="4"/>
  <c r="CJ35" i="3"/>
  <c r="CJ16" i="4"/>
  <c r="CJ12" i="2"/>
  <c r="CJ13" i="3"/>
  <c r="CJ38" i="2"/>
  <c r="CJ23" i="3"/>
  <c r="CJ28" i="2"/>
  <c r="CJ30" i="4"/>
  <c r="CJ45" i="2"/>
  <c r="CJ26" i="4"/>
  <c r="CJ41" i="3"/>
  <c r="CJ31" i="2"/>
  <c r="CJ13" i="4"/>
  <c r="CJ40" i="4"/>
  <c r="Q84" i="36"/>
  <c r="T84" i="36" s="1"/>
  <c r="U84" i="36" s="1"/>
  <c r="R127" i="37"/>
  <c r="Q84" i="37"/>
  <c r="T84" i="37" s="1"/>
  <c r="U84" i="37" s="1"/>
  <c r="CJ28" i="3"/>
  <c r="CJ21" i="3"/>
  <c r="CJ24" i="4"/>
  <c r="CJ14" i="3"/>
  <c r="CJ37" i="2"/>
  <c r="CJ14" i="2"/>
  <c r="CJ26" i="3"/>
  <c r="CJ27" i="2"/>
  <c r="CJ46" i="4"/>
  <c r="CJ25" i="4"/>
  <c r="CJ22" i="3"/>
  <c r="CJ29" i="2"/>
  <c r="CJ36" i="2"/>
  <c r="CJ29" i="3"/>
  <c r="CJ27" i="4"/>
  <c r="CJ42" i="4"/>
  <c r="CJ19" i="3"/>
  <c r="S119" i="34"/>
  <c r="AF73" i="34"/>
  <c r="AG73" i="34" s="1"/>
  <c r="F73" i="34"/>
  <c r="F59" i="34"/>
  <c r="S105" i="34"/>
  <c r="AF59" i="34"/>
  <c r="AG59" i="34" s="1"/>
  <c r="S33" i="34"/>
  <c r="F33" i="34" s="1"/>
  <c r="G33" i="34" s="1"/>
  <c r="H33" i="34" s="1"/>
  <c r="AF65" i="34"/>
  <c r="AG65" i="34" s="1"/>
  <c r="F65" i="34"/>
  <c r="S111" i="34"/>
  <c r="S84" i="35"/>
  <c r="X84" i="35" s="1"/>
  <c r="Y84" i="35" s="1"/>
  <c r="G78" i="35"/>
  <c r="H78" i="35" s="1"/>
  <c r="G92" i="35" s="1"/>
  <c r="I92" i="35" s="1"/>
  <c r="F92" i="35"/>
  <c r="Z41" i="32"/>
  <c r="AA41" i="32" s="1"/>
  <c r="AB41" i="32" s="1"/>
  <c r="F123" i="35"/>
  <c r="G65" i="35"/>
  <c r="H65" i="35" s="1"/>
  <c r="G123" i="35" s="1"/>
  <c r="I123" i="35" s="1"/>
  <c r="Z28" i="32"/>
  <c r="AA28" i="32" s="1"/>
  <c r="AB28" i="32" s="1"/>
  <c r="J28" i="32"/>
  <c r="K28" i="32" s="1"/>
  <c r="L28" i="32" s="1"/>
  <c r="F46" i="37"/>
  <c r="S92" i="37"/>
  <c r="X46" i="37"/>
  <c r="Y46" i="37" s="1"/>
  <c r="AF26" i="32"/>
  <c r="AG26" i="32" s="1"/>
  <c r="AH26" i="32" s="1"/>
  <c r="P38" i="32"/>
  <c r="AF38" i="32"/>
  <c r="F111" i="37"/>
  <c r="G75" i="37"/>
  <c r="H75" i="37" s="1"/>
  <c r="G111" i="37" s="1"/>
  <c r="I111" i="37" s="1"/>
  <c r="S84" i="36"/>
  <c r="X84" i="36" s="1"/>
  <c r="Y84" i="36" s="1"/>
  <c r="S104" i="34"/>
  <c r="F58" i="34"/>
  <c r="AF58" i="34"/>
  <c r="AG58" i="34" s="1"/>
  <c r="X58" i="34"/>
  <c r="Y58" i="34" s="1"/>
  <c r="S36" i="34"/>
  <c r="F36" i="34" s="1"/>
  <c r="G36" i="34" s="1"/>
  <c r="H36" i="34" s="1"/>
  <c r="S120" i="34"/>
  <c r="F74" i="34"/>
  <c r="AF74" i="34"/>
  <c r="AG74" i="34" s="1"/>
  <c r="G42" i="35"/>
  <c r="Z5" i="32"/>
  <c r="J5" i="32"/>
  <c r="F104" i="35"/>
  <c r="Z10" i="32"/>
  <c r="J10" i="32"/>
  <c r="F118" i="35"/>
  <c r="G47" i="35"/>
  <c r="H47" i="35" s="1"/>
  <c r="G118" i="35" s="1"/>
  <c r="I118" i="35" s="1"/>
  <c r="F120" i="36"/>
  <c r="M31" i="32"/>
  <c r="AC31" i="32"/>
  <c r="G68" i="36"/>
  <c r="H68" i="36" s="1"/>
  <c r="G120" i="36" s="1"/>
  <c r="I120" i="36" s="1"/>
  <c r="Z30" i="32"/>
  <c r="AA30" i="32" s="1"/>
  <c r="AB30" i="32" s="1"/>
  <c r="G67" i="35"/>
  <c r="H67" i="35" s="1"/>
  <c r="G125" i="35" s="1"/>
  <c r="I125" i="35" s="1"/>
  <c r="F125" i="35"/>
  <c r="J30" i="32"/>
  <c r="K30" i="32" s="1"/>
  <c r="L30" i="32" s="1"/>
  <c r="F108" i="35"/>
  <c r="G55" i="35"/>
  <c r="H55" i="35" s="1"/>
  <c r="G108" i="35" s="1"/>
  <c r="I108" i="35" s="1"/>
  <c r="Z18" i="32"/>
  <c r="J18" i="32"/>
  <c r="G53" i="35"/>
  <c r="H53" i="35" s="1"/>
  <c r="G90" i="35" s="1"/>
  <c r="I90" i="35" s="1"/>
  <c r="Z16" i="32"/>
  <c r="AA16" i="32" s="1"/>
  <c r="AB16" i="32" s="1"/>
  <c r="J16" i="32"/>
  <c r="K16" i="32" s="1"/>
  <c r="L16" i="32" s="1"/>
  <c r="F90" i="35"/>
  <c r="J35" i="32"/>
  <c r="G70" i="35"/>
  <c r="H70" i="35" s="1"/>
  <c r="G119" i="35" s="1"/>
  <c r="I119" i="35" s="1"/>
  <c r="F119" i="35"/>
  <c r="Z33" i="32"/>
  <c r="AA33" i="32" s="1"/>
  <c r="AB33" i="32" s="1"/>
  <c r="J33" i="32"/>
  <c r="K33" i="32" s="1"/>
  <c r="L33" i="32" s="1"/>
  <c r="G62" i="35"/>
  <c r="H62" i="35" s="1"/>
  <c r="G114" i="35" s="1"/>
  <c r="I114" i="35" s="1"/>
  <c r="F114" i="35"/>
  <c r="Z25" i="32"/>
  <c r="AA25" i="32" s="1"/>
  <c r="AB25" i="32" s="1"/>
  <c r="J25" i="32"/>
  <c r="K25" i="32" s="1"/>
  <c r="L25" i="32" s="1"/>
  <c r="G77" i="37"/>
  <c r="H77" i="37" s="1"/>
  <c r="G113" i="37" s="1"/>
  <c r="I113" i="37" s="1"/>
  <c r="F113" i="37"/>
  <c r="AF40" i="32"/>
  <c r="AG40" i="32" s="1"/>
  <c r="AH40" i="32" s="1"/>
  <c r="P40" i="32"/>
  <c r="Q40" i="32" s="1"/>
  <c r="R40" i="32" s="1"/>
  <c r="AF37" i="32"/>
  <c r="AG37" i="32" s="1"/>
  <c r="AH37" i="32" s="1"/>
  <c r="P37" i="32"/>
  <c r="Q37" i="32" s="1"/>
  <c r="R37" i="32" s="1"/>
  <c r="G74" i="37"/>
  <c r="H74" i="37" s="1"/>
  <c r="G102" i="37" s="1"/>
  <c r="I102" i="37" s="1"/>
  <c r="F102" i="37"/>
  <c r="F62" i="34"/>
  <c r="AF62" i="34"/>
  <c r="AG62" i="34" s="1"/>
  <c r="S108" i="34"/>
  <c r="S31" i="34"/>
  <c r="F31" i="34" s="1"/>
  <c r="G31" i="34" s="1"/>
  <c r="H31" i="34" s="1"/>
  <c r="S96" i="34"/>
  <c r="F50" i="34"/>
  <c r="X50" i="34"/>
  <c r="Y50" i="34" s="1"/>
  <c r="AF50" i="34"/>
  <c r="AG50" i="34" s="1"/>
  <c r="AF53" i="34"/>
  <c r="AG53" i="34" s="1"/>
  <c r="X53" i="34"/>
  <c r="Y53" i="34" s="1"/>
  <c r="F53" i="34"/>
  <c r="S99" i="34"/>
  <c r="F93" i="35"/>
  <c r="Z13" i="32"/>
  <c r="AA13" i="32" s="1"/>
  <c r="AB13" i="32" s="1"/>
  <c r="J13" i="32"/>
  <c r="K13" i="32" s="1"/>
  <c r="L13" i="32" s="1"/>
  <c r="G50" i="35"/>
  <c r="H50" i="35" s="1"/>
  <c r="G93" i="35" s="1"/>
  <c r="I93" i="35" s="1"/>
  <c r="F115" i="35"/>
  <c r="G57" i="35"/>
  <c r="H57" i="35" s="1"/>
  <c r="G115" i="35" s="1"/>
  <c r="I115" i="35" s="1"/>
  <c r="Z20" i="32"/>
  <c r="AA20" i="32" s="1"/>
  <c r="AB20" i="32" s="1"/>
  <c r="J20" i="32"/>
  <c r="K20" i="32" s="1"/>
  <c r="L20" i="32" s="1"/>
  <c r="G69" i="37"/>
  <c r="H69" i="37" s="1"/>
  <c r="G103" i="37" s="1"/>
  <c r="I103" i="37" s="1"/>
  <c r="P29" i="32"/>
  <c r="F101" i="35"/>
  <c r="G49" i="35"/>
  <c r="H49" i="35" s="1"/>
  <c r="G101" i="35" s="1"/>
  <c r="I101" i="35" s="1"/>
  <c r="J12" i="32"/>
  <c r="M39" i="32"/>
  <c r="N39" i="32" s="1"/>
  <c r="O39" i="32" s="1"/>
  <c r="F94" i="35"/>
  <c r="F93" i="36"/>
  <c r="AC13" i="32"/>
  <c r="AD13" i="32" s="1"/>
  <c r="AE13" i="32" s="1"/>
  <c r="M13" i="32"/>
  <c r="N13" i="32" s="1"/>
  <c r="O13" i="32" s="1"/>
  <c r="G50" i="36"/>
  <c r="H50" i="36" s="1"/>
  <c r="G93" i="36" s="1"/>
  <c r="I93" i="36" s="1"/>
  <c r="S123" i="34"/>
  <c r="AF77" i="34"/>
  <c r="AG77" i="34" s="1"/>
  <c r="F77" i="34"/>
  <c r="AF69" i="34"/>
  <c r="AG69" i="34" s="1"/>
  <c r="S115" i="34"/>
  <c r="F69" i="34"/>
  <c r="CV50" i="23"/>
  <c r="DB50" i="26"/>
  <c r="AF70" i="34"/>
  <c r="AG70" i="34" s="1"/>
  <c r="F70" i="34"/>
  <c r="S116" i="34"/>
  <c r="AF75" i="34"/>
  <c r="AG75" i="34" s="1"/>
  <c r="F75" i="34"/>
  <c r="S121" i="34"/>
  <c r="X75" i="34"/>
  <c r="Y75" i="34" s="1"/>
  <c r="S30" i="34"/>
  <c r="F30" i="34" s="1"/>
  <c r="G30" i="34" s="1"/>
  <c r="H30" i="34" s="1"/>
  <c r="AF48" i="34"/>
  <c r="AG48" i="34" s="1"/>
  <c r="F48" i="34"/>
  <c r="S94" i="34"/>
  <c r="G61" i="37"/>
  <c r="H61" i="37" s="1"/>
  <c r="G124" i="37" s="1"/>
  <c r="I124" i="37" s="1"/>
  <c r="F124" i="37"/>
  <c r="P24" i="32"/>
  <c r="Q24" i="32" s="1"/>
  <c r="R24" i="32" s="1"/>
  <c r="AF24" i="32"/>
  <c r="AG24" i="32" s="1"/>
  <c r="AH24" i="32" s="1"/>
  <c r="G44" i="35"/>
  <c r="H44" i="35" s="1"/>
  <c r="G107" i="35" s="1"/>
  <c r="I107" i="35" s="1"/>
  <c r="J19" i="32"/>
  <c r="K19" i="32" s="1"/>
  <c r="L19" i="32" s="1"/>
  <c r="F97" i="35"/>
  <c r="G56" i="35"/>
  <c r="H56" i="35" s="1"/>
  <c r="G97" i="35" s="1"/>
  <c r="I97" i="35" s="1"/>
  <c r="Z19" i="32"/>
  <c r="AA19" i="32" s="1"/>
  <c r="AB19" i="32" s="1"/>
  <c r="G58" i="36"/>
  <c r="H58" i="36" s="1"/>
  <c r="G91" i="36" s="1"/>
  <c r="I91" i="36" s="1"/>
  <c r="F91" i="36"/>
  <c r="AC21" i="32"/>
  <c r="AD21" i="32" s="1"/>
  <c r="AE21" i="32" s="1"/>
  <c r="M21" i="32"/>
  <c r="N21" i="32" s="1"/>
  <c r="O21" i="32" s="1"/>
  <c r="AF22" i="32"/>
  <c r="P22" i="32"/>
  <c r="G59" i="37"/>
  <c r="H59" i="37" s="1"/>
  <c r="G121" i="37" s="1"/>
  <c r="I121" i="37" s="1"/>
  <c r="F121" i="37"/>
  <c r="J11" i="32"/>
  <c r="Z11" i="32"/>
  <c r="Z32" i="32"/>
  <c r="AA32" i="32" s="1"/>
  <c r="AB32" i="32" s="1"/>
  <c r="G71" i="37"/>
  <c r="H71" i="37" s="1"/>
  <c r="G98" i="37" s="1"/>
  <c r="I98" i="37" s="1"/>
  <c r="F98" i="37"/>
  <c r="AF34" i="32"/>
  <c r="AG34" i="32" s="1"/>
  <c r="AH34" i="32" s="1"/>
  <c r="P34" i="32"/>
  <c r="Q34" i="32" s="1"/>
  <c r="R34" i="32" s="1"/>
  <c r="F94" i="36"/>
  <c r="AC6" i="32"/>
  <c r="AD6" i="32" s="1"/>
  <c r="AE6" i="32" s="1"/>
  <c r="M6" i="32"/>
  <c r="N6" i="32" s="1"/>
  <c r="O6" i="32" s="1"/>
  <c r="AC5" i="32"/>
  <c r="G42" i="36"/>
  <c r="G67" i="37"/>
  <c r="H67" i="37" s="1"/>
  <c r="G125" i="37" s="1"/>
  <c r="I125" i="37" s="1"/>
  <c r="AF30" i="32"/>
  <c r="AG30" i="32" s="1"/>
  <c r="AH30" i="32" s="1"/>
  <c r="P30" i="32"/>
  <c r="Q30" i="32" s="1"/>
  <c r="R30" i="32" s="1"/>
  <c r="F125" i="37"/>
  <c r="S34" i="34"/>
  <c r="F34" i="34" s="1"/>
  <c r="G34" i="34" s="1"/>
  <c r="H34" i="34" s="1"/>
  <c r="AD66" i="34"/>
  <c r="AE66" i="34" s="1"/>
  <c r="F66" i="34"/>
  <c r="S112" i="34"/>
  <c r="AF66" i="34"/>
  <c r="AG66" i="34" s="1"/>
  <c r="S118" i="34"/>
  <c r="AF72" i="34"/>
  <c r="AG72" i="34" s="1"/>
  <c r="F72" i="34"/>
  <c r="F117" i="36"/>
  <c r="M17" i="32"/>
  <c r="N17" i="32" s="1"/>
  <c r="O17" i="32" s="1"/>
  <c r="AC17" i="32"/>
  <c r="AD17" i="32" s="1"/>
  <c r="AE17" i="32" s="1"/>
  <c r="G54" i="36"/>
  <c r="H54" i="36" s="1"/>
  <c r="G117" i="36" s="1"/>
  <c r="I117" i="36" s="1"/>
  <c r="G61" i="35"/>
  <c r="H61" i="35" s="1"/>
  <c r="G124" i="35" s="1"/>
  <c r="I124" i="35" s="1"/>
  <c r="F124" i="35"/>
  <c r="J24" i="32"/>
  <c r="K24" i="32" s="1"/>
  <c r="L24" i="32" s="1"/>
  <c r="Z24" i="32"/>
  <c r="AA24" i="32" s="1"/>
  <c r="AB24" i="32" s="1"/>
  <c r="M16" i="32"/>
  <c r="N16" i="32" s="1"/>
  <c r="O16" i="32" s="1"/>
  <c r="F90" i="36"/>
  <c r="AC16" i="32"/>
  <c r="AD16" i="32" s="1"/>
  <c r="AE16" i="32" s="1"/>
  <c r="P39" i="32"/>
  <c r="Q39" i="32" s="1"/>
  <c r="R39" i="32" s="1"/>
  <c r="F96" i="37"/>
  <c r="G76" i="37"/>
  <c r="H76" i="37" s="1"/>
  <c r="G96" i="37" s="1"/>
  <c r="I96" i="37" s="1"/>
  <c r="AF39" i="32"/>
  <c r="AG39" i="32" s="1"/>
  <c r="AH39" i="32" s="1"/>
  <c r="F91" i="37"/>
  <c r="AF21" i="32"/>
  <c r="AG21" i="32" s="1"/>
  <c r="AH21" i="32" s="1"/>
  <c r="P21" i="32"/>
  <c r="Q21" i="32" s="1"/>
  <c r="R21" i="32" s="1"/>
  <c r="G58" i="37"/>
  <c r="H58" i="37" s="1"/>
  <c r="G91" i="37" s="1"/>
  <c r="I91" i="37" s="1"/>
  <c r="Z36" i="32"/>
  <c r="AA36" i="32" s="1"/>
  <c r="AB36" i="32" s="1"/>
  <c r="J36" i="32"/>
  <c r="K36" i="32" s="1"/>
  <c r="L36" i="32" s="1"/>
  <c r="F116" i="35"/>
  <c r="G73" i="35"/>
  <c r="H73" i="35" s="1"/>
  <c r="G116" i="35" s="1"/>
  <c r="I116" i="35" s="1"/>
  <c r="F126" i="36"/>
  <c r="G51" i="36"/>
  <c r="H51" i="36" s="1"/>
  <c r="G126" i="36" s="1"/>
  <c r="I126" i="36" s="1"/>
  <c r="AC14" i="32"/>
  <c r="AD14" i="32" s="1"/>
  <c r="AE14" i="32" s="1"/>
  <c r="M14" i="32"/>
  <c r="N14" i="32" s="1"/>
  <c r="O14" i="32" s="1"/>
  <c r="G59" i="35"/>
  <c r="H59" i="35" s="1"/>
  <c r="G121" i="35" s="1"/>
  <c r="I121" i="35" s="1"/>
  <c r="F121" i="35"/>
  <c r="Z22" i="32"/>
  <c r="J22" i="32"/>
  <c r="P13" i="32"/>
  <c r="Q13" i="32" s="1"/>
  <c r="R13" i="32" s="1"/>
  <c r="F93" i="37"/>
  <c r="G50" i="37"/>
  <c r="H50" i="37" s="1"/>
  <c r="G93" i="37" s="1"/>
  <c r="I93" i="37" s="1"/>
  <c r="AF13" i="32"/>
  <c r="AG13" i="32" s="1"/>
  <c r="AH13" i="32" s="1"/>
  <c r="G66" i="35"/>
  <c r="H66" i="35" s="1"/>
  <c r="G112" i="35" s="1"/>
  <c r="I112" i="35" s="1"/>
  <c r="J29" i="32"/>
  <c r="Z29" i="32"/>
  <c r="F112" i="35"/>
  <c r="S29" i="34"/>
  <c r="F29" i="34" s="1"/>
  <c r="G29" i="34" s="1"/>
  <c r="H29" i="34" s="1"/>
  <c r="F47" i="34"/>
  <c r="S83" i="34"/>
  <c r="X83" i="34" s="1"/>
  <c r="Y83" i="34" s="1"/>
  <c r="AF47" i="34"/>
  <c r="AG47" i="34" s="1"/>
  <c r="S93" i="34"/>
  <c r="AF79" i="34"/>
  <c r="AG79" i="34" s="1"/>
  <c r="F79" i="34"/>
  <c r="X79" i="34"/>
  <c r="Y79" i="34" s="1"/>
  <c r="S125" i="34"/>
  <c r="S92" i="34"/>
  <c r="F46" i="34"/>
  <c r="AF46" i="34"/>
  <c r="AG46" i="34" s="1"/>
  <c r="X46" i="34"/>
  <c r="Y46" i="34" s="1"/>
  <c r="S113" i="34"/>
  <c r="F67" i="34"/>
  <c r="AF67" i="34"/>
  <c r="AG67" i="34" s="1"/>
  <c r="F122" i="36"/>
  <c r="AC23" i="32"/>
  <c r="AD23" i="32" s="1"/>
  <c r="AE23" i="32" s="1"/>
  <c r="M23" i="32"/>
  <c r="N23" i="32" s="1"/>
  <c r="O23" i="32" s="1"/>
  <c r="G60" i="36"/>
  <c r="H60" i="36" s="1"/>
  <c r="G122" i="36" s="1"/>
  <c r="I122" i="36" s="1"/>
  <c r="G74" i="36"/>
  <c r="H74" i="36" s="1"/>
  <c r="G102" i="36" s="1"/>
  <c r="I102" i="36" s="1"/>
  <c r="M37" i="32"/>
  <c r="N37" i="32" s="1"/>
  <c r="O37" i="32" s="1"/>
  <c r="F102" i="36"/>
  <c r="AC37" i="32"/>
  <c r="AD37" i="32" s="1"/>
  <c r="AE37" i="32" s="1"/>
  <c r="F92" i="37"/>
  <c r="G78" i="37"/>
  <c r="H78" i="37" s="1"/>
  <c r="G92" i="37" s="1"/>
  <c r="I92" i="37" s="1"/>
  <c r="AF41" i="32"/>
  <c r="AG41" i="32" s="1"/>
  <c r="AH41" i="32" s="1"/>
  <c r="P41" i="32"/>
  <c r="Q41" i="32" s="1"/>
  <c r="R41" i="32" s="1"/>
  <c r="F91" i="35"/>
  <c r="G58" i="35"/>
  <c r="H58" i="35" s="1"/>
  <c r="G91" i="35" s="1"/>
  <c r="I91" i="35" s="1"/>
  <c r="Z21" i="32"/>
  <c r="AA21" i="32" s="1"/>
  <c r="AB21" i="32" s="1"/>
  <c r="J21" i="32"/>
  <c r="K21" i="32" s="1"/>
  <c r="L21" i="32" s="1"/>
  <c r="F123" i="36"/>
  <c r="M28" i="32"/>
  <c r="N28" i="32" s="1"/>
  <c r="O28" i="32" s="1"/>
  <c r="AC28" i="32"/>
  <c r="AD28" i="32" s="1"/>
  <c r="AE28" i="32" s="1"/>
  <c r="G65" i="36"/>
  <c r="H65" i="36" s="1"/>
  <c r="G123" i="36" s="1"/>
  <c r="I123" i="36" s="1"/>
  <c r="F126" i="35"/>
  <c r="J14" i="32"/>
  <c r="K14" i="32" s="1"/>
  <c r="L14" i="32" s="1"/>
  <c r="Z14" i="32"/>
  <c r="AA14" i="32" s="1"/>
  <c r="AB14" i="32" s="1"/>
  <c r="G51" i="35"/>
  <c r="H51" i="35" s="1"/>
  <c r="G126" i="35" s="1"/>
  <c r="I126" i="35" s="1"/>
  <c r="G56" i="36"/>
  <c r="H56" i="36" s="1"/>
  <c r="G97" i="36" s="1"/>
  <c r="I97" i="36" s="1"/>
  <c r="AC19" i="32"/>
  <c r="AD19" i="32" s="1"/>
  <c r="AE19" i="32" s="1"/>
  <c r="M19" i="32"/>
  <c r="N19" i="32" s="1"/>
  <c r="O19" i="32" s="1"/>
  <c r="F97" i="36"/>
  <c r="F120" i="35"/>
  <c r="J31" i="32"/>
  <c r="G74" i="35"/>
  <c r="H74" i="35" s="1"/>
  <c r="G102" i="35" s="1"/>
  <c r="I102" i="35" s="1"/>
  <c r="F102" i="35"/>
  <c r="S32" i="34"/>
  <c r="F32" i="34" s="1"/>
  <c r="G32" i="34" s="1"/>
  <c r="H32" i="34" s="1"/>
  <c r="X55" i="34"/>
  <c r="Y55" i="34" s="1"/>
  <c r="F55" i="34"/>
  <c r="AF55" i="34"/>
  <c r="AG55" i="34" s="1"/>
  <c r="S101" i="34"/>
  <c r="S35" i="34"/>
  <c r="F35" i="34" s="1"/>
  <c r="G35" i="34" s="1"/>
  <c r="H35" i="34" s="1"/>
  <c r="S114" i="34"/>
  <c r="AF68" i="34"/>
  <c r="AG68" i="34" s="1"/>
  <c r="F68" i="34"/>
  <c r="S126" i="34"/>
  <c r="AF80" i="34"/>
  <c r="AG80" i="34" s="1"/>
  <c r="X80" i="34"/>
  <c r="Y80" i="34" s="1"/>
  <c r="F80" i="34"/>
  <c r="P14" i="32"/>
  <c r="Q14" i="32" s="1"/>
  <c r="R14" i="32" s="1"/>
  <c r="F126" i="37"/>
  <c r="G51" i="37"/>
  <c r="H51" i="37" s="1"/>
  <c r="G126" i="37" s="1"/>
  <c r="I126" i="37" s="1"/>
  <c r="AF14" i="32"/>
  <c r="AG14" i="32" s="1"/>
  <c r="AH14" i="32" s="1"/>
  <c r="F95" i="35"/>
  <c r="Z9" i="32"/>
  <c r="AA9" i="32" s="1"/>
  <c r="AB9" i="32" s="1"/>
  <c r="J9" i="32"/>
  <c r="K9" i="32" s="1"/>
  <c r="L9" i="32" s="1"/>
  <c r="G46" i="35"/>
  <c r="H46" i="35" s="1"/>
  <c r="G95" i="35" s="1"/>
  <c r="I95" i="35" s="1"/>
  <c r="G52" i="36"/>
  <c r="H52" i="36" s="1"/>
  <c r="G100" i="36" s="1"/>
  <c r="I100" i="36" s="1"/>
  <c r="F100" i="36"/>
  <c r="M15" i="32"/>
  <c r="N15" i="32" s="1"/>
  <c r="O15" i="32" s="1"/>
  <c r="AC15" i="32"/>
  <c r="AD15" i="32" s="1"/>
  <c r="AE15" i="32" s="1"/>
  <c r="G45" i="37"/>
  <c r="H45" i="37" s="1"/>
  <c r="G105" i="37" s="1"/>
  <c r="I105" i="37" s="1"/>
  <c r="F105" i="37"/>
  <c r="AF8" i="32"/>
  <c r="AG8" i="32" s="1"/>
  <c r="AH8" i="32" s="1"/>
  <c r="P8" i="32"/>
  <c r="Q8" i="32" s="1"/>
  <c r="R8" i="32" s="1"/>
  <c r="F103" i="36"/>
  <c r="AC32" i="32"/>
  <c r="AD32" i="32" s="1"/>
  <c r="AE32" i="32" s="1"/>
  <c r="M32" i="32"/>
  <c r="N32" i="32" s="1"/>
  <c r="O32" i="32" s="1"/>
  <c r="G69" i="36"/>
  <c r="H69" i="36" s="1"/>
  <c r="G103" i="36" s="1"/>
  <c r="I103" i="36" s="1"/>
  <c r="F120" i="37"/>
  <c r="AF31" i="32"/>
  <c r="G68" i="37"/>
  <c r="H68" i="37" s="1"/>
  <c r="G120" i="37" s="1"/>
  <c r="I120" i="37" s="1"/>
  <c r="P31" i="32"/>
  <c r="AC38" i="32"/>
  <c r="F111" i="36"/>
  <c r="G75" i="36"/>
  <c r="H75" i="36" s="1"/>
  <c r="G111" i="36" s="1"/>
  <c r="I111" i="36" s="1"/>
  <c r="M38" i="32"/>
  <c r="G71" i="36"/>
  <c r="H71" i="36" s="1"/>
  <c r="G98" i="36" s="1"/>
  <c r="I98" i="36" s="1"/>
  <c r="AC34" i="32"/>
  <c r="AD34" i="32" s="1"/>
  <c r="AE34" i="32" s="1"/>
  <c r="F98" i="36"/>
  <c r="M34" i="32"/>
  <c r="N34" i="32" s="1"/>
  <c r="O34" i="32" s="1"/>
  <c r="F107" i="37"/>
  <c r="AF7" i="32"/>
  <c r="AG7" i="32" s="1"/>
  <c r="AH7" i="32" s="1"/>
  <c r="P7" i="32"/>
  <c r="Q7" i="32" s="1"/>
  <c r="R7" i="32" s="1"/>
  <c r="G44" i="37"/>
  <c r="H44" i="37" s="1"/>
  <c r="G107" i="37" s="1"/>
  <c r="I107" i="37" s="1"/>
  <c r="AF36" i="32"/>
  <c r="AG36" i="32" s="1"/>
  <c r="AH36" i="32" s="1"/>
  <c r="P36" i="32"/>
  <c r="Q36" i="32" s="1"/>
  <c r="R36" i="32" s="1"/>
  <c r="F116" i="37"/>
  <c r="G73" i="37"/>
  <c r="H73" i="37" s="1"/>
  <c r="G116" i="37" s="1"/>
  <c r="I116" i="37" s="1"/>
  <c r="Z43" i="32"/>
  <c r="AA43" i="32" s="1"/>
  <c r="AB43" i="32" s="1"/>
  <c r="F110" i="35"/>
  <c r="G80" i="35"/>
  <c r="H80" i="35" s="1"/>
  <c r="G110" i="35" s="1"/>
  <c r="I110" i="35" s="1"/>
  <c r="J43" i="32"/>
  <c r="K43" i="32" s="1"/>
  <c r="L43" i="32" s="1"/>
  <c r="F110" i="37"/>
  <c r="G80" i="37"/>
  <c r="H80" i="37" s="1"/>
  <c r="G110" i="37" s="1"/>
  <c r="I110" i="37" s="1"/>
  <c r="AF43" i="32"/>
  <c r="AG43" i="32" s="1"/>
  <c r="AH43" i="32" s="1"/>
  <c r="P43" i="32"/>
  <c r="Q43" i="32" s="1"/>
  <c r="R43" i="32" s="1"/>
  <c r="F99" i="37"/>
  <c r="G79" i="37"/>
  <c r="H79" i="37" s="1"/>
  <c r="G99" i="37" s="1"/>
  <c r="I99" i="37" s="1"/>
  <c r="P42" i="32"/>
  <c r="Q42" i="32" s="1"/>
  <c r="R42" i="32" s="1"/>
  <c r="AF42" i="32"/>
  <c r="AG42" i="32" s="1"/>
  <c r="AH42" i="32" s="1"/>
  <c r="S37" i="34"/>
  <c r="F37" i="34" s="1"/>
  <c r="G37" i="34" s="1"/>
  <c r="H37" i="34" s="1"/>
  <c r="X76" i="34"/>
  <c r="Y76" i="34" s="1"/>
  <c r="S122" i="34"/>
  <c r="F76" i="34"/>
  <c r="AF76" i="34"/>
  <c r="AG76" i="34" s="1"/>
  <c r="F110" i="36"/>
  <c r="M43" i="32"/>
  <c r="N43" i="32" s="1"/>
  <c r="O43" i="32" s="1"/>
  <c r="AC43" i="32"/>
  <c r="AD43" i="32" s="1"/>
  <c r="AE43" i="32" s="1"/>
  <c r="G80" i="36"/>
  <c r="H80" i="36" s="1"/>
  <c r="G110" i="36" s="1"/>
  <c r="I110" i="36" s="1"/>
  <c r="F117" i="37"/>
  <c r="P17" i="32"/>
  <c r="Q17" i="32" s="1"/>
  <c r="R17" i="32" s="1"/>
  <c r="AF17" i="32"/>
  <c r="AG17" i="32" s="1"/>
  <c r="AH17" i="32" s="1"/>
  <c r="G54" i="37"/>
  <c r="H54" i="37" s="1"/>
  <c r="G117" i="37" s="1"/>
  <c r="I117" i="37" s="1"/>
  <c r="M40" i="32"/>
  <c r="N40" i="32" s="1"/>
  <c r="O40" i="32" s="1"/>
  <c r="AC40" i="32"/>
  <c r="AD40" i="32" s="1"/>
  <c r="AE40" i="32" s="1"/>
  <c r="F113" i="36"/>
  <c r="G77" i="36"/>
  <c r="H77" i="36" s="1"/>
  <c r="G113" i="36" s="1"/>
  <c r="I113" i="36" s="1"/>
  <c r="AC12" i="32"/>
  <c r="M12" i="32"/>
  <c r="F101" i="36"/>
  <c r="G49" i="36"/>
  <c r="H49" i="36" s="1"/>
  <c r="G101" i="36" s="1"/>
  <c r="I101" i="36" s="1"/>
  <c r="M10" i="32"/>
  <c r="AC10" i="32"/>
  <c r="F118" i="36"/>
  <c r="G47" i="36"/>
  <c r="H47" i="36" s="1"/>
  <c r="G118" i="36" s="1"/>
  <c r="I118" i="36" s="1"/>
  <c r="G63" i="36"/>
  <c r="H63" i="36" s="1"/>
  <c r="G127" i="36" s="1"/>
  <c r="I127" i="36" s="1"/>
  <c r="M26" i="32"/>
  <c r="N26" i="32" s="1"/>
  <c r="O26" i="32" s="1"/>
  <c r="AC26" i="32"/>
  <c r="AD26" i="32" s="1"/>
  <c r="AE26" i="32" s="1"/>
  <c r="F127" i="36"/>
  <c r="F94" i="37"/>
  <c r="G43" i="37"/>
  <c r="H43" i="37" s="1"/>
  <c r="G94" i="37" s="1"/>
  <c r="I94" i="37" s="1"/>
  <c r="AF6" i="32"/>
  <c r="AG6" i="32" s="1"/>
  <c r="AH6" i="32" s="1"/>
  <c r="P6" i="32"/>
  <c r="Q6" i="32" s="1"/>
  <c r="R6" i="32" s="1"/>
  <c r="F105" i="36"/>
  <c r="AC8" i="32"/>
  <c r="AD8" i="32" s="1"/>
  <c r="AE8" i="32" s="1"/>
  <c r="M8" i="32"/>
  <c r="N8" i="32" s="1"/>
  <c r="O8" i="32" s="1"/>
  <c r="G45" i="36"/>
  <c r="H45" i="36" s="1"/>
  <c r="G105" i="36" s="1"/>
  <c r="I105" i="36" s="1"/>
  <c r="M36" i="32"/>
  <c r="N36" i="32" s="1"/>
  <c r="O36" i="32" s="1"/>
  <c r="F116" i="36"/>
  <c r="G73" i="36"/>
  <c r="H73" i="36" s="1"/>
  <c r="G116" i="36" s="1"/>
  <c r="I116" i="36" s="1"/>
  <c r="AC36" i="32"/>
  <c r="AD36" i="32" s="1"/>
  <c r="AE36" i="32" s="1"/>
  <c r="P10" i="32"/>
  <c r="F118" i="37"/>
  <c r="AF10" i="32"/>
  <c r="G47" i="37"/>
  <c r="H47" i="37" s="1"/>
  <c r="G118" i="37" s="1"/>
  <c r="I118" i="37" s="1"/>
  <c r="AC41" i="32"/>
  <c r="AD41" i="32" s="1"/>
  <c r="AE41" i="32" s="1"/>
  <c r="Z38" i="32"/>
  <c r="F111" i="35"/>
  <c r="J38" i="32"/>
  <c r="G75" i="35"/>
  <c r="H75" i="35" s="1"/>
  <c r="G111" i="35" s="1"/>
  <c r="I111" i="35" s="1"/>
  <c r="X56" i="34"/>
  <c r="Y56" i="34" s="1"/>
  <c r="F56" i="34"/>
  <c r="AF56" i="34"/>
  <c r="AG56" i="34" s="1"/>
  <c r="S102" i="34"/>
  <c r="S107" i="34"/>
  <c r="F61" i="34"/>
  <c r="AF61" i="34"/>
  <c r="AG61" i="34" s="1"/>
  <c r="S89" i="34"/>
  <c r="F43" i="34"/>
  <c r="AF43" i="34"/>
  <c r="AG43" i="34" s="1"/>
  <c r="AF57" i="34"/>
  <c r="AG57" i="34" s="1"/>
  <c r="S103" i="34"/>
  <c r="F57" i="34"/>
  <c r="X78" i="34"/>
  <c r="Y78" i="34" s="1"/>
  <c r="F78" i="34"/>
  <c r="S124" i="34"/>
  <c r="AF78" i="34"/>
  <c r="AG78" i="34" s="1"/>
  <c r="G67" i="36"/>
  <c r="H67" i="36" s="1"/>
  <c r="G125" i="36" s="1"/>
  <c r="I125" i="36" s="1"/>
  <c r="F125" i="36"/>
  <c r="AC30" i="32"/>
  <c r="AD30" i="32" s="1"/>
  <c r="AE30" i="32" s="1"/>
  <c r="M30" i="32"/>
  <c r="N30" i="32" s="1"/>
  <c r="O30" i="32" s="1"/>
  <c r="P16" i="32"/>
  <c r="Q16" i="32" s="1"/>
  <c r="R16" i="32" s="1"/>
  <c r="AF16" i="32"/>
  <c r="AG16" i="32" s="1"/>
  <c r="AH16" i="32" s="1"/>
  <c r="F90" i="37"/>
  <c r="G53" i="37"/>
  <c r="H53" i="37" s="1"/>
  <c r="G90" i="37" s="1"/>
  <c r="I90" i="37" s="1"/>
  <c r="G5" i="32"/>
  <c r="F104" i="34"/>
  <c r="G42" i="34"/>
  <c r="W5" i="32"/>
  <c r="F106" i="36"/>
  <c r="G72" i="36"/>
  <c r="H72" i="36" s="1"/>
  <c r="G106" i="36" s="1"/>
  <c r="I106" i="36" s="1"/>
  <c r="AC35" i="32"/>
  <c r="M35" i="32"/>
  <c r="S84" i="37"/>
  <c r="X84" i="37" s="1"/>
  <c r="Y84" i="37" s="1"/>
  <c r="S127" i="37"/>
  <c r="P23" i="32"/>
  <c r="Q23" i="32" s="1"/>
  <c r="R23" i="32" s="1"/>
  <c r="AF23" i="32"/>
  <c r="AG23" i="32" s="1"/>
  <c r="AH23" i="32" s="1"/>
  <c r="G60" i="37"/>
  <c r="H60" i="37" s="1"/>
  <c r="G122" i="37" s="1"/>
  <c r="I122" i="37" s="1"/>
  <c r="F122" i="37"/>
  <c r="F107" i="36"/>
  <c r="M7" i="32"/>
  <c r="N7" i="32" s="1"/>
  <c r="O7" i="32" s="1"/>
  <c r="G44" i="36"/>
  <c r="H44" i="36" s="1"/>
  <c r="G107" i="36" s="1"/>
  <c r="I107" i="36" s="1"/>
  <c r="AC7" i="32"/>
  <c r="AD7" i="32" s="1"/>
  <c r="AE7" i="32" s="1"/>
  <c r="F123" i="37"/>
  <c r="G65" i="37"/>
  <c r="H65" i="37" s="1"/>
  <c r="G123" i="37" s="1"/>
  <c r="I123" i="37" s="1"/>
  <c r="AF28" i="32"/>
  <c r="AG28" i="32" s="1"/>
  <c r="AH28" i="32" s="1"/>
  <c r="P28" i="32"/>
  <c r="Q28" i="32" s="1"/>
  <c r="R28" i="32" s="1"/>
  <c r="F112" i="36"/>
  <c r="G66" i="36"/>
  <c r="H66" i="36" s="1"/>
  <c r="G112" i="36" s="1"/>
  <c r="I112" i="36" s="1"/>
  <c r="AC29" i="32"/>
  <c r="M29" i="32"/>
  <c r="AF11" i="32"/>
  <c r="P11" i="32"/>
  <c r="F109" i="37"/>
  <c r="G48" i="37"/>
  <c r="H48" i="37" s="1"/>
  <c r="G109" i="37" s="1"/>
  <c r="I109" i="37" s="1"/>
  <c r="F113" i="35"/>
  <c r="J40" i="32"/>
  <c r="K40" i="32" s="1"/>
  <c r="L40" i="32" s="1"/>
  <c r="Z40" i="32"/>
  <c r="AA40" i="32" s="1"/>
  <c r="AB40" i="32" s="1"/>
  <c r="G77" i="35"/>
  <c r="H77" i="35" s="1"/>
  <c r="G113" i="35" s="1"/>
  <c r="I113" i="35" s="1"/>
  <c r="F124" i="36"/>
  <c r="G61" i="36"/>
  <c r="H61" i="36" s="1"/>
  <c r="G124" i="36" s="1"/>
  <c r="I124" i="36" s="1"/>
  <c r="M24" i="32"/>
  <c r="N24" i="32" s="1"/>
  <c r="O24" i="32" s="1"/>
  <c r="AC24" i="32"/>
  <c r="AD24" i="32" s="1"/>
  <c r="AE24" i="32" s="1"/>
  <c r="AF49" i="34"/>
  <c r="AG49" i="34" s="1"/>
  <c r="S95" i="34"/>
  <c r="F49" i="34"/>
  <c r="F52" i="34"/>
  <c r="S98" i="34"/>
  <c r="X52" i="34"/>
  <c r="Y52" i="34" s="1"/>
  <c r="AF52" i="34"/>
  <c r="AG52" i="34" s="1"/>
  <c r="AG42" i="34"/>
  <c r="AH42" i="34" s="1"/>
  <c r="F100" i="35"/>
  <c r="J15" i="32"/>
  <c r="K15" i="32" s="1"/>
  <c r="L15" i="32" s="1"/>
  <c r="Z15" i="32"/>
  <c r="AA15" i="32" s="1"/>
  <c r="AB15" i="32" s="1"/>
  <c r="G52" i="35"/>
  <c r="H52" i="35" s="1"/>
  <c r="G100" i="35" s="1"/>
  <c r="I100" i="35" s="1"/>
  <c r="F96" i="35"/>
  <c r="G76" i="35"/>
  <c r="H76" i="35" s="1"/>
  <c r="G96" i="35" s="1"/>
  <c r="I96" i="35" s="1"/>
  <c r="G57" i="36"/>
  <c r="H57" i="36" s="1"/>
  <c r="G115" i="36" s="1"/>
  <c r="I115" i="36" s="1"/>
  <c r="F115" i="36"/>
  <c r="AC20" i="32"/>
  <c r="AD20" i="32" s="1"/>
  <c r="AE20" i="32" s="1"/>
  <c r="AC22" i="32"/>
  <c r="G59" i="36"/>
  <c r="H59" i="36" s="1"/>
  <c r="G121" i="36" s="1"/>
  <c r="I121" i="36" s="1"/>
  <c r="P12" i="32"/>
  <c r="AF12" i="32"/>
  <c r="G49" i="37"/>
  <c r="H49" i="37" s="1"/>
  <c r="G101" i="37" s="1"/>
  <c r="I101" i="37" s="1"/>
  <c r="F101" i="37"/>
  <c r="F114" i="36"/>
  <c r="AC25" i="32"/>
  <c r="AD25" i="32" s="1"/>
  <c r="AE25" i="32" s="1"/>
  <c r="M25" i="32"/>
  <c r="N25" i="32" s="1"/>
  <c r="O25" i="32" s="1"/>
  <c r="G62" i="36"/>
  <c r="H62" i="36" s="1"/>
  <c r="G114" i="36" s="1"/>
  <c r="I114" i="36" s="1"/>
  <c r="G70" i="37"/>
  <c r="H70" i="37" s="1"/>
  <c r="G119" i="37" s="1"/>
  <c r="I119" i="37" s="1"/>
  <c r="P33" i="32"/>
  <c r="Q33" i="32" s="1"/>
  <c r="R33" i="32" s="1"/>
  <c r="AF33" i="32"/>
  <c r="AG33" i="32" s="1"/>
  <c r="AH33" i="32" s="1"/>
  <c r="F119" i="37"/>
  <c r="G72" i="37"/>
  <c r="H72" i="37" s="1"/>
  <c r="G106" i="37" s="1"/>
  <c r="I106" i="37" s="1"/>
  <c r="F106" i="37"/>
  <c r="AF35" i="32"/>
  <c r="P35" i="32"/>
  <c r="F63" i="34"/>
  <c r="AF63" i="34"/>
  <c r="AG63" i="34" s="1"/>
  <c r="S109" i="34"/>
  <c r="S28" i="34"/>
  <c r="S90" i="34"/>
  <c r="F44" i="34"/>
  <c r="AF44" i="34"/>
  <c r="AG44" i="34" s="1"/>
  <c r="S106" i="34"/>
  <c r="F60" i="34"/>
  <c r="AF60" i="34"/>
  <c r="AG60" i="34" s="1"/>
  <c r="F51" i="34"/>
  <c r="AF51" i="34"/>
  <c r="AG51" i="34" s="1"/>
  <c r="S97" i="34"/>
  <c r="S117" i="34"/>
  <c r="F71" i="34"/>
  <c r="AF71" i="34"/>
  <c r="AG71" i="34" s="1"/>
  <c r="X45" i="34"/>
  <c r="Y45" i="34" s="1"/>
  <c r="F45" i="34"/>
  <c r="AF45" i="34"/>
  <c r="AG45" i="34" s="1"/>
  <c r="S91" i="34"/>
  <c r="S100" i="34"/>
  <c r="AF54" i="34"/>
  <c r="AG54" i="34" s="1"/>
  <c r="F54" i="34"/>
  <c r="G71" i="35"/>
  <c r="H71" i="35" s="1"/>
  <c r="G98" i="35" s="1"/>
  <c r="I98" i="35" s="1"/>
  <c r="F98" i="35"/>
  <c r="Z34" i="32"/>
  <c r="AA34" i="32" s="1"/>
  <c r="AB34" i="32" s="1"/>
  <c r="J34" i="32"/>
  <c r="K34" i="32" s="1"/>
  <c r="L34" i="32" s="1"/>
  <c r="P15" i="32"/>
  <c r="Q15" i="32" s="1"/>
  <c r="R15" i="32" s="1"/>
  <c r="AF15" i="32"/>
  <c r="AG15" i="32" s="1"/>
  <c r="AH15" i="32" s="1"/>
  <c r="F100" i="37"/>
  <c r="G52" i="37"/>
  <c r="H52" i="37" s="1"/>
  <c r="G100" i="37" s="1"/>
  <c r="I100" i="37" s="1"/>
  <c r="S81" i="34"/>
  <c r="G46" i="36"/>
  <c r="H46" i="36" s="1"/>
  <c r="G95" i="36" s="1"/>
  <c r="I95" i="36" s="1"/>
  <c r="F95" i="36"/>
  <c r="M9" i="32"/>
  <c r="N9" i="32" s="1"/>
  <c r="O9" i="32" s="1"/>
  <c r="F119" i="36"/>
  <c r="G70" i="36"/>
  <c r="H70" i="36" s="1"/>
  <c r="G119" i="36" s="1"/>
  <c r="I119" i="36" s="1"/>
  <c r="AC33" i="32"/>
  <c r="AD33" i="32" s="1"/>
  <c r="AE33" i="32" s="1"/>
  <c r="M33" i="32"/>
  <c r="N33" i="32" s="1"/>
  <c r="O33" i="32" s="1"/>
  <c r="AF20" i="32"/>
  <c r="AG20" i="32" s="1"/>
  <c r="AH20" i="32" s="1"/>
  <c r="P20" i="32"/>
  <c r="Q20" i="32" s="1"/>
  <c r="R20" i="32" s="1"/>
  <c r="F115" i="37"/>
  <c r="G57" i="37"/>
  <c r="H57" i="37" s="1"/>
  <c r="G115" i="37" s="1"/>
  <c r="I115" i="37" s="1"/>
  <c r="F127" i="35"/>
  <c r="Z26" i="32"/>
  <c r="AA26" i="32" s="1"/>
  <c r="AB26" i="32" s="1"/>
  <c r="G63" i="35"/>
  <c r="H63" i="35" s="1"/>
  <c r="G127" i="35" s="1"/>
  <c r="I127" i="35" s="1"/>
  <c r="J26" i="32"/>
  <c r="K26" i="32" s="1"/>
  <c r="L26" i="32" s="1"/>
  <c r="AC42" i="32"/>
  <c r="AD42" i="32" s="1"/>
  <c r="AE42" i="32" s="1"/>
  <c r="G79" i="36"/>
  <c r="H79" i="36" s="1"/>
  <c r="G99" i="36" s="1"/>
  <c r="I99" i="36" s="1"/>
  <c r="F99" i="36"/>
  <c r="M42" i="32"/>
  <c r="N42" i="32" s="1"/>
  <c r="O42" i="32" s="1"/>
  <c r="G62" i="37"/>
  <c r="H62" i="37" s="1"/>
  <c r="G114" i="37" s="1"/>
  <c r="I114" i="37" s="1"/>
  <c r="F114" i="37"/>
  <c r="AF25" i="32"/>
  <c r="AG25" i="32" s="1"/>
  <c r="AH25" i="32" s="1"/>
  <c r="P25" i="32"/>
  <c r="Q25" i="32" s="1"/>
  <c r="R25" i="32" s="1"/>
  <c r="G79" i="35"/>
  <c r="H79" i="35" s="1"/>
  <c r="G99" i="35" s="1"/>
  <c r="I99" i="35" s="1"/>
  <c r="F99" i="35"/>
  <c r="F108" i="37"/>
  <c r="AF18" i="32"/>
  <c r="P18" i="32"/>
  <c r="G55" i="37"/>
  <c r="H55" i="37" s="1"/>
  <c r="G108" i="37" s="1"/>
  <c r="I108" i="37" s="1"/>
  <c r="F109" i="36"/>
  <c r="AC11" i="32"/>
  <c r="M11" i="32"/>
  <c r="G48" i="36"/>
  <c r="H48" i="36" s="1"/>
  <c r="G109" i="36" s="1"/>
  <c r="I109" i="36" s="1"/>
  <c r="DB44" i="24"/>
  <c r="DC44" i="24"/>
  <c r="DC32" i="22"/>
  <c r="DB32" i="22"/>
  <c r="DA50" i="23"/>
  <c r="DC48" i="24"/>
  <c r="DB48" i="24"/>
  <c r="DC16" i="24"/>
  <c r="DB16" i="24"/>
  <c r="DC36" i="24"/>
  <c r="DB36" i="24"/>
  <c r="DC48" i="22"/>
  <c r="DB48" i="22"/>
  <c r="DC39" i="22"/>
  <c r="DB39" i="22"/>
  <c r="DC20" i="22"/>
  <c r="DB20" i="22"/>
  <c r="DB39" i="24"/>
  <c r="DC39" i="24"/>
  <c r="CZ50" i="26"/>
  <c r="DA12" i="26"/>
  <c r="DA50" i="26" s="1"/>
  <c r="DB49" i="24"/>
  <c r="DC49" i="24"/>
  <c r="DC45" i="22"/>
  <c r="DB45" i="22"/>
  <c r="DB13" i="22"/>
  <c r="DC13" i="22"/>
  <c r="DB28" i="24"/>
  <c r="DC28" i="24"/>
  <c r="DC26" i="24"/>
  <c r="DB26" i="24"/>
  <c r="DB33" i="24"/>
  <c r="DC33" i="24"/>
  <c r="DC45" i="24"/>
  <c r="DB45" i="24"/>
  <c r="DC40" i="22"/>
  <c r="DB40" i="22"/>
  <c r="DB37" i="22"/>
  <c r="DC37" i="22"/>
  <c r="DC30" i="22"/>
  <c r="DB30" i="22"/>
  <c r="DC34" i="22"/>
  <c r="DB34" i="22"/>
  <c r="CU50" i="22"/>
  <c r="CV12" i="22"/>
  <c r="CV50" i="22" s="1"/>
  <c r="CZ12" i="22"/>
  <c r="DB37" i="24"/>
  <c r="DC37" i="24"/>
  <c r="DB49" i="22"/>
  <c r="DC49" i="22"/>
  <c r="DB31" i="24"/>
  <c r="DC31" i="24"/>
  <c r="DC19" i="24"/>
  <c r="DB19" i="24"/>
  <c r="DB14" i="24"/>
  <c r="DC14" i="24"/>
  <c r="BY50" i="24"/>
  <c r="DC16" i="22"/>
  <c r="DB16" i="22"/>
  <c r="DC38" i="22"/>
  <c r="DB38" i="22"/>
  <c r="DC29" i="22"/>
  <c r="DB29" i="22"/>
  <c r="CZ50" i="23"/>
  <c r="DC13" i="24"/>
  <c r="DB13" i="24"/>
  <c r="DC27" i="24"/>
  <c r="DB27" i="24"/>
  <c r="DC47" i="24"/>
  <c r="DB47" i="24"/>
  <c r="DB23" i="22"/>
  <c r="DC23" i="22"/>
  <c r="DC41" i="22"/>
  <c r="DB41" i="22"/>
  <c r="DC28" i="22"/>
  <c r="DB28" i="22"/>
  <c r="DB25" i="24"/>
  <c r="DC25" i="24"/>
  <c r="DB50" i="25"/>
  <c r="DC15" i="22"/>
  <c r="DB15" i="22"/>
  <c r="DC43" i="22"/>
  <c r="DB43" i="22"/>
  <c r="DC46" i="22"/>
  <c r="DB46" i="22"/>
  <c r="DC40" i="24"/>
  <c r="DB40" i="24"/>
  <c r="DC15" i="24"/>
  <c r="DB15" i="24"/>
  <c r="DC24" i="24"/>
  <c r="DB24" i="24"/>
  <c r="DC44" i="22"/>
  <c r="DB44" i="22"/>
  <c r="DB27" i="22"/>
  <c r="DC27" i="22"/>
  <c r="DB35" i="22"/>
  <c r="DC35" i="22"/>
  <c r="DB21" i="22"/>
  <c r="DC21" i="22"/>
  <c r="DB30" i="24"/>
  <c r="DC30" i="24"/>
  <c r="DC22" i="24"/>
  <c r="DB22" i="24"/>
  <c r="DC21" i="24"/>
  <c r="DB21" i="24"/>
  <c r="DC42" i="24"/>
  <c r="DB42" i="24"/>
  <c r="DC29" i="24"/>
  <c r="DB29" i="24"/>
  <c r="DC34" i="24"/>
  <c r="DB34" i="24"/>
  <c r="DB17" i="22"/>
  <c r="DC17" i="22"/>
  <c r="DC25" i="22"/>
  <c r="DB25" i="22"/>
  <c r="DB31" i="22"/>
  <c r="DC31" i="22"/>
  <c r="BZ50" i="22"/>
  <c r="DC12" i="22"/>
  <c r="DB12" i="22"/>
  <c r="DC18" i="24"/>
  <c r="DB18" i="24"/>
  <c r="DC32" i="24"/>
  <c r="DB32" i="24"/>
  <c r="DC46" i="24"/>
  <c r="DB46" i="24"/>
  <c r="DC43" i="24"/>
  <c r="DB43" i="24"/>
  <c r="DC24" i="22"/>
  <c r="DB24" i="22"/>
  <c r="DC47" i="22"/>
  <c r="DB47" i="22"/>
  <c r="DB14" i="22"/>
  <c r="DC14" i="22"/>
  <c r="BY50" i="22"/>
  <c r="DC38" i="24"/>
  <c r="DB38" i="24"/>
  <c r="DC20" i="24"/>
  <c r="DB20" i="24"/>
  <c r="DB23" i="24"/>
  <c r="DC23" i="24"/>
  <c r="DC22" i="22"/>
  <c r="DB22" i="22"/>
  <c r="DC19" i="22"/>
  <c r="DB19" i="22"/>
  <c r="DC33" i="22"/>
  <c r="DB33" i="22"/>
  <c r="DB50" i="23"/>
  <c r="DC26" i="22"/>
  <c r="DB26" i="22"/>
  <c r="DC17" i="24"/>
  <c r="DB17" i="24"/>
  <c r="DC35" i="24"/>
  <c r="DB35" i="24"/>
  <c r="DC41" i="24"/>
  <c r="DB41" i="24"/>
  <c r="DC42" i="22"/>
  <c r="DB42" i="22"/>
  <c r="DB18" i="22"/>
  <c r="DC18" i="22"/>
  <c r="DC36" i="22"/>
  <c r="DB36" i="22"/>
  <c r="BZ50" i="24"/>
  <c r="BZ51" i="15"/>
  <c r="CQ51" i="15" s="1"/>
  <c r="CQ11" i="15"/>
  <c r="BZ51" i="16"/>
  <c r="CQ51" i="16" s="1"/>
  <c r="CQ11" i="16"/>
  <c r="CM51" i="16"/>
  <c r="CN51" i="16" s="1"/>
  <c r="CM17" i="16"/>
  <c r="CN17" i="16" s="1"/>
  <c r="CM36" i="16"/>
  <c r="CN36" i="16" s="1"/>
  <c r="CO36" i="16" s="1"/>
  <c r="CM18" i="16"/>
  <c r="CN18" i="16" s="1"/>
  <c r="CO18" i="16" s="1"/>
  <c r="CM44" i="16"/>
  <c r="CN44" i="16" s="1"/>
  <c r="CO44" i="16" s="1"/>
  <c r="CM49" i="16"/>
  <c r="CN49" i="16" s="1"/>
  <c r="CO49" i="16" s="1"/>
  <c r="CM38" i="16"/>
  <c r="CN38" i="16" s="1"/>
  <c r="CO38" i="16" s="1"/>
  <c r="CM46" i="16"/>
  <c r="CN46" i="16" s="1"/>
  <c r="CO46" i="16" s="1"/>
  <c r="CM16" i="16"/>
  <c r="CN16" i="16" s="1"/>
  <c r="CO16" i="16" s="1"/>
  <c r="CM14" i="16"/>
  <c r="CN14" i="16" s="1"/>
  <c r="CO14" i="16" s="1"/>
  <c r="CM48" i="16"/>
  <c r="CN48" i="16" s="1"/>
  <c r="CO48" i="16" s="1"/>
  <c r="CM24" i="16"/>
  <c r="CN24" i="16" s="1"/>
  <c r="CO24" i="16" s="1"/>
  <c r="CM30" i="16"/>
  <c r="CN30" i="16" s="1"/>
  <c r="CO30" i="16" s="1"/>
  <c r="CM39" i="16"/>
  <c r="CN39" i="16" s="1"/>
  <c r="CO39" i="16" s="1"/>
  <c r="CM15" i="16"/>
  <c r="CN15" i="16" s="1"/>
  <c r="CO15" i="16" s="1"/>
  <c r="CM21" i="16"/>
  <c r="CN21" i="16" s="1"/>
  <c r="CO21" i="16" s="1"/>
  <c r="CM37" i="16"/>
  <c r="CN37" i="16" s="1"/>
  <c r="CO37" i="16" s="1"/>
  <c r="CM50" i="16"/>
  <c r="CN50" i="16" s="1"/>
  <c r="CO50" i="16" s="1"/>
  <c r="CM40" i="16"/>
  <c r="CN40" i="16" s="1"/>
  <c r="CO40" i="16" s="1"/>
  <c r="CM27" i="16"/>
  <c r="CN27" i="16" s="1"/>
  <c r="CO27" i="16" s="1"/>
  <c r="CM45" i="16"/>
  <c r="CN45" i="16" s="1"/>
  <c r="CO45" i="16" s="1"/>
  <c r="CM25" i="16"/>
  <c r="CN25" i="16" s="1"/>
  <c r="CO25" i="16" s="1"/>
  <c r="CM20" i="16"/>
  <c r="CN20" i="16" s="1"/>
  <c r="CO20" i="16" s="1"/>
  <c r="CM43" i="16"/>
  <c r="CN43" i="16" s="1"/>
  <c r="CO43" i="16" s="1"/>
  <c r="CM34" i="16"/>
  <c r="CN34" i="16" s="1"/>
  <c r="CO34" i="16" s="1"/>
  <c r="CM22" i="16"/>
  <c r="CN22" i="16" s="1"/>
  <c r="CO22" i="16" s="1"/>
  <c r="CM47" i="16"/>
  <c r="CN47" i="16" s="1"/>
  <c r="CO47" i="16" s="1"/>
  <c r="CM13" i="16"/>
  <c r="CN13" i="16" s="1"/>
  <c r="CO13" i="16" s="1"/>
  <c r="CM32" i="16"/>
  <c r="CN32" i="16" s="1"/>
  <c r="CO32" i="16" s="1"/>
  <c r="CM12" i="16"/>
  <c r="CN12" i="16" s="1"/>
  <c r="CO12" i="16" s="1"/>
  <c r="CM23" i="16"/>
  <c r="CN23" i="16" s="1"/>
  <c r="CO23" i="16" s="1"/>
  <c r="CM19" i="16"/>
  <c r="CN19" i="16" s="1"/>
  <c r="CO19" i="16" s="1"/>
  <c r="CM42" i="16"/>
  <c r="CN42" i="16" s="1"/>
  <c r="CO42" i="16" s="1"/>
  <c r="CM35" i="16"/>
  <c r="CN35" i="16" s="1"/>
  <c r="CO35" i="16" s="1"/>
  <c r="CM33" i="16"/>
  <c r="CN33" i="16" s="1"/>
  <c r="CO33" i="16" s="1"/>
  <c r="CM29" i="16"/>
  <c r="CN29" i="16" s="1"/>
  <c r="CO29" i="16" s="1"/>
  <c r="CM31" i="16"/>
  <c r="CN31" i="16" s="1"/>
  <c r="CO31" i="16" s="1"/>
  <c r="CM41" i="16"/>
  <c r="CN41" i="16" s="1"/>
  <c r="CO41" i="16" s="1"/>
  <c r="CM26" i="16"/>
  <c r="CN26" i="16" s="1"/>
  <c r="CO26" i="16" s="1"/>
  <c r="CM28" i="16"/>
  <c r="CN28" i="16" s="1"/>
  <c r="CO28" i="16" s="1"/>
  <c r="BZ51" i="12"/>
  <c r="CQ51" i="12" s="1"/>
  <c r="CQ11" i="12"/>
  <c r="BY51" i="12"/>
  <c r="CA51" i="3"/>
  <c r="CG11" i="3"/>
  <c r="CG51" i="3" s="1"/>
  <c r="CC11" i="3"/>
  <c r="CC51" i="3" s="1"/>
  <c r="CF11" i="3"/>
  <c r="CG50" i="5"/>
  <c r="CH50" i="5" s="1"/>
  <c r="CF50" i="5"/>
  <c r="CC50" i="5"/>
  <c r="CC41" i="6"/>
  <c r="CG41" i="6"/>
  <c r="CH41" i="6" s="1"/>
  <c r="CF41" i="6"/>
  <c r="CJ44" i="3"/>
  <c r="CG15" i="5"/>
  <c r="CH15" i="5" s="1"/>
  <c r="CC15" i="5"/>
  <c r="CF15" i="5"/>
  <c r="CG36" i="5"/>
  <c r="CH36" i="5" s="1"/>
  <c r="CF36" i="5"/>
  <c r="CC36" i="5"/>
  <c r="CF37" i="5"/>
  <c r="CC37" i="5"/>
  <c r="CG37" i="5"/>
  <c r="CH37" i="5" s="1"/>
  <c r="CG27" i="6"/>
  <c r="CH27" i="6" s="1"/>
  <c r="CF27" i="6"/>
  <c r="CC27" i="6"/>
  <c r="CG29" i="6"/>
  <c r="CH29" i="6" s="1"/>
  <c r="CF29" i="6"/>
  <c r="CC29" i="6"/>
  <c r="CF47" i="6"/>
  <c r="CG47" i="6"/>
  <c r="CH47" i="6" s="1"/>
  <c r="CC47" i="6"/>
  <c r="CF44" i="6"/>
  <c r="CC44" i="6"/>
  <c r="CG44" i="6"/>
  <c r="CH44" i="6" s="1"/>
  <c r="CH48" i="5"/>
  <c r="CC48" i="5"/>
  <c r="CG48" i="5"/>
  <c r="CF48" i="5"/>
  <c r="CG13" i="5"/>
  <c r="CH13" i="5" s="1"/>
  <c r="CF13" i="5"/>
  <c r="CC13" i="5"/>
  <c r="CC13" i="6"/>
  <c r="CG13" i="6"/>
  <c r="CH13" i="6" s="1"/>
  <c r="CF13" i="6"/>
  <c r="CF40" i="5"/>
  <c r="CG40" i="5"/>
  <c r="CH40" i="5" s="1"/>
  <c r="CJ40" i="5" s="1"/>
  <c r="CC40" i="5"/>
  <c r="CG31" i="6"/>
  <c r="CH31" i="6" s="1"/>
  <c r="CC31" i="6"/>
  <c r="CF31" i="6"/>
  <c r="CG50" i="6"/>
  <c r="CH50" i="6" s="1"/>
  <c r="CF50" i="6"/>
  <c r="CC50" i="6"/>
  <c r="CG16" i="6"/>
  <c r="CH16" i="6"/>
  <c r="CF16" i="6"/>
  <c r="CC16" i="6"/>
  <c r="CJ30" i="2"/>
  <c r="CJ49" i="2"/>
  <c r="CG49" i="5"/>
  <c r="CH49" i="5" s="1"/>
  <c r="CJ49" i="5" s="1"/>
  <c r="CF49" i="5"/>
  <c r="CC49" i="5"/>
  <c r="CG23" i="5"/>
  <c r="CH23" i="5" s="1"/>
  <c r="CJ23" i="5" s="1"/>
  <c r="CC23" i="5"/>
  <c r="CF23" i="5"/>
  <c r="CJ42" i="2"/>
  <c r="CJ36" i="4"/>
  <c r="CF43" i="6"/>
  <c r="CC43" i="6"/>
  <c r="CG43" i="6"/>
  <c r="CH43" i="6" s="1"/>
  <c r="CJ43" i="6" s="1"/>
  <c r="CC28" i="5"/>
  <c r="CG28" i="5"/>
  <c r="CH28" i="5" s="1"/>
  <c r="CJ28" i="5" s="1"/>
  <c r="CF28" i="5"/>
  <c r="CF42" i="5"/>
  <c r="CG42" i="5"/>
  <c r="CH42" i="5" s="1"/>
  <c r="CC42" i="5"/>
  <c r="CF46" i="6"/>
  <c r="CC46" i="6"/>
  <c r="CG46" i="6"/>
  <c r="CH46" i="6" s="1"/>
  <c r="CG37" i="6"/>
  <c r="CH37" i="6" s="1"/>
  <c r="CF37" i="6"/>
  <c r="CC37" i="6"/>
  <c r="CC49" i="6"/>
  <c r="CG49" i="6"/>
  <c r="CH49" i="6" s="1"/>
  <c r="CF49" i="6"/>
  <c r="CF38" i="5"/>
  <c r="CC38" i="5"/>
  <c r="CG38" i="5"/>
  <c r="CH38" i="5" s="1"/>
  <c r="CF16" i="5"/>
  <c r="CC16" i="5"/>
  <c r="CG16" i="5"/>
  <c r="CH16" i="5"/>
  <c r="CJ16" i="5" s="1"/>
  <c r="CG29" i="5"/>
  <c r="CH29" i="5" s="1"/>
  <c r="CC29" i="5"/>
  <c r="CF29" i="5"/>
  <c r="CG26" i="5"/>
  <c r="CH26" i="5" s="1"/>
  <c r="CF26" i="5"/>
  <c r="CC26" i="5"/>
  <c r="CF44" i="5"/>
  <c r="CG44" i="5"/>
  <c r="CH44" i="5" s="1"/>
  <c r="CC44" i="5"/>
  <c r="CG33" i="5"/>
  <c r="CH33" i="5" s="1"/>
  <c r="CF33" i="5"/>
  <c r="CC33" i="5"/>
  <c r="CJ25" i="3"/>
  <c r="CC21" i="6"/>
  <c r="CF21" i="6"/>
  <c r="CG21" i="6"/>
  <c r="CH21" i="6" s="1"/>
  <c r="CC39" i="5"/>
  <c r="CG39" i="5"/>
  <c r="CH39" i="5" s="1"/>
  <c r="CF39" i="5"/>
  <c r="CJ30" i="3"/>
  <c r="CJ48" i="3"/>
  <c r="CF32" i="6"/>
  <c r="CG32" i="6"/>
  <c r="CH32" i="6"/>
  <c r="CC32" i="6"/>
  <c r="CJ40" i="3"/>
  <c r="CG43" i="5"/>
  <c r="CH43" i="5" s="1"/>
  <c r="CJ43" i="5" s="1"/>
  <c r="CF43" i="5"/>
  <c r="CC43" i="5"/>
  <c r="CG31" i="5"/>
  <c r="CH31" i="5" s="1"/>
  <c r="CC31" i="5"/>
  <c r="CF31" i="5"/>
  <c r="CG18" i="6"/>
  <c r="CH18" i="6" s="1"/>
  <c r="CC18" i="6"/>
  <c r="CF18" i="6"/>
  <c r="CG21" i="5"/>
  <c r="CH21" i="5" s="1"/>
  <c r="CF21" i="5"/>
  <c r="CC21" i="5"/>
  <c r="CF14" i="5"/>
  <c r="CC14" i="5"/>
  <c r="CG14" i="5"/>
  <c r="CH14" i="5" s="1"/>
  <c r="CA51" i="4"/>
  <c r="CF11" i="4"/>
  <c r="CC11" i="4"/>
  <c r="CC51" i="4" s="1"/>
  <c r="CG11" i="4"/>
  <c r="CG51" i="4" s="1"/>
  <c r="CG19" i="6"/>
  <c r="CH19" i="6" s="1"/>
  <c r="CC19" i="6"/>
  <c r="CF19" i="6"/>
  <c r="CF33" i="6"/>
  <c r="CC33" i="6"/>
  <c r="CG33" i="6"/>
  <c r="CH33" i="6" s="1"/>
  <c r="CJ33" i="6" s="1"/>
  <c r="CC48" i="6"/>
  <c r="CG48" i="6"/>
  <c r="CH48" i="6" s="1"/>
  <c r="CF48" i="6"/>
  <c r="CJ15" i="3"/>
  <c r="CF22" i="6"/>
  <c r="CG22" i="6"/>
  <c r="CH22" i="6" s="1"/>
  <c r="CC22" i="6"/>
  <c r="CF35" i="6"/>
  <c r="CG35" i="6"/>
  <c r="CH35" i="6" s="1"/>
  <c r="CC35" i="6"/>
  <c r="CG34" i="6"/>
  <c r="CH34" i="6" s="1"/>
  <c r="CJ34" i="6" s="1"/>
  <c r="CC34" i="6"/>
  <c r="CF34" i="6"/>
  <c r="CF38" i="6"/>
  <c r="CG38" i="6"/>
  <c r="CH38" i="6" s="1"/>
  <c r="CC38" i="6"/>
  <c r="CC26" i="6"/>
  <c r="CG26" i="6"/>
  <c r="CH26" i="6" s="1"/>
  <c r="CF26" i="6"/>
  <c r="CG30" i="6"/>
  <c r="CH30" i="6" s="1"/>
  <c r="CC30" i="6"/>
  <c r="CF30" i="6"/>
  <c r="CG25" i="5"/>
  <c r="CH25" i="5" s="1"/>
  <c r="CF25" i="5"/>
  <c r="CC25" i="5"/>
  <c r="CF15" i="6"/>
  <c r="CG15" i="6"/>
  <c r="CH15" i="6" s="1"/>
  <c r="CC15" i="6"/>
  <c r="CC47" i="5"/>
  <c r="CG47" i="5"/>
  <c r="CH47" i="5" s="1"/>
  <c r="CF47" i="5"/>
  <c r="CF36" i="6"/>
  <c r="CG36" i="6"/>
  <c r="CH36" i="6" s="1"/>
  <c r="CJ36" i="6" s="1"/>
  <c r="CC36" i="6"/>
  <c r="CC12" i="5"/>
  <c r="CG12" i="5"/>
  <c r="CH12" i="5" s="1"/>
  <c r="CF12" i="5"/>
  <c r="CC35" i="5"/>
  <c r="CG35" i="5"/>
  <c r="CH35" i="5" s="1"/>
  <c r="CF35" i="5"/>
  <c r="CG22" i="5"/>
  <c r="CH22" i="5" s="1"/>
  <c r="CC22" i="5"/>
  <c r="CF22" i="5"/>
  <c r="CP51" i="5"/>
  <c r="CG41" i="5"/>
  <c r="CH41" i="5" s="1"/>
  <c r="CF41" i="5"/>
  <c r="CC41" i="5"/>
  <c r="CF23" i="6"/>
  <c r="CC23" i="6"/>
  <c r="CG23" i="6"/>
  <c r="CH23" i="6" s="1"/>
  <c r="CJ23" i="6" s="1"/>
  <c r="CG32" i="5"/>
  <c r="CH32" i="5" s="1"/>
  <c r="CC32" i="5"/>
  <c r="CF32" i="5"/>
  <c r="BZ51" i="6"/>
  <c r="CA11" i="6"/>
  <c r="BZ51" i="5"/>
  <c r="CA11" i="5"/>
  <c r="CJ38" i="3"/>
  <c r="CJ50" i="4"/>
  <c r="CJ46" i="3"/>
  <c r="CG19" i="5"/>
  <c r="CH19" i="5" s="1"/>
  <c r="CC19" i="5"/>
  <c r="CF19" i="5"/>
  <c r="CC20" i="5"/>
  <c r="CG20" i="5"/>
  <c r="CH20" i="5" s="1"/>
  <c r="CF20" i="5"/>
  <c r="CC24" i="6"/>
  <c r="CF24" i="6"/>
  <c r="CG24" i="6"/>
  <c r="CH24" i="6" s="1"/>
  <c r="CP51" i="6"/>
  <c r="CG28" i="6"/>
  <c r="CH28" i="6" s="1"/>
  <c r="CF28" i="6"/>
  <c r="CC28" i="6"/>
  <c r="CF42" i="6"/>
  <c r="CC42" i="6"/>
  <c r="CG42" i="6"/>
  <c r="CH42" i="6" s="1"/>
  <c r="CG20" i="6"/>
  <c r="CH20" i="6" s="1"/>
  <c r="CC20" i="6"/>
  <c r="CF20" i="6"/>
  <c r="CF14" i="6"/>
  <c r="CC14" i="6"/>
  <c r="CG14" i="6"/>
  <c r="CH14" i="6" s="1"/>
  <c r="CG46" i="5"/>
  <c r="CH46" i="5" s="1"/>
  <c r="CF46" i="5"/>
  <c r="CC46" i="5"/>
  <c r="CF45" i="6"/>
  <c r="CC45" i="6"/>
  <c r="CG45" i="6"/>
  <c r="CH45" i="6" s="1"/>
  <c r="CF18" i="5"/>
  <c r="CC18" i="5"/>
  <c r="CG18" i="5"/>
  <c r="CH18" i="5" s="1"/>
  <c r="CC24" i="5"/>
  <c r="CF24" i="5"/>
  <c r="CG24" i="5"/>
  <c r="CH24" i="5" s="1"/>
  <c r="CJ45" i="3"/>
  <c r="CG39" i="6"/>
  <c r="CH39" i="6" s="1"/>
  <c r="CF39" i="6"/>
  <c r="CC39" i="6"/>
  <c r="CG25" i="6"/>
  <c r="CH25" i="6" s="1"/>
  <c r="CF25" i="6"/>
  <c r="CC25" i="6"/>
  <c r="CG45" i="5"/>
  <c r="CH45" i="5" s="1"/>
  <c r="CF45" i="5"/>
  <c r="CC45" i="5"/>
  <c r="CJ34" i="3"/>
  <c r="CG11" i="2"/>
  <c r="CG51" i="2" s="1"/>
  <c r="CC11" i="2"/>
  <c r="CC51" i="2" s="1"/>
  <c r="CA51" i="2"/>
  <c r="CF11" i="2"/>
  <c r="CG12" i="6"/>
  <c r="CH12" i="6" s="1"/>
  <c r="CF12" i="6"/>
  <c r="CC12" i="6"/>
  <c r="CF40" i="6"/>
  <c r="CC40" i="6"/>
  <c r="CG40" i="6"/>
  <c r="CH40" i="6" s="1"/>
  <c r="CG27" i="5"/>
  <c r="CH27" i="5" s="1"/>
  <c r="CC27" i="5"/>
  <c r="CF27" i="5"/>
  <c r="CC30" i="5"/>
  <c r="CF30" i="5"/>
  <c r="CG30" i="5"/>
  <c r="CH30" i="5" s="1"/>
  <c r="CC34" i="5"/>
  <c r="CG34" i="5"/>
  <c r="CH34" i="5" s="1"/>
  <c r="CF34" i="5"/>
  <c r="F109" i="35" l="1"/>
  <c r="J8" i="32"/>
  <c r="K8" i="32" s="1"/>
  <c r="L8" i="32" s="1"/>
  <c r="G45" i="35"/>
  <c r="H45" i="35" s="1"/>
  <c r="G105" i="35" s="1"/>
  <c r="I105" i="35" s="1"/>
  <c r="F105" i="35"/>
  <c r="J17" i="32"/>
  <c r="K17" i="32" s="1"/>
  <c r="L17" i="32" s="1"/>
  <c r="CJ19" i="6"/>
  <c r="CJ39" i="5"/>
  <c r="CJ19" i="5"/>
  <c r="Z39" i="32"/>
  <c r="AA39" i="32" s="1"/>
  <c r="AB39" i="32" s="1"/>
  <c r="F117" i="35"/>
  <c r="CJ20" i="6"/>
  <c r="J6" i="32"/>
  <c r="K6" i="32" s="1"/>
  <c r="L6" i="32" s="1"/>
  <c r="F83" i="37"/>
  <c r="G83" i="37" s="1"/>
  <c r="H83" i="37" s="1"/>
  <c r="Z6" i="32"/>
  <c r="AA6" i="32" s="1"/>
  <c r="AB6" i="32" s="1"/>
  <c r="CJ14" i="6"/>
  <c r="Z31" i="32"/>
  <c r="G69" i="35"/>
  <c r="H69" i="35" s="1"/>
  <c r="G103" i="35" s="1"/>
  <c r="I103" i="35" s="1"/>
  <c r="F103" i="35"/>
  <c r="Z17" i="32"/>
  <c r="AA17" i="32" s="1"/>
  <c r="AB17" i="32" s="1"/>
  <c r="G78" i="36"/>
  <c r="H78" i="36" s="1"/>
  <c r="G92" i="36" s="1"/>
  <c r="I92" i="36" s="1"/>
  <c r="Z7" i="32"/>
  <c r="AA7" i="32" s="1"/>
  <c r="AB7" i="32" s="1"/>
  <c r="AF32" i="32"/>
  <c r="AG32" i="32" s="1"/>
  <c r="AH32" i="32" s="1"/>
  <c r="F107" i="35"/>
  <c r="G76" i="36"/>
  <c r="H76" i="36" s="1"/>
  <c r="G96" i="36" s="1"/>
  <c r="I96" i="36" s="1"/>
  <c r="F103" i="37"/>
  <c r="F96" i="36"/>
  <c r="R127" i="36"/>
  <c r="AF29" i="32"/>
  <c r="M41" i="32"/>
  <c r="N41" i="32" s="1"/>
  <c r="O41" i="32" s="1"/>
  <c r="G66" i="37"/>
  <c r="H66" i="37" s="1"/>
  <c r="G112" i="37" s="1"/>
  <c r="I112" i="37" s="1"/>
  <c r="CJ34" i="5"/>
  <c r="CJ45" i="6"/>
  <c r="CJ30" i="5"/>
  <c r="CJ25" i="6"/>
  <c r="CH11" i="2"/>
  <c r="CJ11" i="2" s="1"/>
  <c r="CJ38" i="6"/>
  <c r="CJ42" i="5"/>
  <c r="P26" i="32"/>
  <c r="Q26" i="32" s="1"/>
  <c r="R26" i="32" s="1"/>
  <c r="CJ15" i="5"/>
  <c r="CJ29" i="5"/>
  <c r="CJ21" i="5"/>
  <c r="CJ32" i="6"/>
  <c r="CJ37" i="5"/>
  <c r="G72" i="35"/>
  <c r="H72" i="35" s="1"/>
  <c r="G106" i="35" s="1"/>
  <c r="I106" i="35" s="1"/>
  <c r="CJ48" i="6"/>
  <c r="CJ26" i="6"/>
  <c r="CJ37" i="6"/>
  <c r="CJ32" i="5"/>
  <c r="CJ44" i="6"/>
  <c r="CJ27" i="6"/>
  <c r="CJ12" i="5"/>
  <c r="CJ28" i="6"/>
  <c r="CJ36" i="5"/>
  <c r="F106" i="35"/>
  <c r="CH11" i="4"/>
  <c r="CJ11" i="4" s="1"/>
  <c r="CJ39" i="6"/>
  <c r="CJ41" i="5"/>
  <c r="CJ30" i="6"/>
  <c r="CJ13" i="5"/>
  <c r="G63" i="37"/>
  <c r="H63" i="37" s="1"/>
  <c r="G127" i="37" s="1"/>
  <c r="I127" i="37" s="1"/>
  <c r="R84" i="35"/>
  <c r="V84" i="35" s="1"/>
  <c r="W84" i="35" s="1"/>
  <c r="R127" i="35"/>
  <c r="P5" i="32"/>
  <c r="Q5" i="32" s="1"/>
  <c r="R5" i="32" s="1"/>
  <c r="F104" i="37"/>
  <c r="G42" i="37"/>
  <c r="H42" i="37" s="1"/>
  <c r="G104" i="37" s="1"/>
  <c r="I104" i="37" s="1"/>
  <c r="AF5" i="32"/>
  <c r="AG5" i="32" s="1"/>
  <c r="AH5" i="32" s="1"/>
  <c r="F81" i="35"/>
  <c r="S127" i="35"/>
  <c r="F81" i="37"/>
  <c r="P19" i="32"/>
  <c r="Q19" i="32" s="1"/>
  <c r="R19" i="32" s="1"/>
  <c r="F83" i="36"/>
  <c r="G83" i="36" s="1"/>
  <c r="H83" i="36" s="1"/>
  <c r="CO51" i="16"/>
  <c r="M18" i="32"/>
  <c r="F97" i="37"/>
  <c r="Z42" i="32"/>
  <c r="AA42" i="32" s="1"/>
  <c r="AB42" i="32" s="1"/>
  <c r="G55" i="36"/>
  <c r="H55" i="36" s="1"/>
  <c r="G108" i="36" s="1"/>
  <c r="I108" i="36" s="1"/>
  <c r="G56" i="37"/>
  <c r="H56" i="37" s="1"/>
  <c r="G97" i="37" s="1"/>
  <c r="I97" i="37" s="1"/>
  <c r="J23" i="32"/>
  <c r="K23" i="32" s="1"/>
  <c r="L23" i="32" s="1"/>
  <c r="F108" i="36"/>
  <c r="F81" i="36"/>
  <c r="F83" i="35"/>
  <c r="G83" i="35" s="1"/>
  <c r="H83" i="35" s="1"/>
  <c r="G60" i="35"/>
  <c r="H60" i="35" s="1"/>
  <c r="G122" i="35" s="1"/>
  <c r="I122" i="35" s="1"/>
  <c r="R84" i="36"/>
  <c r="V84" i="36" s="1"/>
  <c r="W84" i="36" s="1"/>
  <c r="M22" i="32"/>
  <c r="N22" i="32" s="1"/>
  <c r="O22" i="32" s="1"/>
  <c r="Z23" i="32"/>
  <c r="AA23" i="32" s="1"/>
  <c r="AB23" i="32" s="1"/>
  <c r="J37" i="32"/>
  <c r="K37" i="32" s="1"/>
  <c r="L37" i="32" s="1"/>
  <c r="F104" i="36"/>
  <c r="CJ24" i="6"/>
  <c r="CJ50" i="6"/>
  <c r="CJ25" i="5"/>
  <c r="CJ47" i="6"/>
  <c r="F81" i="34"/>
  <c r="AH46" i="34"/>
  <c r="CJ47" i="5"/>
  <c r="CJ26" i="5"/>
  <c r="CJ18" i="6"/>
  <c r="CJ27" i="5"/>
  <c r="CJ20" i="5"/>
  <c r="CJ31" i="6"/>
  <c r="CJ50" i="5"/>
  <c r="CJ22" i="5"/>
  <c r="CJ35" i="6"/>
  <c r="CJ33" i="5"/>
  <c r="CJ46" i="6"/>
  <c r="CJ29" i="6"/>
  <c r="CJ12" i="6"/>
  <c r="CJ49" i="6"/>
  <c r="CH11" i="3"/>
  <c r="CJ11" i="3" s="1"/>
  <c r="CJ41" i="6"/>
  <c r="CJ24" i="5"/>
  <c r="CJ46" i="5"/>
  <c r="CJ35" i="5"/>
  <c r="CJ15" i="6"/>
  <c r="CJ31" i="5"/>
  <c r="CJ44" i="5"/>
  <c r="CJ38" i="5"/>
  <c r="CJ45" i="5"/>
  <c r="AH44" i="34"/>
  <c r="M51" i="32"/>
  <c r="N51" i="32" s="1"/>
  <c r="O51" i="32" s="1"/>
  <c r="N11" i="32"/>
  <c r="O11" i="32" s="1"/>
  <c r="Q18" i="32"/>
  <c r="R18" i="32" s="1"/>
  <c r="M55" i="32"/>
  <c r="N55" i="32" s="1"/>
  <c r="O55" i="32" s="1"/>
  <c r="N29" i="32"/>
  <c r="O29" i="32" s="1"/>
  <c r="AC50" i="32"/>
  <c r="AD10" i="32"/>
  <c r="AE10" i="32" s="1"/>
  <c r="N38" i="32"/>
  <c r="O38" i="32" s="1"/>
  <c r="K29" i="32"/>
  <c r="L29" i="32" s="1"/>
  <c r="J55" i="32"/>
  <c r="K55" i="32" s="1"/>
  <c r="L55" i="32" s="1"/>
  <c r="J51" i="32"/>
  <c r="K51" i="32" s="1"/>
  <c r="L51" i="32" s="1"/>
  <c r="K11" i="32"/>
  <c r="L11" i="32" s="1"/>
  <c r="Z49" i="32"/>
  <c r="AA5" i="32"/>
  <c r="AB5" i="32" s="1"/>
  <c r="AG18" i="32"/>
  <c r="AH18" i="32" s="1"/>
  <c r="AF53" i="32"/>
  <c r="F105" i="34"/>
  <c r="AH45" i="34"/>
  <c r="G8" i="32"/>
  <c r="H8" i="32" s="1"/>
  <c r="I8" i="32" s="1"/>
  <c r="G45" i="34"/>
  <c r="H45" i="34" s="1"/>
  <c r="G105" i="34" s="1"/>
  <c r="I105" i="34" s="1"/>
  <c r="W8" i="32"/>
  <c r="X8" i="32" s="1"/>
  <c r="Y8" i="32" s="1"/>
  <c r="W7" i="32"/>
  <c r="X7" i="32" s="1"/>
  <c r="Y7" i="32" s="1"/>
  <c r="G7" i="32"/>
  <c r="H7" i="32" s="1"/>
  <c r="I7" i="32" s="1"/>
  <c r="F107" i="34"/>
  <c r="G44" i="34"/>
  <c r="H44" i="34" s="1"/>
  <c r="G107" i="34" s="1"/>
  <c r="I107" i="34" s="1"/>
  <c r="AC55" i="32"/>
  <c r="AD29" i="32"/>
  <c r="AE29" i="32" s="1"/>
  <c r="G78" i="34"/>
  <c r="H78" i="34" s="1"/>
  <c r="G92" i="34" s="1"/>
  <c r="I92" i="34" s="1"/>
  <c r="F92" i="34"/>
  <c r="AH78" i="34"/>
  <c r="W41" i="32"/>
  <c r="X41" i="32" s="1"/>
  <c r="Y41" i="32" s="1"/>
  <c r="G41" i="32"/>
  <c r="H41" i="32" s="1"/>
  <c r="I41" i="32" s="1"/>
  <c r="M50" i="32"/>
  <c r="N50" i="32" s="1"/>
  <c r="O50" i="32" s="1"/>
  <c r="N10" i="32"/>
  <c r="O10" i="32" s="1"/>
  <c r="P55" i="32"/>
  <c r="Q55" i="32" s="1"/>
  <c r="R55" i="32" s="1"/>
  <c r="Q29" i="32"/>
  <c r="R29" i="32" s="1"/>
  <c r="AD22" i="32"/>
  <c r="AE22" i="32" s="1"/>
  <c r="AC54" i="32"/>
  <c r="H5" i="32"/>
  <c r="I5" i="32" s="1"/>
  <c r="F97" i="34"/>
  <c r="AH56" i="34"/>
  <c r="G56" i="34"/>
  <c r="H56" i="34" s="1"/>
  <c r="G97" i="34" s="1"/>
  <c r="I97" i="34" s="1"/>
  <c r="W19" i="32"/>
  <c r="X19" i="32" s="1"/>
  <c r="Y19" i="32" s="1"/>
  <c r="G19" i="32"/>
  <c r="H19" i="32" s="1"/>
  <c r="I19" i="32" s="1"/>
  <c r="AF50" i="32"/>
  <c r="AG10" i="32"/>
  <c r="AH10" i="32" s="1"/>
  <c r="W31" i="32"/>
  <c r="G31" i="32"/>
  <c r="F120" i="34"/>
  <c r="AH68" i="34"/>
  <c r="G68" i="34"/>
  <c r="H68" i="34" s="1"/>
  <c r="G120" i="34" s="1"/>
  <c r="I120" i="34" s="1"/>
  <c r="AC53" i="32"/>
  <c r="AD18" i="32"/>
  <c r="AE18" i="32" s="1"/>
  <c r="AH77" i="34"/>
  <c r="F113" i="34"/>
  <c r="G77" i="34"/>
  <c r="H77" i="34" s="1"/>
  <c r="G113" i="34" s="1"/>
  <c r="I113" i="34" s="1"/>
  <c r="G40" i="32"/>
  <c r="H40" i="32" s="1"/>
  <c r="I40" i="32" s="1"/>
  <c r="W40" i="32"/>
  <c r="X40" i="32" s="1"/>
  <c r="Y40" i="32" s="1"/>
  <c r="AF55" i="32"/>
  <c r="AG29" i="32"/>
  <c r="AH29" i="32" s="1"/>
  <c r="AC56" i="32"/>
  <c r="AD31" i="32"/>
  <c r="AE31" i="32" s="1"/>
  <c r="H42" i="35"/>
  <c r="AA38" i="32"/>
  <c r="AB38" i="32" s="1"/>
  <c r="Z58" i="32"/>
  <c r="S38" i="34"/>
  <c r="F28" i="34"/>
  <c r="AF81" i="34"/>
  <c r="AG81" i="34" s="1"/>
  <c r="F115" i="34"/>
  <c r="G57" i="34"/>
  <c r="H57" i="34" s="1"/>
  <c r="G115" i="34" s="1"/>
  <c r="I115" i="34" s="1"/>
  <c r="AH57" i="34"/>
  <c r="W20" i="32"/>
  <c r="X20" i="32" s="1"/>
  <c r="Y20" i="32" s="1"/>
  <c r="G20" i="32"/>
  <c r="H20" i="32" s="1"/>
  <c r="I20" i="32" s="1"/>
  <c r="AD38" i="32"/>
  <c r="AE38" i="32" s="1"/>
  <c r="AC58" i="32"/>
  <c r="G79" i="34"/>
  <c r="H79" i="34" s="1"/>
  <c r="G99" i="34" s="1"/>
  <c r="I99" i="34" s="1"/>
  <c r="F99" i="34"/>
  <c r="W42" i="32"/>
  <c r="X42" i="32" s="1"/>
  <c r="Y42" i="32" s="1"/>
  <c r="G42" i="32"/>
  <c r="H42" i="32" s="1"/>
  <c r="I42" i="32" s="1"/>
  <c r="AH79" i="34"/>
  <c r="M56" i="32"/>
  <c r="N56" i="32" s="1"/>
  <c r="O56" i="32" s="1"/>
  <c r="N31" i="32"/>
  <c r="O31" i="32" s="1"/>
  <c r="F95" i="37"/>
  <c r="AF9" i="32"/>
  <c r="AG9" i="32" s="1"/>
  <c r="AH9" i="32" s="1"/>
  <c r="P9" i="32"/>
  <c r="Q9" i="32" s="1"/>
  <c r="R9" i="32" s="1"/>
  <c r="G46" i="37"/>
  <c r="H46" i="37" s="1"/>
  <c r="G95" i="37" s="1"/>
  <c r="I95" i="37" s="1"/>
  <c r="W28" i="32"/>
  <c r="X28" i="32" s="1"/>
  <c r="Y28" i="32" s="1"/>
  <c r="AH65" i="34"/>
  <c r="G65" i="34"/>
  <c r="H65" i="34" s="1"/>
  <c r="G123" i="34" s="1"/>
  <c r="I123" i="34" s="1"/>
  <c r="F123" i="34"/>
  <c r="G28" i="32"/>
  <c r="H28" i="32" s="1"/>
  <c r="I28" i="32" s="1"/>
  <c r="G6" i="32"/>
  <c r="H6" i="32" s="1"/>
  <c r="I6" i="32" s="1"/>
  <c r="W6" i="32"/>
  <c r="X6" i="32" s="1"/>
  <c r="Y6" i="32" s="1"/>
  <c r="G43" i="34"/>
  <c r="H43" i="34" s="1"/>
  <c r="G94" i="34" s="1"/>
  <c r="I94" i="34" s="1"/>
  <c r="F94" i="34"/>
  <c r="G71" i="34"/>
  <c r="H71" i="34" s="1"/>
  <c r="G98" i="34" s="1"/>
  <c r="I98" i="34" s="1"/>
  <c r="AH71" i="34"/>
  <c r="F98" i="34"/>
  <c r="G34" i="32"/>
  <c r="H34" i="32" s="1"/>
  <c r="I34" i="32" s="1"/>
  <c r="W34" i="32"/>
  <c r="X34" i="32" s="1"/>
  <c r="Y34" i="32" s="1"/>
  <c r="P50" i="32"/>
  <c r="Q50" i="32" s="1"/>
  <c r="R50" i="32" s="1"/>
  <c r="Q10" i="32"/>
  <c r="R10" i="32" s="1"/>
  <c r="N12" i="32"/>
  <c r="O12" i="32" s="1"/>
  <c r="M52" i="32"/>
  <c r="N52" i="32" s="1"/>
  <c r="O52" i="32" s="1"/>
  <c r="Q31" i="32"/>
  <c r="R31" i="32" s="1"/>
  <c r="P56" i="32"/>
  <c r="Q56" i="32" s="1"/>
  <c r="R56" i="32" s="1"/>
  <c r="Q22" i="32"/>
  <c r="R22" i="32" s="1"/>
  <c r="P54" i="32"/>
  <c r="Q54" i="32" s="1"/>
  <c r="R54" i="32" s="1"/>
  <c r="F111" i="34"/>
  <c r="G38" i="32"/>
  <c r="W38" i="32"/>
  <c r="AH75" i="34"/>
  <c r="G75" i="34"/>
  <c r="H75" i="34" s="1"/>
  <c r="G111" i="34" s="1"/>
  <c r="I111" i="34" s="1"/>
  <c r="W25" i="32"/>
  <c r="X25" i="32" s="1"/>
  <c r="Y25" i="32" s="1"/>
  <c r="G25" i="32"/>
  <c r="H25" i="32" s="1"/>
  <c r="I25" i="32" s="1"/>
  <c r="F114" i="34"/>
  <c r="AH62" i="34"/>
  <c r="G62" i="34"/>
  <c r="H62" i="34" s="1"/>
  <c r="G114" i="34" s="1"/>
  <c r="I114" i="34" s="1"/>
  <c r="W37" i="32"/>
  <c r="X37" i="32" s="1"/>
  <c r="Y37" i="32" s="1"/>
  <c r="F102" i="34"/>
  <c r="G74" i="34"/>
  <c r="H74" i="34" s="1"/>
  <c r="G102" i="34" s="1"/>
  <c r="I102" i="34" s="1"/>
  <c r="G37" i="32"/>
  <c r="H37" i="32" s="1"/>
  <c r="I37" i="32" s="1"/>
  <c r="AH74" i="34"/>
  <c r="AD35" i="32"/>
  <c r="AE35" i="32" s="1"/>
  <c r="AC57" i="32"/>
  <c r="K38" i="32"/>
  <c r="L38" i="32" s="1"/>
  <c r="J58" i="32"/>
  <c r="K58" i="32" s="1"/>
  <c r="L58" i="32" s="1"/>
  <c r="AD12" i="32"/>
  <c r="AE12" i="32" s="1"/>
  <c r="AC52" i="32"/>
  <c r="F106" i="34"/>
  <c r="W35" i="32"/>
  <c r="G35" i="32"/>
  <c r="G72" i="34"/>
  <c r="H72" i="34" s="1"/>
  <c r="G106" i="34" s="1"/>
  <c r="I106" i="34" s="1"/>
  <c r="AH72" i="34"/>
  <c r="AG22" i="32"/>
  <c r="AH22" i="32" s="1"/>
  <c r="AF54" i="32"/>
  <c r="J53" i="32"/>
  <c r="K53" i="32" s="1"/>
  <c r="L53" i="32" s="1"/>
  <c r="K18" i="32"/>
  <c r="L18" i="32" s="1"/>
  <c r="G63" i="34"/>
  <c r="H63" i="34" s="1"/>
  <c r="G127" i="34" s="1"/>
  <c r="I127" i="34" s="1"/>
  <c r="G26" i="32"/>
  <c r="H26" i="32" s="1"/>
  <c r="I26" i="32" s="1"/>
  <c r="AH63" i="34"/>
  <c r="F127" i="34"/>
  <c r="W26" i="32"/>
  <c r="X26" i="32" s="1"/>
  <c r="Y26" i="32" s="1"/>
  <c r="N35" i="32"/>
  <c r="O35" i="32" s="1"/>
  <c r="M57" i="32"/>
  <c r="N57" i="32" s="1"/>
  <c r="O57" i="32" s="1"/>
  <c r="AH43" i="34"/>
  <c r="AG31" i="32"/>
  <c r="AH31" i="32" s="1"/>
  <c r="AF56" i="32"/>
  <c r="K22" i="32"/>
  <c r="L22" i="32" s="1"/>
  <c r="H42" i="36"/>
  <c r="G53" i="34"/>
  <c r="H53" i="34" s="1"/>
  <c r="G90" i="34" s="1"/>
  <c r="I90" i="34" s="1"/>
  <c r="F90" i="34"/>
  <c r="AH53" i="34"/>
  <c r="W16" i="32"/>
  <c r="X16" i="32" s="1"/>
  <c r="Y16" i="32" s="1"/>
  <c r="G16" i="32"/>
  <c r="H16" i="32" s="1"/>
  <c r="I16" i="32" s="1"/>
  <c r="Z53" i="32"/>
  <c r="AA18" i="32"/>
  <c r="AB18" i="32" s="1"/>
  <c r="AH67" i="34"/>
  <c r="G67" i="34"/>
  <c r="H67" i="34" s="1"/>
  <c r="G125" i="34" s="1"/>
  <c r="I125" i="34" s="1"/>
  <c r="F125" i="34"/>
  <c r="W30" i="32"/>
  <c r="X30" i="32" s="1"/>
  <c r="Y30" i="32" s="1"/>
  <c r="G30" i="32"/>
  <c r="H30" i="32" s="1"/>
  <c r="I30" i="32" s="1"/>
  <c r="AA22" i="32"/>
  <c r="AB22" i="32" s="1"/>
  <c r="Z54" i="32"/>
  <c r="F119" i="34"/>
  <c r="G70" i="34"/>
  <c r="H70" i="34" s="1"/>
  <c r="G119" i="34" s="1"/>
  <c r="I119" i="34" s="1"/>
  <c r="W33" i="32"/>
  <c r="X33" i="32" s="1"/>
  <c r="Y33" i="32" s="1"/>
  <c r="AH70" i="34"/>
  <c r="G33" i="32"/>
  <c r="H33" i="32" s="1"/>
  <c r="I33" i="32" s="1"/>
  <c r="AG38" i="32"/>
  <c r="AH38" i="32" s="1"/>
  <c r="AF58" i="32"/>
  <c r="AH54" i="34"/>
  <c r="G54" i="34"/>
  <c r="H54" i="34" s="1"/>
  <c r="G117" i="34" s="1"/>
  <c r="I117" i="34" s="1"/>
  <c r="F117" i="34"/>
  <c r="W17" i="32"/>
  <c r="X17" i="32" s="1"/>
  <c r="Y17" i="32" s="1"/>
  <c r="G17" i="32"/>
  <c r="H17" i="32" s="1"/>
  <c r="I17" i="32" s="1"/>
  <c r="G51" i="34"/>
  <c r="H51" i="34" s="1"/>
  <c r="G126" i="34" s="1"/>
  <c r="I126" i="34" s="1"/>
  <c r="F126" i="34"/>
  <c r="AH51" i="34"/>
  <c r="W14" i="32"/>
  <c r="X14" i="32" s="1"/>
  <c r="Y14" i="32" s="1"/>
  <c r="G14" i="32"/>
  <c r="H14" i="32" s="1"/>
  <c r="I14" i="32" s="1"/>
  <c r="AF57" i="32"/>
  <c r="AG35" i="32"/>
  <c r="AH35" i="32" s="1"/>
  <c r="F100" i="34"/>
  <c r="AH52" i="34"/>
  <c r="G52" i="34"/>
  <c r="H52" i="34" s="1"/>
  <c r="G100" i="34" s="1"/>
  <c r="I100" i="34" s="1"/>
  <c r="W15" i="32"/>
  <c r="X15" i="32" s="1"/>
  <c r="Y15" i="32" s="1"/>
  <c r="G15" i="32"/>
  <c r="H15" i="32" s="1"/>
  <c r="I15" i="32" s="1"/>
  <c r="G76" i="34"/>
  <c r="H76" i="34" s="1"/>
  <c r="G96" i="34" s="1"/>
  <c r="I96" i="34" s="1"/>
  <c r="AH76" i="34"/>
  <c r="W39" i="32"/>
  <c r="X39" i="32" s="1"/>
  <c r="Y39" i="32" s="1"/>
  <c r="F96" i="34"/>
  <c r="G39" i="32"/>
  <c r="H39" i="32" s="1"/>
  <c r="I39" i="32" s="1"/>
  <c r="W18" i="32"/>
  <c r="G18" i="32"/>
  <c r="F108" i="34"/>
  <c r="G55" i="34"/>
  <c r="H55" i="34" s="1"/>
  <c r="G108" i="34" s="1"/>
  <c r="I108" i="34" s="1"/>
  <c r="AH55" i="34"/>
  <c r="AA31" i="32"/>
  <c r="AB31" i="32" s="1"/>
  <c r="Z56" i="32"/>
  <c r="AH47" i="34"/>
  <c r="W10" i="32"/>
  <c r="F118" i="34"/>
  <c r="F83" i="34"/>
  <c r="G83" i="34" s="1"/>
  <c r="H83" i="34" s="1"/>
  <c r="G47" i="34"/>
  <c r="H47" i="34" s="1"/>
  <c r="G118" i="34" s="1"/>
  <c r="I118" i="34" s="1"/>
  <c r="G10" i="32"/>
  <c r="AH66" i="34"/>
  <c r="N5" i="32"/>
  <c r="O5" i="32" s="1"/>
  <c r="M49" i="32"/>
  <c r="N49" i="32" s="1"/>
  <c r="O49" i="32" s="1"/>
  <c r="J50" i="32"/>
  <c r="K50" i="32" s="1"/>
  <c r="L50" i="32" s="1"/>
  <c r="K10" i="32"/>
  <c r="L10" i="32" s="1"/>
  <c r="P58" i="32"/>
  <c r="Q58" i="32" s="1"/>
  <c r="R58" i="32" s="1"/>
  <c r="Q38" i="32"/>
  <c r="R38" i="32" s="1"/>
  <c r="G22" i="32"/>
  <c r="F121" i="34"/>
  <c r="AH59" i="34"/>
  <c r="W22" i="32"/>
  <c r="G59" i="34"/>
  <c r="H59" i="34" s="1"/>
  <c r="G121" i="34" s="1"/>
  <c r="I121" i="34" s="1"/>
  <c r="AC51" i="32"/>
  <c r="AD11" i="32"/>
  <c r="AE11" i="32" s="1"/>
  <c r="AG12" i="32"/>
  <c r="AH12" i="32" s="1"/>
  <c r="AF52" i="32"/>
  <c r="AH49" i="34"/>
  <c r="G49" i="34"/>
  <c r="H49" i="34" s="1"/>
  <c r="G101" i="34" s="1"/>
  <c r="I101" i="34" s="1"/>
  <c r="G12" i="32"/>
  <c r="W12" i="32"/>
  <c r="F101" i="34"/>
  <c r="AH61" i="34"/>
  <c r="K31" i="32"/>
  <c r="L31" i="32" s="1"/>
  <c r="J56" i="32"/>
  <c r="K56" i="32" s="1"/>
  <c r="L56" i="32" s="1"/>
  <c r="AD5" i="32"/>
  <c r="AE5" i="32" s="1"/>
  <c r="AC49" i="32"/>
  <c r="AC44" i="32"/>
  <c r="J52" i="32"/>
  <c r="K52" i="32" s="1"/>
  <c r="L52" i="32" s="1"/>
  <c r="K12" i="32"/>
  <c r="L12" i="32" s="1"/>
  <c r="K35" i="32"/>
  <c r="L35" i="32" s="1"/>
  <c r="J57" i="32"/>
  <c r="K57" i="32" s="1"/>
  <c r="L57" i="32" s="1"/>
  <c r="Z50" i="32"/>
  <c r="AA10" i="32"/>
  <c r="AB10" i="32" s="1"/>
  <c r="F91" i="34"/>
  <c r="AH58" i="34"/>
  <c r="W21" i="32"/>
  <c r="X21" i="32" s="1"/>
  <c r="Y21" i="32" s="1"/>
  <c r="G21" i="32"/>
  <c r="H21" i="32" s="1"/>
  <c r="I21" i="32" s="1"/>
  <c r="G58" i="34"/>
  <c r="H58" i="34" s="1"/>
  <c r="G91" i="34" s="1"/>
  <c r="I91" i="34" s="1"/>
  <c r="AH73" i="34"/>
  <c r="F116" i="34"/>
  <c r="W36" i="32"/>
  <c r="X36" i="32" s="1"/>
  <c r="Y36" i="32" s="1"/>
  <c r="G36" i="32"/>
  <c r="H36" i="32" s="1"/>
  <c r="I36" i="32" s="1"/>
  <c r="G73" i="34"/>
  <c r="H73" i="34" s="1"/>
  <c r="G116" i="34" s="1"/>
  <c r="I116" i="34" s="1"/>
  <c r="Q35" i="32"/>
  <c r="R35" i="32" s="1"/>
  <c r="P57" i="32"/>
  <c r="Q57" i="32" s="1"/>
  <c r="R57" i="32" s="1"/>
  <c r="F122" i="34"/>
  <c r="G23" i="32"/>
  <c r="H23" i="32" s="1"/>
  <c r="I23" i="32" s="1"/>
  <c r="W23" i="32"/>
  <c r="X23" i="32" s="1"/>
  <c r="Y23" i="32" s="1"/>
  <c r="AH60" i="34"/>
  <c r="G60" i="34"/>
  <c r="H60" i="34" s="1"/>
  <c r="G122" i="34" s="1"/>
  <c r="I122" i="34" s="1"/>
  <c r="Q12" i="32"/>
  <c r="R12" i="32" s="1"/>
  <c r="P52" i="32"/>
  <c r="Q52" i="32" s="1"/>
  <c r="R52" i="32" s="1"/>
  <c r="P51" i="32"/>
  <c r="Q51" i="32" s="1"/>
  <c r="R51" i="32" s="1"/>
  <c r="Q11" i="32"/>
  <c r="R11" i="32" s="1"/>
  <c r="X5" i="32"/>
  <c r="Y5" i="32" s="1"/>
  <c r="W24" i="32"/>
  <c r="X24" i="32" s="1"/>
  <c r="Y24" i="32" s="1"/>
  <c r="G24" i="32"/>
  <c r="H24" i="32" s="1"/>
  <c r="I24" i="32" s="1"/>
  <c r="F124" i="34"/>
  <c r="G61" i="34"/>
  <c r="H61" i="34" s="1"/>
  <c r="G124" i="34" s="1"/>
  <c r="I124" i="34" s="1"/>
  <c r="G43" i="32"/>
  <c r="H43" i="32" s="1"/>
  <c r="I43" i="32" s="1"/>
  <c r="W43" i="32"/>
  <c r="X43" i="32" s="1"/>
  <c r="Y43" i="32" s="1"/>
  <c r="F110" i="34"/>
  <c r="AH80" i="34"/>
  <c r="G80" i="34"/>
  <c r="H80" i="34" s="1"/>
  <c r="G110" i="34" s="1"/>
  <c r="I110" i="34" s="1"/>
  <c r="G66" i="34"/>
  <c r="H66" i="34" s="1"/>
  <c r="G112" i="34" s="1"/>
  <c r="I112" i="34" s="1"/>
  <c r="F112" i="34"/>
  <c r="W29" i="32"/>
  <c r="G29" i="32"/>
  <c r="Z52" i="32"/>
  <c r="AA12" i="32"/>
  <c r="AB12" i="32" s="1"/>
  <c r="AA35" i="32"/>
  <c r="AB35" i="32" s="1"/>
  <c r="Z57" i="32"/>
  <c r="DB50" i="24"/>
  <c r="S127" i="34"/>
  <c r="Q87" i="34"/>
  <c r="S84" i="34"/>
  <c r="X84" i="34" s="1"/>
  <c r="Y84" i="34" s="1"/>
  <c r="AF51" i="32"/>
  <c r="AG11" i="32"/>
  <c r="AH11" i="32" s="1"/>
  <c r="H42" i="34"/>
  <c r="N18" i="32"/>
  <c r="O18" i="32" s="1"/>
  <c r="M53" i="32"/>
  <c r="N53" i="32" s="1"/>
  <c r="O53" i="32" s="1"/>
  <c r="F95" i="34"/>
  <c r="G46" i="34"/>
  <c r="H46" i="34" s="1"/>
  <c r="G95" i="34" s="1"/>
  <c r="I95" i="34" s="1"/>
  <c r="G9" i="32"/>
  <c r="H9" i="32" s="1"/>
  <c r="I9" i="32" s="1"/>
  <c r="W9" i="32"/>
  <c r="X9" i="32" s="1"/>
  <c r="Y9" i="32" s="1"/>
  <c r="Z55" i="32"/>
  <c r="AA29" i="32"/>
  <c r="AB29" i="32" s="1"/>
  <c r="Z51" i="32"/>
  <c r="AA11" i="32"/>
  <c r="AB11" i="32" s="1"/>
  <c r="G11" i="32"/>
  <c r="G48" i="34"/>
  <c r="H48" i="34" s="1"/>
  <c r="G109" i="34" s="1"/>
  <c r="I109" i="34" s="1"/>
  <c r="AH48" i="34"/>
  <c r="W11" i="32"/>
  <c r="F109" i="34"/>
  <c r="F103" i="34"/>
  <c r="AH69" i="34"/>
  <c r="W32" i="32"/>
  <c r="X32" i="32" s="1"/>
  <c r="Y32" i="32" s="1"/>
  <c r="G69" i="34"/>
  <c r="H69" i="34" s="1"/>
  <c r="G103" i="34" s="1"/>
  <c r="I103" i="34" s="1"/>
  <c r="G32" i="32"/>
  <c r="H32" i="32" s="1"/>
  <c r="I32" i="32" s="1"/>
  <c r="G50" i="34"/>
  <c r="H50" i="34" s="1"/>
  <c r="G93" i="34" s="1"/>
  <c r="I93" i="34" s="1"/>
  <c r="AH50" i="34"/>
  <c r="W13" i="32"/>
  <c r="X13" i="32" s="1"/>
  <c r="Y13" i="32" s="1"/>
  <c r="G13" i="32"/>
  <c r="H13" i="32" s="1"/>
  <c r="I13" i="32" s="1"/>
  <c r="F93" i="34"/>
  <c r="J49" i="32"/>
  <c r="K49" i="32" s="1"/>
  <c r="L49" i="32" s="1"/>
  <c r="K5" i="32"/>
  <c r="L5" i="32" s="1"/>
  <c r="DB50" i="22"/>
  <c r="CZ50" i="22"/>
  <c r="DA12" i="22"/>
  <c r="DA50" i="22" s="1"/>
  <c r="CJ51" i="2"/>
  <c r="CK30" i="2" s="1"/>
  <c r="CH51" i="4"/>
  <c r="CK6" i="4" s="1"/>
  <c r="CB8" i="4"/>
  <c r="CJ21" i="6"/>
  <c r="CJ13" i="6"/>
  <c r="CH51" i="3"/>
  <c r="CK6" i="3" s="1"/>
  <c r="CB8" i="3"/>
  <c r="CH51" i="2"/>
  <c r="CK6" i="2" s="1"/>
  <c r="CB8" i="2"/>
  <c r="CJ18" i="5"/>
  <c r="CJ40" i="6"/>
  <c r="CJ42" i="6"/>
  <c r="CA51" i="5"/>
  <c r="CF11" i="5"/>
  <c r="CG11" i="5"/>
  <c r="CG51" i="5" s="1"/>
  <c r="CC11" i="5"/>
  <c r="CC51" i="5" s="1"/>
  <c r="CJ22" i="6"/>
  <c r="CJ14" i="5"/>
  <c r="CJ16" i="6"/>
  <c r="CA51" i="6"/>
  <c r="CG11" i="6"/>
  <c r="CG51" i="6" s="1"/>
  <c r="CC11" i="6"/>
  <c r="CC51" i="6" s="1"/>
  <c r="CF11" i="6"/>
  <c r="CJ48" i="5"/>
  <c r="M58" i="32" l="1"/>
  <c r="N58" i="32" s="1"/>
  <c r="O58" i="32" s="1"/>
  <c r="F84" i="37"/>
  <c r="G84" i="37" s="1"/>
  <c r="H84" i="37" s="1"/>
  <c r="G81" i="36"/>
  <c r="P49" i="32"/>
  <c r="Q49" i="32" s="1"/>
  <c r="R49" i="32" s="1"/>
  <c r="J54" i="32"/>
  <c r="K54" i="32" s="1"/>
  <c r="L54" i="32" s="1"/>
  <c r="CJ51" i="4"/>
  <c r="CK40" i="4" s="1"/>
  <c r="CL40" i="4" s="1"/>
  <c r="CM40" i="4" s="1"/>
  <c r="CO40" i="4" s="1"/>
  <c r="J44" i="32"/>
  <c r="AF44" i="32"/>
  <c r="F84" i="36"/>
  <c r="G84" i="36" s="1"/>
  <c r="H84" i="36" s="1"/>
  <c r="G81" i="37"/>
  <c r="F84" i="35"/>
  <c r="G84" i="35" s="1"/>
  <c r="H84" i="35" s="1"/>
  <c r="Z44" i="32"/>
  <c r="G81" i="35"/>
  <c r="M44" i="32"/>
  <c r="M54" i="32"/>
  <c r="N54" i="32" s="1"/>
  <c r="O54" i="32" s="1"/>
  <c r="P53" i="32"/>
  <c r="Q53" i="32" s="1"/>
  <c r="R53" i="32" s="1"/>
  <c r="CL30" i="2"/>
  <c r="CM30" i="2" s="1"/>
  <c r="CO30" i="2" s="1"/>
  <c r="AF49" i="32"/>
  <c r="AG49" i="32" s="1"/>
  <c r="H81" i="37"/>
  <c r="G104" i="35"/>
  <c r="I104" i="35" s="1"/>
  <c r="H81" i="35"/>
  <c r="H18" i="32"/>
  <c r="I18" i="32" s="1"/>
  <c r="G53" i="32"/>
  <c r="H53" i="32" s="1"/>
  <c r="I53" i="32" s="1"/>
  <c r="AG58" i="32"/>
  <c r="AF73" i="32"/>
  <c r="AC67" i="32"/>
  <c r="AD52" i="32"/>
  <c r="G44" i="32"/>
  <c r="H35" i="32"/>
  <c r="I35" i="32" s="1"/>
  <c r="G57" i="32"/>
  <c r="H57" i="32" s="1"/>
  <c r="I57" i="32" s="1"/>
  <c r="H29" i="32"/>
  <c r="I29" i="32" s="1"/>
  <c r="G55" i="32"/>
  <c r="H55" i="32" s="1"/>
  <c r="I55" i="32" s="1"/>
  <c r="G50" i="32"/>
  <c r="H50" i="32" s="1"/>
  <c r="I50" i="32" s="1"/>
  <c r="H10" i="32"/>
  <c r="I10" i="32" s="1"/>
  <c r="AF72" i="32"/>
  <c r="AG57" i="32"/>
  <c r="AC71" i="32"/>
  <c r="AD56" i="32"/>
  <c r="G49" i="32"/>
  <c r="H49" i="32" s="1"/>
  <c r="I49" i="32" s="1"/>
  <c r="AF68" i="32"/>
  <c r="AG53" i="32"/>
  <c r="AC65" i="32"/>
  <c r="AD50" i="32"/>
  <c r="W51" i="32"/>
  <c r="X11" i="32"/>
  <c r="Y11" i="32" s="1"/>
  <c r="AA52" i="32"/>
  <c r="Z67" i="32"/>
  <c r="X22" i="32"/>
  <c r="Y22" i="32" s="1"/>
  <c r="W54" i="32"/>
  <c r="H81" i="34"/>
  <c r="G104" i="34"/>
  <c r="I104" i="34" s="1"/>
  <c r="X18" i="32"/>
  <c r="Y18" i="32" s="1"/>
  <c r="W53" i="32"/>
  <c r="G51" i="32"/>
  <c r="H51" i="32" s="1"/>
  <c r="I51" i="32" s="1"/>
  <c r="H11" i="32"/>
  <c r="I11" i="32" s="1"/>
  <c r="G81" i="34"/>
  <c r="X29" i="32"/>
  <c r="Y29" i="32" s="1"/>
  <c r="W55" i="32"/>
  <c r="W49" i="32"/>
  <c r="AG56" i="32"/>
  <c r="AF71" i="32"/>
  <c r="H31" i="32"/>
  <c r="I31" i="32" s="1"/>
  <c r="G56" i="32"/>
  <c r="H56" i="32" s="1"/>
  <c r="I56" i="32" s="1"/>
  <c r="AC69" i="32"/>
  <c r="AD54" i="32"/>
  <c r="Z69" i="32"/>
  <c r="AA54" i="32"/>
  <c r="G104" i="36"/>
  <c r="I104" i="36" s="1"/>
  <c r="H81" i="36"/>
  <c r="Z65" i="32"/>
  <c r="AA50" i="32"/>
  <c r="X12" i="32"/>
  <c r="Y12" i="32" s="1"/>
  <c r="W52" i="32"/>
  <c r="H22" i="32"/>
  <c r="I22" i="32" s="1"/>
  <c r="G54" i="32"/>
  <c r="H54" i="32" s="1"/>
  <c r="I54" i="32" s="1"/>
  <c r="AF69" i="32"/>
  <c r="AG54" i="32"/>
  <c r="AG55" i="32"/>
  <c r="AF70" i="32"/>
  <c r="W56" i="32"/>
  <c r="X31" i="32"/>
  <c r="Y31" i="32" s="1"/>
  <c r="AC70" i="32"/>
  <c r="AD55" i="32"/>
  <c r="W44" i="32"/>
  <c r="H12" i="32"/>
  <c r="I12" i="32" s="1"/>
  <c r="G52" i="32"/>
  <c r="H52" i="32" s="1"/>
  <c r="I52" i="32" s="1"/>
  <c r="Z68" i="32"/>
  <c r="AA53" i="32"/>
  <c r="AD57" i="32"/>
  <c r="AC72" i="32"/>
  <c r="Z70" i="32"/>
  <c r="AA55" i="32"/>
  <c r="Z66" i="32"/>
  <c r="AA51" i="32"/>
  <c r="AF66" i="32"/>
  <c r="AG51" i="32"/>
  <c r="W50" i="32"/>
  <c r="X10" i="32"/>
  <c r="Y10" i="32" s="1"/>
  <c r="AF65" i="32"/>
  <c r="AG50" i="32"/>
  <c r="Z64" i="32"/>
  <c r="AA49" i="32"/>
  <c r="F38" i="34"/>
  <c r="G28" i="34"/>
  <c r="H28" i="34" s="1"/>
  <c r="X38" i="32"/>
  <c r="Y38" i="32" s="1"/>
  <c r="W58" i="32"/>
  <c r="AG52" i="32"/>
  <c r="AF67" i="32"/>
  <c r="Z71" i="32"/>
  <c r="AA56" i="32"/>
  <c r="P44" i="32"/>
  <c r="H38" i="32"/>
  <c r="I38" i="32" s="1"/>
  <c r="G58" i="32"/>
  <c r="H58" i="32" s="1"/>
  <c r="I58" i="32" s="1"/>
  <c r="Z73" i="32"/>
  <c r="AA58" i="32"/>
  <c r="Z72" i="32"/>
  <c r="AA57" i="32"/>
  <c r="AC64" i="32"/>
  <c r="AD49" i="32"/>
  <c r="X35" i="32"/>
  <c r="Y35" i="32" s="1"/>
  <c r="W57" i="32"/>
  <c r="AC66" i="32"/>
  <c r="AD51" i="32"/>
  <c r="AD58" i="32"/>
  <c r="AC73" i="32"/>
  <c r="AC68" i="32"/>
  <c r="AD53" i="32"/>
  <c r="F84" i="34"/>
  <c r="G84" i="34" s="1"/>
  <c r="H84" i="34" s="1"/>
  <c r="CH51" i="6"/>
  <c r="CK6" i="6" s="1"/>
  <c r="CB8" i="6"/>
  <c r="CJ51" i="3"/>
  <c r="CK11" i="3" s="1"/>
  <c r="CL11" i="3" s="1"/>
  <c r="CM11" i="3" s="1"/>
  <c r="CO11" i="3" s="1"/>
  <c r="CH11" i="5"/>
  <c r="CJ11" i="5" s="1"/>
  <c r="CH51" i="5"/>
  <c r="CK6" i="5" s="1"/>
  <c r="CB8" i="5"/>
  <c r="CK17" i="4"/>
  <c r="CL17" i="4" s="1"/>
  <c r="CK28" i="4"/>
  <c r="CL28" i="4" s="1"/>
  <c r="CM28" i="4" s="1"/>
  <c r="CO28" i="4" s="1"/>
  <c r="CK29" i="4"/>
  <c r="CL29" i="4" s="1"/>
  <c r="CM29" i="4" s="1"/>
  <c r="CO29" i="4" s="1"/>
  <c r="CK19" i="4"/>
  <c r="CL19" i="4" s="1"/>
  <c r="CM19" i="4" s="1"/>
  <c r="CO19" i="4" s="1"/>
  <c r="CK34" i="4"/>
  <c r="CL34" i="4" s="1"/>
  <c r="CM34" i="4" s="1"/>
  <c r="CO34" i="4" s="1"/>
  <c r="CK32" i="4"/>
  <c r="CL32" i="4" s="1"/>
  <c r="CM32" i="4" s="1"/>
  <c r="CO32" i="4" s="1"/>
  <c r="CK13" i="4"/>
  <c r="CL13" i="4" s="1"/>
  <c r="CM13" i="4" s="1"/>
  <c r="CO13" i="4" s="1"/>
  <c r="CK22" i="4"/>
  <c r="CL22" i="4" s="1"/>
  <c r="CM22" i="4" s="1"/>
  <c r="CO22" i="4" s="1"/>
  <c r="CK20" i="4"/>
  <c r="CL20" i="4" s="1"/>
  <c r="CM20" i="4" s="1"/>
  <c r="CO20" i="4" s="1"/>
  <c r="CK37" i="4"/>
  <c r="CL37" i="4" s="1"/>
  <c r="CM37" i="4" s="1"/>
  <c r="CO37" i="4" s="1"/>
  <c r="CK30" i="4"/>
  <c r="CL30" i="4" s="1"/>
  <c r="CM30" i="4" s="1"/>
  <c r="CO30" i="4" s="1"/>
  <c r="CK48" i="4"/>
  <c r="CL48" i="4" s="1"/>
  <c r="CM48" i="4" s="1"/>
  <c r="CO48" i="4" s="1"/>
  <c r="CK27" i="4"/>
  <c r="CL27" i="4" s="1"/>
  <c r="CM27" i="4" s="1"/>
  <c r="CO27" i="4" s="1"/>
  <c r="CK12" i="4"/>
  <c r="CL12" i="4" s="1"/>
  <c r="CM12" i="4" s="1"/>
  <c r="CO12" i="4" s="1"/>
  <c r="CK44" i="4"/>
  <c r="CL44" i="4" s="1"/>
  <c r="CM44" i="4" s="1"/>
  <c r="CO44" i="4" s="1"/>
  <c r="CK23" i="4"/>
  <c r="CL23" i="4" s="1"/>
  <c r="CM23" i="4" s="1"/>
  <c r="CO23" i="4" s="1"/>
  <c r="CK25" i="4"/>
  <c r="CL25" i="4" s="1"/>
  <c r="CM25" i="4" s="1"/>
  <c r="CO25" i="4" s="1"/>
  <c r="CK14" i="4"/>
  <c r="CL14" i="4" s="1"/>
  <c r="CM14" i="4" s="1"/>
  <c r="CO14" i="4" s="1"/>
  <c r="CK33" i="4"/>
  <c r="CL33" i="4" s="1"/>
  <c r="CM33" i="4" s="1"/>
  <c r="CO33" i="4" s="1"/>
  <c r="CK39" i="4"/>
  <c r="CL39" i="4" s="1"/>
  <c r="CM39" i="4" s="1"/>
  <c r="CO39" i="4" s="1"/>
  <c r="CK35" i="4"/>
  <c r="CL35" i="4" s="1"/>
  <c r="CM35" i="4" s="1"/>
  <c r="CO35" i="4" s="1"/>
  <c r="CK15" i="4"/>
  <c r="CL15" i="4" s="1"/>
  <c r="CM15" i="4" s="1"/>
  <c r="CO15" i="4" s="1"/>
  <c r="CK21" i="4"/>
  <c r="CL21" i="4" s="1"/>
  <c r="CM21" i="4" s="1"/>
  <c r="CO21" i="4" s="1"/>
  <c r="CK43" i="4"/>
  <c r="CL43" i="4" s="1"/>
  <c r="CM43" i="4" s="1"/>
  <c r="CO43" i="4" s="1"/>
  <c r="CK16" i="4"/>
  <c r="CL16" i="4" s="1"/>
  <c r="CM16" i="4" s="1"/>
  <c r="CO16" i="4" s="1"/>
  <c r="CK49" i="4"/>
  <c r="CL49" i="4" s="1"/>
  <c r="CM49" i="4" s="1"/>
  <c r="CO49" i="4" s="1"/>
  <c r="CK46" i="4"/>
  <c r="CL46" i="4" s="1"/>
  <c r="CM46" i="4" s="1"/>
  <c r="CO46" i="4" s="1"/>
  <c r="CK31" i="4"/>
  <c r="CL31" i="4" s="1"/>
  <c r="CM31" i="4" s="1"/>
  <c r="CO31" i="4" s="1"/>
  <c r="CK51" i="2"/>
  <c r="CL51" i="2" s="1"/>
  <c r="CM51" i="2" s="1"/>
  <c r="CO51" i="2" s="1"/>
  <c r="CK17" i="2"/>
  <c r="CL17" i="2" s="1"/>
  <c r="CK25" i="2"/>
  <c r="CL25" i="2" s="1"/>
  <c r="CM25" i="2" s="1"/>
  <c r="CO25" i="2" s="1"/>
  <c r="CK38" i="2"/>
  <c r="CL38" i="2" s="1"/>
  <c r="CM38" i="2" s="1"/>
  <c r="CO38" i="2" s="1"/>
  <c r="CK33" i="2"/>
  <c r="CL33" i="2" s="1"/>
  <c r="CM33" i="2" s="1"/>
  <c r="CO33" i="2" s="1"/>
  <c r="CK36" i="2"/>
  <c r="CL36" i="2" s="1"/>
  <c r="CM36" i="2" s="1"/>
  <c r="CO36" i="2" s="1"/>
  <c r="CK15" i="2"/>
  <c r="CL15" i="2" s="1"/>
  <c r="CM15" i="2" s="1"/>
  <c r="CO15" i="2" s="1"/>
  <c r="CK29" i="2"/>
  <c r="CL29" i="2" s="1"/>
  <c r="CM29" i="2" s="1"/>
  <c r="CO29" i="2" s="1"/>
  <c r="CK26" i="2"/>
  <c r="CL26" i="2" s="1"/>
  <c r="CM26" i="2" s="1"/>
  <c r="CO26" i="2" s="1"/>
  <c r="CK28" i="2"/>
  <c r="CL28" i="2" s="1"/>
  <c r="CM28" i="2" s="1"/>
  <c r="CO28" i="2" s="1"/>
  <c r="CK48" i="2"/>
  <c r="CL48" i="2" s="1"/>
  <c r="CM48" i="2" s="1"/>
  <c r="CO48" i="2" s="1"/>
  <c r="CK14" i="2"/>
  <c r="CL14" i="2" s="1"/>
  <c r="CM14" i="2" s="1"/>
  <c r="CO14" i="2" s="1"/>
  <c r="CK41" i="2"/>
  <c r="CL41" i="2" s="1"/>
  <c r="CM41" i="2" s="1"/>
  <c r="CO41" i="2" s="1"/>
  <c r="CK43" i="2"/>
  <c r="CL43" i="2" s="1"/>
  <c r="CM43" i="2" s="1"/>
  <c r="CO43" i="2" s="1"/>
  <c r="CK22" i="2"/>
  <c r="CL22" i="2" s="1"/>
  <c r="CM22" i="2" s="1"/>
  <c r="CO22" i="2" s="1"/>
  <c r="CK31" i="2"/>
  <c r="CL31" i="2" s="1"/>
  <c r="CM31" i="2" s="1"/>
  <c r="CO31" i="2" s="1"/>
  <c r="CK34" i="2"/>
  <c r="CL34" i="2" s="1"/>
  <c r="CM34" i="2" s="1"/>
  <c r="CO34" i="2" s="1"/>
  <c r="CK35" i="2"/>
  <c r="CL35" i="2" s="1"/>
  <c r="CM35" i="2" s="1"/>
  <c r="CO35" i="2" s="1"/>
  <c r="CK39" i="2"/>
  <c r="CL39" i="2" s="1"/>
  <c r="CM39" i="2" s="1"/>
  <c r="CO39" i="2" s="1"/>
  <c r="CK21" i="2"/>
  <c r="CL21" i="2" s="1"/>
  <c r="CM21" i="2" s="1"/>
  <c r="CO21" i="2" s="1"/>
  <c r="CK18" i="2"/>
  <c r="CL18" i="2" s="1"/>
  <c r="CM18" i="2" s="1"/>
  <c r="CO18" i="2" s="1"/>
  <c r="CK19" i="2"/>
  <c r="CL19" i="2" s="1"/>
  <c r="CM19" i="2" s="1"/>
  <c r="CO19" i="2" s="1"/>
  <c r="CK37" i="2"/>
  <c r="CL37" i="2" s="1"/>
  <c r="CM37" i="2" s="1"/>
  <c r="CO37" i="2" s="1"/>
  <c r="CK23" i="2"/>
  <c r="CL23" i="2" s="1"/>
  <c r="CM23" i="2" s="1"/>
  <c r="CO23" i="2" s="1"/>
  <c r="CK24" i="2"/>
  <c r="CL24" i="2" s="1"/>
  <c r="CM24" i="2" s="1"/>
  <c r="CO24" i="2" s="1"/>
  <c r="CK40" i="2"/>
  <c r="CL40" i="2" s="1"/>
  <c r="CM40" i="2" s="1"/>
  <c r="CO40" i="2" s="1"/>
  <c r="CK32" i="2"/>
  <c r="CL32" i="2" s="1"/>
  <c r="CM32" i="2" s="1"/>
  <c r="CO32" i="2" s="1"/>
  <c r="CK13" i="2"/>
  <c r="CL13" i="2" s="1"/>
  <c r="CM13" i="2" s="1"/>
  <c r="CO13" i="2" s="1"/>
  <c r="CK50" i="2"/>
  <c r="CL50" i="2" s="1"/>
  <c r="CM50" i="2" s="1"/>
  <c r="CO50" i="2" s="1"/>
  <c r="CK16" i="2"/>
  <c r="CL16" i="2" s="1"/>
  <c r="CM16" i="2" s="1"/>
  <c r="CO16" i="2" s="1"/>
  <c r="CK45" i="2"/>
  <c r="CL45" i="2" s="1"/>
  <c r="CM45" i="2" s="1"/>
  <c r="CO45" i="2" s="1"/>
  <c r="CK44" i="2"/>
  <c r="CL44" i="2" s="1"/>
  <c r="CM44" i="2" s="1"/>
  <c r="CO44" i="2" s="1"/>
  <c r="CK20" i="2"/>
  <c r="CL20" i="2" s="1"/>
  <c r="CM20" i="2" s="1"/>
  <c r="CO20" i="2" s="1"/>
  <c r="CK27" i="2"/>
  <c r="CL27" i="2" s="1"/>
  <c r="CM27" i="2" s="1"/>
  <c r="CO27" i="2" s="1"/>
  <c r="CK47" i="2"/>
  <c r="CL47" i="2" s="1"/>
  <c r="CM47" i="2" s="1"/>
  <c r="CO47" i="2" s="1"/>
  <c r="CK12" i="2"/>
  <c r="CL12" i="2" s="1"/>
  <c r="CM12" i="2" s="1"/>
  <c r="CO12" i="2" s="1"/>
  <c r="CK46" i="2"/>
  <c r="CL46" i="2" s="1"/>
  <c r="CM46" i="2" s="1"/>
  <c r="CO46" i="2" s="1"/>
  <c r="CK42" i="2"/>
  <c r="CL42" i="2" s="1"/>
  <c r="CM42" i="2" s="1"/>
  <c r="CO42" i="2" s="1"/>
  <c r="CK49" i="2"/>
  <c r="CL49" i="2" s="1"/>
  <c r="CM49" i="2" s="1"/>
  <c r="CO49" i="2" s="1"/>
  <c r="CH11" i="6"/>
  <c r="CJ11" i="6" s="1"/>
  <c r="CK11" i="2"/>
  <c r="CL11" i="2" s="1"/>
  <c r="CM11" i="2" s="1"/>
  <c r="CO11" i="2" s="1"/>
  <c r="CK24" i="4" l="1"/>
  <c r="CL24" i="4" s="1"/>
  <c r="CM24" i="4" s="1"/>
  <c r="CO24" i="4" s="1"/>
  <c r="CK18" i="4"/>
  <c r="CL18" i="4" s="1"/>
  <c r="CM18" i="4" s="1"/>
  <c r="CO18" i="4" s="1"/>
  <c r="CK41" i="4"/>
  <c r="CL41" i="4" s="1"/>
  <c r="CM41" i="4" s="1"/>
  <c r="CO41" i="4" s="1"/>
  <c r="CK42" i="4"/>
  <c r="CL42" i="4" s="1"/>
  <c r="CM42" i="4" s="1"/>
  <c r="CO42" i="4" s="1"/>
  <c r="CK47" i="4"/>
  <c r="CL47" i="4" s="1"/>
  <c r="CM47" i="4" s="1"/>
  <c r="CO47" i="4" s="1"/>
  <c r="CK50" i="4"/>
  <c r="CL50" i="4" s="1"/>
  <c r="CM50" i="4" s="1"/>
  <c r="CO50" i="4" s="1"/>
  <c r="CK36" i="4"/>
  <c r="CL36" i="4" s="1"/>
  <c r="CM36" i="4" s="1"/>
  <c r="CO36" i="4" s="1"/>
  <c r="CK26" i="4"/>
  <c r="CL26" i="4" s="1"/>
  <c r="CM26" i="4" s="1"/>
  <c r="CO26" i="4" s="1"/>
  <c r="CK38" i="4"/>
  <c r="CL38" i="4" s="1"/>
  <c r="CM38" i="4" s="1"/>
  <c r="CO38" i="4" s="1"/>
  <c r="CK45" i="4"/>
  <c r="CL45" i="4" s="1"/>
  <c r="CM45" i="4" s="1"/>
  <c r="CO45" i="4" s="1"/>
  <c r="CK51" i="4"/>
  <c r="CL51" i="4" s="1"/>
  <c r="CM51" i="4" s="1"/>
  <c r="CO51" i="4" s="1"/>
  <c r="CK11" i="4"/>
  <c r="CL11" i="4" s="1"/>
  <c r="CM11" i="4" s="1"/>
  <c r="CO11" i="4" s="1"/>
  <c r="AF64" i="32"/>
  <c r="AE49" i="32"/>
  <c r="AE64" i="32" s="1"/>
  <c r="AD64" i="32"/>
  <c r="W66" i="32"/>
  <c r="X51" i="32"/>
  <c r="AA69" i="32"/>
  <c r="AB54" i="32"/>
  <c r="AB69" i="32" s="1"/>
  <c r="AD65" i="32"/>
  <c r="AE50" i="32"/>
  <c r="AE65" i="32" s="1"/>
  <c r="AD73" i="32"/>
  <c r="AE58" i="32"/>
  <c r="AE73" i="32" s="1"/>
  <c r="AB49" i="32"/>
  <c r="AB64" i="32" s="1"/>
  <c r="AA64" i="32"/>
  <c r="AG70" i="32"/>
  <c r="AH55" i="32"/>
  <c r="AH70" i="32" s="1"/>
  <c r="AA65" i="32"/>
  <c r="AB50" i="32"/>
  <c r="AB65" i="32" s="1"/>
  <c r="AD68" i="32"/>
  <c r="AE53" i="32"/>
  <c r="AE68" i="32" s="1"/>
  <c r="AA72" i="32"/>
  <c r="AB57" i="32"/>
  <c r="AB72" i="32" s="1"/>
  <c r="AA70" i="32"/>
  <c r="AB55" i="32"/>
  <c r="AB70" i="32" s="1"/>
  <c r="AD72" i="32"/>
  <c r="AE57" i="32"/>
  <c r="AE72" i="32" s="1"/>
  <c r="AG69" i="32"/>
  <c r="AH54" i="32"/>
  <c r="AH69" i="32" s="1"/>
  <c r="AE54" i="32"/>
  <c r="AE69" i="32" s="1"/>
  <c r="AD69" i="32"/>
  <c r="AE55" i="32"/>
  <c r="AE70" i="32" s="1"/>
  <c r="AD70" i="32"/>
  <c r="X56" i="32"/>
  <c r="W71" i="32"/>
  <c r="AA73" i="32"/>
  <c r="AB58" i="32"/>
  <c r="AB73" i="32" s="1"/>
  <c r="AE51" i="32"/>
  <c r="AE66" i="32" s="1"/>
  <c r="AD66" i="32"/>
  <c r="W68" i="32"/>
  <c r="X53" i="32"/>
  <c r="AH53" i="32"/>
  <c r="AH68" i="32" s="1"/>
  <c r="AG68" i="32"/>
  <c r="AG65" i="32"/>
  <c r="AH50" i="32"/>
  <c r="AH65" i="32" s="1"/>
  <c r="AB53" i="32"/>
  <c r="AB68" i="32" s="1"/>
  <c r="AA68" i="32"/>
  <c r="W72" i="32"/>
  <c r="X57" i="32"/>
  <c r="AD67" i="32"/>
  <c r="AE52" i="32"/>
  <c r="AE67" i="32" s="1"/>
  <c r="AD71" i="32"/>
  <c r="AE56" i="32"/>
  <c r="AE71" i="32" s="1"/>
  <c r="X50" i="32"/>
  <c r="W65" i="32"/>
  <c r="W69" i="32"/>
  <c r="X54" i="32"/>
  <c r="W67" i="32"/>
  <c r="X52" i="32"/>
  <c r="AH49" i="32"/>
  <c r="AH64" i="32" s="1"/>
  <c r="AG64" i="32"/>
  <c r="AG66" i="32"/>
  <c r="AH51" i="32"/>
  <c r="AH66" i="32" s="1"/>
  <c r="AH56" i="32"/>
  <c r="AH71" i="32" s="1"/>
  <c r="AG71" i="32"/>
  <c r="AH57" i="32"/>
  <c r="AH72" i="32" s="1"/>
  <c r="AG72" i="32"/>
  <c r="AH58" i="32"/>
  <c r="AH73" i="32" s="1"/>
  <c r="AG73" i="32"/>
  <c r="W64" i="32"/>
  <c r="X49" i="32"/>
  <c r="AA71" i="32"/>
  <c r="AB56" i="32"/>
  <c r="AB71" i="32" s="1"/>
  <c r="AH52" i="32"/>
  <c r="AH67" i="32" s="1"/>
  <c r="AG67" i="32"/>
  <c r="X58" i="32"/>
  <c r="W73" i="32"/>
  <c r="AA66" i="32"/>
  <c r="AB51" i="32"/>
  <c r="AB66" i="32" s="1"/>
  <c r="X55" i="32"/>
  <c r="W70" i="32"/>
  <c r="AB52" i="32"/>
  <c r="AB67" i="32" s="1"/>
  <c r="AA67" i="32"/>
  <c r="CJ51" i="5"/>
  <c r="CK11" i="5" s="1"/>
  <c r="CL11" i="5" s="1"/>
  <c r="CM11" i="5" s="1"/>
  <c r="CO11" i="5" s="1"/>
  <c r="CK51" i="3"/>
  <c r="CL51" i="3" s="1"/>
  <c r="CM51" i="3" s="1"/>
  <c r="CO51" i="3" s="1"/>
  <c r="CK17" i="3"/>
  <c r="CL17" i="3" s="1"/>
  <c r="CK43" i="3"/>
  <c r="CL43" i="3" s="1"/>
  <c r="CM43" i="3" s="1"/>
  <c r="CO43" i="3" s="1"/>
  <c r="CK50" i="3"/>
  <c r="CL50" i="3" s="1"/>
  <c r="CM50" i="3" s="1"/>
  <c r="CO50" i="3" s="1"/>
  <c r="CK28" i="3"/>
  <c r="CL28" i="3" s="1"/>
  <c r="CM28" i="3" s="1"/>
  <c r="CO28" i="3" s="1"/>
  <c r="CK41" i="3"/>
  <c r="CL41" i="3" s="1"/>
  <c r="CM41" i="3" s="1"/>
  <c r="CO41" i="3" s="1"/>
  <c r="CK16" i="3"/>
  <c r="CL16" i="3" s="1"/>
  <c r="CM16" i="3" s="1"/>
  <c r="CO16" i="3" s="1"/>
  <c r="CK23" i="3"/>
  <c r="CL23" i="3" s="1"/>
  <c r="CM23" i="3" s="1"/>
  <c r="CO23" i="3" s="1"/>
  <c r="CK12" i="3"/>
  <c r="CL12" i="3" s="1"/>
  <c r="CM12" i="3" s="1"/>
  <c r="CO12" i="3" s="1"/>
  <c r="CK49" i="3"/>
  <c r="CL49" i="3" s="1"/>
  <c r="CM49" i="3" s="1"/>
  <c r="CO49" i="3" s="1"/>
  <c r="CK31" i="3"/>
  <c r="CL31" i="3" s="1"/>
  <c r="CM31" i="3" s="1"/>
  <c r="CO31" i="3" s="1"/>
  <c r="CK29" i="3"/>
  <c r="CL29" i="3" s="1"/>
  <c r="CM29" i="3" s="1"/>
  <c r="CO29" i="3" s="1"/>
  <c r="CK22" i="3"/>
  <c r="CL22" i="3" s="1"/>
  <c r="CM22" i="3" s="1"/>
  <c r="CO22" i="3" s="1"/>
  <c r="CK47" i="3"/>
  <c r="CL47" i="3" s="1"/>
  <c r="CM47" i="3" s="1"/>
  <c r="CO47" i="3" s="1"/>
  <c r="CK27" i="3"/>
  <c r="CL27" i="3" s="1"/>
  <c r="CM27" i="3" s="1"/>
  <c r="CO27" i="3" s="1"/>
  <c r="CK33" i="3"/>
  <c r="CL33" i="3" s="1"/>
  <c r="CM33" i="3" s="1"/>
  <c r="CO33" i="3" s="1"/>
  <c r="CK24" i="3"/>
  <c r="CL24" i="3" s="1"/>
  <c r="CM24" i="3" s="1"/>
  <c r="CO24" i="3" s="1"/>
  <c r="CK36" i="3"/>
  <c r="CL36" i="3" s="1"/>
  <c r="CM36" i="3" s="1"/>
  <c r="CO36" i="3" s="1"/>
  <c r="CK26" i="3"/>
  <c r="CL26" i="3" s="1"/>
  <c r="CM26" i="3" s="1"/>
  <c r="CO26" i="3" s="1"/>
  <c r="CK42" i="3"/>
  <c r="CL42" i="3" s="1"/>
  <c r="CM42" i="3" s="1"/>
  <c r="CO42" i="3" s="1"/>
  <c r="CK37" i="3"/>
  <c r="CL37" i="3" s="1"/>
  <c r="CM37" i="3" s="1"/>
  <c r="CO37" i="3" s="1"/>
  <c r="CK32" i="3"/>
  <c r="CL32" i="3" s="1"/>
  <c r="CM32" i="3" s="1"/>
  <c r="CO32" i="3" s="1"/>
  <c r="CK19" i="3"/>
  <c r="CL19" i="3" s="1"/>
  <c r="CM19" i="3" s="1"/>
  <c r="CO19" i="3" s="1"/>
  <c r="CK35" i="3"/>
  <c r="CL35" i="3" s="1"/>
  <c r="CM35" i="3" s="1"/>
  <c r="CO35" i="3" s="1"/>
  <c r="CK21" i="3"/>
  <c r="CL21" i="3" s="1"/>
  <c r="CM21" i="3" s="1"/>
  <c r="CO21" i="3" s="1"/>
  <c r="CK39" i="3"/>
  <c r="CL39" i="3" s="1"/>
  <c r="CM39" i="3" s="1"/>
  <c r="CO39" i="3" s="1"/>
  <c r="CK20" i="3"/>
  <c r="CL20" i="3" s="1"/>
  <c r="CM20" i="3" s="1"/>
  <c r="CO20" i="3" s="1"/>
  <c r="CK18" i="3"/>
  <c r="CL18" i="3" s="1"/>
  <c r="CM18" i="3" s="1"/>
  <c r="CO18" i="3" s="1"/>
  <c r="CK14" i="3"/>
  <c r="CL14" i="3" s="1"/>
  <c r="CM14" i="3" s="1"/>
  <c r="CO14" i="3" s="1"/>
  <c r="CK13" i="3"/>
  <c r="CL13" i="3" s="1"/>
  <c r="CM13" i="3" s="1"/>
  <c r="CO13" i="3" s="1"/>
  <c r="CK30" i="3"/>
  <c r="CL30" i="3" s="1"/>
  <c r="CM30" i="3" s="1"/>
  <c r="CO30" i="3" s="1"/>
  <c r="CK40" i="3"/>
  <c r="CL40" i="3" s="1"/>
  <c r="CM40" i="3" s="1"/>
  <c r="CO40" i="3" s="1"/>
  <c r="CK15" i="3"/>
  <c r="CL15" i="3" s="1"/>
  <c r="CM15" i="3" s="1"/>
  <c r="CO15" i="3" s="1"/>
  <c r="CK48" i="3"/>
  <c r="CL48" i="3" s="1"/>
  <c r="CM48" i="3" s="1"/>
  <c r="CO48" i="3" s="1"/>
  <c r="CK25" i="3"/>
  <c r="CL25" i="3" s="1"/>
  <c r="CM25" i="3" s="1"/>
  <c r="CO25" i="3" s="1"/>
  <c r="CK34" i="3"/>
  <c r="CL34" i="3" s="1"/>
  <c r="CM34" i="3" s="1"/>
  <c r="CO34" i="3" s="1"/>
  <c r="CK38" i="3"/>
  <c r="CL38" i="3" s="1"/>
  <c r="CM38" i="3" s="1"/>
  <c r="CO38" i="3" s="1"/>
  <c r="CK45" i="3"/>
  <c r="CL45" i="3" s="1"/>
  <c r="CM45" i="3" s="1"/>
  <c r="CO45" i="3" s="1"/>
  <c r="CK46" i="3"/>
  <c r="CL46" i="3" s="1"/>
  <c r="CM46" i="3" s="1"/>
  <c r="CO46" i="3" s="1"/>
  <c r="CK44" i="3"/>
  <c r="CL44" i="3" s="1"/>
  <c r="CM44" i="3" s="1"/>
  <c r="CO44" i="3" s="1"/>
  <c r="CJ51" i="6"/>
  <c r="X72" i="32" l="1"/>
  <c r="Y57" i="32"/>
  <c r="Y72" i="32" s="1"/>
  <c r="X64" i="32"/>
  <c r="Y49" i="32"/>
  <c r="Y64" i="32" s="1"/>
  <c r="X67" i="32"/>
  <c r="Y52" i="32"/>
  <c r="Y67" i="32" s="1"/>
  <c r="X71" i="32"/>
  <c r="Y56" i="32"/>
  <c r="Y71" i="32" s="1"/>
  <c r="X69" i="32"/>
  <c r="Y54" i="32"/>
  <c r="Y69" i="32" s="1"/>
  <c r="X70" i="32"/>
  <c r="Y55" i="32"/>
  <c r="Y70" i="32" s="1"/>
  <c r="X66" i="32"/>
  <c r="Y51" i="32"/>
  <c r="Y66" i="32" s="1"/>
  <c r="X65" i="32"/>
  <c r="Y50" i="32"/>
  <c r="Y65" i="32" s="1"/>
  <c r="X68" i="32"/>
  <c r="Y53" i="32"/>
  <c r="Y68" i="32" s="1"/>
  <c r="X73" i="32"/>
  <c r="Y58" i="32"/>
  <c r="Y73" i="32" s="1"/>
  <c r="CK51" i="6"/>
  <c r="CL51" i="6" s="1"/>
  <c r="CM51" i="6" s="1"/>
  <c r="CO51" i="6" s="1"/>
  <c r="CK17" i="6"/>
  <c r="CL17" i="6" s="1"/>
  <c r="CK33" i="6"/>
  <c r="CL33" i="6" s="1"/>
  <c r="CM33" i="6" s="1"/>
  <c r="CO33" i="6" s="1"/>
  <c r="CK47" i="6"/>
  <c r="CL47" i="6" s="1"/>
  <c r="CM47" i="6" s="1"/>
  <c r="CO47" i="6" s="1"/>
  <c r="CK49" i="6"/>
  <c r="CL49" i="6" s="1"/>
  <c r="CM49" i="6" s="1"/>
  <c r="CO49" i="6" s="1"/>
  <c r="CK29" i="6"/>
  <c r="CL29" i="6" s="1"/>
  <c r="CM29" i="6" s="1"/>
  <c r="CO29" i="6" s="1"/>
  <c r="CK34" i="6"/>
  <c r="CL34" i="6" s="1"/>
  <c r="CM34" i="6" s="1"/>
  <c r="CO34" i="6" s="1"/>
  <c r="CK18" i="6"/>
  <c r="CL18" i="6" s="1"/>
  <c r="CM18" i="6" s="1"/>
  <c r="CO18" i="6" s="1"/>
  <c r="CK35" i="6"/>
  <c r="CL35" i="6" s="1"/>
  <c r="CM35" i="6" s="1"/>
  <c r="CO35" i="6" s="1"/>
  <c r="CK19" i="6"/>
  <c r="CL19" i="6" s="1"/>
  <c r="CM19" i="6" s="1"/>
  <c r="CO19" i="6" s="1"/>
  <c r="CK48" i="6"/>
  <c r="CL48" i="6" s="1"/>
  <c r="CM48" i="6" s="1"/>
  <c r="CO48" i="6" s="1"/>
  <c r="CK12" i="6"/>
  <c r="CL12" i="6" s="1"/>
  <c r="CM12" i="6" s="1"/>
  <c r="CO12" i="6" s="1"/>
  <c r="CK25" i="6"/>
  <c r="CL25" i="6" s="1"/>
  <c r="CM25" i="6" s="1"/>
  <c r="CO25" i="6" s="1"/>
  <c r="CK30" i="6"/>
  <c r="CL30" i="6" s="1"/>
  <c r="CM30" i="6" s="1"/>
  <c r="CO30" i="6" s="1"/>
  <c r="CK43" i="6"/>
  <c r="CL43" i="6" s="1"/>
  <c r="CM43" i="6" s="1"/>
  <c r="CO43" i="6" s="1"/>
  <c r="CK14" i="6"/>
  <c r="CL14" i="6" s="1"/>
  <c r="CM14" i="6" s="1"/>
  <c r="CO14" i="6" s="1"/>
  <c r="CK20" i="6"/>
  <c r="CL20" i="6" s="1"/>
  <c r="CM20" i="6" s="1"/>
  <c r="CO20" i="6" s="1"/>
  <c r="CK41" i="6"/>
  <c r="CL41" i="6" s="1"/>
  <c r="CM41" i="6" s="1"/>
  <c r="CO41" i="6" s="1"/>
  <c r="CK23" i="6"/>
  <c r="CL23" i="6" s="1"/>
  <c r="CM23" i="6" s="1"/>
  <c r="CO23" i="6" s="1"/>
  <c r="CK37" i="6"/>
  <c r="CL37" i="6" s="1"/>
  <c r="CM37" i="6" s="1"/>
  <c r="CO37" i="6" s="1"/>
  <c r="CK44" i="6"/>
  <c r="CL44" i="6" s="1"/>
  <c r="CM44" i="6" s="1"/>
  <c r="CO44" i="6" s="1"/>
  <c r="CK38" i="6"/>
  <c r="CL38" i="6" s="1"/>
  <c r="CM38" i="6" s="1"/>
  <c r="CO38" i="6" s="1"/>
  <c r="CK39" i="6"/>
  <c r="CL39" i="6" s="1"/>
  <c r="CM39" i="6" s="1"/>
  <c r="CO39" i="6" s="1"/>
  <c r="CK24" i="6"/>
  <c r="CL24" i="6" s="1"/>
  <c r="CM24" i="6" s="1"/>
  <c r="CO24" i="6" s="1"/>
  <c r="CK50" i="6"/>
  <c r="CL50" i="6" s="1"/>
  <c r="CM50" i="6" s="1"/>
  <c r="CO50" i="6" s="1"/>
  <c r="CK28" i="6"/>
  <c r="CL28" i="6" s="1"/>
  <c r="CM28" i="6" s="1"/>
  <c r="CO28" i="6" s="1"/>
  <c r="CK46" i="6"/>
  <c r="CL46" i="6" s="1"/>
  <c r="CM46" i="6" s="1"/>
  <c r="CO46" i="6" s="1"/>
  <c r="CK27" i="6"/>
  <c r="CL27" i="6" s="1"/>
  <c r="CM27" i="6" s="1"/>
  <c r="CO27" i="6" s="1"/>
  <c r="CK32" i="6"/>
  <c r="CL32" i="6" s="1"/>
  <c r="CM32" i="6" s="1"/>
  <c r="CO32" i="6" s="1"/>
  <c r="CK31" i="6"/>
  <c r="CL31" i="6" s="1"/>
  <c r="CM31" i="6" s="1"/>
  <c r="CO31" i="6" s="1"/>
  <c r="CK36" i="6"/>
  <c r="CL36" i="6" s="1"/>
  <c r="CM36" i="6" s="1"/>
  <c r="CO36" i="6" s="1"/>
  <c r="CK15" i="6"/>
  <c r="CL15" i="6" s="1"/>
  <c r="CM15" i="6" s="1"/>
  <c r="CO15" i="6" s="1"/>
  <c r="CK45" i="6"/>
  <c r="CL45" i="6" s="1"/>
  <c r="CM45" i="6" s="1"/>
  <c r="CO45" i="6" s="1"/>
  <c r="CK26" i="6"/>
  <c r="CL26" i="6" s="1"/>
  <c r="CM26" i="6" s="1"/>
  <c r="CO26" i="6" s="1"/>
  <c r="CK22" i="6"/>
  <c r="CL22" i="6" s="1"/>
  <c r="CM22" i="6" s="1"/>
  <c r="CO22" i="6" s="1"/>
  <c r="CK42" i="6"/>
  <c r="CL42" i="6" s="1"/>
  <c r="CM42" i="6" s="1"/>
  <c r="CO42" i="6" s="1"/>
  <c r="CK16" i="6"/>
  <c r="CL16" i="6" s="1"/>
  <c r="CM16" i="6" s="1"/>
  <c r="CO16" i="6" s="1"/>
  <c r="CK40" i="6"/>
  <c r="CL40" i="6" s="1"/>
  <c r="CM40" i="6" s="1"/>
  <c r="CO40" i="6" s="1"/>
  <c r="CK13" i="6"/>
  <c r="CL13" i="6" s="1"/>
  <c r="CM13" i="6" s="1"/>
  <c r="CO13" i="6" s="1"/>
  <c r="CK21" i="6"/>
  <c r="CL21" i="6" s="1"/>
  <c r="CM21" i="6" s="1"/>
  <c r="CO21" i="6" s="1"/>
  <c r="CK11" i="6"/>
  <c r="CL11" i="6" s="1"/>
  <c r="CM11" i="6" s="1"/>
  <c r="CO11" i="6" s="1"/>
  <c r="CK17" i="5"/>
  <c r="CL17" i="5" s="1"/>
  <c r="CK51" i="5"/>
  <c r="CL51" i="5" s="1"/>
  <c r="CM51" i="5" s="1"/>
  <c r="CO51" i="5" s="1"/>
  <c r="CK25" i="5"/>
  <c r="CL25" i="5" s="1"/>
  <c r="CM25" i="5" s="1"/>
  <c r="CO25" i="5" s="1"/>
  <c r="CK20" i="5"/>
  <c r="CL20" i="5" s="1"/>
  <c r="CM20" i="5" s="1"/>
  <c r="CO20" i="5" s="1"/>
  <c r="CK38" i="5"/>
  <c r="CL38" i="5" s="1"/>
  <c r="CM38" i="5" s="1"/>
  <c r="CO38" i="5" s="1"/>
  <c r="CK15" i="5"/>
  <c r="CL15" i="5" s="1"/>
  <c r="CM15" i="5" s="1"/>
  <c r="CO15" i="5" s="1"/>
  <c r="CK30" i="5"/>
  <c r="CL30" i="5" s="1"/>
  <c r="CM30" i="5" s="1"/>
  <c r="CO30" i="5" s="1"/>
  <c r="CK32" i="5"/>
  <c r="CL32" i="5" s="1"/>
  <c r="CM32" i="5" s="1"/>
  <c r="CO32" i="5" s="1"/>
  <c r="CK49" i="5"/>
  <c r="CL49" i="5" s="1"/>
  <c r="CM49" i="5" s="1"/>
  <c r="CO49" i="5" s="1"/>
  <c r="CK33" i="5"/>
  <c r="CL33" i="5" s="1"/>
  <c r="CM33" i="5" s="1"/>
  <c r="CO33" i="5" s="1"/>
  <c r="CK50" i="5"/>
  <c r="CL50" i="5" s="1"/>
  <c r="CM50" i="5" s="1"/>
  <c r="CO50" i="5" s="1"/>
  <c r="CK40" i="5"/>
  <c r="CL40" i="5" s="1"/>
  <c r="CM40" i="5" s="1"/>
  <c r="CO40" i="5" s="1"/>
  <c r="CK42" i="5"/>
  <c r="CL42" i="5" s="1"/>
  <c r="CM42" i="5" s="1"/>
  <c r="CO42" i="5" s="1"/>
  <c r="CK26" i="5"/>
  <c r="CL26" i="5" s="1"/>
  <c r="CM26" i="5" s="1"/>
  <c r="CO26" i="5" s="1"/>
  <c r="CK47" i="5"/>
  <c r="CL47" i="5" s="1"/>
  <c r="CM47" i="5" s="1"/>
  <c r="CO47" i="5" s="1"/>
  <c r="CK12" i="5"/>
  <c r="CL12" i="5" s="1"/>
  <c r="CM12" i="5" s="1"/>
  <c r="CO12" i="5" s="1"/>
  <c r="CK27" i="5"/>
  <c r="CL27" i="5" s="1"/>
  <c r="CM27" i="5" s="1"/>
  <c r="CO27" i="5" s="1"/>
  <c r="CK21" i="5"/>
  <c r="CL21" i="5" s="1"/>
  <c r="CM21" i="5" s="1"/>
  <c r="CO21" i="5" s="1"/>
  <c r="CK23" i="5"/>
  <c r="CL23" i="5" s="1"/>
  <c r="CM23" i="5" s="1"/>
  <c r="CO23" i="5" s="1"/>
  <c r="CK28" i="5"/>
  <c r="CL28" i="5" s="1"/>
  <c r="CM28" i="5" s="1"/>
  <c r="CO28" i="5" s="1"/>
  <c r="CK37" i="5"/>
  <c r="CL37" i="5" s="1"/>
  <c r="CM37" i="5" s="1"/>
  <c r="CO37" i="5" s="1"/>
  <c r="CK16" i="5"/>
  <c r="CL16" i="5" s="1"/>
  <c r="CM16" i="5" s="1"/>
  <c r="CO16" i="5" s="1"/>
  <c r="CK39" i="5"/>
  <c r="CL39" i="5" s="1"/>
  <c r="CM39" i="5" s="1"/>
  <c r="CO39" i="5" s="1"/>
  <c r="CK22" i="5"/>
  <c r="CL22" i="5" s="1"/>
  <c r="CM22" i="5" s="1"/>
  <c r="CO22" i="5" s="1"/>
  <c r="CK36" i="5"/>
  <c r="CL36" i="5" s="1"/>
  <c r="CM36" i="5" s="1"/>
  <c r="CO36" i="5" s="1"/>
  <c r="CK46" i="5"/>
  <c r="CL46" i="5" s="1"/>
  <c r="CM46" i="5" s="1"/>
  <c r="CO46" i="5" s="1"/>
  <c r="CK19" i="5"/>
  <c r="CL19" i="5" s="1"/>
  <c r="CM19" i="5" s="1"/>
  <c r="CO19" i="5" s="1"/>
  <c r="CK43" i="5"/>
  <c r="CL43" i="5" s="1"/>
  <c r="CM43" i="5" s="1"/>
  <c r="CO43" i="5" s="1"/>
  <c r="CK34" i="5"/>
  <c r="CL34" i="5" s="1"/>
  <c r="CM34" i="5" s="1"/>
  <c r="CO34" i="5" s="1"/>
  <c r="CK13" i="5"/>
  <c r="CL13" i="5" s="1"/>
  <c r="CM13" i="5" s="1"/>
  <c r="CO13" i="5" s="1"/>
  <c r="CK41" i="5"/>
  <c r="CL41" i="5" s="1"/>
  <c r="CM41" i="5" s="1"/>
  <c r="CO41" i="5" s="1"/>
  <c r="CK24" i="5"/>
  <c r="CL24" i="5" s="1"/>
  <c r="CM24" i="5" s="1"/>
  <c r="CO24" i="5" s="1"/>
  <c r="CK31" i="5"/>
  <c r="CL31" i="5" s="1"/>
  <c r="CM31" i="5" s="1"/>
  <c r="CO31" i="5" s="1"/>
  <c r="CK35" i="5"/>
  <c r="CL35" i="5" s="1"/>
  <c r="CM35" i="5" s="1"/>
  <c r="CO35" i="5" s="1"/>
  <c r="CK29" i="5"/>
  <c r="CL29" i="5" s="1"/>
  <c r="CM29" i="5" s="1"/>
  <c r="CO29" i="5" s="1"/>
  <c r="CK44" i="5"/>
  <c r="CL44" i="5" s="1"/>
  <c r="CM44" i="5" s="1"/>
  <c r="CO44" i="5" s="1"/>
  <c r="CK45" i="5"/>
  <c r="CL45" i="5" s="1"/>
  <c r="CM45" i="5" s="1"/>
  <c r="CO45" i="5" s="1"/>
  <c r="CK14" i="5"/>
  <c r="CL14" i="5" s="1"/>
  <c r="CM14" i="5" s="1"/>
  <c r="CO14" i="5" s="1"/>
  <c r="CK18" i="5"/>
  <c r="CL18" i="5" s="1"/>
  <c r="CM18" i="5" s="1"/>
  <c r="CO18" i="5" s="1"/>
  <c r="CK48" i="5"/>
  <c r="CL48" i="5" s="1"/>
  <c r="CM48" i="5" s="1"/>
  <c r="CO48"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VITA Program</author>
  </authors>
  <commentList>
    <comment ref="B41" authorId="0" shapeId="0" xr:uid="{91DF6913-9D6B-4969-9405-B88682FFA118}">
      <text>
        <r>
          <rPr>
            <b/>
            <sz val="9"/>
            <color indexed="81"/>
            <rFont val="Tahoma"/>
            <family val="2"/>
          </rPr>
          <t>VITA Program:</t>
        </r>
        <r>
          <rPr>
            <sz val="9"/>
            <color indexed="81"/>
            <rFont val="Tahoma"/>
            <family val="2"/>
          </rPr>
          <t xml:space="preserve">
Remove Greene County.  All amounts combined into JAUNT.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VITA Program</author>
  </authors>
  <commentList>
    <comment ref="CL8" authorId="0" shapeId="0" xr:uid="{D9C57EC6-D0B4-431D-93EF-30BFA0009E04}">
      <text>
        <r>
          <rPr>
            <b/>
            <sz val="9"/>
            <color indexed="81"/>
            <rFont val="Tahoma"/>
            <family val="2"/>
          </rPr>
          <t>VITA Program:</t>
        </r>
        <r>
          <rPr>
            <sz val="9"/>
            <color indexed="81"/>
            <rFont val="Tahoma"/>
            <family val="2"/>
          </rPr>
          <t xml:space="preserve">
added 'or' statement to formula to ensure anyone at the 30% cap does not get additional state funding.</t>
        </r>
      </text>
    </comment>
    <comment ref="B17" authorId="0" shapeId="0" xr:uid="{CF18FD2C-1863-4A52-B1B2-ED5A651B3255}">
      <text>
        <r>
          <rPr>
            <b/>
            <sz val="9"/>
            <color indexed="81"/>
            <rFont val="Tahoma"/>
            <family val="2"/>
          </rPr>
          <t>VITA Program:</t>
        </r>
        <r>
          <rPr>
            <sz val="9"/>
            <color indexed="81"/>
            <rFont val="Tahoma"/>
            <family val="2"/>
          </rPr>
          <t xml:space="preserve">
Remove Greene County.  All amounts combined into JAUNT.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VITA Program</author>
  </authors>
  <commentList>
    <comment ref="CL8" authorId="0" shapeId="0" xr:uid="{E38FC1EF-3DEF-4D74-AAFC-4813685CB9D0}">
      <text>
        <r>
          <rPr>
            <b/>
            <sz val="9"/>
            <color indexed="81"/>
            <rFont val="Tahoma"/>
            <family val="2"/>
          </rPr>
          <t>VITA Program:</t>
        </r>
        <r>
          <rPr>
            <sz val="9"/>
            <color indexed="81"/>
            <rFont val="Tahoma"/>
            <family val="2"/>
          </rPr>
          <t xml:space="preserve">
added 'or' statement to formula to ensure anyone at the 30% cap does not get additional state funding.</t>
        </r>
      </text>
    </comment>
    <comment ref="B17" authorId="0" shapeId="0" xr:uid="{9E2DB2D7-DFC5-4E49-9D4D-F087CB7249D2}">
      <text>
        <r>
          <rPr>
            <b/>
            <sz val="9"/>
            <color indexed="81"/>
            <rFont val="Tahoma"/>
            <family val="2"/>
          </rPr>
          <t>VITA Program:</t>
        </r>
        <r>
          <rPr>
            <sz val="9"/>
            <color indexed="81"/>
            <rFont val="Tahoma"/>
            <family val="2"/>
          </rPr>
          <t xml:space="preserve">
Remove Greene County.  All amounts combined into JAUNT.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VITA Program</author>
    <author>tc={E6DF085A-C952-4E14-B467-A47C269597A4}</author>
  </authors>
  <commentList>
    <comment ref="BO8" authorId="0" shapeId="0" xr:uid="{F5DEE76C-F4CE-4AD3-91E0-653264E41C21}">
      <text>
        <r>
          <rPr>
            <b/>
            <sz val="9"/>
            <color indexed="81"/>
            <rFont val="Tahoma"/>
            <family val="2"/>
          </rPr>
          <t>VITA Program:</t>
        </r>
        <r>
          <rPr>
            <sz val="9"/>
            <color indexed="81"/>
            <rFont val="Tahoma"/>
            <family val="2"/>
          </rPr>
          <t xml:space="preserve">
added 'or' statement to formula to ensure anyone at the 30% cap does not get additional state funding.</t>
        </r>
      </text>
    </comment>
    <comment ref="CJ8" authorId="0" shapeId="0" xr:uid="{5D4A2EC3-B7AD-4AE0-B148-292B60F41295}">
      <text>
        <r>
          <rPr>
            <b/>
            <sz val="9"/>
            <color indexed="81"/>
            <rFont val="Tahoma"/>
            <family val="2"/>
          </rPr>
          <t>VITA Program:</t>
        </r>
        <r>
          <rPr>
            <sz val="9"/>
            <color indexed="81"/>
            <rFont val="Tahoma"/>
            <family val="2"/>
          </rPr>
          <t xml:space="preserve">
added 'or' statement to formula to ensure anyone at the 30% cap does not get additional state funding.</t>
        </r>
      </text>
    </comment>
    <comment ref="CM11" authorId="1" shapeId="0" xr:uid="{E6DF085A-C952-4E14-B467-A47C269597A4}">
      <text>
        <t>[Threaded comment]
Your version of Excel allows you to read this threaded comment; however, any edits to it will get removed if the file is opened in a newer version of Excel. Learn more: https://go.microsoft.com/fwlink/?linkid=870924
Comment:
    Added $2 here for rounding.</t>
      </text>
    </comment>
    <comment ref="B17" authorId="0" shapeId="0" xr:uid="{DD65263D-8AF8-4FC7-A1BD-28D15961C00A}">
      <text>
        <r>
          <rPr>
            <b/>
            <sz val="9"/>
            <color indexed="81"/>
            <rFont val="Tahoma"/>
            <family val="2"/>
          </rPr>
          <t>VITA Program:</t>
        </r>
        <r>
          <rPr>
            <sz val="9"/>
            <color indexed="81"/>
            <rFont val="Tahoma"/>
            <family val="2"/>
          </rPr>
          <t xml:space="preserve">
Remove Greene County.  All amounts combined into JAUNT.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VITA Program</author>
    <author>tc={33D837A2-B02F-4EB6-8848-23CF4CA3CF4D}</author>
  </authors>
  <commentList>
    <comment ref="BO8" authorId="0" shapeId="0" xr:uid="{641B7AE3-54F5-4004-BBBF-237BB7939665}">
      <text>
        <r>
          <rPr>
            <b/>
            <sz val="9"/>
            <color indexed="81"/>
            <rFont val="Tahoma"/>
            <family val="2"/>
          </rPr>
          <t>VITA Program:</t>
        </r>
        <r>
          <rPr>
            <sz val="9"/>
            <color indexed="81"/>
            <rFont val="Tahoma"/>
            <family val="2"/>
          </rPr>
          <t xml:space="preserve">
added 'or' statement to formula to ensure anyone at the 30% cap does not get additional state funding.</t>
        </r>
      </text>
    </comment>
    <comment ref="CJ8" authorId="0" shapeId="0" xr:uid="{F15953F9-8531-4F72-827C-526B4F54A03C}">
      <text>
        <r>
          <rPr>
            <b/>
            <sz val="9"/>
            <color indexed="81"/>
            <rFont val="Tahoma"/>
            <family val="2"/>
          </rPr>
          <t>VITA Program:</t>
        </r>
        <r>
          <rPr>
            <sz val="9"/>
            <color indexed="81"/>
            <rFont val="Tahoma"/>
            <family val="2"/>
          </rPr>
          <t xml:space="preserve">
added 'or' statement to formula to ensure anyone at the 30% cap does not get additional state funding.</t>
        </r>
      </text>
    </comment>
    <comment ref="CM11" authorId="1" shapeId="0" xr:uid="{33D837A2-B02F-4EB6-8848-23CF4CA3CF4D}">
      <text>
        <t>[Threaded comment]
Your version of Excel allows you to read this threaded comment; however, any edits to it will get removed if the file is opened in a newer version of Excel. Learn more: https://go.microsoft.com/fwlink/?linkid=870924
Comment:
    Added $2 here for rounding.</t>
      </text>
    </comment>
    <comment ref="B17" authorId="0" shapeId="0" xr:uid="{66C0BAB7-B097-4DF1-8D2B-0EF3F8D1D63E}">
      <text>
        <r>
          <rPr>
            <b/>
            <sz val="9"/>
            <color indexed="81"/>
            <rFont val="Tahoma"/>
            <family val="2"/>
          </rPr>
          <t>VITA Program:</t>
        </r>
        <r>
          <rPr>
            <sz val="9"/>
            <color indexed="81"/>
            <rFont val="Tahoma"/>
            <family val="2"/>
          </rPr>
          <t xml:space="preserve">
Remove Greene County.  All amounts combined into JAUNT.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VITA Program</author>
    <author>tc={B152AAB7-C3DE-446F-B3DC-D338C0B790EB}</author>
  </authors>
  <commentList>
    <comment ref="BO8" authorId="0" shapeId="0" xr:uid="{2148CD47-0656-45CB-9945-8C7BFAA45472}">
      <text>
        <r>
          <rPr>
            <b/>
            <sz val="9"/>
            <color indexed="81"/>
            <rFont val="Tahoma"/>
            <family val="2"/>
          </rPr>
          <t>VITA Program:</t>
        </r>
        <r>
          <rPr>
            <sz val="9"/>
            <color indexed="81"/>
            <rFont val="Tahoma"/>
            <family val="2"/>
          </rPr>
          <t xml:space="preserve">
added 'or' statement to formula to ensure anyone at the 30% cap does not get additional state funding.</t>
        </r>
      </text>
    </comment>
    <comment ref="CJ8" authorId="0" shapeId="0" xr:uid="{1C50523E-A707-4009-8652-A138F52BE16A}">
      <text>
        <r>
          <rPr>
            <b/>
            <sz val="9"/>
            <color indexed="81"/>
            <rFont val="Tahoma"/>
            <family val="2"/>
          </rPr>
          <t>VITA Program:</t>
        </r>
        <r>
          <rPr>
            <sz val="9"/>
            <color indexed="81"/>
            <rFont val="Tahoma"/>
            <family val="2"/>
          </rPr>
          <t xml:space="preserve">
added 'or' statement to formula to ensure anyone at the 30% cap does not get additional state funding.</t>
        </r>
      </text>
    </comment>
    <comment ref="CM11" authorId="1" shapeId="0" xr:uid="{B152AAB7-C3DE-446F-B3DC-D338C0B790EB}">
      <text>
        <t>[Threaded comment]
Your version of Excel allows you to read this threaded comment; however, any edits to it will get removed if the file is opened in a newer version of Excel. Learn more: https://go.microsoft.com/fwlink/?linkid=870924
Comment:
    Added $2 here for rounding.</t>
      </text>
    </comment>
    <comment ref="B17" authorId="0" shapeId="0" xr:uid="{A5A158AD-55A4-409F-A9B6-B82A610F67DD}">
      <text>
        <r>
          <rPr>
            <b/>
            <sz val="9"/>
            <color indexed="81"/>
            <rFont val="Tahoma"/>
            <family val="2"/>
          </rPr>
          <t>VITA Program:</t>
        </r>
        <r>
          <rPr>
            <sz val="9"/>
            <color indexed="81"/>
            <rFont val="Tahoma"/>
            <family val="2"/>
          </rPr>
          <t xml:space="preserve">
Remove Greene County.  All amounts combined into JAUNT.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VITA Program</author>
    <author>tc={16ACBE37-DD3F-4D15-8823-C666B31A717F}</author>
  </authors>
  <commentList>
    <comment ref="BO8" authorId="0" shapeId="0" xr:uid="{8CA20C12-2BC6-404D-9871-132B5F215724}">
      <text>
        <r>
          <rPr>
            <b/>
            <sz val="9"/>
            <color indexed="81"/>
            <rFont val="Tahoma"/>
            <family val="2"/>
          </rPr>
          <t>VITA Program:</t>
        </r>
        <r>
          <rPr>
            <sz val="9"/>
            <color indexed="81"/>
            <rFont val="Tahoma"/>
            <family val="2"/>
          </rPr>
          <t xml:space="preserve">
added 'or' statement to formula to ensure anyone at the 30% cap does not get additional state funding.</t>
        </r>
      </text>
    </comment>
    <comment ref="CJ8" authorId="0" shapeId="0" xr:uid="{0D1BC64F-5472-4917-B391-C98FBE96776D}">
      <text>
        <r>
          <rPr>
            <b/>
            <sz val="9"/>
            <color indexed="81"/>
            <rFont val="Tahoma"/>
            <family val="2"/>
          </rPr>
          <t>VITA Program:</t>
        </r>
        <r>
          <rPr>
            <sz val="9"/>
            <color indexed="81"/>
            <rFont val="Tahoma"/>
            <family val="2"/>
          </rPr>
          <t xml:space="preserve">
added 'or' statement to formula to ensure anyone at the 30% cap does not get additional state funding.</t>
        </r>
      </text>
    </comment>
    <comment ref="CM11" authorId="1" shapeId="0" xr:uid="{16ACBE37-DD3F-4D15-8823-C666B31A717F}">
      <text>
        <t>[Threaded comment]
Your version of Excel allows you to read this threaded comment; however, any edits to it will get removed if the file is opened in a newer version of Excel. Learn more: https://go.microsoft.com/fwlink/?linkid=870924
Comment:
    Added $2 here for rounding.</t>
      </text>
    </comment>
    <comment ref="B17" authorId="0" shapeId="0" xr:uid="{478ECF0F-55D9-416C-BDB0-2C6DB249FD5F}">
      <text>
        <r>
          <rPr>
            <b/>
            <sz val="9"/>
            <color indexed="81"/>
            <rFont val="Tahoma"/>
            <family val="2"/>
          </rPr>
          <t>VITA Program:</t>
        </r>
        <r>
          <rPr>
            <sz val="9"/>
            <color indexed="81"/>
            <rFont val="Tahoma"/>
            <family val="2"/>
          </rPr>
          <t xml:space="preserve">
Remove Greene County.  All amounts combined into JAUNT.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VITA Program</author>
    <author>tc={D9EFE2C1-1090-4927-BDB5-5171B8624062}</author>
  </authors>
  <commentList>
    <comment ref="BO8" authorId="0" shapeId="0" xr:uid="{DEDE97FF-2613-4DEA-A05D-AE205E1EDA4A}">
      <text>
        <r>
          <rPr>
            <b/>
            <sz val="9"/>
            <color indexed="81"/>
            <rFont val="Tahoma"/>
            <family val="2"/>
          </rPr>
          <t>VITA Program:</t>
        </r>
        <r>
          <rPr>
            <sz val="9"/>
            <color indexed="81"/>
            <rFont val="Tahoma"/>
            <family val="2"/>
          </rPr>
          <t xml:space="preserve">
added 'or' statement to formula to ensure anyone at the 30% cap does not get additional state funding.</t>
        </r>
      </text>
    </comment>
    <comment ref="CJ8" authorId="0" shapeId="0" xr:uid="{16312C54-EA8F-4521-8658-5990E105BEBA}">
      <text>
        <r>
          <rPr>
            <b/>
            <sz val="9"/>
            <color indexed="81"/>
            <rFont val="Tahoma"/>
            <family val="2"/>
          </rPr>
          <t>VITA Program:</t>
        </r>
        <r>
          <rPr>
            <sz val="9"/>
            <color indexed="81"/>
            <rFont val="Tahoma"/>
            <family val="2"/>
          </rPr>
          <t xml:space="preserve">
added 'or' statement to formula to ensure anyone at the 30% cap does not get additional state funding.</t>
        </r>
      </text>
    </comment>
    <comment ref="CM11" authorId="1" shapeId="0" xr:uid="{D9EFE2C1-1090-4927-BDB5-5171B8624062}">
      <text>
        <t>[Threaded comment]
Your version of Excel allows you to read this threaded comment; however, any edits to it will get removed if the file is opened in a newer version of Excel. Learn more: https://go.microsoft.com/fwlink/?linkid=870924
Comment:
    Added $2 here for rounding.</t>
      </text>
    </comment>
    <comment ref="B17" authorId="0" shapeId="0" xr:uid="{3F1DEAB2-7365-48D3-AEF2-AB02954CBAA4}">
      <text>
        <r>
          <rPr>
            <b/>
            <sz val="9"/>
            <color indexed="81"/>
            <rFont val="Tahoma"/>
            <family val="2"/>
          </rPr>
          <t>VITA Program:</t>
        </r>
        <r>
          <rPr>
            <sz val="9"/>
            <color indexed="81"/>
            <rFont val="Tahoma"/>
            <family val="2"/>
          </rPr>
          <t xml:space="preserve">
Remove Greene County.  All amounts combined into JAUNT.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tc={D3C0A6AD-EF96-4B83-A10A-06DF33AFC411}</author>
    <author>tc={C4B8E800-929F-4633-B0CF-1C36CDA96229}</author>
    <author>tc={D6EE5A92-5FFB-4764-BCFC-EB6D8E0FCE4B}</author>
    <author>tc={1776C5B8-A91E-4669-A849-D662202DCDF8}</author>
    <author>tc={AF8E72B6-85BA-47FA-A169-A5D6F3A08D55}</author>
    <author>tc={611861BC-DFC5-4EF1-9592-65280C142833}</author>
    <author>tc={AE2A6407-89DC-46B4-B3C9-75A17DCDCF50}</author>
    <author>tc={5C38DCE7-B370-4F9C-9C0D-7C1A96FC8FDD}</author>
    <author>tc={A6775D9C-BC2F-4F5C-B623-9029D6BBE191}</author>
    <author>tc={966B5034-436D-479B-8B11-103A28242822}</author>
  </authors>
  <commentList>
    <comment ref="B8" authorId="0" shapeId="0" xr:uid="{D3C0A6AD-EF96-4B83-A10A-06DF33AFC411}">
      <text>
        <t>[Threaded comment]
Your version of Excel allows you to read this threaded comment; however, any edits to it will get removed if the file is opened in a newer version of Excel. Learn more: https://go.microsoft.com/fwlink/?linkid=870924
Comment:
    Added paratransit to CATs figures for FY21-FY24.</t>
      </text>
    </comment>
    <comment ref="C8" authorId="1" shapeId="0" xr:uid="{C4B8E800-929F-4633-B0CF-1C36CDA96229}">
      <text>
        <t>[Threaded comment]
Your version of Excel allows you to read this threaded comment; however, any edits to it will get removed if the file is opened in a newer version of Excel. Learn more: https://go.microsoft.com/fwlink/?linkid=870924
Comment:
    Added paratransit to CATs figures for FY21-FY24.</t>
      </text>
    </comment>
    <comment ref="D8" authorId="2" shapeId="0" xr:uid="{D6EE5A92-5FFB-4764-BCFC-EB6D8E0FCE4B}">
      <text>
        <t>[Threaded comment]
Your version of Excel allows you to read this threaded comment; however, any edits to it will get removed if the file is opened in a newer version of Excel. Learn more: https://go.microsoft.com/fwlink/?linkid=870924
Comment:
    Added paratransit to CATs figures for FY21-FY24.</t>
      </text>
    </comment>
    <comment ref="E8" authorId="3" shapeId="0" xr:uid="{1776C5B8-A91E-4669-A849-D662202DCDF8}">
      <text>
        <t>[Threaded comment]
Your version of Excel allows you to read this threaded comment; however, any edits to it will get removed if the file is opened in a newer version of Excel. Learn more: https://go.microsoft.com/fwlink/?linkid=870924
Comment:
    Added paratransit to CATs figures for FY21-FY24.</t>
      </text>
    </comment>
    <comment ref="D25" authorId="4" shapeId="0" xr:uid="{AF8E72B6-85BA-47FA-A169-A5D6F3A08D55}">
      <text>
        <t>[Threaded comment]
Your version of Excel allows you to read this threaded comment; however, any edits to it will get removed if the file is opened in a newer version of Excel. Learn more: https://go.microsoft.com/fwlink/?linkid=870924
Comment:
    Updated this figure.
Reply:
    To reflect PRTC requested changes to FY23 reporting.</t>
      </text>
    </comment>
    <comment ref="B37" authorId="5" shapeId="0" xr:uid="{611861BC-DFC5-4EF1-9592-65280C142833}">
      <text>
        <t>[Threaded comment]
Your version of Excel allows you to read this threaded comment; however, any edits to it will get removed if the file is opened in a newer version of Excel. Learn more: https://go.microsoft.com/fwlink/?linkid=870924
Comment:
    Removed paratransit from Jaunts figures for FY21-FY24.</t>
      </text>
    </comment>
    <comment ref="C37" authorId="6" shapeId="0" xr:uid="{AE2A6407-89DC-46B4-B3C9-75A17DCDCF50}">
      <text>
        <t>[Threaded comment]
Your version of Excel allows you to read this threaded comment; however, any edits to it will get removed if the file is opened in a newer version of Excel. Learn more: https://go.microsoft.com/fwlink/?linkid=870924
Comment:
    Removed paratransit from Jaunts figures for FY21-FY24.</t>
      </text>
    </comment>
    <comment ref="D37" authorId="7" shapeId="0" xr:uid="{5C38DCE7-B370-4F9C-9C0D-7C1A96FC8FDD}">
      <text>
        <t>[Threaded comment]
Your version of Excel allows you to read this threaded comment; however, any edits to it will get removed if the file is opened in a newer version of Excel. Learn more: https://go.microsoft.com/fwlink/?linkid=870924
Comment:
    Removed paratransit from Jaunts figures for FY21-FY24.</t>
      </text>
    </comment>
    <comment ref="E37" authorId="8" shapeId="0" xr:uid="{A6775D9C-BC2F-4F5C-B623-9029D6BBE191}">
      <text>
        <t>[Threaded comment]
Your version of Excel allows you to read this threaded comment; however, any edits to it will get removed if the file is opened in a newer version of Excel. Learn more: https://go.microsoft.com/fwlink/?linkid=870924
Comment:
    Removed paratransit from Jaunts figures for FY21-FY24.</t>
      </text>
    </comment>
    <comment ref="D40" authorId="9" shapeId="0" xr:uid="{966B5034-436D-479B-8B11-103A28242822}">
      <text>
        <t>[Threaded comment]
Your version of Excel allows you to read this threaded comment; however, any edits to it will get removed if the file is opened in a newer version of Excel. Learn more: https://go.microsoft.com/fwlink/?linkid=870924
Comment:
    Combined VRT and NSVRC (ShenGo Demo) reported figures.</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tc={BC3A0FCB-B49D-4C24-8E99-418E9C414094}</author>
    <author>tc={426A9D0D-EE48-45EC-BFAB-AD951BF24DC6}</author>
    <author>tc={9A2BCDA5-E535-42FB-83E1-2507C45DE599}</author>
    <author>tc={FECDF1A0-061D-482D-963F-899A71FCE2CD}</author>
    <author>tc={DA38D3A2-E075-4494-9ED9-1CC01B944E8F}</author>
    <author>tc={C11FFD1D-35D3-4283-88AB-D9BAB4363029}</author>
    <author>tc={A84DC465-F6AB-4985-B44B-9B821A044C11}</author>
    <author>tc={B2A28108-C86B-4878-AA3C-7E89B992098D}</author>
    <author>tc={5CA9BC78-975F-4268-B978-EF9EEFE93CE9}</author>
    <author>tc={95EFFAB7-E30B-484C-8CF8-8E08424798D8}</author>
    <author>tc={A91DC4E8-C119-4700-80E9-35B99862A2E7}</author>
    <author>tc={97A08F79-D8AB-4D13-BECB-72525734F031}</author>
    <author>tc={06DDCDE7-C4BE-40AA-A008-7C69531FE245}</author>
    <author>tc={88ACFF05-F88E-4BCF-9992-A67E46334181}</author>
    <author>tc={D257BB2E-05CA-4BFD-844E-2C12645D630E}</author>
    <author>tc={0ECB0FFF-FC33-44A9-94D8-BB85CC23D2D2}</author>
    <author>tc={C0DD1713-60F3-44B5-9D1A-3B061B3099ED}</author>
    <author>tc={33FDB937-595E-4864-B42F-E2177FD779F9}</author>
    <author>tc={4C12B721-ACA3-4145-8589-B146F15AB675}</author>
    <author>tc={056B944A-46AF-41E0-904B-11DC7B62ACBB}</author>
    <author>tc={D94B4E3E-F6F1-4CF7-BC2B-FB736AF73E5C}</author>
  </authors>
  <commentList>
    <comment ref="B8" authorId="0" shapeId="0" xr:uid="{BC3A0FCB-B49D-4C24-8E99-418E9C414094}">
      <text>
        <t>[Threaded comment]
Your version of Excel allows you to read this threaded comment; however, any edits to it will get removed if the file is opened in a newer version of Excel. Learn more: https://go.microsoft.com/fwlink/?linkid=870924
Comment:
    Added paratransit to CATs figures for FY21-FY24.</t>
      </text>
    </comment>
    <comment ref="C8" authorId="1" shapeId="0" xr:uid="{426A9D0D-EE48-45EC-BFAB-AD951BF24DC6}">
      <text>
        <t>[Threaded comment]
Your version of Excel allows you to read this threaded comment; however, any edits to it will get removed if the file is opened in a newer version of Excel. Learn more: https://go.microsoft.com/fwlink/?linkid=870924
Comment:
    Added paratransit to CATs figures for FY21-FY24.</t>
      </text>
    </comment>
    <comment ref="D8" authorId="2" shapeId="0" xr:uid="{9A2BCDA5-E535-42FB-83E1-2507C45DE599}">
      <text>
        <t>[Threaded comment]
Your version of Excel allows you to read this threaded comment; however, any edits to it will get removed if the file is opened in a newer version of Excel. Learn more: https://go.microsoft.com/fwlink/?linkid=870924
Comment:
    Added paratransit to CATs figures for FY21-FY24.</t>
      </text>
    </comment>
    <comment ref="E8" authorId="3" shapeId="0" xr:uid="{FECDF1A0-061D-482D-963F-899A71FCE2CD}">
      <text>
        <t>[Threaded comment]
Your version of Excel allows you to read this threaded comment; however, any edits to it will get removed if the file is opened in a newer version of Excel. Learn more: https://go.microsoft.com/fwlink/?linkid=870924
Comment:
    Added paratransit to CATs figures for FY21-FY24.</t>
      </text>
    </comment>
    <comment ref="B20" authorId="4" shapeId="0" xr:uid="{DA38D3A2-E075-4494-9ED9-1CC01B944E8F}">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+8,535</t>
      </text>
    </comment>
    <comment ref="C20" authorId="5" shapeId="0" xr:uid="{C11FFD1D-35D3-4283-88AB-D9BAB4363029}">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+10,112</t>
      </text>
    </comment>
    <comment ref="D20" authorId="6" shapeId="0" xr:uid="{A84DC465-F6AB-4985-B44B-9B821A044C11}">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+10,206</t>
      </text>
    </comment>
    <comment ref="E20" authorId="7" shapeId="0" xr:uid="{B2A28108-C86B-4878-AA3C-7E89B992098D}">
      <text>
        <t xml:space="preserve">[Threaded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+ 12,922.92 </t>
      </text>
    </comment>
    <comment ref="B24" authorId="8" shapeId="0" xr:uid="{5CA9BC78-975F-4268-B978-EF9EEFE93CE9}">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+2087</t>
      </text>
    </comment>
    <comment ref="C24" authorId="9" shapeId="0" xr:uid="{95EFFAB7-E30B-484C-8CF8-8E08424798D8}">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+2521</t>
      </text>
    </comment>
    <comment ref="B25" authorId="10" shapeId="0" xr:uid="{A91DC4E8-C119-4700-80E9-35B99862A2E7}">
      <text>
        <t>[Threaded comment]
Your version of Excel allows you to read this threaded comment; however, any edits to it will get removed if the file is opened in a newer version of Excel. Learn more: https://go.microsoft.com/fwlink/?linkid=870924
Comment:
    Added deadhead for uni-directional communter routes &gt;20mi
Reply:
    Assumed 49% increase based on FY2022 value</t>
      </text>
    </comment>
    <comment ref="C25" authorId="11" shapeId="0" xr:uid="{97A08F79-D8AB-4D13-BECB-72525734F031}">
      <text>
        <t>[Threaded comment]
Your version of Excel allows you to read this threaded comment; however, any edits to it will get removed if the file is opened in a newer version of Excel. Learn more: https://go.microsoft.com/fwlink/?linkid=870924
Comment:
    Added deadhead for uni-directional communter routes &gt;20mi
Reply:
    +71,220</t>
      </text>
    </comment>
    <comment ref="D25" authorId="12" shapeId="0" xr:uid="{06DDCDE7-C4BE-40AA-A008-7C69531FE245}">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+57,989</t>
      </text>
    </comment>
    <comment ref="E25" authorId="13" shapeId="0" xr:uid="{88ACFF05-F88E-4BCF-9992-A67E46334181}">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+ 62,202</t>
      </text>
    </comment>
    <comment ref="D27" authorId="14" shapeId="0" xr:uid="{D257BB2E-05CA-4BFD-844E-2C12645D630E}">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+1,652</t>
      </text>
    </comment>
    <comment ref="E27" authorId="15" shapeId="0" xr:uid="{0ECB0FFF-FC33-44A9-94D8-BB85CC23D2D2}">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+2,457</t>
      </text>
    </comment>
    <comment ref="B37" authorId="16" shapeId="0" xr:uid="{C0DD1713-60F3-44B5-9D1A-3B061B3099ED}">
      <text>
        <t>[Threaded comment]
Your version of Excel allows you to read this threaded comment; however, any edits to it will get removed if the file is opened in a newer version of Excel. Learn more: https://go.microsoft.com/fwlink/?linkid=870924
Comment:
    Removed paratransit from Jaunts figures for FY21-FY24.</t>
      </text>
    </comment>
    <comment ref="C37" authorId="17" shapeId="0" xr:uid="{33FDB937-595E-4864-B42F-E2177FD779F9}">
      <text>
        <t>[Threaded comment]
Your version of Excel allows you to read this threaded comment; however, any edits to it will get removed if the file is opened in a newer version of Excel. Learn more: https://go.microsoft.com/fwlink/?linkid=870924
Comment:
    Removed paratransit from Jaunts figures for FY21-FY24.</t>
      </text>
    </comment>
    <comment ref="D37" authorId="18" shapeId="0" xr:uid="{4C12B721-ACA3-4145-8589-B146F15AB675}">
      <text>
        <t>[Threaded comment]
Your version of Excel allows you to read this threaded comment; however, any edits to it will get removed if the file is opened in a newer version of Excel. Learn more: https://go.microsoft.com/fwlink/?linkid=870924
Comment:
    Removed paratransit from Jaunts figures for FY21-FY24.</t>
      </text>
    </comment>
    <comment ref="E37" authorId="19" shapeId="0" xr:uid="{056B944A-46AF-41E0-904B-11DC7B62ACBB}">
      <text>
        <t>[Threaded comment]
Your version of Excel allows you to read this threaded comment; however, any edits to it will get removed if the file is opened in a newer version of Excel. Learn more: https://go.microsoft.com/fwlink/?linkid=870924
Comment:
    Removed paratransit from Jaunts figures for FY21-FY24.</t>
      </text>
    </comment>
    <comment ref="D40" authorId="20" shapeId="0" xr:uid="{D94B4E3E-F6F1-4CF7-BC2B-FB736AF73E5C}">
      <text>
        <t>[Threaded comment]
Your version of Excel allows you to read this threaded comment; however, any edits to it will get removed if the file is opened in a newer version of Excel. Learn more: https://go.microsoft.com/fwlink/?linkid=870924
Comment:
    Combined VRT and NSVRC (ShenGo Demo) reported figures.</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tc={1CE0CB1B-DD57-46C1-A5D8-B7583AA86927}</author>
    <author>tc={30C49937-545E-49B0-9E47-E649ABD997A9}</author>
    <author>tc={F8548C9B-6E02-40D4-8F08-805BE0DDF4CF}</author>
    <author>tc={A2FC9BE2-0CCB-406B-A278-CF172E67EF50}</author>
    <author>tc={645AC986-9E98-45D3-BCD5-83102E65039B}</author>
    <author>tc={0AD3FAB3-B7B7-4B6D-A79D-AF1022080762}</author>
    <author>tc={22D5B128-A5B9-4371-8959-5966D456E4DC}</author>
    <author>tc={E78C5542-F08C-4F92-AA3E-E869EDE76A0A}</author>
    <author>tc={443940F3-DAE4-41B4-8876-6FA99B59F272}</author>
    <author>tc={946969BF-3E8A-4C86-87A6-7EF34778DCC8}</author>
    <author>tc={2169E3F5-38CF-4412-8FB8-D3F03183EECB}</author>
    <author>tc={45CAD585-F05E-4AEF-A61B-BA98FB17C9A8}</author>
    <author>tc={3A28C025-D2A6-467A-9F56-F3A218B88EC7}</author>
    <author>tc={D1C42186-8ADB-4540-9487-653E8F18491D}</author>
    <author>tc={EBF79C91-0D43-4748-A9CC-C056D5A401D3}</author>
    <author>tc={43EDCC47-1A47-43E2-9AC4-6A266E3C1868}</author>
    <author>tc={FE858648-0119-49EA-9E1A-A55B6D8901E8}</author>
    <author>tc={52B75725-39A8-40CD-AD30-0125368CE03D}</author>
    <author>tc={42C883A1-607A-4738-8381-3F94A1C7197A}</author>
    <author>tc={35A0DEB9-C3E2-4CC9-B2A1-C38F1AF4CF4D}</author>
    <author>tc={4D421D35-2CC2-4BDE-BF4D-BB2BF9921E37}</author>
  </authors>
  <commentList>
    <comment ref="B8" authorId="0" shapeId="0" xr:uid="{1CE0CB1B-DD57-46C1-A5D8-B7583AA86927}">
      <text>
        <t>[Threaded comment]
Your version of Excel allows you to read this threaded comment; however, any edits to it will get removed if the file is opened in a newer version of Excel. Learn more: https://go.microsoft.com/fwlink/?linkid=870924
Comment:
    Added paratransit to CATs figures for FY21-FY24.</t>
      </text>
    </comment>
    <comment ref="C8" authorId="1" shapeId="0" xr:uid="{30C49937-545E-49B0-9E47-E649ABD997A9}">
      <text>
        <t>[Threaded comment]
Your version of Excel allows you to read this threaded comment; however, any edits to it will get removed if the file is opened in a newer version of Excel. Learn more: https://go.microsoft.com/fwlink/?linkid=870924
Comment:
    Added paratransit to CATs figures for FY21-FY24.</t>
      </text>
    </comment>
    <comment ref="D8" authorId="2" shapeId="0" xr:uid="{F8548C9B-6E02-40D4-8F08-805BE0DDF4CF}">
      <text>
        <t>[Threaded comment]
Your version of Excel allows you to read this threaded comment; however, any edits to it will get removed if the file is opened in a newer version of Excel. Learn more: https://go.microsoft.com/fwlink/?linkid=870924
Comment:
    Added paratransit to CATs figures for FY21-FY24.</t>
      </text>
    </comment>
    <comment ref="E8" authorId="3" shapeId="0" xr:uid="{A2FC9BE2-0CCB-406B-A278-CF172E67EF50}">
      <text>
        <t>[Threaded comment]
Your version of Excel allows you to read this threaded comment; however, any edits to it will get removed if the file is opened in a newer version of Excel. Learn more: https://go.microsoft.com/fwlink/?linkid=870924
Comment:
    Added paratransit to CATs figures for FY21-FY24.</t>
      </text>
    </comment>
    <comment ref="B20" authorId="4" shapeId="0" xr:uid="{645AC986-9E98-45D3-BCD5-83102E65039B}">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+320,678.5</t>
      </text>
    </comment>
    <comment ref="C20" authorId="5" shapeId="0" xr:uid="{0AD3FAB3-B7B7-4B6D-A79D-AF1022080762}">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+427962.5</t>
      </text>
    </comment>
    <comment ref="D20" authorId="6" shapeId="0" xr:uid="{22D5B128-A5B9-4371-8959-5966D456E4DC}">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+ 501,367</t>
      </text>
    </comment>
    <comment ref="E20" authorId="7" shapeId="0" xr:uid="{E78C5542-F08C-4F92-AA3E-E869EDE76A0A}">
      <text>
        <t xml:space="preserve">[Threaded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+ 587,607 </t>
      </text>
    </comment>
    <comment ref="B24" authorId="8" shapeId="0" xr:uid="{443940F3-DAE4-41B4-8876-6FA99B59F272}">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+70,604</t>
      </text>
    </comment>
    <comment ref="C24" authorId="9" shapeId="0" xr:uid="{946969BF-3E8A-4C86-87A6-7EF34778DCC8}">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+85,445</t>
      </text>
    </comment>
    <comment ref="B25" authorId="10" shapeId="0" xr:uid="{2169E3F5-38CF-4412-8FB8-D3F03183EECB}">
      <text>
        <t>[Threaded comment]
Your version of Excel allows you to read this threaded comment; however, any edits to it will get removed if the file is opened in a newer version of Excel. Learn more: https://go.microsoft.com/fwlink/?linkid=870924
Comment:
    No data provided for deadhead for unidirectional commuter service &gt;20mi
Reply:
    Assumed 58% increase based on FY2022 value</t>
      </text>
    </comment>
    <comment ref="C25" authorId="11" shapeId="0" xr:uid="{45CAD585-F05E-4AEF-A61B-BA98FB17C9A8}">
      <text>
        <t>[Threaded comment]
Your version of Excel allows you to read this threaded comment; however, any edits to it will get removed if the file is opened in a newer version of Excel. Learn more: https://go.microsoft.com/fwlink/?linkid=870924
Comment:
    Added deadhead for uni-directional communter routes &gt;20mi
Reply:
    +1,905,553</t>
      </text>
    </comment>
    <comment ref="D25" authorId="12" shapeId="0" xr:uid="{3A28C025-D2A6-467A-9F56-F3A218B88EC7}">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+1,784,701</t>
      </text>
    </comment>
    <comment ref="E25" authorId="13" shapeId="0" xr:uid="{D1C42186-8ADB-4540-9487-653E8F18491D}">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+ 1,922,948</t>
      </text>
    </comment>
    <comment ref="D27" authorId="14" shapeId="0" xr:uid="{EBF79C91-0D43-4748-A9CC-C056D5A401D3}">
      <text>
        <t xml:space="preserve">[Threaded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+34,410 </t>
      </text>
    </comment>
    <comment ref="E27" authorId="15" shapeId="0" xr:uid="{43EDCC47-1A47-43E2-9AC4-6A266E3C1868}">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+60,554</t>
      </text>
    </comment>
    <comment ref="B37" authorId="16" shapeId="0" xr:uid="{FE858648-0119-49EA-9E1A-A55B6D8901E8}">
      <text>
        <t>[Threaded comment]
Your version of Excel allows you to read this threaded comment; however, any edits to it will get removed if the file is opened in a newer version of Excel. Learn more: https://go.microsoft.com/fwlink/?linkid=870924
Comment:
    Removed paratransit from Jaunts figures for FY21-FY24.</t>
      </text>
    </comment>
    <comment ref="C37" authorId="17" shapeId="0" xr:uid="{52B75725-39A8-40CD-AD30-0125368CE03D}">
      <text>
        <t>[Threaded comment]
Your version of Excel allows you to read this threaded comment; however, any edits to it will get removed if the file is opened in a newer version of Excel. Learn more: https://go.microsoft.com/fwlink/?linkid=870924
Comment:
    Removed paratransit from Jaunts figures for FY21-FY24.</t>
      </text>
    </comment>
    <comment ref="D37" authorId="18" shapeId="0" xr:uid="{42C883A1-607A-4738-8381-3F94A1C7197A}">
      <text>
        <t>[Threaded comment]
Your version of Excel allows you to read this threaded comment; however, any edits to it will get removed if the file is opened in a newer version of Excel. Learn more: https://go.microsoft.com/fwlink/?linkid=870924
Comment:
    Removed paratransit from Jaunts figures for FY21-FY24.</t>
      </text>
    </comment>
    <comment ref="E37" authorId="19" shapeId="0" xr:uid="{35A0DEB9-C3E2-4CC9-B2A1-C38F1AF4CF4D}">
      <text>
        <t>[Threaded comment]
Your version of Excel allows you to read this threaded comment; however, any edits to it will get removed if the file is opened in a newer version of Excel. Learn more: https://go.microsoft.com/fwlink/?linkid=870924
Comment:
    Removed paratransit from Jaunts figures for FY21-FY24.</t>
      </text>
    </comment>
    <comment ref="D40" authorId="20" shapeId="0" xr:uid="{4D421D35-2CC2-4BDE-BF4D-BB2BF9921E37}">
      <text>
        <t>[Threaded comment]
Your version of Excel allows you to read this threaded comment; however, any edits to it will get removed if the file is opened in a newer version of Excel. Learn more: https://go.microsoft.com/fwlink/?linkid=870924
Comment:
    Combined VRT and NSVRC (ShenGo Demo) reported figures.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VITA Program</author>
    <author>tc={C0A955D6-31E2-4FF8-92DF-27A5509E5261}</author>
  </authors>
  <commentList>
    <comment ref="CL9" authorId="0" shapeId="0" xr:uid="{85FE0344-F520-4258-AAEB-0DDF0F430EAB}">
      <text>
        <r>
          <rPr>
            <b/>
            <sz val="9"/>
            <color indexed="81"/>
            <rFont val="Tahoma"/>
            <family val="2"/>
          </rPr>
          <t>VITA Program:</t>
        </r>
        <r>
          <rPr>
            <sz val="9"/>
            <color indexed="81"/>
            <rFont val="Tahoma"/>
            <family val="2"/>
          </rPr>
          <t xml:space="preserve">
added 'or' statement to formula to ensure anyone at the 30% cap does not get additional state funding. (Note from Finance FY22/23 timeframe)</t>
        </r>
      </text>
    </comment>
    <comment ref="CD11" authorId="1" shapeId="0" xr:uid="{C0A955D6-31E2-4FF8-92DF-27A5509E5261}">
      <text>
        <t>[Threaded comment]
Your version of Excel allows you to read this threaded comment; however, any edits to it will get removed if the file is opened in a newer version of Excel. Learn more: https://go.microsoft.com/fwlink/?linkid=870924
Comment:
    If agencies are above 30%, a second round of re-allocation is needed</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tc={6CE6E6C0-4CF1-4347-A15A-4B2A67982E49}</author>
    <author>tc={9DD29948-1915-4491-AF45-220CA208A573}</author>
    <author>tc={FD56B19C-E722-4E84-B2BB-2FE5B11371A7}</author>
    <author>VITA Program</author>
    <author>tc={EB425D99-C48B-4B88-8974-F9CE348A7724}</author>
    <author>tc={F668413E-28A7-4A17-8246-A719DF5DDADF}</author>
  </authors>
  <commentList>
    <comment ref="B8" authorId="0" shapeId="0" xr:uid="{6CE6E6C0-4CF1-4347-A15A-4B2A67982E49}">
      <text>
        <t>[Threaded comment]
Your version of Excel allows you to read this threaded comment; however, any edits to it will get removed if the file is opened in a newer version of Excel. Learn more: https://go.microsoft.com/fwlink/?linkid=870924
Comment:
    Revised 03/06/25.  Includes Jaunt Urban amount.</t>
      </text>
    </comment>
    <comment ref="C8" authorId="1" shapeId="0" xr:uid="{9DD29948-1915-4491-AF45-220CA208A573}">
      <text>
        <t>[Threaded comment]
Your version of Excel allows you to read this threaded comment; however, any edits to it will get removed if the file is opened in a newer version of Excel. Learn more: https://go.microsoft.com/fwlink/?linkid=870924
Comment:
    Revised 3/6/2025.  Includes Jaunt Urban.</t>
      </text>
    </comment>
    <comment ref="D8" authorId="2" shapeId="0" xr:uid="{FD56B19C-E722-4E84-B2BB-2FE5B11371A7}">
      <text>
        <t>[Threaded comment]
Your version of Excel allows you to read this threaded comment; however, any edits to it will get removed if the file is opened in a newer version of Excel. Learn more: https://go.microsoft.com/fwlink/?linkid=870924
Comment:
    Revised 3/6/2025. Includes Jaunt Urban.</t>
      </text>
    </comment>
    <comment ref="C12" authorId="3" shapeId="0" xr:uid="{0FBA8EC7-1667-443F-BE7F-9C1D28C8CFB0}">
      <text>
        <r>
          <rPr>
            <b/>
            <sz val="9"/>
            <color indexed="81"/>
            <rFont val="Tahoma"/>
            <family val="2"/>
          </rPr>
          <t>VITA Program:</t>
        </r>
        <r>
          <rPr>
            <sz val="9"/>
            <color indexed="81"/>
            <rFont val="Tahoma"/>
            <family val="2"/>
          </rPr>
          <t xml:space="preserve">
changed from original list from 3/17/2022</t>
        </r>
      </text>
    </comment>
    <comment ref="C15" authorId="3" shapeId="0" xr:uid="{A0F2E966-5728-4FC5-BAC2-6A8E7AD3BF08}">
      <text>
        <r>
          <rPr>
            <b/>
            <sz val="9"/>
            <color indexed="81"/>
            <rFont val="Tahoma"/>
            <family val="2"/>
          </rPr>
          <t>VITA Program:</t>
        </r>
        <r>
          <rPr>
            <sz val="9"/>
            <color indexed="81"/>
            <rFont val="Tahoma"/>
            <family val="2"/>
          </rPr>
          <t xml:space="preserve">
changed from original schedule 3/17/2022</t>
        </r>
      </text>
    </comment>
    <comment ref="B37" authorId="3" shapeId="0" xr:uid="{86EC6D3C-B7C1-4184-A9F0-096BEAB67C8B}">
      <text>
        <r>
          <rPr>
            <sz val="10"/>
            <rFont val="Arial"/>
            <family val="2"/>
          </rPr>
          <t>VITA Program:
updated 12/14/2021 based on audit.  Revised 3/6/2025.  Removes JAUNT Urban.</t>
        </r>
      </text>
    </comment>
    <comment ref="C37" authorId="4" shapeId="0" xr:uid="{EB425D99-C48B-4B88-8974-F9CE348A7724}">
      <text>
        <t>[Threaded comment]
Your version of Excel allows you to read this threaded comment; however, any edits to it will get removed if the file is opened in a newer version of Excel. Learn more: https://go.microsoft.com/fwlink/?linkid=870924
Comment:
    Revised 3/6/2025.  Removes JAUNT Urban.</t>
      </text>
    </comment>
    <comment ref="D37" authorId="5" shapeId="0" xr:uid="{F668413E-28A7-4A17-8246-A719DF5DDADF}">
      <text>
        <t>[Threaded comment]
Your version of Excel allows you to read this threaded comment; however, any edits to it will get removed if the file is opened in a newer version of Excel. Learn more: https://go.microsoft.com/fwlink/?linkid=870924
Comment:
    Revised 3/6/2025.  Removes JAUNT Urban.</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tc={DDF73DDC-CAD0-4E1A-A2FE-B6A2E8FC5177}</author>
    <author>tc={590D0BF6-9929-4AF7-A2F3-2CB2DF9EA3A9}</author>
  </authors>
  <commentList>
    <comment ref="B39" authorId="0" shapeId="0" xr:uid="{DDF73DDC-CAD0-4E1A-A2FE-B6A2E8FC5177}">
      <text>
        <t>[Threaded comment]
Your version of Excel allows you to read this threaded comment; however, any edits to it will get removed if the file is opened in a newer version of Excel. Learn more: https://go.microsoft.com/fwlink/?linkid=870924
Comment:
    Carried forward figure from FY21 SYIP (and FY22 and FY23). This figure was reduced from 319,254 (with reported ridership + Green Co. ridership) based on an audit on 12/14/21.</t>
      </text>
    </comment>
    <comment ref="E42" authorId="1" shapeId="0" xr:uid="{590D0BF6-9929-4AF7-A2F3-2CB2DF9EA3A9}">
      <text>
        <t>[Threaded comment]
Your version of Excel allows you to read this threaded comment; however, any edits to it will get removed if the file is opened in a newer version of Excel. Learn more: https://go.microsoft.com/fwlink/?linkid=870924
Comment:
    Combined VRT and NSVRC (ShenGo Demo) reported figures.</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tc={C338F3A0-D76E-450D-9CE4-6055EB27250F}</author>
    <author>tc={DA4764CF-CB4D-4BE3-A0AE-7316CB3F2B3B}</author>
    <author>tc={43F5688A-B711-4660-9EA2-2AB412685CBA}</author>
    <author>tc={248DD7C2-BD66-439A-97DE-0FBC4F576097}</author>
    <author>tc={F5763B81-BAEE-4398-86F2-40F3F3D0954B}</author>
    <author>tc={559A0CAE-7A61-4AB9-9443-8908A0D2016A}</author>
    <author>tc={02A8ACC6-6A2F-48D7-BD3D-CECDA6FFBA89}</author>
    <author>tc={58E237FE-435D-4C89-820D-F7B5EED450F6}</author>
    <author>tc={353C664D-F34F-4C05-877F-DA850C49A70A}</author>
    <author>tc={B1247563-FE22-4DB2-BB85-7DE77C57AED5}</author>
    <author>tc={82F3BCD4-8582-4BF9-8E75-2B29DC8E55F9}</author>
    <author>tc={709B7D15-B157-4500-BAE2-D1602F5E8659}</author>
    <author>tc={36C71EA0-0186-4E73-935B-E03DDEEB95F7}</author>
    <author>tc={42ED13A3-34F4-497F-8FF5-3B27F3310A97}</author>
    <author>tc={3E8AB3AD-85F8-4B8C-94CE-81C363421494}</author>
    <author>tc={2CFCCAD6-64CA-43DB-A6C3-FE22D2DDFAE2}</author>
    <author>tc={E80CF2DA-5872-4781-9A5B-ACEF4B78A45F}</author>
    <author>tc={48A420ED-7CB1-4F5C-94BB-0A4F95ACEDE1}</author>
    <author>tc={421DB58D-5AD7-462E-A0A7-78E4812FCB70}</author>
    <author>tc={349793A0-FD7E-492B-BCC6-FD45AD524FE8}</author>
    <author>tc={2F6080AF-A48E-451A-BC7F-B8DDFEBC4430}</author>
    <author>tc={EDEED310-AC44-48F4-8209-AC4772E84D80}</author>
    <author>tc={52479762-2F85-4A94-9A4B-E7F9E0443EA3}</author>
    <author>tc={E2A333C3-F233-4AE2-A885-4FA3A8F54B6D}</author>
    <author>tc={0E2E6E68-ED15-41C8-AB8D-73BC3FEE9ABF}</author>
    <author>tc={CDCCEB3A-BBA8-43BB-97C1-C7E83190F159}</author>
    <author>tc={4ACB4BB1-D392-414D-BF19-5CE74C731BF9}</author>
    <author>tc={D98C6E37-B726-4170-A77A-C542B4EC77D8}</author>
  </authors>
  <commentList>
    <comment ref="B21" authorId="0" shapeId="0" xr:uid="{C338F3A0-D76E-450D-9CE4-6055EB27250F}">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C21" authorId="1" shapeId="0" xr:uid="{DA4764CF-CB4D-4BE3-A0AE-7316CB3F2B3B}">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+8,535</t>
      </text>
    </comment>
    <comment ref="D21" authorId="2" shapeId="0" xr:uid="{43F5688A-B711-4660-9EA2-2AB412685CBA}">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+10,112</t>
      </text>
    </comment>
    <comment ref="E21" authorId="3" shapeId="0" xr:uid="{248DD7C2-BD66-439A-97DE-0FBC4F576097}">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+10,206</t>
      </text>
    </comment>
    <comment ref="H21" authorId="4" shapeId="0" xr:uid="{F5763B81-BAEE-4398-86F2-40F3F3D0954B}">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I21" authorId="5" shapeId="0" xr:uid="{559A0CAE-7A61-4AB9-9443-8908A0D2016A}">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+8,535</t>
      </text>
    </comment>
    <comment ref="J21" authorId="6" shapeId="0" xr:uid="{02A8ACC6-6A2F-48D7-BD3D-CECDA6FFBA89}">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+10,112</t>
      </text>
    </comment>
    <comment ref="K21" authorId="7" shapeId="0" xr:uid="{58E237FE-435D-4C89-820D-F7B5EED450F6}">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+10,206</t>
      </text>
    </comment>
    <comment ref="B25" authorId="8" shapeId="0" xr:uid="{353C664D-F34F-4C05-877F-DA850C49A70A}">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C25" authorId="9" shapeId="0" xr:uid="{B1247563-FE22-4DB2-BB85-7DE77C57AED5}">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+2087</t>
      </text>
    </comment>
    <comment ref="D25" authorId="10" shapeId="0" xr:uid="{82F3BCD4-8582-4BF9-8E75-2B29DC8E55F9}">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+2521</t>
      </text>
    </comment>
    <comment ref="H25" authorId="11" shapeId="0" xr:uid="{709B7D15-B157-4500-BAE2-D1602F5E8659}">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I25" authorId="12" shapeId="0" xr:uid="{36C71EA0-0186-4E73-935B-E03DDEEB95F7}">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+2087</t>
      </text>
    </comment>
    <comment ref="J25" authorId="13" shapeId="0" xr:uid="{42ED13A3-34F4-497F-8FF5-3B27F3310A97}">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+2521</t>
      </text>
    </comment>
    <comment ref="B27" authorId="14" shapeId="0" xr:uid="{3E8AB3AD-85F8-4B8C-94CE-81C363421494}">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C27" authorId="15" shapeId="0" xr:uid="{2CFCCAD6-64CA-43DB-A6C3-FE22D2DDFAE2}">
      <text>
        <t>[Threaded comment]
Your version of Excel allows you to read this threaded comment; however, any edits to it will get removed if the file is opened in a newer version of Excel. Learn more: https://go.microsoft.com/fwlink/?linkid=870924
Comment:
    Added deadhead for uni-directional communter routes &gt;20mi
Reply:
    Assumed 49% increase based on FY2022 value</t>
      </text>
    </comment>
    <comment ref="D27" authorId="16" shapeId="0" xr:uid="{E80CF2DA-5872-4781-9A5B-ACEF4B78A45F}">
      <text>
        <t>[Threaded comment]
Your version of Excel allows you to read this threaded comment; however, any edits to it will get removed if the file is opened in a newer version of Excel. Learn more: https://go.microsoft.com/fwlink/?linkid=870924
Comment:
    Added deadhead for uni-directional communter routes &gt;20mi
Reply:
    +71,220</t>
      </text>
    </comment>
    <comment ref="E27" authorId="17" shapeId="0" xr:uid="{48A420ED-7CB1-4F5C-94BB-0A4F95ACEDE1}">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+57,989</t>
      </text>
    </comment>
    <comment ref="H27" authorId="18" shapeId="0" xr:uid="{421DB58D-5AD7-462E-A0A7-78E4812FCB70}">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I27" authorId="19" shapeId="0" xr:uid="{349793A0-FD7E-492B-BCC6-FD45AD524FE8}">
      <text>
        <t>[Threaded comment]
Your version of Excel allows you to read this threaded comment; however, any edits to it will get removed if the file is opened in a newer version of Excel. Learn more: https://go.microsoft.com/fwlink/?linkid=870924
Comment:
    Added deadhead for uni-directional communter routes &gt;20mi
Reply:
    Assumed 49% increase based on FY2022 value</t>
      </text>
    </comment>
    <comment ref="J27" authorId="20" shapeId="0" xr:uid="{2F6080AF-A48E-451A-BC7F-B8DDFEBC4430}">
      <text>
        <t>[Threaded comment]
Your version of Excel allows you to read this threaded comment; however, any edits to it will get removed if the file is opened in a newer version of Excel. Learn more: https://go.microsoft.com/fwlink/?linkid=870924
Comment:
    Added deadhead for uni-directional communter routes &gt;20mi
Reply:
    +71,220</t>
      </text>
    </comment>
    <comment ref="K27" authorId="21" shapeId="0" xr:uid="{EDEED310-AC44-48F4-8209-AC4772E84D80}">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+57,989</t>
      </text>
    </comment>
    <comment ref="E29" authorId="22" shapeId="0" xr:uid="{52479762-2F85-4A94-9A4B-E7F9E0443EA3}">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+1,652</t>
      </text>
    </comment>
    <comment ref="K29" authorId="23" shapeId="0" xr:uid="{E2A333C3-F233-4AE2-A885-4FA3A8F54B6D}">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+1,652</t>
      </text>
    </comment>
    <comment ref="B39" authorId="24" shapeId="0" xr:uid="{0E2E6E68-ED15-41C8-AB8D-73BC3FEE9ABF}">
      <text>
        <t>[Threaded comment]
Your version of Excel allows you to read this threaded comment; however, any edits to it will get removed if the file is opened in a newer version of Excel. Learn more: https://go.microsoft.com/fwlink/?linkid=870924
Comment:
    Carried forward figure from FY21 SYIP (and FY22 and FY23). This figure was reduced from 118,760 (with reported hours + Green Co. hours) based on an audit on 12/14/21.
Reply:
    Note: This figure would have been significantly higher than what was provided in FY21 (and carried forward in FY22 and 23). The FY21 number was reduced based on an audit. The different this figure will make in the overall allocation is negligible, but I wanted to flag it.</t>
      </text>
    </comment>
    <comment ref="H39" authorId="25" shapeId="0" xr:uid="{CDCCEB3A-BBA8-43BB-97C1-C7E83190F159}">
      <text>
        <t>[Threaded comment]
Your version of Excel allows you to read this threaded comment; however, any edits to it will get removed if the file is opened in a newer version of Excel. Learn more: https://go.microsoft.com/fwlink/?linkid=870924
Comment:
    Carried forward figure from FY21 SYIP (and FY22 and FY23). This figure was reduced from 118,760 (with reported hours + Green Co. hours) based on an audit on 12/14/21.
Reply:
    Note: This figure would have been significantly higher than what was provided in FY21 (and carried forward in FY22 and 23). The FY21 number was reduced based on an audit. The different this figure will make in the overall allocation is negligible, but I wanted to flag it.</t>
      </text>
    </comment>
    <comment ref="E42" authorId="26" shapeId="0" xr:uid="{4ACB4BB1-D392-414D-BF19-5CE74C731BF9}">
      <text>
        <t>[Threaded comment]
Your version of Excel allows you to read this threaded comment; however, any edits to it will get removed if the file is opened in a newer version of Excel. Learn more: https://go.microsoft.com/fwlink/?linkid=870924
Comment:
    Combined VRT and NSVRC (ShenGo Demo) reported figures.</t>
      </text>
    </comment>
    <comment ref="K42" authorId="27" shapeId="0" xr:uid="{D98C6E37-B726-4170-A77A-C542B4EC77D8}">
      <text>
        <t>[Threaded comment]
Your version of Excel allows you to read this threaded comment; however, any edits to it will get removed if the file is opened in a newer version of Excel. Learn more: https://go.microsoft.com/fwlink/?linkid=870924
Comment:
    Combined VRT and NSVRC (ShenGo Demo) reported figures.</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tc={8BDC9A67-ABC6-47CB-894E-016A7AA8FB3A}</author>
    <author>tc={BA693A15-33FE-4713-9BBE-F7D8B35516AD}</author>
    <author>tc={EC654663-9943-4909-A0E7-E757E5E24713}</author>
    <author>tc={288795D3-261F-4320-8C4D-0BF436915D8D}</author>
    <author>tc={E2CA13A7-8007-4A22-AC09-60CAA537AAB6}</author>
    <author>tc={B885DE63-BA40-495C-82E8-7FCF71A7D4E2}</author>
    <author>tc={980FE0BF-6C31-4DD2-A79E-F4DC60C9C189}</author>
    <author>tc={A79A2414-AE42-4561-961F-817C4463337A}</author>
    <author>tc={A4CCC30B-4307-4634-B99A-F14C78BB7A7B}</author>
    <author>tc={884F1B4E-44C3-439C-BC13-7DF8EA930E04}</author>
    <author>tc={1BA4B36D-423A-44AC-8ECA-7F1F2C830320}</author>
    <author>tc={0F7F9B3D-BD4F-4EF9-9CBB-E242011964F2}</author>
    <author>tc={62974DA4-F589-4D19-9373-7A85344A935B}</author>
    <author>tc={9F26CC5A-B048-45DE-B23E-873C25109F3A}</author>
    <author>tc={F1647EA9-8789-4411-985D-484BA54717F3}</author>
    <author>tc={46AB3256-8418-4711-A6A9-DB4A2E196832}</author>
    <author>tc={5721884B-BFE2-427E-A41F-6A68CBE7A2D9}</author>
    <author>tc={D63F94A8-4C25-4772-9E1C-6853E24F79BC}</author>
    <author>tc={DF176B19-9115-48D7-97B4-F0BC85E457BA}</author>
    <author>tc={EF3DA2D9-36FA-4AE8-97BF-CB53B5DE81E3}</author>
    <author>tc={AFB10644-9C03-4092-A095-992EC1445155}</author>
    <author>tc={910EE69B-E158-4B4E-97D1-5918363E1D90}</author>
    <author>tc={79820376-9E92-42A2-A8AD-DCB259664E87}</author>
    <author>tc={543F6C5D-189F-463B-A790-C1ED99A0DF46}</author>
    <author>tc={1C5D3027-9699-4816-9F69-76501F0541FB}</author>
    <author>tc={230C5B35-CD48-4B02-88CA-AA36BA4A2751}</author>
    <author>tc={5F84785E-0AED-4CF6-A555-3A2740B39A13}</author>
    <author>tc={FECFF43E-291B-4797-A525-949F8EE44EA2}</author>
  </authors>
  <commentList>
    <comment ref="B21" authorId="0" shapeId="0" xr:uid="{8BDC9A67-ABC6-47CB-894E-016A7AA8FB3A}">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C21" authorId="1" shapeId="0" xr:uid="{BA693A15-33FE-4713-9BBE-F7D8B35516AD}">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+320,678.5</t>
      </text>
    </comment>
    <comment ref="D21" authorId="2" shapeId="0" xr:uid="{EC654663-9943-4909-A0E7-E757E5E24713}">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+427962.5</t>
      </text>
    </comment>
    <comment ref="E21" authorId="3" shapeId="0" xr:uid="{288795D3-261F-4320-8C4D-0BF436915D8D}">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+ 501,367</t>
      </text>
    </comment>
    <comment ref="H21" authorId="4" shapeId="0" xr:uid="{E2CA13A7-8007-4A22-AC09-60CAA537AAB6}">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I21" authorId="5" shapeId="0" xr:uid="{B885DE63-BA40-495C-82E8-7FCF71A7D4E2}">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+320,678.5</t>
      </text>
    </comment>
    <comment ref="J21" authorId="6" shapeId="0" xr:uid="{980FE0BF-6C31-4DD2-A79E-F4DC60C9C189}">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+427962.5</t>
      </text>
    </comment>
    <comment ref="K21" authorId="7" shapeId="0" xr:uid="{A79A2414-AE42-4561-961F-817C4463337A}">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+ 501,367</t>
      </text>
    </comment>
    <comment ref="B25" authorId="8" shapeId="0" xr:uid="{A4CCC30B-4307-4634-B99A-F14C78BB7A7B}">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C25" authorId="9" shapeId="0" xr:uid="{884F1B4E-44C3-439C-BC13-7DF8EA930E04}">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+70,604</t>
      </text>
    </comment>
    <comment ref="D25" authorId="10" shapeId="0" xr:uid="{1BA4B36D-423A-44AC-8ECA-7F1F2C830320}">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+85,445</t>
      </text>
    </comment>
    <comment ref="H25" authorId="11" shapeId="0" xr:uid="{0F7F9B3D-BD4F-4EF9-9CBB-E242011964F2}">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I25" authorId="12" shapeId="0" xr:uid="{62974DA4-F589-4D19-9373-7A85344A935B}">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+70,604</t>
      </text>
    </comment>
    <comment ref="J25" authorId="13" shapeId="0" xr:uid="{9F26CC5A-B048-45DE-B23E-873C25109F3A}">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+85,445</t>
      </text>
    </comment>
    <comment ref="B27" authorId="14" shapeId="0" xr:uid="{F1647EA9-8789-4411-985D-484BA54717F3}">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C27" authorId="15" shapeId="0" xr:uid="{46AB3256-8418-4711-A6A9-DB4A2E196832}">
      <text>
        <t>[Threaded comment]
Your version of Excel allows you to read this threaded comment; however, any edits to it will get removed if the file is opened in a newer version of Excel. Learn more: https://go.microsoft.com/fwlink/?linkid=870924
Comment:
    No data provided for deadhead for unidirectional commuter service &gt;20mi
Reply:
    Assumed 58% increase based on FY2022 value</t>
      </text>
    </comment>
    <comment ref="D27" authorId="16" shapeId="0" xr:uid="{5721884B-BFE2-427E-A41F-6A68CBE7A2D9}">
      <text>
        <t>[Threaded comment]
Your version of Excel allows you to read this threaded comment; however, any edits to it will get removed if the file is opened in a newer version of Excel. Learn more: https://go.microsoft.com/fwlink/?linkid=870924
Comment:
    Added deadhead for uni-directional communter routes &gt;20mi
Reply:
    +1,905,553</t>
      </text>
    </comment>
    <comment ref="E27" authorId="17" shapeId="0" xr:uid="{D63F94A8-4C25-4772-9E1C-6853E24F79BC}">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+1,784,701</t>
      </text>
    </comment>
    <comment ref="H27" authorId="18" shapeId="0" xr:uid="{DF176B19-9115-48D7-97B4-F0BC85E457BA}">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I27" authorId="19" shapeId="0" xr:uid="{EF3DA2D9-36FA-4AE8-97BF-CB53B5DE81E3}">
      <text>
        <t>[Threaded comment]
Your version of Excel allows you to read this threaded comment; however, any edits to it will get removed if the file is opened in a newer version of Excel. Learn more: https://go.microsoft.com/fwlink/?linkid=870924
Comment:
    No data provided for deadhead for unidirectional commuter service &gt;20mi
Reply:
    Assumed 58% increase based on FY2022 value</t>
      </text>
    </comment>
    <comment ref="J27" authorId="20" shapeId="0" xr:uid="{AFB10644-9C03-4092-A095-992EC1445155}">
      <text>
        <t>[Threaded comment]
Your version of Excel allows you to read this threaded comment; however, any edits to it will get removed if the file is opened in a newer version of Excel. Learn more: https://go.microsoft.com/fwlink/?linkid=870924
Comment:
    Added deadhead for uni-directional communter routes &gt;20mi
Reply:
    +1,905,553</t>
      </text>
    </comment>
    <comment ref="K27" authorId="21" shapeId="0" xr:uid="{910EE69B-E158-4B4E-97D1-5918363E1D90}">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+1,784,701</t>
      </text>
    </comment>
    <comment ref="E29" authorId="22" shapeId="0" xr:uid="{79820376-9E92-42A2-A8AD-DCB259664E87}">
      <text>
        <t xml:space="preserve">[Threaded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+34,410 </t>
      </text>
    </comment>
    <comment ref="K29" authorId="23" shapeId="0" xr:uid="{543F6C5D-189F-463B-A790-C1ED99A0DF46}">
      <text>
        <t xml:space="preserve">[Threaded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 20 mi
Reply:
    +34,410 </t>
      </text>
    </comment>
    <comment ref="B39" authorId="24" shapeId="0" xr:uid="{1C5D3027-9699-4816-9F69-76501F0541FB}">
      <text>
        <t>[Threaded comment]
Your version of Excel allows you to read this threaded comment; however, any edits to it will get removed if the file is opened in a newer version of Excel. Learn more: https://go.microsoft.com/fwlink/?linkid=870924
Comment:
    Carried forward figure from FY21 SYIP (and FY22 and FY23). This figure was reduced from 1,738,303 (with reported miles + Green Co. miles) based on an audit on 12/14/21.
Reply:
    Note: This figure would have been significantly higher than what was provided in FY21 (and carried forward in FY22 and 23). The FY21 number was reduced based on an audit. The different this figure will make in the overall allocation is negligible, but I wanted to flag it.</t>
      </text>
    </comment>
    <comment ref="H39" authorId="25" shapeId="0" xr:uid="{230C5B35-CD48-4B02-88CA-AA36BA4A2751}">
      <text>
        <t>[Threaded comment]
Your version of Excel allows you to read this threaded comment; however, any edits to it will get removed if the file is opened in a newer version of Excel. Learn more: https://go.microsoft.com/fwlink/?linkid=870924
Comment:
    Carried forward figure from FY21 SYIP (and FY22 and FY23). This figure was reduced from 1,738,303 (with reported miles + Green Co. miles) based on an audit on 12/14/21.
Reply:
    Note: This figure would have been significantly higher than what was provided in FY21 (and carried forward in FY22 and 23). The FY21 number was reduced based on an audit. The different this figure will make in the overall allocation is negligible, but I wanted to flag it.</t>
      </text>
    </comment>
    <comment ref="E42" authorId="26" shapeId="0" xr:uid="{5F84785E-0AED-4CF6-A555-3A2740B39A13}">
      <text>
        <t>[Threaded comment]
Your version of Excel allows you to read this threaded comment; however, any edits to it will get removed if the file is opened in a newer version of Excel. Learn more: https://go.microsoft.com/fwlink/?linkid=870924
Comment:
    Combined VRT and NSVRC (ShenGo Demo) reported figures.</t>
      </text>
    </comment>
    <comment ref="K42" authorId="27" shapeId="0" xr:uid="{FECFF43E-291B-4797-A525-949F8EE44EA2}">
      <text>
        <t>[Threaded comment]
Your version of Excel allows you to read this threaded comment; however, any edits to it will get removed if the file is opened in a newer version of Excel. Learn more: https://go.microsoft.com/fwlink/?linkid=870924
Comment:
    Combined VRT and NSVRC (ShenGo Demo) reported figures.</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VITA Program</author>
  </authors>
  <commentList>
    <comment ref="C14" authorId="0" shapeId="0" xr:uid="{9CC0D666-75FD-4628-9C76-FFBA7CCF6EEF}">
      <text>
        <r>
          <rPr>
            <b/>
            <sz val="9"/>
            <color indexed="81"/>
            <rFont val="Tahoma"/>
            <family val="2"/>
          </rPr>
          <t>VITA Program:</t>
        </r>
        <r>
          <rPr>
            <sz val="9"/>
            <color indexed="81"/>
            <rFont val="Tahoma"/>
            <family val="2"/>
          </rPr>
          <t xml:space="preserve">
changed from original list from 3/17/2022</t>
        </r>
      </text>
    </comment>
    <comment ref="C17" authorId="0" shapeId="0" xr:uid="{FE7CA0D6-DE8A-4FF2-8DA3-081408B28BCB}">
      <text>
        <r>
          <rPr>
            <b/>
            <sz val="9"/>
            <color indexed="81"/>
            <rFont val="Tahoma"/>
            <family val="2"/>
          </rPr>
          <t>VITA Program:</t>
        </r>
        <r>
          <rPr>
            <sz val="9"/>
            <color indexed="81"/>
            <rFont val="Tahoma"/>
            <family val="2"/>
          </rPr>
          <t xml:space="preserve">
changed from original schedule 3/17/2022</t>
        </r>
      </text>
    </comment>
    <comment ref="B40" authorId="0" shapeId="0" xr:uid="{C7065B93-1C22-46B2-B425-1E32DBF07B60}">
      <text>
        <r>
          <rPr>
            <b/>
            <sz val="9"/>
            <color indexed="81"/>
            <rFont val="Tahoma"/>
            <family val="2"/>
          </rPr>
          <t>VITA Program:</t>
        </r>
        <r>
          <rPr>
            <sz val="9"/>
            <color indexed="81"/>
            <rFont val="Tahoma"/>
            <family val="2"/>
          </rPr>
          <t xml:space="preserve">
updated 12/14/2021 based on audit.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tc={466B61DB-021C-4800-A097-92F742C9C350}</author>
    <author>tc={2687ADA5-E528-43A1-B06E-4A3044F537CA}</author>
  </authors>
  <commentList>
    <comment ref="B39" authorId="0" shapeId="0" xr:uid="{466B61DB-021C-4800-A097-92F742C9C350}">
      <text>
        <t>[Threaded comment]
Your version of Excel allows you to read this threaded comment; however, any edits to it will get removed if the file is opened in a newer version of Excel. Learn more: https://go.microsoft.com/fwlink/?linkid=870924
Comment:
    Added Green Co. Ridership: 63,081</t>
      </text>
    </comment>
    <comment ref="C39" authorId="1" shapeId="0" xr:uid="{2687ADA5-E528-43A1-B06E-4A3044F537CA}">
      <text>
        <t>[Threaded comment]
Your version of Excel allows you to read this threaded comment; however, any edits to it will get removed if the file is opened in a newer version of Excel. Learn more: https://go.microsoft.com/fwlink/?linkid=870924
Comment:
    Carried forward figure from FY21 SYIP (and FY22 and FY23). This figure was reduced from 319,254 (with reported ridership + Green Co. ridership) based on an audit on 12/14/21.</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tc={85804BC5-6D8A-4408-B3CD-2D9C94711D25}</author>
    <author>tc={254F358A-4A69-42C9-A365-8A3B98980116}</author>
    <author>tc={0EC22400-DCFE-4A06-A0DA-F42F7FF3F0BF}</author>
    <author>tc={B79AF707-6BB3-405C-B665-3111A3581F95}</author>
    <author>tc={74404153-E9AB-406D-8EC4-EAF584ECFFF7}</author>
    <author>tc={D1C0C6EC-73D1-4961-9D66-D9EFDF8C8C72}</author>
    <author>tc={DB5CAD64-7C58-4EBB-B238-EF15886782EF}</author>
    <author>tc={29FC62BC-EFD2-44C5-9D04-2B11BBC7852A}</author>
    <author>tc={44269131-F547-4B9A-B7E9-D731B29D1F46}</author>
    <author>tc={F46864BC-FABB-4C23-889A-1B1064212CB3}</author>
    <author>tc={C7FA646E-4D12-4A4C-9BF3-D7E20845D399}</author>
    <author>tc={EAD48387-ECB2-44C7-97A8-BD0DC81DC5E6}</author>
    <author>tc={A7546B28-8B80-4BEC-A63B-AED782742FE4}</author>
    <author>tc={09A0D15C-3E76-4B5E-AAA4-9A26956DA6BE}</author>
    <author>tc={F680CF8B-4B9C-472C-9EE9-39387F2A6E79}</author>
    <author>tc={F2C78647-F85B-4A9B-81CA-9426A2801D39}</author>
    <author>tc={47194EDC-F175-4969-A64C-1F3B8C864129}</author>
    <author>tc={6FF29E01-7EDF-441E-9763-7CE5BF14D04B}</author>
    <author>tc={581C7D26-9EA6-40B7-95DD-7441984176B2}</author>
    <author>tc={509D3CD2-408C-48C1-881C-1871C58377F4}</author>
    <author>tc={E32C493D-CFDF-4D42-AD53-EEE681AE9152}</author>
    <author>tc={DE04B27C-06A0-4147-8301-8DC81FA44C79}</author>
    <author>tc={FA04006A-C694-4BDF-B1AD-D5578C336F77}</author>
    <author>tc={2D2872DC-4988-4C19-9A07-2C16D4BF0481}</author>
    <author>tc={9AD05DB1-C180-4023-8EAE-811DF64FDDB1}</author>
    <author>tc={61D39F08-0AA6-4E18-B404-635F44FF66EC}</author>
    <author>tc={62CDBEFC-EEC9-4C18-8F4C-4075BDA78102}</author>
    <author>tc={AB6D6468-FF54-46FC-852D-E921A4E62124}</author>
  </authors>
  <commentList>
    <comment ref="C21" authorId="0" shapeId="0" xr:uid="{85804BC5-6D8A-4408-B3CD-2D9C94711D25}">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D21" authorId="1" shapeId="0" xr:uid="{254F358A-4A69-42C9-A365-8A3B98980116}">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E21" authorId="2" shapeId="0" xr:uid="{0EC22400-DCFE-4A06-A0DA-F42F7FF3F0BF}">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+8,535</t>
      </text>
    </comment>
    <comment ref="F21" authorId="3" shapeId="0" xr:uid="{B79AF707-6BB3-405C-B665-3111A3581F95}">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+10,112</t>
      </text>
    </comment>
    <comment ref="I21" authorId="4" shapeId="0" xr:uid="{74404153-E9AB-406D-8EC4-EAF584ECFFF7}">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J21" authorId="5" shapeId="0" xr:uid="{D1C0C6EC-73D1-4961-9D66-D9EFDF8C8C72}">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K21" authorId="6" shapeId="0" xr:uid="{DB5CAD64-7C58-4EBB-B238-EF15886782EF}">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+8,535</t>
      </text>
    </comment>
    <comment ref="L21" authorId="7" shapeId="0" xr:uid="{29FC62BC-EFD2-44C5-9D04-2B11BBC7852A}">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+10,112</t>
      </text>
    </comment>
    <comment ref="C25" authorId="8" shapeId="0" xr:uid="{44269131-F547-4B9A-B7E9-D731B29D1F46}">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D25" authorId="9" shapeId="0" xr:uid="{F46864BC-FABB-4C23-889A-1B1064212CB3}">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E25" authorId="10" shapeId="0" xr:uid="{C7FA646E-4D12-4A4C-9BF3-D7E20845D399}">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+2087</t>
      </text>
    </comment>
    <comment ref="F25" authorId="11" shapeId="0" xr:uid="{EAD48387-ECB2-44C7-97A8-BD0DC81DC5E6}">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+2521</t>
      </text>
    </comment>
    <comment ref="I25" authorId="12" shapeId="0" xr:uid="{A7546B28-8B80-4BEC-A63B-AED782742FE4}">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J25" authorId="13" shapeId="0" xr:uid="{09A0D15C-3E76-4B5E-AAA4-9A26956DA6BE}">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K25" authorId="14" shapeId="0" xr:uid="{F680CF8B-4B9C-472C-9EE9-39387F2A6E79}">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+2087</t>
      </text>
    </comment>
    <comment ref="L25" authorId="15" shapeId="0" xr:uid="{F2C78647-F85B-4A9B-81CA-9426A2801D39}">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+2521</t>
      </text>
    </comment>
    <comment ref="C27" authorId="16" shapeId="0" xr:uid="{47194EDC-F175-4969-A64C-1F3B8C864129}">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D27" authorId="17" shapeId="0" xr:uid="{6FF29E01-7EDF-441E-9763-7CE5BF14D04B}">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E27" authorId="18" shapeId="0" xr:uid="{581C7D26-9EA6-40B7-95DD-7441984176B2}">
      <text>
        <t>[Threaded comment]
Your version of Excel allows you to read this threaded comment; however, any edits to it will get removed if the file is opened in a newer version of Excel. Learn more: https://go.microsoft.com/fwlink/?linkid=870924
Comment:
    Added deadhead for uni-directional communter routes &gt;20mi
Reply:
    Assumed 49% increase based on FY2022 value</t>
      </text>
    </comment>
    <comment ref="F27" authorId="19" shapeId="0" xr:uid="{509D3CD2-408C-48C1-881C-1871C58377F4}">
      <text>
        <t>[Threaded comment]
Your version of Excel allows you to read this threaded comment; however, any edits to it will get removed if the file is opened in a newer version of Excel. Learn more: https://go.microsoft.com/fwlink/?linkid=870924
Comment:
    Added deadhead for uni-directional communter routes &gt;20mi
Reply:
    +71,220</t>
      </text>
    </comment>
    <comment ref="I27" authorId="20" shapeId="0" xr:uid="{E32C493D-CFDF-4D42-AD53-EEE681AE9152}">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J27" authorId="21" shapeId="0" xr:uid="{DE04B27C-06A0-4147-8301-8DC81FA44C79}">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K27" authorId="22" shapeId="0" xr:uid="{FA04006A-C694-4BDF-B1AD-D5578C336F77}">
      <text>
        <t>[Threaded comment]
Your version of Excel allows you to read this threaded comment; however, any edits to it will get removed if the file is opened in a newer version of Excel. Learn more: https://go.microsoft.com/fwlink/?linkid=870924
Comment:
    Added deadhead for uni-directional communter routes &gt;20mi
Reply:
    Assumed 49% increase based on FY2022 value</t>
      </text>
    </comment>
    <comment ref="L27" authorId="23" shapeId="0" xr:uid="{2D2872DC-4988-4C19-9A07-2C16D4BF0481}">
      <text>
        <t>[Threaded comment]
Your version of Excel allows you to read this threaded comment; however, any edits to it will get removed if the file is opened in a newer version of Excel. Learn more: https://go.microsoft.com/fwlink/?linkid=870924
Comment:
    Added deadhead for uni-directional communter routes &gt;20mi
Reply:
    +71,220</t>
      </text>
    </comment>
    <comment ref="C39" authorId="24" shapeId="0" xr:uid="{9AD05DB1-C180-4023-8EAE-811DF64FDDB1}">
      <text>
        <t>[Threaded comment]
Your version of Excel allows you to read this threaded comment; however, any edits to it will get removed if the file is opened in a newer version of Excel. Learn more: https://go.microsoft.com/fwlink/?linkid=870924
Comment:
    Added Green Co. hours: 21,594</t>
      </text>
    </comment>
    <comment ref="D39" authorId="25" shapeId="0" xr:uid="{61D39F08-0AA6-4E18-B404-635F44FF66EC}">
      <text>
        <t>[Threaded comment]
Your version of Excel allows you to read this threaded comment; however, any edits to it will get removed if the file is opened in a newer version of Excel. Learn more: https://go.microsoft.com/fwlink/?linkid=870924
Comment:
    Carried forward figure from FY21 SYIP (and FY22 and FY23). This figure was reduced from 118,760 (with reported hours + Green Co. hours) based on an audit on 12/14/21.
Reply:
    Note: This figure would have been significantly higher than what was provided in FY21 (and carried forward in FY22 and 23). The FY21 number was reduced based on an audit. The different this figure will make in the overall allocation is negligible, but I wanted to flag it.</t>
      </text>
    </comment>
    <comment ref="I39" authorId="26" shapeId="0" xr:uid="{62CDBEFC-EEC9-4C18-8F4C-4075BDA78102}">
      <text>
        <t>[Threaded comment]
Your version of Excel allows you to read this threaded comment; however, any edits to it will get removed if the file is opened in a newer version of Excel. Learn more: https://go.microsoft.com/fwlink/?linkid=870924
Comment:
    Added Green Co. hours: 21,594</t>
      </text>
    </comment>
    <comment ref="J39" authorId="27" shapeId="0" xr:uid="{AB6D6468-FF54-46FC-852D-E921A4E62124}">
      <text>
        <t>[Threaded comment]
Your version of Excel allows you to read this threaded comment; however, any edits to it will get removed if the file is opened in a newer version of Excel. Learn more: https://go.microsoft.com/fwlink/?linkid=870924
Comment:
    Carried forward figure from FY21 SYIP (and FY22 and FY23). This figure was reduced from 118,760 (with reported hours + Green Co. hours) based on an audit on 12/14/21.
Reply:
    Note: This figure would have been significantly higher than what was provided in FY21 (and carried forward in FY22 and 23). The FY21 number was reduced based on an audit. The different this figure will make in the overall allocation is negligible, but I wanted to flag it.</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tc={89530683-6D80-4DAD-8E25-A67407599DCE}</author>
    <author>tc={A167185D-D1EA-4CE9-A27A-DEDAF4F3990C}</author>
    <author>tc={62A7159A-AC41-4415-B31E-5E6ACE38081F}</author>
    <author>tc={52C9F260-1AB0-4C0E-8A0C-B92B02D8462A}</author>
    <author>tc={A263E7BB-226B-4491-965B-BE1692158DA0}</author>
    <author>tc={81C01ACB-1040-40FE-AD7C-B30347A32FC2}</author>
    <author>tc={78A0EF3F-ED78-400D-9731-76D06D047AAE}</author>
    <author>tc={24F71CAA-710F-4047-A6E5-862F1AD39417}</author>
    <author>tc={17F7608D-EFEB-4874-9489-E74CE38659EE}</author>
    <author>tc={F3B4B08D-EF71-41B3-9591-4DA823E82F5F}</author>
    <author>tc={B502EEE3-09BB-4411-A7BC-E7A04935E1B6}</author>
    <author>tc={44C5D6C4-64AC-42E4-B183-4B57A085A545}</author>
    <author>tc={4B551589-5B36-49DE-B39A-42C2E2DA3B1D}</author>
    <author>tc={44A30F21-DD83-4BA0-B745-2029A980A5F6}</author>
    <author>tc={EE3349F0-FCF2-40D4-BED8-0814DF1079A6}</author>
    <author>tc={A687FD61-0D5A-41FC-B6FF-48EC31F219FB}</author>
    <author>tc={EF0FFB6E-9970-433C-9599-CE121A3CB2C3}</author>
    <author>tc={809B519C-F70E-4888-B65A-AB3E941D35A4}</author>
    <author>tc={4283F401-EE15-4C80-A322-CDF5ED306870}</author>
    <author>tc={D21E9F33-06A9-492E-BAFA-52E49E87876A}</author>
    <author>tc={6D2C48F8-0582-45B1-B569-142E95B1E785}</author>
    <author>tc={0440131B-BB8D-484C-A1DF-F450F9A42B58}</author>
    <author>tc={B5316E2B-803C-4AF5-BD60-84436B6CD467}</author>
    <author>tc={E0E99350-A296-4CA1-BB34-AC237062257A}</author>
    <author>tc={573F8C08-6991-4D92-9345-0585680F4FED}</author>
    <author>tc={3484201A-CACA-45B7-8C4F-801C95163757}</author>
    <author>tc={87747390-A7F1-4EA2-8A8C-86F0FBCC8DAD}</author>
    <author>tc={8D7D8916-D35A-4626-9F1F-26F0172EE428}</author>
  </authors>
  <commentList>
    <comment ref="C21" authorId="0" shapeId="0" xr:uid="{89530683-6D80-4DAD-8E25-A67407599DCE}">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D21" authorId="1" shapeId="0" xr:uid="{A167185D-D1EA-4CE9-A27A-DEDAF4F3990C}">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E21" authorId="2" shapeId="0" xr:uid="{62A7159A-AC41-4415-B31E-5E6ACE38081F}">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+320,678.5</t>
      </text>
    </comment>
    <comment ref="F21" authorId="3" shapeId="0" xr:uid="{52C9F260-1AB0-4C0E-8A0C-B92B02D8462A}">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+427962.5</t>
      </text>
    </comment>
    <comment ref="I21" authorId="4" shapeId="0" xr:uid="{A263E7BB-226B-4491-965B-BE1692158DA0}">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J21" authorId="5" shapeId="0" xr:uid="{81C01ACB-1040-40FE-AD7C-B30347A32FC2}">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K21" authorId="6" shapeId="0" xr:uid="{78A0EF3F-ED78-400D-9731-76D06D047AAE}">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+320,678.5</t>
      </text>
    </comment>
    <comment ref="L21" authorId="7" shapeId="0" xr:uid="{24F71CAA-710F-4047-A6E5-862F1AD39417}">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+427962.5</t>
      </text>
    </comment>
    <comment ref="C25" authorId="8" shapeId="0" xr:uid="{17F7608D-EFEB-4874-9489-E74CE38659EE}">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D25" authorId="9" shapeId="0" xr:uid="{F3B4B08D-EF71-41B3-9591-4DA823E82F5F}">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E25" authorId="10" shapeId="0" xr:uid="{B502EEE3-09BB-4411-A7BC-E7A04935E1B6}">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+70,604</t>
      </text>
    </comment>
    <comment ref="F25" authorId="11" shapeId="0" xr:uid="{44C5D6C4-64AC-42E4-B183-4B57A085A545}">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+85,445</t>
      </text>
    </comment>
    <comment ref="I25" authorId="12" shapeId="0" xr:uid="{4B551589-5B36-49DE-B39A-42C2E2DA3B1D}">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J25" authorId="13" shapeId="0" xr:uid="{44A30F21-DD83-4BA0-B745-2029A980A5F6}">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K25" authorId="14" shapeId="0" xr:uid="{EE3349F0-FCF2-40D4-BED8-0814DF1079A6}">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+70,604</t>
      </text>
    </comment>
    <comment ref="L25" authorId="15" shapeId="0" xr:uid="{A687FD61-0D5A-41FC-B6FF-48EC31F219FB}">
      <text>
        <t>[Threaded comment]
Your version of Excel allows you to read this threaded comment; however, any edits to it will get removed if the file is opened in a newer version of Excel. Learn more: https://go.microsoft.com/fwlink/?linkid=870924
Comment:
    Added deadhead for uni-directional commuter routes &gt;20
Reply:
    +85,445</t>
      </text>
    </comment>
    <comment ref="C27" authorId="16" shapeId="0" xr:uid="{EF0FFB6E-9970-433C-9599-CE121A3CB2C3}">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D27" authorId="17" shapeId="0" xr:uid="{809B519C-F70E-4888-B65A-AB3E941D35A4}">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E27" authorId="18" shapeId="0" xr:uid="{4283F401-EE15-4C80-A322-CDF5ED306870}">
      <text>
        <t>[Threaded comment]
Your version of Excel allows you to read this threaded comment; however, any edits to it will get removed if the file is opened in a newer version of Excel. Learn more: https://go.microsoft.com/fwlink/?linkid=870924
Comment:
    No data provided for deadhead for unidirectional commuter service &gt;20mi
Reply:
    Assumed 58% increase based on FY2022 value</t>
      </text>
    </comment>
    <comment ref="F27" authorId="19" shapeId="0" xr:uid="{D21E9F33-06A9-492E-BAFA-52E49E87876A}">
      <text>
        <t>[Threaded comment]
Your version of Excel allows you to read this threaded comment; however, any edits to it will get removed if the file is opened in a newer version of Excel. Learn more: https://go.microsoft.com/fwlink/?linkid=870924
Comment:
    Added deadhead for uni-directional communter routes &gt;20mi
Reply:
    +1,905,553</t>
      </text>
    </comment>
    <comment ref="I27" authorId="20" shapeId="0" xr:uid="{6D2C48F8-0582-45B1-B569-142E95B1E785}">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J27" authorId="21" shapeId="0" xr:uid="{0440131B-BB8D-484C-A1DF-F450F9A42B58}">
      <text>
        <t>[Threaded comment]
Your version of Excel allows you to read this threaded comment; however, any edits to it will get removed if the file is opened in a newer version of Excel. Learn more: https://go.microsoft.com/fwlink/?linkid=870924
Comment:
    Used values included in FY23 SYIP</t>
      </text>
    </comment>
    <comment ref="K27" authorId="22" shapeId="0" xr:uid="{B5316E2B-803C-4AF5-BD60-84436B6CD467}">
      <text>
        <t>[Threaded comment]
Your version of Excel allows you to read this threaded comment; however, any edits to it will get removed if the file is opened in a newer version of Excel. Learn more: https://go.microsoft.com/fwlink/?linkid=870924
Comment:
    No data provided for deadhead for unidirectional commuter service &gt;20mi
Reply:
    Assumed 58% increase based on FY2022 value</t>
      </text>
    </comment>
    <comment ref="L27" authorId="23" shapeId="0" xr:uid="{E0E99350-A296-4CA1-BB34-AC237062257A}">
      <text>
        <t>[Threaded comment]
Your version of Excel allows you to read this threaded comment; however, any edits to it will get removed if the file is opened in a newer version of Excel. Learn more: https://go.microsoft.com/fwlink/?linkid=870924
Comment:
    Added deadhead for uni-directional communter routes &gt;20mi
Reply:
    +1,905,553</t>
      </text>
    </comment>
    <comment ref="C39" authorId="24" shapeId="0" xr:uid="{573F8C08-6991-4D92-9345-0585680F4FED}">
      <text>
        <t>[Threaded comment]
Your version of Excel allows you to read this threaded comment; however, any edits to it will get removed if the file is opened in a newer version of Excel. Learn more: https://go.microsoft.com/fwlink/?linkid=870924
Comment:
    Added Green Co. Miles: 348,660</t>
      </text>
    </comment>
    <comment ref="D39" authorId="25" shapeId="0" xr:uid="{3484201A-CACA-45B7-8C4F-801C95163757}">
      <text>
        <t>[Threaded comment]
Your version of Excel allows you to read this threaded comment; however, any edits to it will get removed if the file is opened in a newer version of Excel. Learn more: https://go.microsoft.com/fwlink/?linkid=870924
Comment:
    Carried forward figure from FY21 SYIP (and FY22 and FY23). This figure was reduced from 1,738,303 (with reported miles + Green Co. miles) based on an audit on 12/14/21.
Reply:
    Note: This figure would have been significantly higher than what was provided in FY21 (and carried forward in FY22 and 23). The FY21 number was reduced based on an audit. The different this figure will make in the overall allocation is negligible, but I wanted to flag it.</t>
      </text>
    </comment>
    <comment ref="I39" authorId="26" shapeId="0" xr:uid="{87747390-A7F1-4EA2-8A8C-86F0FBCC8DAD}">
      <text>
        <t>[Threaded comment]
Your version of Excel allows you to read this threaded comment; however, any edits to it will get removed if the file is opened in a newer version of Excel. Learn more: https://go.microsoft.com/fwlink/?linkid=870924
Comment:
    Added Green Co. Miles: 348,660</t>
      </text>
    </comment>
    <comment ref="J39" authorId="27" shapeId="0" xr:uid="{8D7D8916-D35A-4626-9F1F-26F0172EE428}">
      <text>
        <t>[Threaded comment]
Your version of Excel allows you to read this threaded comment; however, any edits to it will get removed if the file is opened in a newer version of Excel. Learn more: https://go.microsoft.com/fwlink/?linkid=870924
Comment:
    Carried forward figure from FY21 SYIP (and FY22 and FY23). This figure was reduced from 1,738,303 (with reported miles + Green Co. miles) based on an audit on 12/14/21.
Reply:
    Note: This figure would have been significantly higher than what was provided in FY21 (and carried forward in FY22 and 23). The FY21 number was reduced based on an audit. The different this figure will make in the overall allocation is negligible, but I wanted to flag it.</t>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VITA Program</author>
  </authors>
  <commentList>
    <comment ref="D14" authorId="0" shapeId="0" xr:uid="{17B5824D-4E23-4856-8F32-92A296FFB527}">
      <text>
        <r>
          <rPr>
            <b/>
            <sz val="9"/>
            <color indexed="81"/>
            <rFont val="Tahoma"/>
            <family val="2"/>
          </rPr>
          <t>VITA Program:</t>
        </r>
        <r>
          <rPr>
            <sz val="9"/>
            <color indexed="81"/>
            <rFont val="Tahoma"/>
            <family val="2"/>
          </rPr>
          <t xml:space="preserve">
changed from original list from 3/17/2022</t>
        </r>
      </text>
    </comment>
    <comment ref="D17" authorId="0" shapeId="0" xr:uid="{38D70538-EDAB-4098-824E-4F57A35BE4D5}">
      <text>
        <r>
          <rPr>
            <b/>
            <sz val="9"/>
            <color indexed="81"/>
            <rFont val="Tahoma"/>
            <family val="2"/>
          </rPr>
          <t>VITA Program:</t>
        </r>
        <r>
          <rPr>
            <sz val="9"/>
            <color indexed="81"/>
            <rFont val="Tahoma"/>
            <family val="2"/>
          </rPr>
          <t xml:space="preserve">
changed from original schedule 3/17/2022</t>
        </r>
      </text>
    </comment>
    <comment ref="C40" authorId="0" shapeId="0" xr:uid="{B6EDEEEF-209C-49D3-B1AE-0C224508E0A8}">
      <text>
        <r>
          <rPr>
            <b/>
            <sz val="9"/>
            <color indexed="81"/>
            <rFont val="Tahoma"/>
            <family val="2"/>
          </rPr>
          <t>VITA Program:</t>
        </r>
        <r>
          <rPr>
            <sz val="9"/>
            <color indexed="81"/>
            <rFont val="Tahoma"/>
            <family val="2"/>
          </rPr>
          <t xml:space="preserve">
updated 12/14/2021 based on audit.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VITA Program</author>
    <author>tc={9B9EA1EB-481C-45EB-B95C-E9DF4A8A7754}</author>
  </authors>
  <commentList>
    <comment ref="CL9" authorId="0" shapeId="0" xr:uid="{2FEF0DEE-9339-4D26-AD8D-5EF444E64FA9}">
      <text>
        <r>
          <rPr>
            <b/>
            <sz val="9"/>
            <color indexed="81"/>
            <rFont val="Tahoma"/>
            <family val="2"/>
          </rPr>
          <t>VITA Program:</t>
        </r>
        <r>
          <rPr>
            <sz val="9"/>
            <color indexed="81"/>
            <rFont val="Tahoma"/>
            <family val="2"/>
          </rPr>
          <t xml:space="preserve">
added 'or' statement to formula to ensure anyone at the 30% cap does not get additional state funding. (Note from Finance FY22/23 timeframe)</t>
        </r>
      </text>
    </comment>
    <comment ref="CD11" authorId="1" shapeId="0" xr:uid="{9B9EA1EB-481C-45EB-B95C-E9DF4A8A7754}">
      <text>
        <t>[Threaded comment]
Your version of Excel allows you to read this threaded comment; however, any edits to it will get removed if the file is opened in a newer version of Excel. Learn more: https://go.microsoft.com/fwlink/?linkid=870924
Comment:
    If agencies are above 30%, a second round of re-allocation is needed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VITA Program</author>
    <author>tc={70D7CCF5-A87B-41BD-BA51-96A6F36853E3}</author>
  </authors>
  <commentList>
    <comment ref="CL9" authorId="0" shapeId="0" xr:uid="{54F72A02-892F-441F-AA7C-7FB48F31D439}">
      <text>
        <r>
          <rPr>
            <b/>
            <sz val="9"/>
            <color indexed="81"/>
            <rFont val="Tahoma"/>
            <family val="2"/>
          </rPr>
          <t>VITA Program:</t>
        </r>
        <r>
          <rPr>
            <sz val="9"/>
            <color indexed="81"/>
            <rFont val="Tahoma"/>
            <family val="2"/>
          </rPr>
          <t xml:space="preserve">
added 'or' statement to formula to ensure anyone at the 30% cap does not get additional state funding. (Note from Finance FY22/23 timeframe)</t>
        </r>
      </text>
    </comment>
    <comment ref="CD11" authorId="1" shapeId="0" xr:uid="{70D7CCF5-A87B-41BD-BA51-96A6F36853E3}">
      <text>
        <t>[Threaded comment]
Your version of Excel allows you to read this threaded comment; however, any edits to it will get removed if the file is opened in a newer version of Excel. Learn more: https://go.microsoft.com/fwlink/?linkid=870924
Comment:
    If agencies are above 30%, a second round of re-allocation is needed</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VITA Program</author>
    <author>tc={8A6A12ED-7920-41BA-A248-E810AE5027C9}</author>
  </authors>
  <commentList>
    <comment ref="CL9" authorId="0" shapeId="0" xr:uid="{306D2FB1-6BE7-4078-A64B-A547DD4A9B15}">
      <text>
        <r>
          <rPr>
            <b/>
            <sz val="9"/>
            <color indexed="81"/>
            <rFont val="Tahoma"/>
            <family val="2"/>
          </rPr>
          <t>VITA Program:</t>
        </r>
        <r>
          <rPr>
            <sz val="9"/>
            <color indexed="81"/>
            <rFont val="Tahoma"/>
            <family val="2"/>
          </rPr>
          <t xml:space="preserve">
added 'or' statement to formula to ensure anyone at the 30% cap does not get additional state funding. (Note from Finance FY22/23 timeframe)</t>
        </r>
      </text>
    </comment>
    <comment ref="CD11" authorId="1" shapeId="0" xr:uid="{8A6A12ED-7920-41BA-A248-E810AE5027C9}">
      <text>
        <t>[Threaded comment]
Your version of Excel allows you to read this threaded comment; however, any edits to it will get removed if the file is opened in a newer version of Excel. Learn more: https://go.microsoft.com/fwlink/?linkid=870924
Comment:
    If agencies are above 30%, a second round of re-allocation is needed</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VITA Program</author>
    <author>tc={A241CCCC-9D64-4ACC-959B-54EC6B54B8B7}</author>
  </authors>
  <commentList>
    <comment ref="CL9" authorId="0" shapeId="0" xr:uid="{2FDC1397-0FD8-42E9-9F6F-635FAE46992C}">
      <text>
        <r>
          <rPr>
            <b/>
            <sz val="9"/>
            <color indexed="81"/>
            <rFont val="Tahoma"/>
            <family val="2"/>
          </rPr>
          <t>VITA Program:</t>
        </r>
        <r>
          <rPr>
            <sz val="9"/>
            <color indexed="81"/>
            <rFont val="Tahoma"/>
            <family val="2"/>
          </rPr>
          <t xml:space="preserve">
added 'or' statement to formula to ensure anyone at the 30% cap does not get additional state funding. (Note from Finance FY22/23 timeframe)</t>
        </r>
      </text>
    </comment>
    <comment ref="CD11" authorId="1" shapeId="0" xr:uid="{A241CCCC-9D64-4ACC-959B-54EC6B54B8B7}">
      <text>
        <t>[Threaded comment]
Your version of Excel allows you to read this threaded comment; however, any edits to it will get removed if the file is opened in a newer version of Excel. Learn more: https://go.microsoft.com/fwlink/?linkid=870924
Comment:
    If agencies are above 30%, a second round of re-allocation is needed</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VITA Program</author>
  </authors>
  <commentList>
    <comment ref="CL8" authorId="0" shapeId="0" xr:uid="{A919A37F-C81A-42F4-BD96-9112A71DE367}">
      <text>
        <r>
          <rPr>
            <b/>
            <sz val="9"/>
            <color indexed="81"/>
            <rFont val="Tahoma"/>
            <family val="2"/>
          </rPr>
          <t>VITA Program:</t>
        </r>
        <r>
          <rPr>
            <sz val="9"/>
            <color indexed="81"/>
            <rFont val="Tahoma"/>
            <family val="2"/>
          </rPr>
          <t xml:space="preserve">
added 'or' statement to formula to ensure anyone at the 30% cap does not get additional state funding.</t>
        </r>
      </text>
    </comment>
    <comment ref="B17" authorId="0" shapeId="0" xr:uid="{776A2F15-2216-4C2D-AEDA-BE5C4B2C24F4}">
      <text>
        <r>
          <rPr>
            <b/>
            <sz val="9"/>
            <color indexed="81"/>
            <rFont val="Tahoma"/>
            <family val="2"/>
          </rPr>
          <t>VITA Program:</t>
        </r>
        <r>
          <rPr>
            <sz val="9"/>
            <color indexed="81"/>
            <rFont val="Tahoma"/>
            <family val="2"/>
          </rPr>
          <t xml:space="preserve">
Remove Greene County.  All amounts combined into JAUNT.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VITA Program</author>
  </authors>
  <commentList>
    <comment ref="CL8" authorId="0" shapeId="0" xr:uid="{D8AD11B3-9882-4E7A-A522-7988C74DED54}">
      <text>
        <r>
          <rPr>
            <b/>
            <sz val="9"/>
            <color indexed="81"/>
            <rFont val="Tahoma"/>
            <family val="2"/>
          </rPr>
          <t>VITA Program:</t>
        </r>
        <r>
          <rPr>
            <sz val="9"/>
            <color indexed="81"/>
            <rFont val="Tahoma"/>
            <family val="2"/>
          </rPr>
          <t xml:space="preserve">
added 'or' statement to formula to ensure anyone at the 30% cap does not get additional state funding.</t>
        </r>
      </text>
    </comment>
    <comment ref="B17" authorId="0" shapeId="0" xr:uid="{BA12B85E-6FF1-4215-9D8B-E8812E40DEBB}">
      <text>
        <r>
          <rPr>
            <b/>
            <sz val="9"/>
            <color indexed="81"/>
            <rFont val="Tahoma"/>
            <family val="2"/>
          </rPr>
          <t>VITA Program:</t>
        </r>
        <r>
          <rPr>
            <sz val="9"/>
            <color indexed="81"/>
            <rFont val="Tahoma"/>
            <family val="2"/>
          </rPr>
          <t xml:space="preserve">
Remove Greene County.  All amounts combined into JAUNT.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VITA Program</author>
  </authors>
  <commentList>
    <comment ref="CL8" authorId="0" shapeId="0" xr:uid="{33942856-712C-4573-9255-F947951D9707}">
      <text>
        <r>
          <rPr>
            <b/>
            <sz val="9"/>
            <color indexed="81"/>
            <rFont val="Tahoma"/>
            <family val="2"/>
          </rPr>
          <t>VITA Program:</t>
        </r>
        <r>
          <rPr>
            <sz val="9"/>
            <color indexed="81"/>
            <rFont val="Tahoma"/>
            <family val="2"/>
          </rPr>
          <t xml:space="preserve">
added 'or' statement to formula to ensure anyone at the 30% cap does not get additional state funding.</t>
        </r>
      </text>
    </comment>
    <comment ref="B17" authorId="0" shapeId="0" xr:uid="{6428ABCC-9607-415D-8B03-3551D03A61C0}">
      <text>
        <r>
          <rPr>
            <b/>
            <sz val="9"/>
            <color indexed="81"/>
            <rFont val="Tahoma"/>
            <family val="2"/>
          </rPr>
          <t>VITA Program:</t>
        </r>
        <r>
          <rPr>
            <sz val="9"/>
            <color indexed="81"/>
            <rFont val="Tahoma"/>
            <family val="2"/>
          </rPr>
          <t xml:space="preserve">
Remove Greene County.  All amounts combined into JAUNT.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<sst xmlns="http://schemas.openxmlformats.org/spreadsheetml/2006/main" count="7131" uniqueCount="455">
  <si>
    <t xml:space="preserve">Commuter Rail Pool: </t>
  </si>
  <si>
    <t>DO NOT USE THESE COLUMNS IF FORMULA DOLLARS EXCEED 30% OF TOTAL OPERATING BUDGET</t>
  </si>
  <si>
    <t>FINAL FY24 OPERATING ASSISTANCE ALLOCATIONS</t>
  </si>
  <si>
    <t>Sizing Weights:</t>
  </si>
  <si>
    <t>Performance Metric Weight:</t>
  </si>
  <si>
    <t>Available Assistance:</t>
  </si>
  <si>
    <t>Operating Assistance Cap:</t>
  </si>
  <si>
    <t>Funding to Re-Allocate</t>
  </si>
  <si>
    <t>link to revenue page, operating funds available</t>
  </si>
  <si>
    <t>2022 Agency Data used for Size-Weight Hybrid</t>
  </si>
  <si>
    <t>Size-Weight (Hybrid)</t>
  </si>
  <si>
    <t>Performance Metric 1</t>
  </si>
  <si>
    <t>Performance Metric 2</t>
  </si>
  <si>
    <t>Performance Metric 3</t>
  </si>
  <si>
    <t>Performance Metric 4</t>
  </si>
  <si>
    <t>Performance Metric 5</t>
  </si>
  <si>
    <t>Set-aside</t>
  </si>
  <si>
    <t>fixed formula</t>
  </si>
  <si>
    <t>Fix Rounding</t>
  </si>
  <si>
    <t>Size-Weight - Percentages</t>
  </si>
  <si>
    <t>Passengers per Revenue Hour</t>
  </si>
  <si>
    <t>Passengers per Revenue Mile</t>
  </si>
  <si>
    <t>Cost Per Revenue Hour</t>
  </si>
  <si>
    <t>Cost Per Revenue Mile</t>
  </si>
  <si>
    <t>Cost per Passenger</t>
  </si>
  <si>
    <t>Operating Assistance Cap</t>
  </si>
  <si>
    <t>Re-Allocation of Capped Operating Assistance</t>
  </si>
  <si>
    <t>Operating Assistance Cap - 2nd Round</t>
  </si>
  <si>
    <t>Re-Allocation of Capped Operating Assistance - 2nd Round</t>
  </si>
  <si>
    <t>Construction District</t>
  </si>
  <si>
    <t>Recipient</t>
  </si>
  <si>
    <t>2022 Operating Cost (Sizing)</t>
  </si>
  <si>
    <t>2022 Ridership (Sizing)</t>
  </si>
  <si>
    <t>Revenue Hours (Sizing)</t>
  </si>
  <si>
    <t>Revenue Miles (Sizing)</t>
  </si>
  <si>
    <t>Sizing Metrics Hybrid Weight</t>
  </si>
  <si>
    <r>
      <t xml:space="preserve">Sizing Metrics Hybrid Weight Normalized
</t>
    </r>
    <r>
      <rPr>
        <i/>
        <sz val="10"/>
        <color theme="0"/>
        <rFont val="Segoe UI"/>
        <family val="2"/>
      </rPr>
      <t xml:space="preserve"> (a) </t>
    </r>
  </si>
  <si>
    <r>
      <t>Trend Factor Relative to Statewide Trend</t>
    </r>
    <r>
      <rPr>
        <i/>
        <sz val="10"/>
        <color theme="0"/>
        <rFont val="Segoe UI"/>
        <family val="2"/>
      </rPr>
      <t xml:space="preserve"> (b)</t>
    </r>
  </si>
  <si>
    <r>
      <t xml:space="preserve">Size-Performance Weight
</t>
    </r>
    <r>
      <rPr>
        <i/>
        <sz val="10"/>
        <color theme="0"/>
        <rFont val="Segoe UI"/>
        <family val="2"/>
      </rPr>
      <t>(a)  * (b)</t>
    </r>
  </si>
  <si>
    <t xml:space="preserve">Normalized Size-Performance Weight 
</t>
  </si>
  <si>
    <r>
      <t xml:space="preserve">Trend Factor Relative to Statewide Trend </t>
    </r>
    <r>
      <rPr>
        <i/>
        <sz val="10"/>
        <color theme="0"/>
        <rFont val="Segoe UI"/>
        <family val="2"/>
      </rPr>
      <t>(c)</t>
    </r>
    <r>
      <rPr>
        <sz val="10"/>
        <color theme="0"/>
        <rFont val="Segoe UI"/>
        <family val="2"/>
      </rPr>
      <t xml:space="preserve">
</t>
    </r>
  </si>
  <si>
    <r>
      <t xml:space="preserve">Size-Performance Weight 
 </t>
    </r>
    <r>
      <rPr>
        <i/>
        <sz val="10"/>
        <color theme="0"/>
        <rFont val="Segoe UI"/>
        <family val="2"/>
      </rPr>
      <t>(a) * (c)</t>
    </r>
  </si>
  <si>
    <r>
      <t xml:space="preserve">Trend Factor Relative to Statewide Trend </t>
    </r>
    <r>
      <rPr>
        <i/>
        <sz val="10"/>
        <color theme="0"/>
        <rFont val="Segoe UI"/>
        <family val="2"/>
      </rPr>
      <t>(e)</t>
    </r>
    <r>
      <rPr>
        <sz val="10"/>
        <color theme="0"/>
        <rFont val="Segoe UI"/>
        <family val="2"/>
      </rPr>
      <t xml:space="preserve">
</t>
    </r>
  </si>
  <si>
    <r>
      <t>Size-Performance Weight</t>
    </r>
    <r>
      <rPr>
        <i/>
        <sz val="10"/>
        <color theme="0"/>
        <rFont val="Segoe UI"/>
        <family val="2"/>
      </rPr>
      <t xml:space="preserve"> 
(a) * (1/e)</t>
    </r>
  </si>
  <si>
    <r>
      <t xml:space="preserve">Trend Factor Relative to Statewide Trend </t>
    </r>
    <r>
      <rPr>
        <i/>
        <sz val="10"/>
        <color theme="0"/>
        <rFont val="Segoe UI"/>
        <family val="2"/>
      </rPr>
      <t>(f)</t>
    </r>
    <r>
      <rPr>
        <sz val="10"/>
        <color theme="0"/>
        <rFont val="Segoe UI"/>
        <family val="2"/>
      </rPr>
      <t xml:space="preserve">
</t>
    </r>
  </si>
  <si>
    <r>
      <t>Size-Performance Weight</t>
    </r>
    <r>
      <rPr>
        <i/>
        <sz val="10"/>
        <color theme="0"/>
        <rFont val="Segoe UI"/>
        <family val="2"/>
      </rPr>
      <t xml:space="preserve"> 
(a) * (1/f)</t>
    </r>
  </si>
  <si>
    <r>
      <t xml:space="preserve">Trend Factor Relative to Statewide Trend </t>
    </r>
    <r>
      <rPr>
        <i/>
        <sz val="10"/>
        <color theme="0"/>
        <rFont val="Segoe UI"/>
        <family val="2"/>
      </rPr>
      <t>(g)</t>
    </r>
    <r>
      <rPr>
        <sz val="10"/>
        <color theme="0"/>
        <rFont val="Segoe UI"/>
        <family val="2"/>
      </rPr>
      <t xml:space="preserve">
</t>
    </r>
  </si>
  <si>
    <r>
      <t>Size-Performance Weight</t>
    </r>
    <r>
      <rPr>
        <i/>
        <sz val="10"/>
        <color theme="0"/>
        <rFont val="Segoe UI"/>
        <family val="2"/>
      </rPr>
      <t xml:space="preserve"> 
(a) * (1/g)</t>
    </r>
  </si>
  <si>
    <t>PM1 - Weighted</t>
  </si>
  <si>
    <t>PM2 - Weighted</t>
  </si>
  <si>
    <t>PM3 - Weighted</t>
  </si>
  <si>
    <t>PM4 - Weighted</t>
  </si>
  <si>
    <t>PM5 - Weighted</t>
  </si>
  <si>
    <t>PM1 - Weighted * Available Assistance</t>
  </si>
  <si>
    <t>PM2 - Weighted * Available Assistance</t>
  </si>
  <si>
    <t>PM3 - Weighted * Available Assistance</t>
  </si>
  <si>
    <t>PM4 - Weighted * Available Assistance</t>
  </si>
  <si>
    <t>PM5 - Weighted * Available Assistance</t>
  </si>
  <si>
    <t>Agency Operating Allocation</t>
  </si>
  <si>
    <t>Agency Operating Cost</t>
  </si>
  <si>
    <t>State Operating Assistance as % of Operating Cost</t>
  </si>
  <si>
    <t>Capped Operating Assistance</t>
  </si>
  <si>
    <t>Difference from Allocation (Distributable Funds)</t>
  </si>
  <si>
    <t>Passengers/ RevHour Index 2024</t>
  </si>
  <si>
    <t>Passengers/ RevMile Index 2024</t>
  </si>
  <si>
    <t>Passengers/ Cost Index 2024</t>
  </si>
  <si>
    <t>Operating Assistance - For Re-Allocation Distribution 0=reached cap</t>
  </si>
  <si>
    <t>Absolute Performance Index Relative to State Average weighted by size weight</t>
  </si>
  <si>
    <t>Absolute Performance for Agencies that have not Reached Cap</t>
  </si>
  <si>
    <t>Index for First Round Performance Distribution</t>
  </si>
  <si>
    <t>Operating Allocation with First Round Performance Distribution (Uncapped)</t>
  </si>
  <si>
    <t>Cap for Performance Distribution</t>
  </si>
  <si>
    <t>Capped Operating Allocation with First Round Performance Distribution</t>
  </si>
  <si>
    <t>Available for Round 2 Performance Redistribution</t>
  </si>
  <si>
    <t>Absolute Performance for Agencies that have not Reached Cap after Round 1</t>
  </si>
  <si>
    <t>Index for Second Round Performance Re-Distribution</t>
  </si>
  <si>
    <t>Final Operating Allocation</t>
  </si>
  <si>
    <t>Re-Allocated Funding</t>
  </si>
  <si>
    <t>Performance Allocation + Re Allocation</t>
  </si>
  <si>
    <t>Cap Check for Re-Allocation (Ensures re-allocation is not greater than cap)</t>
  </si>
  <si>
    <t>Re-Allocation Percent Share (Excluding Capped Agencies)</t>
  </si>
  <si>
    <t>% Check</t>
  </si>
  <si>
    <t>Bristol</t>
  </si>
  <si>
    <t>AASC / Four County Transit</t>
  </si>
  <si>
    <t>City of Bristol Virginia</t>
  </si>
  <si>
    <t>District Three Public Transit</t>
  </si>
  <si>
    <t>Mountain Empire Older Citizens, Inc.</t>
  </si>
  <si>
    <t>Town of Bluefield-Graham Transit</t>
  </si>
  <si>
    <t>Culpeper</t>
  </si>
  <si>
    <t>Charlottesville Area Transit</t>
  </si>
  <si>
    <t>Fredericksburg</t>
  </si>
  <si>
    <t>FRED / Fredericksburg Regional Transit</t>
  </si>
  <si>
    <t>Hampton</t>
  </si>
  <si>
    <t>City of Suffolk</t>
  </si>
  <si>
    <t>Greensville County</t>
  </si>
  <si>
    <t>Hampton Roads Transit</t>
  </si>
  <si>
    <t>STAR Transit</t>
  </si>
  <si>
    <t>Town of Chincoteague</t>
  </si>
  <si>
    <t>Williamsburg Area Transit Authority</t>
  </si>
  <si>
    <t>Lynchburg</t>
  </si>
  <si>
    <t>Danville Transit System</t>
  </si>
  <si>
    <t>Farmville Area Bus</t>
  </si>
  <si>
    <t>Greater Lynchburg Transit Company</t>
  </si>
  <si>
    <t>Town of Altavista</t>
  </si>
  <si>
    <t>Northern Va</t>
  </si>
  <si>
    <t>Loudoun County</t>
  </si>
  <si>
    <t>NVTC - Arlington County</t>
  </si>
  <si>
    <t>NVTC - City of Alexandria</t>
  </si>
  <si>
    <t>NVTC - City of Fairfax</t>
  </si>
  <si>
    <t>NVTC - Fairfax County</t>
  </si>
  <si>
    <t>NVTC - VRE</t>
  </si>
  <si>
    <t>PRTC</t>
  </si>
  <si>
    <t>Richmond</t>
  </si>
  <si>
    <t>City of Petersburg</t>
  </si>
  <si>
    <t>Greater Richmond Transit Company</t>
  </si>
  <si>
    <t>Salem</t>
  </si>
  <si>
    <t>Blacksburg Transit</t>
  </si>
  <si>
    <t>City of Radford</t>
  </si>
  <si>
    <t>Greater Roanoke Transit Company</t>
  </si>
  <si>
    <t>Pulaski Area Transit</t>
  </si>
  <si>
    <t>Staunton</t>
  </si>
  <si>
    <t>Central Shenandoah PDC</t>
  </si>
  <si>
    <t>City of Harrisonburg Dept. of Public Transportation</t>
  </si>
  <si>
    <t>City of Winchester</t>
  </si>
  <si>
    <t>XMulti</t>
  </si>
  <si>
    <t>Bay Aging</t>
  </si>
  <si>
    <t>Blackstone Area Bus</t>
  </si>
  <si>
    <t>JAUNT</t>
  </si>
  <si>
    <t>Lake Area</t>
  </si>
  <si>
    <t>RADAR</t>
  </si>
  <si>
    <t>VRT</t>
  </si>
  <si>
    <t>Statewide Total</t>
  </si>
  <si>
    <t>Agency</t>
  </si>
  <si>
    <t>Ridership</t>
  </si>
  <si>
    <t>-</t>
  </si>
  <si>
    <t>Total</t>
  </si>
  <si>
    <t>Revenue Hours</t>
  </si>
  <si>
    <t>Revenue Miles</t>
  </si>
  <si>
    <t>Linked to Allocation Calculations page column C</t>
  </si>
  <si>
    <t>Op Cost Sizing</t>
  </si>
  <si>
    <t>Linked to Allocation Calculations Page, Metrics 4 and 5</t>
  </si>
  <si>
    <t>Operating Cost Performance</t>
  </si>
  <si>
    <t>Cap For Performance Redistribution</t>
  </si>
  <si>
    <t>2023 Agency Data used for Size-Weight Hybrid</t>
  </si>
  <si>
    <t>Passengers/RevMile</t>
  </si>
  <si>
    <t>Passengers/RevHour</t>
  </si>
  <si>
    <t>Passenger/Cost</t>
  </si>
  <si>
    <t>2023 Operating Cost (Sizing)</t>
  </si>
  <si>
    <t>2023 Ridership (Sizing)</t>
  </si>
  <si>
    <t>2023 Revenue Hours (Sizing)</t>
  </si>
  <si>
    <t>2023 Revenue Miles (Sizing)</t>
  </si>
  <si>
    <t xml:space="preserve"> Performance Index Relative to State Average</t>
  </si>
  <si>
    <t>Absolute Performance* size-weight</t>
  </si>
  <si>
    <t>Absolute Performance*size-weight for those who have not hit cap</t>
  </si>
  <si>
    <t>Performance Index</t>
  </si>
  <si>
    <t>N/A</t>
  </si>
  <si>
    <t>FY25 MERIT - Operating Assistance Allocation Calculations (Operating Formula)</t>
  </si>
  <si>
    <t>Sizing Metrics</t>
  </si>
  <si>
    <t>Performance Metric Trends                                                                                                         Performance Metric Trends                                                                                                           Performance Metric Trends                                                                                                         Performance Metric Trends                                                                                                         Performance Metric Trends</t>
  </si>
  <si>
    <t>Performance Weights</t>
  </si>
  <si>
    <t xml:space="preserve"> Initial Formula Allocation</t>
  </si>
  <si>
    <t>30% Cap Redistribution Round 1</t>
  </si>
  <si>
    <t>30% Cap Redistribution Round 2</t>
  </si>
  <si>
    <t xml:space="preserve"> Final Allocation</t>
  </si>
  <si>
    <t xml:space="preserve">FY24/FY25 Allocation Fix </t>
  </si>
  <si>
    <t xml:space="preserve">Funding to Re-Allocate </t>
  </si>
  <si>
    <t>Passengers/Cost</t>
  </si>
  <si>
    <t>2024 Agency Data used for Size-Weight Hybrid</t>
  </si>
  <si>
    <t>*</t>
  </si>
  <si>
    <t>FY2021, 2022, 2023, 2024 Agency Data used for Size-Weight Hybrid</t>
  </si>
  <si>
    <t>Operating Set-Aside</t>
  </si>
  <si>
    <t>Recipient (Eligible Agency)</t>
  </si>
  <si>
    <t>Operating Assistance 30% Cap Calculations Round 1</t>
  </si>
  <si>
    <t>Re-Allocation of Capped Operating Assistance Round 1</t>
  </si>
  <si>
    <t>Operating Assistance 30% Cap Calculations Round 2</t>
  </si>
  <si>
    <t>Re-Allocation of Capped Operating Assistance Round 2</t>
  </si>
  <si>
    <t>FINAL FY25 OPERATING ASSISTANCE ALLOCATIONS</t>
  </si>
  <si>
    <t>2024 Operating Cost (Sizing)</t>
  </si>
  <si>
    <t>2024 Ridership (Sizing)</t>
  </si>
  <si>
    <t>2024 Revenue Hours (Sizing)</t>
  </si>
  <si>
    <t>2024 Revenue Miles (Sizing)</t>
  </si>
  <si>
    <t>Agency Initial Operating Allocation</t>
  </si>
  <si>
    <t xml:space="preserve">Operating Allocation - After Re-allocation Round 1 </t>
  </si>
  <si>
    <t>Allocation as a Percetages of Agency Operating Cost (Cap Check)</t>
  </si>
  <si>
    <t>Operating Allocation - After Re-allocation Round 2</t>
  </si>
  <si>
    <t>Allocation as a Percentage of Agency Operating Cost (Cap Check)</t>
  </si>
  <si>
    <t>Cap Check for 2nd  Re-Allocation (Ensures re-allocation is not greater than cap)</t>
  </si>
  <si>
    <t>Maximimum Allocation (30% for all agencies)</t>
  </si>
  <si>
    <t>Amount Over 30%</t>
  </si>
  <si>
    <t>Final Total Operating Assistance Allocation</t>
  </si>
  <si>
    <t>Final - Allocation as a Percentage of Agency Operating Cost (Cap Check)</t>
  </si>
  <si>
    <t>FY24/25 Fix</t>
  </si>
  <si>
    <t>Total FY26 Allocation</t>
  </si>
  <si>
    <t>Final - Allocation as a Percentage of Agency Operating Cost (Cap Check) - After FY24/25 Fix</t>
  </si>
  <si>
    <t>FY 2021</t>
  </si>
  <si>
    <t>FY 2022</t>
  </si>
  <si>
    <t>FY 2023</t>
  </si>
  <si>
    <t>FY 2024</t>
  </si>
  <si>
    <t xml:space="preserve">Jaunt Rural only for FY 2026 application.  Urban moved to CAT.  </t>
  </si>
  <si>
    <t xml:space="preserve">Grantee </t>
  </si>
  <si>
    <t>Current Formula</t>
  </si>
  <si>
    <r>
      <t xml:space="preserve">Sizing + Performance Adjustment 
</t>
    </r>
    <r>
      <rPr>
        <b/>
        <i/>
        <sz val="10"/>
        <color theme="0"/>
        <rFont val="Arial"/>
        <family val="2"/>
      </rPr>
      <t>(Single Year Performace)</t>
    </r>
    <r>
      <rPr>
        <b/>
        <sz val="10"/>
        <color theme="0"/>
        <rFont val="Arial"/>
        <family val="2"/>
      </rPr>
      <t xml:space="preserve">
</t>
    </r>
  </si>
  <si>
    <t>Revised Allocation</t>
  </si>
  <si>
    <t>$ Difference</t>
  </si>
  <si>
    <t>% Difference</t>
  </si>
  <si>
    <t>Hampton Roads</t>
  </si>
  <si>
    <t>Northern Virginia</t>
  </si>
  <si>
    <t>BY DISTRICT</t>
  </si>
  <si>
    <t xml:space="preserve">Sizing + Performance Adjustment </t>
  </si>
  <si>
    <t>(Single Year Performace)</t>
  </si>
  <si>
    <t>(3-Year Average Performace)</t>
  </si>
  <si>
    <t>(Performance w/o Deadhead)</t>
  </si>
  <si>
    <t>(Total Cost for Sizing)</t>
  </si>
  <si>
    <t>(All Alternatives)</t>
  </si>
  <si>
    <t>FOR 10/6 TSDAC PRESENTATION TABLES</t>
  </si>
  <si>
    <t xml:space="preserve">District </t>
  </si>
  <si>
    <t>Actual Allocations</t>
  </si>
  <si>
    <t>Sizing + Performance Scenario</t>
  </si>
  <si>
    <t>3-Year Average Performance</t>
  </si>
  <si>
    <t>Performance Excludes Deadhead</t>
  </si>
  <si>
    <t>Sizing Applies Total Cost</t>
  </si>
  <si>
    <t xml:space="preserve">Combination </t>
  </si>
  <si>
    <t>SCENARIO</t>
  </si>
  <si>
    <t>CURRENT</t>
  </si>
  <si>
    <t>#</t>
  </si>
  <si>
    <t>S6C - MAJOR COMBINATION</t>
  </si>
  <si>
    <t>Objectives:</t>
  </si>
  <si>
    <t>Outcome Focused</t>
  </si>
  <si>
    <t xml:space="preserve">Ridership = Cost; &gt;Service </t>
  </si>
  <si>
    <t>Performance Based</t>
  </si>
  <si>
    <t>Set-aside+left overs; 35% Cap</t>
  </si>
  <si>
    <t>Simplified</t>
  </si>
  <si>
    <t>None</t>
  </si>
  <si>
    <t>Predictability</t>
  </si>
  <si>
    <t>SIZE-WEIGHT</t>
  </si>
  <si>
    <t>Operating Cost</t>
  </si>
  <si>
    <t>S6</t>
  </si>
  <si>
    <t xml:space="preserve">4-YEAR PERFORMANCE </t>
  </si>
  <si>
    <t>Passengers/Rev Hour</t>
  </si>
  <si>
    <t xml:space="preserve">TREND ADJUSTMENT </t>
  </si>
  <si>
    <t>Passengers/Rev Mile</t>
  </si>
  <si>
    <t>TO SIZE-WEIGHT</t>
  </si>
  <si>
    <t>Cost/Rev Hour</t>
  </si>
  <si>
    <t xml:space="preserve">Cost/Rev Mile </t>
  </si>
  <si>
    <t>Cost/Passenger</t>
  </si>
  <si>
    <t>REDISTRIBUTION APPROACH</t>
  </si>
  <si>
    <t>Iterative until revenue exhausted</t>
  </si>
  <si>
    <t>Iterative until performance allocation exhausted</t>
  </si>
  <si>
    <t>PERFORMANCE</t>
  </si>
  <si>
    <t>Amount</t>
  </si>
  <si>
    <t>5% Set-aside + Capped-out Remainder</t>
  </si>
  <si>
    <t xml:space="preserve">BASED </t>
  </si>
  <si>
    <t>Approach</t>
  </si>
  <si>
    <t>Indexed to State Avg.</t>
  </si>
  <si>
    <t>ALLOCATION</t>
  </si>
  <si>
    <t>CAP</t>
  </si>
  <si>
    <t>Initial Distribution</t>
  </si>
  <si>
    <t>Redistribution</t>
  </si>
  <si>
    <t>Average Allocation According to Current Approach</t>
  </si>
  <si>
    <t>Average Allocation According to Revised Approach</t>
  </si>
  <si>
    <t>Difference</t>
  </si>
  <si>
    <t>Allocation According to Current Approach</t>
  </si>
  <si>
    <t>Allocation According to Revised Approach</t>
  </si>
  <si>
    <t xml:space="preserve">Hampton Roads </t>
  </si>
  <si>
    <t>RURAL AGENCIES</t>
  </si>
  <si>
    <t>PETERSBURG</t>
  </si>
  <si>
    <t>Urban</t>
  </si>
  <si>
    <t>HDPT (Harrisonburg)</t>
  </si>
  <si>
    <t>Large Urban</t>
  </si>
  <si>
    <t>Small Urban/Rural</t>
  </si>
  <si>
    <t>Median</t>
  </si>
  <si>
    <t>FY2026 Operating Assistance Allocation</t>
  </si>
  <si>
    <t>Scenario</t>
  </si>
  <si>
    <t xml:space="preserve">Current Approach </t>
  </si>
  <si>
    <t>S1A</t>
  </si>
  <si>
    <t>S1B</t>
  </si>
  <si>
    <t>S1C - MODERATE OUTCOME FOCUSED</t>
  </si>
  <si>
    <t>S1D</t>
  </si>
  <si>
    <t>S1E - MAJOR OUTCOME FOCUSED</t>
  </si>
  <si>
    <t>S1F</t>
  </si>
  <si>
    <t>S2A</t>
  </si>
  <si>
    <t>S2B</t>
  </si>
  <si>
    <t>S3A</t>
  </si>
  <si>
    <t>S3B - MODERATE PERFORMANCE BASED</t>
  </si>
  <si>
    <t>S3C</t>
  </si>
  <si>
    <t>S4A</t>
  </si>
  <si>
    <t>S4B</t>
  </si>
  <si>
    <t>S4C</t>
  </si>
  <si>
    <t>S4D</t>
  </si>
  <si>
    <t>S4E - MAJOR PERFORMANCE BASED</t>
  </si>
  <si>
    <t>S5A - HIGHER PREDICTABILITY</t>
  </si>
  <si>
    <t>S6A</t>
  </si>
  <si>
    <t>S6B - MODERATE COMBINATION</t>
  </si>
  <si>
    <t>S6G - MAJOR COMBINATION 2</t>
  </si>
  <si>
    <t>S6F - OUTCOME + PERFORMANCE + SIMPLIFIED</t>
  </si>
  <si>
    <t>S5E =S2B+S3A</t>
  </si>
  <si>
    <t>Features</t>
  </si>
  <si>
    <t>METRIC</t>
  </si>
  <si>
    <t>Shifts the weight to ridership versus Op cost for sizing</t>
  </si>
  <si>
    <t>Significantly shifts the weight to ridership versus Op cost for sizing</t>
  </si>
  <si>
    <t>Equalizes Op cost and ridership in weight and also increases the weight of service metrics: revenue hours and revenue miles</t>
  </si>
  <si>
    <t>Equalizes Op cost and ridership in weight and maintains weight of service metrics: revenue hours and revenue miles at current level</t>
  </si>
  <si>
    <t>Removes Operating Cost from Size-Weight</t>
  </si>
  <si>
    <t>No performance trend adjustment</t>
  </si>
  <si>
    <t>Eliminates iteration beyond the 1st redistribution round by cross-comparing the gap to 30% after initial distribution across agencies.</t>
  </si>
  <si>
    <t>Eliminates iteration beyond the 1st redistribution round weighting the size-weight factor with the % remaining until 30% cap is reached</t>
  </si>
  <si>
    <t>Redistribution amount (&gt;30% cap after 1st distribution)allocated using three Performance Factors calculated seperately for each agency weighted by size-weight; Only one redistribution round with 30% cap maintained</t>
  </si>
  <si>
    <t>Redistribution amount (&gt;30% cap after 1st distribution) allocated using three Performance Indices (factors compared to Statewide averages) calculated for each agency weighted by size-weight; Only one redistribution round with 30% cap maintained</t>
  </si>
  <si>
    <t>Only allocates redistribution amount  (&gt;30% cap after 1st distribution)  to those that were negatively impacted by trend comparison using only size-weight; ; Only one redistribution round with 30% cap maintained</t>
  </si>
  <si>
    <t>5% Performance Set-aside &amp; Redistribution amount allocated using three Performance Indices (factors compared to Statewide averages) calculated for each agency weighted by size-weight; Only one redistribution round with 30% cap maintained</t>
  </si>
  <si>
    <t>5% Performance Set-aside &amp; Redistribution amount allocated using three Performance Indices (factors compared to Statewide averages) calculated for each agency weighted by size-weight; One redistribution round with NO 30% cap in redistribution open to agencies that met their 30% threshold in original distribution</t>
  </si>
  <si>
    <t xml:space="preserve">5% Performance Set-aside &amp; Redistribution amount allocated using three Performance Indices (factors compared to Statewide averages) calculated for each agency weighted by size-weight; One redistribution round with NO 30% cap in redistribution open to agencies that met their 30% threshold in original distribution Removes trendwise performance adjustment to size weight. </t>
  </si>
  <si>
    <t>5% Performance Set-aside &amp; Redistribution amount allocated using three Performance Indices (factors compared to Statewide averages) calculated for each agency weighted by size-weight; One redistribution round with 35% cap in redistribution open to all agencies.</t>
  </si>
  <si>
    <t>5% Performance Set-aside &amp; Redistribution amount allocated using three Performance Indices (factors compared to Statewide averages) calculated for each agency weighted by size-weight; One redistribution round with 35% cap in redistribution open to all agencies. Removes Trendwise Performace</t>
  </si>
  <si>
    <t>Only change from current is that the Cap for the initial distribution and 1st redistrubution is the minimum of 30% of recent year Operation cost AND 10% growth over prior year allocation</t>
  </si>
  <si>
    <t>x</t>
  </si>
  <si>
    <t>Size-Weight</t>
  </si>
  <si>
    <t>4-Year Performance Trend Adjustment to Size Weight</t>
  </si>
  <si>
    <t>Redistribution Approach</t>
  </si>
  <si>
    <t>One round simulating iteration with formula</t>
  </si>
  <si>
    <t>Performance-Based Allocation</t>
  </si>
  <si>
    <t>Capped-out Remainder</t>
  </si>
  <si>
    <t>5% Set-Aside+Capped-out Remainder</t>
  </si>
  <si>
    <t>0.05 Set-Aside+Capped-out Remainder</t>
  </si>
  <si>
    <t>0.05 Set-aside + Capped-out Remainder</t>
  </si>
  <si>
    <t>5% set-aside + Capped-out Remainder</t>
  </si>
  <si>
    <t>Absolute Comparison</t>
  </si>
  <si>
    <t>Indexed to State Avg. &amp; weighted by size-weight</t>
  </si>
  <si>
    <t>Size-weight; Only to -ve trend impact</t>
  </si>
  <si>
    <t>Indexed to State Avg. weighted by size-weight</t>
  </si>
  <si>
    <t>Cap</t>
  </si>
  <si>
    <t>0.1 growth over prior year allocation</t>
  </si>
  <si>
    <t>Re-Distribition</t>
  </si>
  <si>
    <t>No Cap</t>
  </si>
  <si>
    <t>Unchanged</t>
  </si>
  <si>
    <t>Lose Funds</t>
  </si>
  <si>
    <t>Gain Funds</t>
  </si>
  <si>
    <t>Change by District</t>
  </si>
  <si>
    <t>MODERATE OUTCOME FOCUSED</t>
  </si>
  <si>
    <t>EXTREME OUTCOME FOCUSED</t>
  </si>
  <si>
    <t>MODERATE PERFORMANCE BASED</t>
  </si>
  <si>
    <t>OUTCOME FOCUSED &amp; PERFORMANCE BASED &amp; SIMPLIFIED</t>
  </si>
  <si>
    <t xml:space="preserve">OUTCOME FOCUSED </t>
  </si>
  <si>
    <t>Ridership &gt; Cost</t>
  </si>
  <si>
    <t>Ridership &gt;&gt; Cost</t>
  </si>
  <si>
    <t>Ridership = Cost</t>
  </si>
  <si>
    <t>Removes Cost</t>
  </si>
  <si>
    <t>PERFORMANCE BASED</t>
  </si>
  <si>
    <t>35% Cap</t>
  </si>
  <si>
    <t>Only capped left overs</t>
  </si>
  <si>
    <t xml:space="preserve">Only capped left overs </t>
  </si>
  <si>
    <t>Set-aside+left overs</t>
  </si>
  <si>
    <t>Set-aside+left overs; No Cap</t>
  </si>
  <si>
    <t>SIMPLIFIED</t>
  </si>
  <si>
    <t>Slightly more complex</t>
  </si>
  <si>
    <t>No trend adjustment</t>
  </si>
  <si>
    <t>PREDICTABILITY</t>
  </si>
  <si>
    <t>No more than 10% growth over prior year</t>
  </si>
  <si>
    <t>Adjust Size-Weight</t>
  </si>
  <si>
    <t>Eliminate Iteration</t>
  </si>
  <si>
    <t>Performance based Reallocation</t>
  </si>
  <si>
    <t>Combination</t>
  </si>
  <si>
    <t>Pros</t>
  </si>
  <si>
    <t>Reduces reliance on OpCost. Rewards agencies whose cost is low and ridership is high over current approach</t>
  </si>
  <si>
    <t>Reduces reliance on OpCost. Significantly rewards agencies whose cost is low and ridership is high over current approach</t>
  </si>
  <si>
    <t>Reduces reliance on OpCost. No agencies significantly negatively impacted (&gt; 4% reduction) on a percentage basis. Could be considered a happy medium</t>
  </si>
  <si>
    <t>Marginally rewards agencies whose cost is low and ridership is high over current approach</t>
  </si>
  <si>
    <t>Eliminates reliance on OpCost</t>
  </si>
  <si>
    <t>Very close to current allocation/ no significant winners/losers</t>
  </si>
  <si>
    <t>Straight performance comparison as against trend comparison</t>
  </si>
  <si>
    <t>Allows for correction due to adverse outcomes of trend metric. No perpetual winners and losers</t>
  </si>
  <si>
    <t>Mitigates some cons of S1C like Fairfax County reduction and increases in allocation to smaller agencies</t>
  </si>
  <si>
    <t>Mitigates most cons of S1C and adds a performance based correction</t>
  </si>
  <si>
    <t>Loudoun county and PRTC have less reduction than other alternatives. Along with Fairfax, may benefit from some performance incentive in combination with  other scenarios</t>
  </si>
  <si>
    <t>Could be considered a happy medium</t>
  </si>
  <si>
    <t xml:space="preserve">Meets requirement of less reliance on OpCost, eliminates iteration </t>
  </si>
  <si>
    <t>Meets requirement of less reliance on OpCost, eliminates iteration and includes a performance-based allocation for the redistribution</t>
  </si>
  <si>
    <t xml:space="preserve">Cons </t>
  </si>
  <si>
    <t xml:space="preserve">Disadvantages agencies serving large Metro area like Loudoun, Fairfax and HRT for higher cost probably due of COL 
</t>
  </si>
  <si>
    <t xml:space="preserve">Significantly disadvantages agencies serving large Metro area like Loudoun, Fairfax and HRT for higher cost probably due of COL </t>
  </si>
  <si>
    <t>Fairfax County loses most in $ terms</t>
  </si>
  <si>
    <t>Loudoun County gets a significant cut</t>
  </si>
  <si>
    <t xml:space="preserve">Fairfax, Loundoun Countie, HRT and PRTC lose significantly. </t>
  </si>
  <si>
    <t>May not be a foolproof approach</t>
  </si>
  <si>
    <t>Winners like Arlington &amp;  Fairfax counties, PRTC, and GRTC may remain winner by these metrics</t>
  </si>
  <si>
    <t>Performance based allocation is dependent upon availability of redistribution</t>
  </si>
  <si>
    <t>Does reduce reliance on cost but shifts it to ridership which may also be variable year over year for reasons beyond an agency's control</t>
  </si>
  <si>
    <t>Increases Pulaski Area Transit, Central Shanandoah PDC, Town of Bluefield and Altavista significantly</t>
  </si>
  <si>
    <t>May sometimes need a second round</t>
  </si>
  <si>
    <t>Performance-based component</t>
  </si>
  <si>
    <t xml:space="preserve">Simplication </t>
  </si>
  <si>
    <t>Funding outcomes</t>
  </si>
  <si>
    <t>FY2025 Operating Assistance Allocation</t>
  </si>
  <si>
    <t>X</t>
  </si>
  <si>
    <t>Yes</t>
  </si>
  <si>
    <t>S1C and S4E</t>
  </si>
  <si>
    <t>AASC/ 4 County</t>
  </si>
  <si>
    <t>District Three</t>
  </si>
  <si>
    <t>MEOC</t>
  </si>
  <si>
    <t xml:space="preserve">Bluefield-Graham </t>
  </si>
  <si>
    <t>CAT</t>
  </si>
  <si>
    <t>FXBGO!</t>
  </si>
  <si>
    <t>Greensville Co.</t>
  </si>
  <si>
    <t>HRT</t>
  </si>
  <si>
    <t>PONY Express</t>
  </si>
  <si>
    <t>WATA</t>
  </si>
  <si>
    <t>DTS</t>
  </si>
  <si>
    <t>GLTC (Lynchburg)</t>
  </si>
  <si>
    <t>Loudoun Co.</t>
  </si>
  <si>
    <t>Arlington Co. - ART</t>
  </si>
  <si>
    <t>Alexandria - DASH</t>
  </si>
  <si>
    <t>City of Fairfax - CUE</t>
  </si>
  <si>
    <t>Fairfax Connector</t>
  </si>
  <si>
    <t>PAT (Petersburg)</t>
  </si>
  <si>
    <t>GRTC (Richmond)</t>
  </si>
  <si>
    <t>GRTC (Valley Metro)</t>
  </si>
  <si>
    <t>CSPDC</t>
  </si>
  <si>
    <t>0.05 set-aside + Capped-out Remainder</t>
  </si>
  <si>
    <r>
      <t xml:space="preserve">Sizing + Performance Adjustment 
</t>
    </r>
    <r>
      <rPr>
        <b/>
        <i/>
        <sz val="10"/>
        <color theme="0"/>
        <rFont val="Arial"/>
        <family val="2"/>
      </rPr>
      <t>(Total Cost for Sizing)</t>
    </r>
    <r>
      <rPr>
        <b/>
        <sz val="10"/>
        <color theme="0"/>
        <rFont val="Arial"/>
        <family val="2"/>
      </rPr>
      <t xml:space="preserve">
"Alternative C"</t>
    </r>
  </si>
  <si>
    <r>
      <t xml:space="preserve">Sizing + Performance Adjustment 
</t>
    </r>
    <r>
      <rPr>
        <b/>
        <i/>
        <sz val="10"/>
        <color theme="0"/>
        <rFont val="Arial"/>
        <family val="2"/>
      </rPr>
      <t>(Total Cost for Sizing)</t>
    </r>
    <r>
      <rPr>
        <b/>
        <sz val="10"/>
        <color theme="0"/>
        <rFont val="Arial"/>
        <family val="2"/>
      </rPr>
      <t xml:space="preserve">
Alternative "C"</t>
    </r>
  </si>
  <si>
    <r>
      <t xml:space="preserve">Sizing + Performance Adjustment 
</t>
    </r>
    <r>
      <rPr>
        <b/>
        <i/>
        <sz val="10"/>
        <color theme="0"/>
        <rFont val="Arial"/>
        <family val="2"/>
      </rPr>
      <t>(Performance w/o Deadhead)</t>
    </r>
    <r>
      <rPr>
        <b/>
        <sz val="10"/>
        <color theme="0"/>
        <rFont val="Arial"/>
        <family val="2"/>
      </rPr>
      <t xml:space="preserve">
Alternative "B"</t>
    </r>
  </si>
  <si>
    <r>
      <t xml:space="preserve">Sizing + Performance Adjustment 
</t>
    </r>
    <r>
      <rPr>
        <b/>
        <i/>
        <sz val="10"/>
        <color theme="0"/>
        <rFont val="Arial"/>
        <family val="2"/>
      </rPr>
      <t>(3-Year Average Performace)</t>
    </r>
    <r>
      <rPr>
        <b/>
        <sz val="10"/>
        <color theme="0"/>
        <rFont val="Arial"/>
        <family val="2"/>
      </rPr>
      <t xml:space="preserve">
Alternative "A"</t>
    </r>
  </si>
  <si>
    <r>
      <t xml:space="preserve">Sizing + Performance Adjustment 
</t>
    </r>
    <r>
      <rPr>
        <b/>
        <i/>
        <sz val="10"/>
        <color theme="0"/>
        <rFont val="Arial"/>
        <family val="2"/>
      </rPr>
      <t>(All Alternatives)</t>
    </r>
    <r>
      <rPr>
        <b/>
        <sz val="10"/>
        <color theme="0"/>
        <rFont val="Arial"/>
        <family val="2"/>
      </rPr>
      <t xml:space="preserve">
Alternative "D"</t>
    </r>
  </si>
  <si>
    <t>Alternative "A"</t>
  </si>
  <si>
    <t>Alternative "B"</t>
  </si>
  <si>
    <t>Alternative "C"</t>
  </si>
  <si>
    <t>Alternative "D"</t>
  </si>
  <si>
    <t>Sizing + Performance Adjustment (Single Year Performace)</t>
  </si>
  <si>
    <t xml:space="preserve">Alternative "A": Sizing + Performance Adjustment (3-Year Average Performace) </t>
  </si>
  <si>
    <t xml:space="preserve">Alternative "B": Sizing + Performance Adjustment (Performance w/o Deadhead) </t>
  </si>
  <si>
    <t xml:space="preserve">Alternative "C": Sizing + Performance Adjustment (Total Cost for Sizing) </t>
  </si>
  <si>
    <t xml:space="preserve">Alternative "D": Sizing + Performance Adjustment (All Alternatives) </t>
  </si>
  <si>
    <t>FY24-26 AVERAGE MERIT OPERATING ALLOCATION - COMPARISON OF ALLOCATION USING REVISED ALTERNATIVE FORMULAS VERSUS CURRENT FORMULA</t>
  </si>
  <si>
    <t>COMPARISON TO ALTERNATIVES TO SIZING + PERFORMANCE ALLOCATION</t>
  </si>
  <si>
    <t>Summary Table</t>
  </si>
  <si>
    <t>FY26 Comparisons</t>
  </si>
  <si>
    <t>FY25 Comparisons</t>
  </si>
  <si>
    <t>FY24 Comparisons</t>
  </si>
  <si>
    <t>FY26 MERIT - Operating Assistance Allocation Calculations (Operating Formula)</t>
  </si>
  <si>
    <t>FY24 MERIT - Operating Assistance Allocation Calculations (Operating Formula)</t>
  </si>
  <si>
    <t>Ridership Input Data - FY26</t>
  </si>
  <si>
    <t>Revenue Hours Input Data - FY26</t>
  </si>
  <si>
    <t>Revenue Miles Input Data - FY26</t>
  </si>
  <si>
    <t>Sizing Input Data - FY26</t>
  </si>
  <si>
    <t>Operating Cost Input Data - FY26</t>
  </si>
  <si>
    <t>Ridership Input Data - FY25</t>
  </si>
  <si>
    <t>Revenue Hours Input Data - FY25</t>
  </si>
  <si>
    <t>Revenue Miles Input Data - FY25</t>
  </si>
  <si>
    <t>Sizing Input Data - FY25</t>
  </si>
  <si>
    <t>Operating Cost Input Data - FY25</t>
  </si>
  <si>
    <t>Ridership Input Data - FY24</t>
  </si>
  <si>
    <t>Revenue Hours Input Data - FY24</t>
  </si>
  <si>
    <t>Revenue Miles Input Data - FY24</t>
  </si>
  <si>
    <t>Sizing Input Data - FY24</t>
  </si>
  <si>
    <t>Operating Cost Input Data - FY24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</si>
</sst>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_);\(#,##0\);&quot;-  &quot;;&quot; &quot;@"/>
    <numFmt numFmtId="165" formatCode="_(* #,##0.00000_);_(* \(#,##0.00000\);_(* &quot;-&quot;??_);_(@_)"/>
    <numFmt numFmtId="166" formatCode="_(* #,##0.0000_);_(* \(#,##0.0000\);_(* &quot;-&quot;????_);_(@_)"/>
    <numFmt numFmtId="167" formatCode="_(* #,##0_);_(* \(#,##0\);_(* &quot;-&quot;??_);_(@_)"/>
    <numFmt numFmtId="168" formatCode="_(&quot;$&quot;* #,##0_);_(&quot;$&quot;* \(#,##0\);_(&quot;$&quot;* &quot;-&quot;??_);_(@_)"/>
    <numFmt numFmtId="169" formatCode="0.0000"/>
    <numFmt numFmtId="170" formatCode="_(* #,##0.0000_);_(* \(#,##0.0000\);_(* &quot;-&quot;??_);_(@_)"/>
    <numFmt numFmtId="171" formatCode="0.0"/>
    <numFmt numFmtId="172" formatCode="0.000%"/>
    <numFmt numFmtId="173" formatCode="_(* #,##0.000_);_(* \(#,##0.000\);_(* &quot;-&quot;??_);_(@_)"/>
    <numFmt numFmtId="174" formatCode="_(* #,##0.000000_);_(* \(#,##0.000000\);_(* &quot;-&quot;??_);_(@_)"/>
    <numFmt numFmtId="175" formatCode="0.0000%"/>
    <numFmt numFmtId="176" formatCode="0.000000000000000%"/>
    <numFmt numFmtId="177" formatCode="0.00000000000000%"/>
    <numFmt numFmtId="178" formatCode="0.0%"/>
  </numFmts>
  <fonts count="60">
    <font>
      <sz val="11"/>
      <color theme="1"/>
      <name val="Aptos Narrow"/>
      <family val="2"/>
      <scheme val="minor"/>
    </font>
    <font>
      <sz val="11"/>
      <color theme="1"/>
      <name val="Aptos Narrow"/>
      <family val="2"/>
      <scheme val="minor"/>
    </font>
    <font>
      <sz val="10"/>
      <color theme="1"/>
      <name val="Segoe UI"/>
      <family val="2"/>
    </font>
    <font>
      <b/>
      <sz val="10"/>
      <name val="Arial"/>
      <family val="2"/>
    </font>
    <font>
      <b/>
      <sz val="10"/>
      <name val="Segoe UI"/>
      <family val="2"/>
    </font>
    <font>
      <sz val="12"/>
      <color indexed="8"/>
      <name val="Arial MT"/>
    </font>
    <font>
      <sz val="10"/>
      <name val="Segoe UI"/>
      <family val="2"/>
    </font>
    <font>
      <sz val="10"/>
      <color indexed="12"/>
      <name val="Segoe UI"/>
      <family val="2"/>
    </font>
    <font>
      <b/>
      <sz val="10"/>
      <color theme="1"/>
      <name val="Segoe UI"/>
      <family val="2"/>
    </font>
    <font>
      <sz val="10"/>
      <color theme="1" tint="0.499984740745262"/>
      <name val="Segoe UI"/>
      <family val="2"/>
    </font>
    <font>
      <b/>
      <sz val="10"/>
      <color rgb="FFC00000"/>
      <name val="Segoe UI"/>
      <family val="2"/>
    </font>
    <font>
      <sz val="10"/>
      <color theme="0"/>
      <name val="Segoe UI"/>
      <family val="2"/>
    </font>
    <font>
      <b/>
      <i/>
      <sz val="10"/>
      <color theme="1"/>
      <name val="Segoe UI"/>
      <family val="2"/>
    </font>
    <font>
      <b/>
      <sz val="10"/>
      <color theme="0"/>
      <name val="Segoe UI"/>
      <family val="2"/>
    </font>
    <font>
      <sz val="10"/>
      <color theme="0" tint="-0.34998626667073579"/>
      <name val="Segoe UI"/>
      <family val="2"/>
    </font>
    <font>
      <sz val="10"/>
      <name val="Arial"/>
      <family val="2"/>
    </font>
    <font>
      <i/>
      <sz val="10"/>
      <color theme="0"/>
      <name val="Segoe UI"/>
      <family val="2"/>
    </font>
    <font>
      <sz val="11"/>
      <color indexed="8"/>
      <name val="Calibri"/>
      <family val="2"/>
    </font>
    <font>
      <sz val="10"/>
      <color rgb="FFC00000"/>
      <name val="Segoe UI"/>
      <family val="2"/>
    </font>
    <font>
      <b/>
      <sz val="10"/>
      <color indexed="12"/>
      <name val="Segoe UI"/>
      <family val="2"/>
    </font>
    <font>
      <b/>
      <sz val="9"/>
      <color indexed="81"/>
      <name val="Tahoma"/>
      <family val="2"/>
    </font>
    <font>
      <sz val="9"/>
      <color indexed="81"/>
      <name val="Tahoma"/>
      <family val="2"/>
    </font>
    <font>
      <sz val="11"/>
      <name val="Aptos Narrow"/>
      <family val="2"/>
      <scheme val="minor"/>
    </font>
    <font>
      <b/>
      <sz val="14"/>
      <name val="Segoe UI"/>
      <family val="2"/>
    </font>
    <font>
      <sz val="11"/>
      <color theme="1"/>
      <name val="Segoe UI"/>
      <family val="2"/>
    </font>
    <font>
      <b/>
      <sz val="11"/>
      <name val="Segoe UI"/>
      <family val="2"/>
    </font>
    <font>
      <sz val="11"/>
      <name val="Segoe UI"/>
      <family val="2"/>
    </font>
    <font>
      <sz val="11"/>
      <color indexed="12"/>
      <name val="Segoe UI"/>
      <family val="2"/>
    </font>
    <font>
      <b/>
      <sz val="11"/>
      <color theme="1"/>
      <name val="Segoe UI"/>
      <family val="2"/>
    </font>
    <font>
      <b/>
      <sz val="10"/>
      <color theme="1" tint="0.499984740745262"/>
      <name val="Segoe UI"/>
      <family val="2"/>
    </font>
    <font>
      <sz val="11"/>
      <color theme="1" tint="0.499984740745262"/>
      <name val="Segoe UI"/>
      <family val="2"/>
    </font>
    <font>
      <b/>
      <sz val="10"/>
      <color theme="5"/>
      <name val="Segoe UI"/>
      <family val="2"/>
    </font>
    <font>
      <sz val="10"/>
      <color theme="1" tint="0.249977111117893"/>
      <name val="Segoe UI"/>
      <family val="2"/>
    </font>
    <font>
      <b/>
      <sz val="10"/>
      <color theme="1" tint="0.249977111117893"/>
      <name val="Segoe UI"/>
      <family val="2"/>
    </font>
    <font>
      <sz val="10"/>
      <color theme="1" tint="0.14999847407452621"/>
      <name val="Segoe UI"/>
      <family val="2"/>
    </font>
    <font>
      <b/>
      <sz val="10"/>
      <color theme="1" tint="0.14999847407452621"/>
      <name val="Segoe UI"/>
      <family val="2"/>
    </font>
    <font>
      <sz val="10"/>
      <color theme="0" tint="-0.499984740745262"/>
      <name val="Segoe UI"/>
      <family val="2"/>
    </font>
    <font>
      <sz val="10"/>
      <name val="Arial"/>
      <family val="2"/>
    </font>
    <font>
      <sz val="11"/>
      <color rgb="FF000000"/>
      <name val="Calibri"/>
      <family val="2"/>
    </font>
    <font>
      <sz val="11"/>
      <name val="Calibri"/>
      <family val="2"/>
    </font>
    <font>
      <b/>
      <sz val="14"/>
      <color theme="2"/>
      <name val="Arial"/>
      <family val="2"/>
    </font>
    <font>
      <b/>
      <sz val="18"/>
      <color theme="2"/>
      <name val="Arial"/>
      <family val="2"/>
    </font>
    <font>
      <sz val="10"/>
      <color theme="2"/>
      <name val="Arial"/>
      <family val="2"/>
    </font>
    <font>
      <b/>
      <sz val="9"/>
      <color theme="0"/>
      <name val="Segoe UI"/>
      <family val="2"/>
    </font>
    <font>
      <b/>
      <sz val="10"/>
      <color theme="0"/>
      <name val="Arial"/>
      <family val="2"/>
    </font>
    <font>
      <b/>
      <i/>
      <sz val="10"/>
      <color theme="0"/>
      <name val="Arial"/>
      <family val="2"/>
    </font>
    <font>
      <sz val="9"/>
      <color theme="0"/>
      <name val="Arial"/>
      <family val="2"/>
    </font>
    <font>
      <sz val="9"/>
      <color theme="2"/>
      <name val="Arial"/>
      <family val="2"/>
    </font>
    <font>
      <sz val="10"/>
      <color theme="0"/>
      <name val="Arial"/>
      <family val="2"/>
    </font>
    <font>
      <b/>
      <sz val="10"/>
      <color rgb="FFFF0000"/>
      <name val="Arial"/>
      <family val="2"/>
    </font>
    <font>
      <i/>
      <sz val="10"/>
      <color theme="0"/>
      <name val="Arial"/>
      <family val="2"/>
    </font>
    <font>
      <b/>
      <sz val="9"/>
      <name val="Arial"/>
      <family val="2"/>
    </font>
    <font>
      <sz val="9"/>
      <color theme="0"/>
      <name val="Aptos"/>
      <family val="2"/>
    </font>
    <font>
      <sz val="9"/>
      <name val="Arial"/>
      <family val="2"/>
    </font>
    <font>
      <sz val="9"/>
      <name val="Aptos"/>
      <family val="2"/>
    </font>
    <font>
      <b/>
      <sz val="18"/>
      <name val="Arial"/>
      <family val="2"/>
    </font>
    <font>
      <sz val="11"/>
      <name val="Aptos"/>
      <family val="2"/>
    </font>
    <font>
      <b/>
      <sz val="11"/>
      <name val="Aptos"/>
      <family val="2"/>
    </font>
    <font>
      <b/>
      <sz val="14"/>
      <name val="Arial"/>
      <family val="2"/>
    </font>
    <font>
      <b/>
      <sz val="12"/>
      <name val="Segoe UI"/>
      <family val="2"/>
    </font>
  </fonts>
  <fills count="44">
    <fill>
      <patternFill patternType="none"/>
    </fill>
    <fill>
      <patternFill patternType="gray125"/>
    </fill>
    <fill>
      <patternFill patternType="solid">
        <fgColor theme="9"/>
        <bgColor indexed="64"/>
      </patternFill>
    </fill>
    <fill>
      <patternFill patternType="solid">
        <fgColor rgb="FFFFFFCC"/>
        <bgColor indexed="64"/>
      </patternFill>
    </fill>
    <fill>
      <patternFill patternType="solid">
        <fgColor theme="5" tint="0.59999389629810485"/>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8" tint="-0.499984740745262"/>
        <bgColor indexed="64"/>
      </patternFill>
    </fill>
    <fill>
      <patternFill patternType="solid">
        <fgColor rgb="FFFFFF0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indexed="11"/>
        <bgColor indexed="64"/>
      </patternFill>
    </fill>
    <fill>
      <patternFill patternType="solid">
        <fgColor theme="3" tint="-0.249977111117893"/>
        <bgColor indexed="64"/>
      </patternFill>
    </fill>
    <fill>
      <patternFill patternType="solid">
        <fgColor theme="0"/>
        <bgColor indexed="64"/>
      </patternFill>
    </fill>
    <fill>
      <patternFill patternType="solid">
        <fgColor rgb="FFFFFF99"/>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rgb="FFFDE9D9"/>
        <bgColor indexed="64"/>
      </patternFill>
    </fill>
    <fill>
      <patternFill patternType="solid">
        <fgColor theme="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A80000"/>
        <bgColor indexed="64"/>
      </patternFill>
    </fill>
    <fill>
      <patternFill patternType="solid">
        <fgColor theme="1" tint="0.34998626667073579"/>
        <bgColor indexed="64"/>
      </patternFill>
    </fill>
    <fill>
      <patternFill patternType="solid">
        <fgColor rgb="FF5D2884"/>
        <bgColor indexed="64"/>
      </patternFill>
    </fill>
    <fill>
      <patternFill patternType="solid">
        <fgColor rgb="FF7030A0"/>
        <bgColor indexed="64"/>
      </patternFill>
    </fill>
    <fill>
      <patternFill patternType="solid">
        <fgColor theme="1"/>
        <bgColor indexed="64"/>
      </patternFill>
    </fill>
    <fill>
      <patternFill patternType="solid">
        <fgColor theme="2" tint="-0.749992370372631"/>
        <bgColor indexed="64"/>
      </patternFill>
    </fill>
    <fill>
      <patternFill patternType="solid">
        <fgColor theme="5" tint="-0.499984740745262"/>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4"/>
        <bgColor indexed="64"/>
      </patternFill>
    </fill>
    <fill>
      <patternFill patternType="solid">
        <fgColor theme="8"/>
        <bgColor indexed="64"/>
      </patternFill>
    </fill>
    <fill>
      <patternFill patternType="solid">
        <fgColor theme="3" tint="-0.499984740745262"/>
        <bgColor indexed="64"/>
      </patternFill>
    </fill>
    <fill>
      <patternFill patternType="solid">
        <fgColor rgb="FF00B050"/>
        <bgColor indexed="64"/>
      </patternFill>
    </fill>
    <fill>
      <patternFill patternType="solid">
        <fgColor theme="5"/>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FFC000"/>
        <bgColor indexed="64"/>
      </patternFill>
    </fill>
  </fills>
  <borders count="1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right style="medium">
        <color auto="1"/>
      </right>
      <top style="medium">
        <color auto="1"/>
      </top>
      <bottom/>
      <diagonal/>
    </border>
    <border>
      <left/>
      <right/>
      <top style="medium">
        <color indexed="64"/>
      </top>
      <bottom/>
      <diagonal/>
    </border>
    <border>
      <left/>
      <right style="medium">
        <color theme="0"/>
      </right>
      <top style="medium">
        <color indexed="64"/>
      </top>
      <bottom/>
      <diagonal/>
    </border>
    <border>
      <left style="medium">
        <color indexed="64"/>
      </left>
      <right/>
      <top style="medium">
        <color indexed="64"/>
      </top>
      <bottom/>
      <diagonal/>
    </border>
    <border>
      <left style="medium">
        <color indexed="64"/>
      </left>
      <right style="thin">
        <color indexed="64"/>
      </right>
      <top/>
      <bottom/>
      <diagonal/>
    </border>
    <border>
      <left/>
      <right style="medium">
        <color auto="1"/>
      </right>
      <top style="thin">
        <color indexed="64"/>
      </top>
      <bottom style="thin">
        <color indexed="64"/>
      </bottom>
      <diagonal/>
    </border>
    <border>
      <left/>
      <right/>
      <top style="thin">
        <color indexed="64"/>
      </top>
      <bottom style="thin">
        <color indexed="64"/>
      </bottom>
      <diagonal/>
    </border>
    <border>
      <left style="medium">
        <color auto="1"/>
      </left>
      <right/>
      <top style="thin">
        <color indexed="64"/>
      </top>
      <bottom style="thin">
        <color indexed="64"/>
      </bottom>
      <diagonal/>
    </border>
    <border>
      <left style="medium">
        <color auto="1"/>
      </left>
      <right style="thin">
        <color auto="1"/>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auto="1"/>
      </left>
      <right style="medium">
        <color auto="1"/>
      </right>
      <top style="thin">
        <color indexed="64"/>
      </top>
      <bottom style="thin">
        <color indexed="64"/>
      </bottom>
      <diagonal/>
    </border>
    <border>
      <left style="medium">
        <color indexed="64"/>
      </left>
      <right style="thin">
        <color auto="1"/>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bottom style="medium">
        <color indexed="64"/>
      </bottom>
      <diagonal/>
    </border>
    <border>
      <left/>
      <right/>
      <top/>
      <bottom style="thin">
        <color auto="1"/>
      </bottom>
      <diagonal/>
    </border>
    <border>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hair">
        <color auto="1"/>
      </right>
      <top/>
      <bottom style="medium">
        <color auto="1"/>
      </bottom>
      <diagonal/>
    </border>
    <border>
      <left style="hair">
        <color auto="1"/>
      </left>
      <right style="hair">
        <color auto="1"/>
      </right>
      <top/>
      <bottom style="medium">
        <color auto="1"/>
      </bottom>
      <diagonal/>
    </border>
    <border>
      <left style="hair">
        <color auto="1"/>
      </left>
      <right/>
      <top/>
      <bottom style="medium">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style="thin">
        <color auto="1"/>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right style="thin">
        <color theme="0"/>
      </right>
      <top style="medium">
        <color indexed="64"/>
      </top>
      <bottom style="thin">
        <color auto="1"/>
      </bottom>
      <diagonal/>
    </border>
    <border>
      <left style="thin">
        <color theme="0"/>
      </left>
      <right style="thin">
        <color theme="0"/>
      </right>
      <top/>
      <bottom style="thin">
        <color theme="0"/>
      </bottom>
      <diagonal/>
    </border>
    <border>
      <left style="thin">
        <color theme="0"/>
      </left>
      <right style="medium">
        <color auto="1"/>
      </right>
      <top style="medium">
        <color auto="1"/>
      </top>
      <bottom style="thin">
        <color theme="0"/>
      </bottom>
      <diagonal/>
    </border>
    <border>
      <left/>
      <right style="thin">
        <color theme="0"/>
      </right>
      <top/>
      <bottom/>
      <diagonal/>
    </border>
    <border>
      <left style="thin">
        <color theme="0"/>
      </left>
      <right style="thin">
        <color theme="0"/>
      </right>
      <top/>
      <bottom/>
      <diagonal/>
    </border>
    <border>
      <left/>
      <right style="medium">
        <color indexed="64"/>
      </right>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auto="1"/>
      </left>
      <right/>
      <top style="thin">
        <color indexed="64"/>
      </top>
      <bottom style="medium">
        <color auto="1"/>
      </bottom>
      <diagonal/>
    </border>
    <border>
      <left/>
      <right/>
      <top style="thin">
        <color theme="0"/>
      </top>
      <bottom/>
      <diagonal/>
    </border>
    <border>
      <left/>
      <right/>
      <top style="thin">
        <color auto="1"/>
      </top>
      <bottom style="medium">
        <color indexed="64"/>
      </bottom>
      <diagonal/>
    </border>
    <border>
      <left/>
      <right style="thin">
        <color theme="1"/>
      </right>
      <top/>
      <bottom style="thin">
        <color theme="1"/>
      </bottom>
      <diagonal/>
    </border>
    <border>
      <left style="thin">
        <color theme="1"/>
      </left>
      <right/>
      <top/>
      <bottom style="thin">
        <color auto="1"/>
      </bottom>
      <diagonal/>
    </border>
    <border>
      <left style="thin">
        <color theme="1"/>
      </left>
      <right/>
      <top style="thin">
        <color theme="1"/>
      </top>
      <bottom style="medium">
        <color indexed="64"/>
      </bottom>
      <diagonal/>
    </border>
    <border>
      <left/>
      <right/>
      <top style="thin">
        <color theme="1"/>
      </top>
      <bottom style="medium">
        <color indexed="64"/>
      </bottom>
      <diagonal/>
    </border>
    <border>
      <left/>
      <right style="thin">
        <color theme="1"/>
      </right>
      <top style="thin">
        <color theme="1"/>
      </top>
      <bottom style="medium">
        <color indexed="64"/>
      </bottom>
      <diagonal/>
    </border>
    <border>
      <left style="thin">
        <color theme="1"/>
      </left>
      <right/>
      <top/>
      <bottom style="medium">
        <color indexed="64"/>
      </bottom>
      <diagonal/>
    </border>
    <border>
      <left/>
      <right/>
      <top/>
      <bottom style="thin">
        <color theme="0"/>
      </bottom>
      <diagonal/>
    </border>
    <border>
      <left/>
      <right style="thin">
        <color auto="1"/>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right style="thin">
        <color indexed="64"/>
      </right>
      <top style="thin">
        <color theme="0"/>
      </top>
      <bottom style="thin">
        <color auto="1"/>
      </bottom>
      <diagonal/>
    </border>
    <border>
      <left style="thin">
        <color indexed="64"/>
      </left>
      <right/>
      <top style="thin">
        <color theme="0"/>
      </top>
      <bottom style="thin">
        <color auto="1"/>
      </bottom>
      <diagonal/>
    </border>
    <border>
      <left/>
      <right/>
      <top style="thin">
        <color theme="0"/>
      </top>
      <bottom style="thin">
        <color auto="1"/>
      </bottom>
      <diagonal/>
    </border>
    <border>
      <left style="thin">
        <color theme="0"/>
      </left>
      <right/>
      <top style="thin">
        <color indexed="64"/>
      </top>
      <bottom style="thin">
        <color theme="0"/>
      </bottom>
      <diagonal/>
    </border>
    <border>
      <left style="thin">
        <color theme="0"/>
      </left>
      <right/>
      <top style="thin">
        <color theme="0"/>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bottom style="double">
        <color theme="1"/>
      </bottom>
      <diagonal/>
    </border>
    <border>
      <left/>
      <right/>
      <top style="double">
        <color indexed="64"/>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right style="thin">
        <color theme="1"/>
      </right>
      <top style="thin">
        <color theme="1"/>
      </top>
      <bottom style="thin">
        <color theme="1"/>
      </bottom>
      <diagonal/>
    </border>
    <border>
      <left/>
      <right/>
      <top style="thin">
        <color theme="1"/>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right style="thin">
        <color theme="1"/>
      </right>
      <top/>
      <bottom style="thin">
        <color auto="1"/>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auto="1"/>
      </left>
      <right/>
      <top style="thin">
        <color theme="1"/>
      </top>
      <bottom style="thin">
        <color indexed="64"/>
      </bottom>
      <diagonal/>
    </border>
    <border>
      <left/>
      <right style="thin">
        <color indexed="64"/>
      </right>
      <top style="thin">
        <color theme="1"/>
      </top>
      <bottom style="thin">
        <color indexed="64"/>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medium">
        <color indexed="64"/>
      </left>
      <right style="thin">
        <color indexed="64"/>
      </right>
      <top style="thin">
        <color auto="1"/>
      </top>
      <bottom/>
      <diagonal/>
    </border>
    <border>
      <left style="medium">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theme="0"/>
      </left>
      <right/>
      <top style="thin">
        <color auto="1"/>
      </top>
      <bottom style="medium">
        <color indexed="64"/>
      </bottom>
      <diagonal/>
    </border>
    <border>
      <left style="thin">
        <color theme="0"/>
      </left>
      <right/>
      <top/>
      <bottom/>
      <diagonal/>
    </border>
    <border>
      <left style="thin">
        <color theme="0"/>
      </left>
      <right style="thin">
        <color indexed="64"/>
      </right>
      <top style="thin">
        <color indexed="64"/>
      </top>
      <bottom style="thin">
        <color indexed="64"/>
      </bottom>
      <diagonal/>
    </border>
  </borders>
  <cellStyleXfs count="21">
    <xf numFmtId="0" fontId="0" fillId="0" borderId="0"/>
    <xf numFmtId="164" fontId="3" fillId="0" borderId="0" applyFont="0" applyFill="0" applyBorder="0" applyAlignment="0" applyProtection="0"/>
    <xf numFmtId="0" fontId="1" fillId="0" borderId="0"/>
    <xf numFmtId="43"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43" fontId="1" fillId="0" borderId="0" applyFont="0" applyFill="0" applyBorder="0" applyAlignment="0" applyProtection="0"/>
    <xf numFmtId="0" fontId="15" fillId="0" borderId="0"/>
    <xf numFmtId="43" fontId="17" fillId="0" borderId="0" applyFont="0" applyFill="0" applyBorder="0" applyAlignment="0" applyProtection="0"/>
    <xf numFmtId="44" fontId="1"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37" fillId="0" borderId="0"/>
    <xf numFmtId="0" fontId="15" fillId="0" borderId="0"/>
    <xf numFmtId="9" fontId="1" fillId="0" borderId="0" applyFont="0" applyFill="0" applyBorder="0" applyAlignment="0" applyProtection="0"/>
  </cellStyleXfs>
  <cellXfs count="1167">
    <xf numFmtId="0" fontId="0" fillId="0" borderId="0" xfId="0"/>
    <xf numFmtId="0" fontId="2" fillId="0" borderId="0" xfId="2" applyFont="1"/>
    <xf numFmtId="0" fontId="4" fillId="0" borderId="1" xfId="2" applyFont="1" applyBorder="1" applyAlignment="1">
      <alignment horizontal="left"/>
    </xf>
    <xf numFmtId="0" fontId="2" fillId="0" borderId="0" xfId="2" applyFont="1" applyAlignment="1">
      <alignment horizontal="center"/>
    </xf>
    <xf numFmtId="165" fontId="2" fillId="0" borderId="0" xfId="3" applyNumberFormat="1" applyFont="1"/>
    <xf numFmtId="0" fontId="6" fillId="0" borderId="0" xfId="2" applyFont="1"/>
    <xf numFmtId="0" fontId="7" fillId="0" borderId="0" xfId="2" applyFont="1"/>
    <xf numFmtId="0" fontId="8" fillId="0" borderId="0" xfId="2" applyFont="1"/>
    <xf numFmtId="6" fontId="2" fillId="0" borderId="0" xfId="2" applyNumberFormat="1" applyFont="1"/>
    <xf numFmtId="0" fontId="9" fillId="0" borderId="0" xfId="2" applyFont="1"/>
    <xf numFmtId="0" fontId="2" fillId="0" borderId="0" xfId="2" applyFont="1" applyAlignment="1">
      <alignment horizontal="left"/>
    </xf>
    <xf numFmtId="0" fontId="4" fillId="0" borderId="0" xfId="2" applyFont="1" applyAlignment="1">
      <alignment horizontal="right"/>
    </xf>
    <xf numFmtId="10" fontId="10" fillId="3" borderId="2" xfId="4" applyNumberFormat="1" applyFont="1" applyFill="1" applyBorder="1" applyAlignment="1">
      <alignment horizontal="center" vertical="center"/>
    </xf>
    <xf numFmtId="43" fontId="7" fillId="0" borderId="0" xfId="3" applyFont="1" applyFill="1" applyBorder="1"/>
    <xf numFmtId="10" fontId="7" fillId="0" borderId="0" xfId="5" applyNumberFormat="1" applyFont="1" applyFill="1" applyAlignment="1">
      <alignment horizontal="center"/>
    </xf>
    <xf numFmtId="165" fontId="2" fillId="0" borderId="0" xfId="3" applyNumberFormat="1" applyFont="1" applyFill="1" applyBorder="1" applyAlignment="1">
      <alignment horizontal="left"/>
    </xf>
    <xf numFmtId="9" fontId="2" fillId="0" borderId="0" xfId="2" applyNumberFormat="1" applyFont="1"/>
    <xf numFmtId="2" fontId="2" fillId="0" borderId="0" xfId="2" applyNumberFormat="1" applyFont="1"/>
    <xf numFmtId="9" fontId="4" fillId="0" borderId="3" xfId="4" applyFont="1" applyFill="1" applyBorder="1" applyAlignment="1">
      <alignment horizontal="left"/>
    </xf>
    <xf numFmtId="43" fontId="7" fillId="0" borderId="4" xfId="3" applyFont="1" applyFill="1" applyBorder="1"/>
    <xf numFmtId="0" fontId="2" fillId="0" borderId="4" xfId="2" applyFont="1" applyBorder="1" applyAlignment="1">
      <alignment horizontal="left"/>
    </xf>
    <xf numFmtId="10" fontId="7" fillId="0" borderId="5" xfId="5" applyNumberFormat="1" applyFont="1" applyFill="1" applyBorder="1" applyAlignment="1">
      <alignment horizontal="center"/>
    </xf>
    <xf numFmtId="0" fontId="8" fillId="0" borderId="3" xfId="2" applyFont="1" applyBorder="1"/>
    <xf numFmtId="0" fontId="2" fillId="0" borderId="4" xfId="2" applyFont="1" applyBorder="1"/>
    <xf numFmtId="0" fontId="2" fillId="0" borderId="5" xfId="2" applyFont="1" applyBorder="1"/>
    <xf numFmtId="0" fontId="8" fillId="0" borderId="1" xfId="2" applyFont="1" applyBorder="1"/>
    <xf numFmtId="9" fontId="4" fillId="0" borderId="0" xfId="4" applyFont="1" applyFill="1" applyBorder="1" applyAlignment="1">
      <alignment horizontal="right"/>
    </xf>
    <xf numFmtId="9" fontId="6" fillId="3" borderId="1" xfId="4" applyFont="1" applyFill="1" applyBorder="1" applyAlignment="1">
      <alignment horizontal="center"/>
    </xf>
    <xf numFmtId="9" fontId="6" fillId="3" borderId="1" xfId="2" applyNumberFormat="1" applyFont="1" applyFill="1" applyBorder="1" applyAlignment="1">
      <alignment horizontal="center" vertical="top"/>
    </xf>
    <xf numFmtId="0" fontId="11" fillId="0" borderId="0" xfId="2" applyFont="1" applyAlignment="1">
      <alignment vertical="top"/>
    </xf>
    <xf numFmtId="42" fontId="6" fillId="3" borderId="1" xfId="6" applyNumberFormat="1" applyFont="1" applyFill="1" applyBorder="1" applyAlignment="1">
      <alignment horizontal="right" vertical="top"/>
    </xf>
    <xf numFmtId="6" fontId="6" fillId="4" borderId="1" xfId="2" applyNumberFormat="1" applyFont="1" applyFill="1" applyBorder="1" applyAlignment="1">
      <alignment horizontal="center" vertical="top"/>
    </xf>
    <xf numFmtId="6" fontId="6" fillId="4" borderId="0" xfId="2" applyNumberFormat="1" applyFont="1" applyFill="1" applyAlignment="1">
      <alignment horizontal="center" vertical="top"/>
    </xf>
    <xf numFmtId="9" fontId="6" fillId="4" borderId="0" xfId="2" applyNumberFormat="1" applyFont="1" applyFill="1" applyAlignment="1">
      <alignment horizontal="center" vertical="top"/>
    </xf>
    <xf numFmtId="0" fontId="12" fillId="0" borderId="0" xfId="2" applyFont="1" applyAlignment="1">
      <alignment horizontal="left"/>
    </xf>
    <xf numFmtId="10" fontId="2" fillId="0" borderId="0" xfId="5" applyNumberFormat="1" applyFont="1"/>
    <xf numFmtId="0" fontId="13" fillId="5" borderId="6" xfId="2" applyFont="1" applyFill="1" applyBorder="1" applyAlignment="1">
      <alignment horizontal="left" vertical="top" wrapText="1"/>
    </xf>
    <xf numFmtId="0" fontId="13" fillId="5" borderId="7" xfId="2" applyFont="1" applyFill="1" applyBorder="1" applyAlignment="1">
      <alignment horizontal="centerContinuous" vertical="top"/>
    </xf>
    <xf numFmtId="0" fontId="13" fillId="5" borderId="8" xfId="2" applyFont="1" applyFill="1" applyBorder="1" applyAlignment="1">
      <alignment horizontal="centerContinuous" vertical="top"/>
    </xf>
    <xf numFmtId="0" fontId="11" fillId="5" borderId="8" xfId="2" applyFont="1" applyFill="1" applyBorder="1" applyAlignment="1">
      <alignment horizontal="centerContinuous" vertical="top"/>
    </xf>
    <xf numFmtId="0" fontId="11" fillId="5" borderId="9" xfId="2" applyFont="1" applyFill="1" applyBorder="1" applyAlignment="1">
      <alignment horizontal="centerContinuous" vertical="top"/>
    </xf>
    <xf numFmtId="165" fontId="11" fillId="5" borderId="7" xfId="3" applyNumberFormat="1" applyFont="1" applyFill="1" applyBorder="1" applyAlignment="1">
      <alignment horizontal="centerContinuous" vertical="top"/>
    </xf>
    <xf numFmtId="0" fontId="13" fillId="6" borderId="10" xfId="2" applyFont="1" applyFill="1" applyBorder="1" applyAlignment="1">
      <alignment horizontal="centerContinuous" vertical="top"/>
    </xf>
    <xf numFmtId="0" fontId="13" fillId="6" borderId="8" xfId="2" applyFont="1" applyFill="1" applyBorder="1" applyAlignment="1">
      <alignment horizontal="centerContinuous" vertical="top"/>
    </xf>
    <xf numFmtId="0" fontId="13" fillId="6" borderId="7" xfId="2" applyFont="1" applyFill="1" applyBorder="1" applyAlignment="1">
      <alignment horizontal="centerContinuous" vertical="top"/>
    </xf>
    <xf numFmtId="0" fontId="6" fillId="0" borderId="0" xfId="2" applyFont="1" applyAlignment="1">
      <alignment vertical="top"/>
    </xf>
    <xf numFmtId="6" fontId="6" fillId="0" borderId="0" xfId="2" applyNumberFormat="1" applyFont="1" applyAlignment="1">
      <alignment vertical="top"/>
    </xf>
    <xf numFmtId="0" fontId="7" fillId="0" borderId="0" xfId="2" applyFont="1" applyAlignment="1">
      <alignment vertical="top"/>
    </xf>
    <xf numFmtId="0" fontId="14" fillId="0" borderId="0" xfId="2" applyFont="1" applyAlignment="1">
      <alignment vertical="top"/>
    </xf>
    <xf numFmtId="6" fontId="14" fillId="0" borderId="0" xfId="2" applyNumberFormat="1" applyFont="1" applyAlignment="1">
      <alignment vertical="top"/>
    </xf>
    <xf numFmtId="42" fontId="14" fillId="0" borderId="0" xfId="2" applyNumberFormat="1" applyFont="1" applyAlignment="1">
      <alignment vertical="top"/>
    </xf>
    <xf numFmtId="0" fontId="9" fillId="0" borderId="0" xfId="2" applyFont="1" applyAlignment="1">
      <alignment vertical="top"/>
    </xf>
    <xf numFmtId="0" fontId="13" fillId="5" borderId="11" xfId="2" applyFont="1" applyFill="1" applyBorder="1" applyAlignment="1">
      <alignment horizontal="left" vertical="top" wrapText="1"/>
    </xf>
    <xf numFmtId="9" fontId="11" fillId="5" borderId="12" xfId="5" applyFont="1" applyFill="1" applyBorder="1" applyAlignment="1">
      <alignment horizontal="center" vertical="top" wrapText="1"/>
    </xf>
    <xf numFmtId="9" fontId="13" fillId="5" borderId="13" xfId="4" applyFont="1" applyFill="1" applyBorder="1" applyAlignment="1">
      <alignment horizontal="center" vertical="top"/>
    </xf>
    <xf numFmtId="0" fontId="13" fillId="5" borderId="12" xfId="2" applyFont="1" applyFill="1" applyBorder="1" applyAlignment="1">
      <alignment horizontal="centerContinuous" vertical="top"/>
    </xf>
    <xf numFmtId="0" fontId="13" fillId="6" borderId="14" xfId="2" applyFont="1" applyFill="1" applyBorder="1" applyAlignment="1">
      <alignment horizontal="centerContinuous" vertical="top"/>
    </xf>
    <xf numFmtId="0" fontId="11" fillId="6" borderId="13" xfId="2" applyFont="1" applyFill="1" applyBorder="1" applyAlignment="1">
      <alignment horizontal="centerContinuous" vertical="top"/>
    </xf>
    <xf numFmtId="0" fontId="11" fillId="6" borderId="12" xfId="2" applyFont="1" applyFill="1" applyBorder="1" applyAlignment="1">
      <alignment horizontal="centerContinuous" vertical="top"/>
    </xf>
    <xf numFmtId="0" fontId="4" fillId="0" borderId="0" xfId="2" applyFont="1" applyAlignment="1">
      <alignment vertical="top"/>
    </xf>
    <xf numFmtId="6" fontId="11" fillId="0" borderId="0" xfId="2" applyNumberFormat="1" applyFont="1" applyAlignment="1">
      <alignment vertical="top"/>
    </xf>
    <xf numFmtId="0" fontId="13" fillId="5" borderId="15" xfId="2" applyFont="1" applyFill="1" applyBorder="1" applyAlignment="1">
      <alignment horizontal="left" vertical="top" wrapText="1"/>
    </xf>
    <xf numFmtId="166" fontId="13" fillId="5" borderId="16" xfId="7" applyNumberFormat="1" applyFont="1" applyFill="1" applyBorder="1" applyAlignment="1">
      <alignment horizontal="center" vertical="top"/>
    </xf>
    <xf numFmtId="0" fontId="11" fillId="5" borderId="17" xfId="2" applyFont="1" applyFill="1" applyBorder="1" applyAlignment="1">
      <alignment horizontal="center" vertical="top" wrapText="1"/>
    </xf>
    <xf numFmtId="0" fontId="11" fillId="5" borderId="1" xfId="2" applyFont="1" applyFill="1" applyBorder="1" applyAlignment="1">
      <alignment horizontal="center" vertical="top" wrapText="1"/>
    </xf>
    <xf numFmtId="165" fontId="11" fillId="5" borderId="18" xfId="3" applyNumberFormat="1" applyFont="1" applyFill="1" applyBorder="1" applyAlignment="1">
      <alignment horizontal="center" vertical="top" wrapText="1"/>
    </xf>
    <xf numFmtId="0" fontId="11" fillId="6" borderId="19" xfId="2" applyFont="1" applyFill="1" applyBorder="1" applyAlignment="1">
      <alignment horizontal="center" vertical="top" wrapText="1"/>
    </xf>
    <xf numFmtId="0" fontId="11" fillId="6" borderId="1" xfId="2" applyFont="1" applyFill="1" applyBorder="1" applyAlignment="1">
      <alignment horizontal="center" vertical="top" wrapText="1"/>
    </xf>
    <xf numFmtId="0" fontId="11" fillId="6" borderId="18" xfId="2" applyFont="1" applyFill="1" applyBorder="1" applyAlignment="1">
      <alignment horizontal="center" vertical="top" wrapText="1"/>
    </xf>
    <xf numFmtId="0" fontId="13" fillId="6" borderId="20" xfId="2" applyFont="1" applyFill="1" applyBorder="1" applyAlignment="1">
      <alignment horizontal="center" vertical="top" wrapText="1"/>
    </xf>
    <xf numFmtId="0" fontId="13" fillId="6" borderId="21" xfId="2" applyFont="1" applyFill="1" applyBorder="1" applyAlignment="1">
      <alignment horizontal="center" vertical="top" wrapText="1"/>
    </xf>
    <xf numFmtId="0" fontId="13" fillId="6" borderId="22" xfId="2" applyFont="1" applyFill="1" applyBorder="1" applyAlignment="1">
      <alignment horizontal="center" vertical="top" wrapText="1"/>
    </xf>
    <xf numFmtId="0" fontId="13" fillId="7" borderId="20" xfId="2" applyFont="1" applyFill="1" applyBorder="1" applyAlignment="1">
      <alignment horizontal="center" vertical="top" wrapText="1"/>
    </xf>
    <xf numFmtId="0" fontId="13" fillId="7" borderId="21" xfId="2" applyFont="1" applyFill="1" applyBorder="1" applyAlignment="1">
      <alignment horizontal="center" vertical="top" wrapText="1"/>
    </xf>
    <xf numFmtId="0" fontId="13" fillId="7" borderId="22" xfId="2" applyFont="1" applyFill="1" applyBorder="1" applyAlignment="1">
      <alignment horizontal="center" vertical="top" wrapText="1"/>
    </xf>
    <xf numFmtId="0" fontId="13" fillId="8" borderId="20" xfId="2" applyFont="1" applyFill="1" applyBorder="1" applyAlignment="1">
      <alignment horizontal="center" vertical="top" wrapText="1"/>
    </xf>
    <xf numFmtId="0" fontId="13" fillId="8" borderId="21" xfId="2" applyFont="1" applyFill="1" applyBorder="1" applyAlignment="1">
      <alignment horizontal="center" vertical="top" wrapText="1"/>
    </xf>
    <xf numFmtId="0" fontId="13" fillId="8" borderId="22" xfId="2" applyFont="1" applyFill="1" applyBorder="1" applyAlignment="1">
      <alignment horizontal="center" vertical="top" wrapText="1"/>
    </xf>
    <xf numFmtId="0" fontId="6" fillId="9" borderId="0" xfId="2" applyFont="1" applyFill="1" applyAlignment="1">
      <alignment vertical="top" wrapText="1"/>
    </xf>
    <xf numFmtId="0" fontId="4" fillId="9" borderId="23" xfId="2" applyFont="1" applyFill="1" applyBorder="1" applyAlignment="1">
      <alignment horizontal="center" vertical="top" wrapText="1"/>
    </xf>
    <xf numFmtId="0" fontId="4" fillId="9" borderId="1" xfId="2" applyFont="1" applyFill="1" applyBorder="1" applyAlignment="1">
      <alignment horizontal="center" vertical="top" wrapText="1"/>
    </xf>
    <xf numFmtId="6" fontId="13" fillId="8" borderId="22" xfId="2" applyNumberFormat="1" applyFont="1" applyFill="1" applyBorder="1" applyAlignment="1">
      <alignment horizontal="center" vertical="top" wrapText="1"/>
    </xf>
    <xf numFmtId="0" fontId="13" fillId="8" borderId="24" xfId="2" applyFont="1" applyFill="1" applyBorder="1" applyAlignment="1">
      <alignment horizontal="center" vertical="top" wrapText="1"/>
    </xf>
    <xf numFmtId="0" fontId="4" fillId="10" borderId="20" xfId="2" applyFont="1" applyFill="1" applyBorder="1" applyAlignment="1">
      <alignment horizontal="center" vertical="top" wrapText="1"/>
    </xf>
    <xf numFmtId="0" fontId="4" fillId="10" borderId="21" xfId="2" applyFont="1" applyFill="1" applyBorder="1" applyAlignment="1">
      <alignment horizontal="center" vertical="top" wrapText="1"/>
    </xf>
    <xf numFmtId="0" fontId="4" fillId="10" borderId="22" xfId="2" applyFont="1" applyFill="1" applyBorder="1" applyAlignment="1">
      <alignment horizontal="center" vertical="top" wrapText="1"/>
    </xf>
    <xf numFmtId="0" fontId="4" fillId="2" borderId="20" xfId="2" applyFont="1" applyFill="1" applyBorder="1" applyAlignment="1">
      <alignment horizontal="center" vertical="top" wrapText="1"/>
    </xf>
    <xf numFmtId="0" fontId="4" fillId="2" borderId="21" xfId="2" applyFont="1" applyFill="1" applyBorder="1" applyAlignment="1">
      <alignment horizontal="center" vertical="top" wrapText="1"/>
    </xf>
    <xf numFmtId="6" fontId="4" fillId="2" borderId="22" xfId="2" applyNumberFormat="1" applyFont="1" applyFill="1" applyBorder="1" applyAlignment="1">
      <alignment horizontal="center" vertical="top" wrapText="1"/>
    </xf>
    <xf numFmtId="0" fontId="6" fillId="0" borderId="15" xfId="2" applyFont="1" applyBorder="1" applyAlignment="1">
      <alignment horizontal="left"/>
    </xf>
    <xf numFmtId="167" fontId="4" fillId="0" borderId="18" xfId="8" applyNumberFormat="1" applyFont="1" applyFill="1" applyBorder="1" applyAlignment="1">
      <alignment horizontal="left"/>
    </xf>
    <xf numFmtId="168" fontId="7" fillId="0" borderId="17" xfId="9" applyNumberFormat="1" applyFont="1" applyBorder="1"/>
    <xf numFmtId="167" fontId="7" fillId="0" borderId="1" xfId="8" applyNumberFormat="1" applyFont="1" applyBorder="1"/>
    <xf numFmtId="169" fontId="6" fillId="0" borderId="1" xfId="10" applyNumberFormat="1" applyFont="1" applyBorder="1"/>
    <xf numFmtId="10" fontId="6" fillId="0" borderId="18" xfId="11" applyNumberFormat="1" applyFont="1" applyFill="1" applyBorder="1"/>
    <xf numFmtId="43" fontId="2" fillId="0" borderId="19" xfId="2" applyNumberFormat="1" applyFont="1" applyBorder="1" applyAlignment="1">
      <alignment horizontal="right"/>
    </xf>
    <xf numFmtId="43" fontId="2" fillId="0" borderId="1" xfId="2" applyNumberFormat="1" applyFont="1" applyBorder="1" applyAlignment="1">
      <alignment horizontal="right"/>
    </xf>
    <xf numFmtId="2" fontId="6" fillId="11" borderId="1" xfId="2" applyNumberFormat="1" applyFont="1" applyFill="1" applyBorder="1"/>
    <xf numFmtId="169" fontId="6" fillId="0" borderId="1" xfId="2" applyNumberFormat="1" applyFont="1" applyBorder="1"/>
    <xf numFmtId="169" fontId="6" fillId="0" borderId="18" xfId="10" applyNumberFormat="1" applyFont="1" applyFill="1" applyBorder="1"/>
    <xf numFmtId="43" fontId="6" fillId="11" borderId="1" xfId="6" applyFont="1" applyFill="1" applyBorder="1"/>
    <xf numFmtId="170" fontId="2" fillId="0" borderId="19" xfId="6" applyNumberFormat="1" applyFont="1" applyFill="1" applyBorder="1"/>
    <xf numFmtId="170" fontId="2" fillId="0" borderId="1" xfId="6" applyNumberFormat="1" applyFont="1" applyFill="1" applyBorder="1"/>
    <xf numFmtId="170" fontId="2" fillId="0" borderId="18" xfId="6" applyNumberFormat="1" applyFont="1" applyFill="1" applyBorder="1"/>
    <xf numFmtId="10" fontId="2" fillId="0" borderId="0" xfId="11" applyNumberFormat="1" applyFont="1"/>
    <xf numFmtId="6" fontId="2" fillId="0" borderId="19" xfId="2" applyNumberFormat="1" applyFont="1" applyBorder="1"/>
    <xf numFmtId="6" fontId="2" fillId="0" borderId="1" xfId="2" applyNumberFormat="1" applyFont="1" applyBorder="1"/>
    <xf numFmtId="6" fontId="8" fillId="0" borderId="18" xfId="2" applyNumberFormat="1" applyFont="1" applyBorder="1"/>
    <xf numFmtId="6" fontId="7" fillId="0" borderId="19" xfId="2" applyNumberFormat="1" applyFont="1" applyBorder="1"/>
    <xf numFmtId="9" fontId="2" fillId="0" borderId="1" xfId="4" applyFont="1" applyFill="1" applyBorder="1"/>
    <xf numFmtId="168" fontId="4" fillId="0" borderId="1" xfId="2" applyNumberFormat="1" applyFont="1" applyBorder="1"/>
    <xf numFmtId="6" fontId="2" fillId="0" borderId="18" xfId="2" applyNumberFormat="1" applyFont="1" applyBorder="1"/>
    <xf numFmtId="171" fontId="2" fillId="9" borderId="0" xfId="2" applyNumberFormat="1" applyFont="1" applyFill="1"/>
    <xf numFmtId="171" fontId="2" fillId="9" borderId="0" xfId="2" applyNumberFormat="1" applyFont="1" applyFill="1" applyAlignment="1">
      <alignment horizontal="right"/>
    </xf>
    <xf numFmtId="168" fontId="7" fillId="0" borderId="19" xfId="9" applyNumberFormat="1" applyFont="1" applyFill="1" applyBorder="1"/>
    <xf numFmtId="165" fontId="7" fillId="9" borderId="17" xfId="12" applyNumberFormat="1" applyFont="1" applyFill="1" applyBorder="1"/>
    <xf numFmtId="170" fontId="7" fillId="9" borderId="17" xfId="12" applyNumberFormat="1" applyFont="1" applyFill="1" applyBorder="1"/>
    <xf numFmtId="10" fontId="7" fillId="9" borderId="17" xfId="13" applyNumberFormat="1" applyFont="1" applyFill="1" applyBorder="1"/>
    <xf numFmtId="168" fontId="6" fillId="9" borderId="17" xfId="9" applyNumberFormat="1" applyFont="1" applyFill="1" applyBorder="1"/>
    <xf numFmtId="168" fontId="6" fillId="9" borderId="0" xfId="9" applyNumberFormat="1" applyFont="1" applyFill="1" applyBorder="1"/>
    <xf numFmtId="165" fontId="6" fillId="9" borderId="0" xfId="12" applyNumberFormat="1" applyFont="1" applyFill="1" applyBorder="1"/>
    <xf numFmtId="172" fontId="6" fillId="9" borderId="0" xfId="13" applyNumberFormat="1" applyFont="1" applyFill="1" applyBorder="1"/>
    <xf numFmtId="168" fontId="8" fillId="9" borderId="0" xfId="2" applyNumberFormat="1" applyFont="1" applyFill="1"/>
    <xf numFmtId="8" fontId="2" fillId="0" borderId="1" xfId="2" applyNumberFormat="1" applyFont="1" applyBorder="1"/>
    <xf numFmtId="167" fontId="2" fillId="0" borderId="25" xfId="12" applyNumberFormat="1" applyFont="1" applyFill="1" applyBorder="1"/>
    <xf numFmtId="10" fontId="2" fillId="0" borderId="1" xfId="13" applyNumberFormat="1" applyFont="1" applyFill="1" applyBorder="1"/>
    <xf numFmtId="8" fontId="2" fillId="0" borderId="18" xfId="2" applyNumberFormat="1" applyFont="1" applyBorder="1"/>
    <xf numFmtId="168" fontId="7" fillId="12" borderId="19" xfId="9" applyNumberFormat="1" applyFont="1" applyFill="1" applyBorder="1"/>
    <xf numFmtId="10" fontId="2" fillId="12" borderId="1" xfId="4" applyNumberFormat="1" applyFont="1" applyFill="1" applyBorder="1"/>
    <xf numFmtId="8" fontId="2" fillId="12" borderId="1" xfId="2" applyNumberFormat="1" applyFont="1" applyFill="1" applyBorder="1"/>
    <xf numFmtId="6" fontId="8" fillId="12" borderId="18" xfId="2" applyNumberFormat="1" applyFont="1" applyFill="1" applyBorder="1"/>
    <xf numFmtId="10" fontId="9" fillId="0" borderId="0" xfId="13" applyNumberFormat="1" applyFont="1" applyFill="1"/>
    <xf numFmtId="9" fontId="2" fillId="0" borderId="0" xfId="13" applyFont="1"/>
    <xf numFmtId="0" fontId="6" fillId="0" borderId="19" xfId="2" applyFont="1" applyBorder="1" applyAlignment="1">
      <alignment horizontal="left"/>
    </xf>
    <xf numFmtId="169" fontId="6" fillId="0" borderId="1" xfId="10" applyNumberFormat="1" applyFont="1" applyFill="1" applyBorder="1"/>
    <xf numFmtId="6" fontId="6" fillId="0" borderId="18" xfId="2" applyNumberFormat="1" applyFont="1" applyBorder="1"/>
    <xf numFmtId="0" fontId="6" fillId="13" borderId="19" xfId="2" applyFont="1" applyFill="1" applyBorder="1" applyAlignment="1">
      <alignment horizontal="left"/>
    </xf>
    <xf numFmtId="167" fontId="4" fillId="13" borderId="18" xfId="8" applyNumberFormat="1" applyFont="1" applyFill="1" applyBorder="1" applyAlignment="1">
      <alignment horizontal="left"/>
    </xf>
    <xf numFmtId="168" fontId="7" fillId="13" borderId="17" xfId="9" applyNumberFormat="1" applyFont="1" applyFill="1" applyBorder="1"/>
    <xf numFmtId="167" fontId="7" fillId="13" borderId="1" xfId="8" applyNumberFormat="1" applyFont="1" applyFill="1" applyBorder="1"/>
    <xf numFmtId="169" fontId="6" fillId="13" borderId="1" xfId="10" applyNumberFormat="1" applyFont="1" applyFill="1" applyBorder="1"/>
    <xf numFmtId="10" fontId="6" fillId="13" borderId="18" xfId="11" applyNumberFormat="1" applyFont="1" applyFill="1" applyBorder="1"/>
    <xf numFmtId="43" fontId="2" fillId="13" borderId="19" xfId="2" applyNumberFormat="1" applyFont="1" applyFill="1" applyBorder="1" applyAlignment="1">
      <alignment horizontal="right"/>
    </xf>
    <xf numFmtId="43" fontId="2" fillId="13" borderId="1" xfId="2" applyNumberFormat="1" applyFont="1" applyFill="1" applyBorder="1" applyAlignment="1">
      <alignment horizontal="right"/>
    </xf>
    <xf numFmtId="2" fontId="6" fillId="13" borderId="1" xfId="2" applyNumberFormat="1" applyFont="1" applyFill="1" applyBorder="1"/>
    <xf numFmtId="169" fontId="6" fillId="13" borderId="1" xfId="2" applyNumberFormat="1" applyFont="1" applyFill="1" applyBorder="1"/>
    <xf numFmtId="169" fontId="6" fillId="13" borderId="18" xfId="10" applyNumberFormat="1" applyFont="1" applyFill="1" applyBorder="1"/>
    <xf numFmtId="43" fontId="6" fillId="13" borderId="1" xfId="6" applyFont="1" applyFill="1" applyBorder="1"/>
    <xf numFmtId="170" fontId="2" fillId="13" borderId="19" xfId="6" applyNumberFormat="1" applyFont="1" applyFill="1" applyBorder="1"/>
    <xf numFmtId="170" fontId="2" fillId="13" borderId="1" xfId="6" applyNumberFormat="1" applyFont="1" applyFill="1" applyBorder="1"/>
    <xf numFmtId="170" fontId="2" fillId="13" borderId="18" xfId="6" applyNumberFormat="1" applyFont="1" applyFill="1" applyBorder="1"/>
    <xf numFmtId="6" fontId="2" fillId="13" borderId="19" xfId="2" applyNumberFormat="1" applyFont="1" applyFill="1" applyBorder="1"/>
    <xf numFmtId="6" fontId="2" fillId="13" borderId="1" xfId="2" applyNumberFormat="1" applyFont="1" applyFill="1" applyBorder="1"/>
    <xf numFmtId="6" fontId="7" fillId="13" borderId="19" xfId="2" applyNumberFormat="1" applyFont="1" applyFill="1" applyBorder="1"/>
    <xf numFmtId="9" fontId="2" fillId="13" borderId="1" xfId="4" applyFont="1" applyFill="1" applyBorder="1"/>
    <xf numFmtId="168" fontId="4" fillId="13" borderId="1" xfId="2" applyNumberFormat="1" applyFont="1" applyFill="1" applyBorder="1"/>
    <xf numFmtId="6" fontId="2" fillId="13" borderId="18" xfId="2" applyNumberFormat="1" applyFont="1" applyFill="1" applyBorder="1"/>
    <xf numFmtId="168" fontId="7" fillId="13" borderId="19" xfId="9" applyNumberFormat="1" applyFont="1" applyFill="1" applyBorder="1"/>
    <xf numFmtId="8" fontId="2" fillId="13" borderId="1" xfId="2" applyNumberFormat="1" applyFont="1" applyFill="1" applyBorder="1"/>
    <xf numFmtId="167" fontId="2" fillId="13" borderId="25" xfId="12" applyNumberFormat="1" applyFont="1" applyFill="1" applyBorder="1"/>
    <xf numFmtId="10" fontId="2" fillId="13" borderId="1" xfId="13" applyNumberFormat="1" applyFont="1" applyFill="1" applyBorder="1"/>
    <xf numFmtId="8" fontId="2" fillId="13" borderId="18" xfId="2" applyNumberFormat="1" applyFont="1" applyFill="1" applyBorder="1"/>
    <xf numFmtId="6" fontId="4" fillId="12" borderId="18" xfId="2" applyNumberFormat="1" applyFont="1" applyFill="1" applyBorder="1"/>
    <xf numFmtId="169" fontId="18" fillId="3" borderId="1" xfId="10" applyNumberFormat="1" applyFont="1" applyFill="1" applyBorder="1"/>
    <xf numFmtId="10" fontId="18" fillId="3" borderId="18" xfId="11" applyNumberFormat="1" applyFont="1" applyFill="1" applyBorder="1"/>
    <xf numFmtId="0" fontId="4" fillId="14" borderId="26" xfId="2" applyFont="1" applyFill="1" applyBorder="1" applyAlignment="1">
      <alignment horizontal="left"/>
    </xf>
    <xf numFmtId="167" fontId="4" fillId="14" borderId="27" xfId="8" applyNumberFormat="1" applyFont="1" applyFill="1" applyBorder="1" applyAlignment="1">
      <alignment horizontal="left"/>
    </xf>
    <xf numFmtId="167" fontId="4" fillId="14" borderId="26" xfId="6" applyNumberFormat="1" applyFont="1" applyFill="1" applyBorder="1"/>
    <xf numFmtId="167" fontId="4" fillId="14" borderId="28" xfId="6" applyNumberFormat="1" applyFont="1" applyFill="1" applyBorder="1"/>
    <xf numFmtId="170" fontId="4" fillId="14" borderId="28" xfId="6" applyNumberFormat="1" applyFont="1" applyFill="1" applyBorder="1"/>
    <xf numFmtId="170" fontId="4" fillId="14" borderId="29" xfId="6" applyNumberFormat="1" applyFont="1" applyFill="1" applyBorder="1"/>
    <xf numFmtId="0" fontId="4" fillId="0" borderId="0" xfId="2" applyFont="1"/>
    <xf numFmtId="43" fontId="4" fillId="14" borderId="30" xfId="6" applyFont="1" applyFill="1" applyBorder="1"/>
    <xf numFmtId="43" fontId="4" fillId="14" borderId="31" xfId="6" applyFont="1" applyFill="1" applyBorder="1"/>
    <xf numFmtId="2" fontId="4" fillId="14" borderId="31" xfId="2" applyNumberFormat="1" applyFont="1" applyFill="1" applyBorder="1"/>
    <xf numFmtId="170" fontId="4" fillId="14" borderId="31" xfId="6" applyNumberFormat="1" applyFont="1" applyFill="1" applyBorder="1"/>
    <xf numFmtId="170" fontId="4" fillId="14" borderId="32" xfId="6" applyNumberFormat="1" applyFont="1" applyFill="1" applyBorder="1"/>
    <xf numFmtId="8" fontId="4" fillId="14" borderId="30" xfId="6" applyNumberFormat="1" applyFont="1" applyFill="1" applyBorder="1"/>
    <xf numFmtId="8" fontId="4" fillId="14" borderId="31" xfId="6" applyNumberFormat="1" applyFont="1" applyFill="1" applyBorder="1"/>
    <xf numFmtId="8" fontId="4" fillId="14" borderId="31" xfId="2" applyNumberFormat="1" applyFont="1" applyFill="1" applyBorder="1"/>
    <xf numFmtId="170" fontId="4" fillId="14" borderId="30" xfId="2" applyNumberFormat="1" applyFont="1" applyFill="1" applyBorder="1"/>
    <xf numFmtId="170" fontId="4" fillId="14" borderId="31" xfId="2" applyNumberFormat="1" applyFont="1" applyFill="1" applyBorder="1"/>
    <xf numFmtId="170" fontId="4" fillId="14" borderId="32" xfId="2" applyNumberFormat="1" applyFont="1" applyFill="1" applyBorder="1"/>
    <xf numFmtId="6" fontId="4" fillId="14" borderId="30" xfId="4" applyNumberFormat="1" applyFont="1" applyFill="1" applyBorder="1"/>
    <xf numFmtId="6" fontId="4" fillId="14" borderId="31" xfId="4" applyNumberFormat="1" applyFont="1" applyFill="1" applyBorder="1"/>
    <xf numFmtId="6" fontId="4" fillId="14" borderId="32" xfId="4" applyNumberFormat="1" applyFont="1" applyFill="1" applyBorder="1"/>
    <xf numFmtId="6" fontId="19" fillId="14" borderId="30" xfId="2" applyNumberFormat="1" applyFont="1" applyFill="1" applyBorder="1"/>
    <xf numFmtId="0" fontId="4" fillId="14" borderId="31" xfId="2" applyFont="1" applyFill="1" applyBorder="1"/>
    <xf numFmtId="168" fontId="4" fillId="14" borderId="31" xfId="2" applyNumberFormat="1" applyFont="1" applyFill="1" applyBorder="1"/>
    <xf numFmtId="6" fontId="4" fillId="14" borderId="32" xfId="2" applyNumberFormat="1" applyFont="1" applyFill="1" applyBorder="1"/>
    <xf numFmtId="167" fontId="4" fillId="14" borderId="30" xfId="6" applyNumberFormat="1" applyFont="1" applyFill="1" applyBorder="1"/>
    <xf numFmtId="173" fontId="4" fillId="14" borderId="33" xfId="6" applyNumberFormat="1" applyFont="1" applyFill="1" applyBorder="1"/>
    <xf numFmtId="167" fontId="4" fillId="14" borderId="33" xfId="6" applyNumberFormat="1" applyFont="1" applyFill="1" applyBorder="1"/>
    <xf numFmtId="168" fontId="4" fillId="14" borderId="31" xfId="14" applyNumberFormat="1" applyFont="1" applyFill="1" applyBorder="1"/>
    <xf numFmtId="6" fontId="4" fillId="14" borderId="31" xfId="2" applyNumberFormat="1" applyFont="1" applyFill="1" applyBorder="1"/>
    <xf numFmtId="167" fontId="7" fillId="15" borderId="34" xfId="12" applyNumberFormat="1" applyFont="1" applyFill="1" applyBorder="1" applyAlignment="1">
      <alignment vertical="top"/>
    </xf>
    <xf numFmtId="6" fontId="7" fillId="14" borderId="19" xfId="2" applyNumberFormat="1" applyFont="1" applyFill="1" applyBorder="1"/>
    <xf numFmtId="9" fontId="2" fillId="14" borderId="1" xfId="4" applyFont="1" applyFill="1" applyBorder="1"/>
    <xf numFmtId="168" fontId="4" fillId="14" borderId="1" xfId="2" applyNumberFormat="1" applyFont="1" applyFill="1" applyBorder="1"/>
    <xf numFmtId="8" fontId="2" fillId="14" borderId="18" xfId="2" applyNumberFormat="1" applyFont="1" applyFill="1" applyBorder="1"/>
    <xf numFmtId="168" fontId="7" fillId="2" borderId="19" xfId="9" applyNumberFormat="1" applyFont="1" applyFill="1" applyBorder="1"/>
    <xf numFmtId="10" fontId="2" fillId="2" borderId="1" xfId="4" applyNumberFormat="1" applyFont="1" applyFill="1" applyBorder="1"/>
    <xf numFmtId="8" fontId="2" fillId="2" borderId="1" xfId="2" applyNumberFormat="1" applyFont="1" applyFill="1" applyBorder="1"/>
    <xf numFmtId="6" fontId="8" fillId="2" borderId="18" xfId="2" applyNumberFormat="1" applyFont="1" applyFill="1" applyBorder="1"/>
    <xf numFmtId="9" fontId="9" fillId="0" borderId="0" xfId="11" applyFont="1"/>
    <xf numFmtId="9" fontId="4" fillId="0" borderId="0" xfId="11" applyFont="1"/>
    <xf numFmtId="43" fontId="2" fillId="0" borderId="0" xfId="2" applyNumberFormat="1" applyFont="1"/>
    <xf numFmtId="43" fontId="2" fillId="9" borderId="1" xfId="2" applyNumberFormat="1" applyFont="1" applyFill="1" applyBorder="1" applyAlignment="1">
      <alignment horizontal="right"/>
    </xf>
    <xf numFmtId="168" fontId="7" fillId="9" borderId="17" xfId="9" applyNumberFormat="1" applyFont="1" applyFill="1" applyBorder="1"/>
    <xf numFmtId="0" fontId="6" fillId="0" borderId="0" xfId="15" applyFont="1"/>
    <xf numFmtId="0" fontId="6" fillId="0" borderId="0" xfId="15" applyFont="1" applyAlignment="1">
      <alignment horizontal="center"/>
    </xf>
    <xf numFmtId="0" fontId="13" fillId="16" borderId="35" xfId="15" applyFont="1" applyFill="1" applyBorder="1"/>
    <xf numFmtId="0" fontId="13" fillId="16" borderId="0" xfId="15" applyFont="1" applyFill="1" applyAlignment="1">
      <alignment horizontal="center"/>
    </xf>
    <xf numFmtId="0" fontId="11" fillId="16" borderId="0" xfId="15" applyFont="1" applyFill="1"/>
    <xf numFmtId="0" fontId="4" fillId="0" borderId="0" xfId="15" applyFont="1"/>
    <xf numFmtId="37" fontId="2" fillId="17" borderId="1" xfId="6" applyNumberFormat="1" applyFont="1" applyFill="1" applyBorder="1" applyAlignment="1" applyProtection="1">
      <alignment horizontal="center"/>
      <protection locked="0"/>
    </xf>
    <xf numFmtId="37" fontId="6" fillId="14" borderId="1" xfId="15" applyNumberFormat="1" applyFont="1" applyFill="1" applyBorder="1" applyAlignment="1">
      <alignment horizontal="center"/>
    </xf>
    <xf numFmtId="0" fontId="6" fillId="0" borderId="1" xfId="2" applyFont="1" applyBorder="1" applyAlignment="1">
      <alignment horizontal="center"/>
    </xf>
    <xf numFmtId="37" fontId="6" fillId="14" borderId="1" xfId="8" applyNumberFormat="1" applyFont="1" applyFill="1" applyBorder="1" applyAlignment="1">
      <alignment horizontal="center"/>
    </xf>
    <xf numFmtId="0" fontId="4" fillId="13" borderId="0" xfId="15" applyFont="1" applyFill="1"/>
    <xf numFmtId="37" fontId="2" fillId="13" borderId="1" xfId="6" applyNumberFormat="1" applyFont="1" applyFill="1" applyBorder="1" applyAlignment="1" applyProtection="1">
      <alignment horizontal="center"/>
      <protection locked="0"/>
    </xf>
    <xf numFmtId="37" fontId="6" fillId="13" borderId="1" xfId="8" applyNumberFormat="1" applyFont="1" applyFill="1" applyBorder="1" applyAlignment="1">
      <alignment horizontal="center"/>
    </xf>
    <xf numFmtId="0" fontId="6" fillId="13" borderId="1" xfId="2" applyFont="1" applyFill="1" applyBorder="1" applyAlignment="1">
      <alignment horizontal="center"/>
    </xf>
    <xf numFmtId="0" fontId="4" fillId="0" borderId="35" xfId="15" applyFont="1" applyBorder="1"/>
    <xf numFmtId="37" fontId="6" fillId="14" borderId="2" xfId="8" applyNumberFormat="1" applyFont="1" applyFill="1" applyBorder="1" applyAlignment="1">
      <alignment horizontal="center"/>
    </xf>
    <xf numFmtId="37" fontId="6" fillId="14" borderId="1" xfId="6" applyNumberFormat="1" applyFont="1" applyFill="1" applyBorder="1" applyAlignment="1">
      <alignment horizontal="center"/>
    </xf>
    <xf numFmtId="37" fontId="6" fillId="0" borderId="1" xfId="6" applyNumberFormat="1" applyFont="1" applyBorder="1" applyAlignment="1">
      <alignment horizontal="center"/>
    </xf>
    <xf numFmtId="6" fontId="6" fillId="0" borderId="0" xfId="15" applyNumberFormat="1" applyFont="1" applyAlignment="1">
      <alignment horizontal="right"/>
    </xf>
    <xf numFmtId="167" fontId="6" fillId="0" borderId="0" xfId="6" applyNumberFormat="1" applyFont="1" applyFill="1" applyAlignment="1">
      <alignment horizontal="right"/>
    </xf>
    <xf numFmtId="0" fontId="6" fillId="0" borderId="0" xfId="15" applyFont="1" applyAlignment="1">
      <alignment horizontal="right"/>
    </xf>
    <xf numFmtId="0" fontId="2" fillId="0" borderId="0" xfId="15" applyFont="1"/>
    <xf numFmtId="0" fontId="2" fillId="0" borderId="0" xfId="15" applyFont="1" applyAlignment="1">
      <alignment horizontal="center"/>
    </xf>
    <xf numFmtId="0" fontId="13" fillId="7" borderId="35" xfId="15" applyFont="1" applyFill="1" applyBorder="1"/>
    <xf numFmtId="0" fontId="13" fillId="7" borderId="35" xfId="15" applyFont="1" applyFill="1" applyBorder="1" applyAlignment="1">
      <alignment horizontal="left"/>
    </xf>
    <xf numFmtId="0" fontId="13" fillId="7" borderId="0" xfId="15" applyFont="1" applyFill="1" applyAlignment="1">
      <alignment horizontal="center"/>
    </xf>
    <xf numFmtId="0" fontId="11" fillId="7" borderId="0" xfId="15" applyFont="1" applyFill="1"/>
    <xf numFmtId="0" fontId="8" fillId="0" borderId="0" xfId="15" applyFont="1"/>
    <xf numFmtId="3" fontId="6" fillId="0" borderId="1" xfId="14" applyNumberFormat="1" applyFont="1" applyFill="1" applyBorder="1" applyAlignment="1" applyProtection="1">
      <alignment horizontal="center"/>
    </xf>
    <xf numFmtId="3" fontId="6" fillId="14" borderId="1" xfId="15" applyNumberFormat="1" applyFont="1" applyFill="1" applyBorder="1" applyAlignment="1">
      <alignment horizontal="center"/>
    </xf>
    <xf numFmtId="3" fontId="6" fillId="0" borderId="1" xfId="7" applyNumberFormat="1" applyFont="1" applyBorder="1" applyAlignment="1">
      <alignment horizontal="center"/>
    </xf>
    <xf numFmtId="3" fontId="6" fillId="14" borderId="1" xfId="7" applyNumberFormat="1" applyFont="1" applyFill="1" applyBorder="1" applyAlignment="1">
      <alignment horizontal="center"/>
    </xf>
    <xf numFmtId="3" fontId="6" fillId="14" borderId="1" xfId="8" applyNumberFormat="1" applyFont="1" applyFill="1" applyBorder="1" applyAlignment="1">
      <alignment horizontal="center"/>
    </xf>
    <xf numFmtId="3" fontId="6" fillId="0" borderId="1" xfId="8" applyNumberFormat="1" applyFont="1" applyFill="1" applyBorder="1" applyAlignment="1">
      <alignment horizontal="center"/>
    </xf>
    <xf numFmtId="3" fontId="6" fillId="0" borderId="1" xfId="15" applyNumberFormat="1" applyFont="1" applyBorder="1" applyAlignment="1">
      <alignment horizontal="center"/>
    </xf>
    <xf numFmtId="0" fontId="8" fillId="13" borderId="0" xfId="15" applyFont="1" applyFill="1"/>
    <xf numFmtId="167" fontId="6" fillId="13" borderId="0" xfId="6" applyNumberFormat="1" applyFont="1" applyFill="1" applyAlignment="1">
      <alignment horizontal="right"/>
    </xf>
    <xf numFmtId="3" fontId="6" fillId="13" borderId="1" xfId="14" applyNumberFormat="1" applyFont="1" applyFill="1" applyBorder="1" applyAlignment="1" applyProtection="1">
      <alignment horizontal="center"/>
    </xf>
    <xf numFmtId="3" fontId="6" fillId="13" borderId="1" xfId="8" applyNumberFormat="1" applyFont="1" applyFill="1" applyBorder="1" applyAlignment="1">
      <alignment horizontal="center"/>
    </xf>
    <xf numFmtId="3" fontId="6" fillId="13" borderId="1" xfId="15" applyNumberFormat="1" applyFont="1" applyFill="1" applyBorder="1" applyAlignment="1">
      <alignment horizontal="center"/>
    </xf>
    <xf numFmtId="167" fontId="6" fillId="0" borderId="0" xfId="6" applyNumberFormat="1" applyFont="1" applyFill="1" applyBorder="1" applyAlignment="1">
      <alignment horizontal="right"/>
    </xf>
    <xf numFmtId="3" fontId="6" fillId="18" borderId="1" xfId="8" applyNumberFormat="1" applyFont="1" applyFill="1" applyBorder="1" applyAlignment="1">
      <alignment horizontal="center"/>
    </xf>
    <xf numFmtId="3" fontId="6" fillId="18" borderId="1" xfId="15" applyNumberFormat="1" applyFont="1" applyFill="1" applyBorder="1" applyAlignment="1">
      <alignment horizontal="center"/>
    </xf>
    <xf numFmtId="0" fontId="8" fillId="0" borderId="35" xfId="15" applyFont="1" applyBorder="1"/>
    <xf numFmtId="167" fontId="6" fillId="0" borderId="35" xfId="6" applyNumberFormat="1" applyFont="1" applyFill="1" applyBorder="1" applyAlignment="1">
      <alignment horizontal="right"/>
    </xf>
    <xf numFmtId="3" fontId="6" fillId="14" borderId="2" xfId="15" applyNumberFormat="1" applyFont="1" applyFill="1" applyBorder="1" applyAlignment="1">
      <alignment horizontal="center"/>
    </xf>
    <xf numFmtId="167" fontId="6" fillId="0" borderId="0" xfId="6" applyNumberFormat="1" applyFont="1" applyAlignment="1">
      <alignment horizontal="right"/>
    </xf>
    <xf numFmtId="3" fontId="6" fillId="0" borderId="0" xfId="6" applyNumberFormat="1" applyFont="1" applyFill="1" applyAlignment="1">
      <alignment horizontal="center"/>
    </xf>
    <xf numFmtId="0" fontId="2" fillId="0" borderId="0" xfId="15" applyFont="1" applyAlignment="1">
      <alignment horizontal="right"/>
    </xf>
    <xf numFmtId="6" fontId="2" fillId="0" borderId="0" xfId="15" applyNumberFormat="1" applyFont="1" applyAlignment="1">
      <alignment horizontal="right"/>
    </xf>
    <xf numFmtId="0" fontId="13" fillId="6" borderId="35" xfId="15" applyFont="1" applyFill="1" applyBorder="1"/>
    <xf numFmtId="0" fontId="13" fillId="6" borderId="35" xfId="15" applyFont="1" applyFill="1" applyBorder="1" applyAlignment="1">
      <alignment horizontal="center"/>
    </xf>
    <xf numFmtId="0" fontId="13" fillId="6" borderId="0" xfId="15" applyFont="1" applyFill="1" applyAlignment="1">
      <alignment horizontal="center"/>
    </xf>
    <xf numFmtId="0" fontId="11" fillId="6" borderId="0" xfId="15" applyFont="1" applyFill="1"/>
    <xf numFmtId="3" fontId="2" fillId="0" borderId="0" xfId="6" applyNumberFormat="1" applyFont="1" applyAlignment="1">
      <alignment horizontal="center"/>
    </xf>
    <xf numFmtId="167" fontId="2" fillId="0" borderId="0" xfId="15" applyNumberFormat="1" applyFont="1" applyAlignment="1">
      <alignment horizontal="right"/>
    </xf>
    <xf numFmtId="0" fontId="8" fillId="0" borderId="0" xfId="15" applyFont="1" applyAlignment="1">
      <alignment horizontal="center"/>
    </xf>
    <xf numFmtId="0" fontId="8" fillId="0" borderId="1" xfId="15" applyFont="1" applyBorder="1"/>
    <xf numFmtId="42" fontId="2" fillId="19" borderId="1" xfId="12" applyNumberFormat="1" applyFont="1" applyFill="1" applyBorder="1" applyProtection="1">
      <protection locked="0"/>
    </xf>
    <xf numFmtId="0" fontId="4" fillId="13" borderId="1" xfId="15" applyFont="1" applyFill="1" applyBorder="1"/>
    <xf numFmtId="42" fontId="6" fillId="13" borderId="1" xfId="12" applyNumberFormat="1" applyFont="1" applyFill="1" applyBorder="1" applyProtection="1">
      <protection locked="0"/>
    </xf>
    <xf numFmtId="0" fontId="8" fillId="20" borderId="1" xfId="15" applyFont="1" applyFill="1" applyBorder="1"/>
    <xf numFmtId="42" fontId="2" fillId="20" borderId="1" xfId="6" applyNumberFormat="1" applyFont="1" applyFill="1" applyBorder="1" applyProtection="1">
      <protection locked="0"/>
    </xf>
    <xf numFmtId="0" fontId="2" fillId="20" borderId="1" xfId="15" applyFont="1" applyFill="1" applyBorder="1"/>
    <xf numFmtId="0" fontId="8" fillId="0" borderId="0" xfId="15" applyFont="1" applyAlignment="1">
      <alignment horizontal="left" wrapText="1"/>
    </xf>
    <xf numFmtId="42" fontId="6" fillId="0" borderId="1" xfId="6" applyNumberFormat="1" applyFont="1" applyFill="1" applyBorder="1" applyAlignment="1" applyProtection="1">
      <alignment horizontal="center"/>
    </xf>
    <xf numFmtId="42" fontId="6" fillId="14" borderId="1" xfId="6" applyNumberFormat="1" applyFont="1" applyFill="1" applyBorder="1" applyAlignment="1" applyProtection="1">
      <alignment horizontal="center"/>
    </xf>
    <xf numFmtId="42" fontId="6" fillId="0" borderId="1" xfId="16" applyNumberFormat="1" applyFont="1" applyFill="1" applyBorder="1" applyAlignment="1" applyProtection="1">
      <alignment horizontal="center"/>
    </xf>
    <xf numFmtId="42" fontId="6" fillId="19" borderId="1" xfId="12" applyNumberFormat="1" applyFont="1" applyFill="1" applyBorder="1" applyAlignment="1" applyProtection="1">
      <alignment horizontal="center"/>
    </xf>
    <xf numFmtId="42" fontId="6" fillId="0" borderId="1" xfId="12" applyNumberFormat="1" applyFont="1" applyFill="1" applyBorder="1" applyAlignment="1" applyProtection="1">
      <alignment horizontal="center"/>
    </xf>
    <xf numFmtId="42" fontId="6" fillId="9" borderId="1" xfId="16" applyNumberFormat="1" applyFont="1" applyFill="1" applyBorder="1" applyAlignment="1" applyProtection="1">
      <alignment horizontal="center"/>
    </xf>
    <xf numFmtId="42" fontId="6" fillId="17" borderId="1" xfId="6" applyNumberFormat="1" applyFont="1" applyFill="1" applyBorder="1" applyAlignment="1" applyProtection="1">
      <alignment horizontal="center"/>
    </xf>
    <xf numFmtId="42" fontId="6" fillId="20" borderId="1" xfId="6" applyNumberFormat="1" applyFont="1" applyFill="1" applyBorder="1" applyAlignment="1" applyProtection="1">
      <alignment horizontal="center"/>
    </xf>
    <xf numFmtId="42" fontId="6" fillId="20" borderId="1" xfId="12" applyNumberFormat="1" applyFont="1" applyFill="1" applyBorder="1" applyAlignment="1" applyProtection="1">
      <alignment horizontal="center"/>
    </xf>
    <xf numFmtId="0" fontId="8" fillId="0" borderId="0" xfId="17" applyFont="1"/>
    <xf numFmtId="10" fontId="6" fillId="3" borderId="1" xfId="2" applyNumberFormat="1" applyFont="1" applyFill="1" applyBorder="1" applyAlignment="1">
      <alignment horizontal="center" vertical="top"/>
    </xf>
    <xf numFmtId="9" fontId="6" fillId="4" borderId="0" xfId="17" applyNumberFormat="1" applyFont="1" applyFill="1" applyAlignment="1">
      <alignment horizontal="center" vertical="top"/>
    </xf>
    <xf numFmtId="6" fontId="6" fillId="0" borderId="0" xfId="17" applyNumberFormat="1" applyFont="1" applyAlignment="1">
      <alignment horizontal="center" vertical="top"/>
    </xf>
    <xf numFmtId="0" fontId="6" fillId="0" borderId="0" xfId="2" applyFont="1" applyAlignment="1">
      <alignment horizontal="right" vertical="top"/>
    </xf>
    <xf numFmtId="9" fontId="6" fillId="0" borderId="0" xfId="2" applyNumberFormat="1" applyFont="1" applyAlignment="1">
      <alignment vertical="top"/>
    </xf>
    <xf numFmtId="10" fontId="2" fillId="0" borderId="0" xfId="13" applyNumberFormat="1" applyFont="1"/>
    <xf numFmtId="0" fontId="6" fillId="9" borderId="0" xfId="17" applyFont="1" applyFill="1" applyAlignment="1">
      <alignment vertical="top" wrapText="1"/>
    </xf>
    <xf numFmtId="0" fontId="4" fillId="9" borderId="23" xfId="17" applyFont="1" applyFill="1" applyBorder="1" applyAlignment="1">
      <alignment horizontal="center" vertical="top" wrapText="1"/>
    </xf>
    <xf numFmtId="0" fontId="4" fillId="9" borderId="1" xfId="17" applyFont="1" applyFill="1" applyBorder="1" applyAlignment="1">
      <alignment horizontal="center" vertical="top" wrapText="1"/>
    </xf>
    <xf numFmtId="9" fontId="2" fillId="0" borderId="0" xfId="11" applyFont="1"/>
    <xf numFmtId="171" fontId="2" fillId="9" borderId="0" xfId="17" applyNumberFormat="1" applyFont="1" applyFill="1"/>
    <xf numFmtId="171" fontId="2" fillId="9" borderId="0" xfId="17" applyNumberFormat="1" applyFont="1" applyFill="1" applyAlignment="1">
      <alignment horizontal="right"/>
    </xf>
    <xf numFmtId="174" fontId="7" fillId="9" borderId="17" xfId="12" applyNumberFormat="1" applyFont="1" applyFill="1" applyBorder="1"/>
    <xf numFmtId="0" fontId="2" fillId="9" borderId="1" xfId="17" applyFont="1" applyFill="1" applyBorder="1"/>
    <xf numFmtId="168" fontId="4" fillId="9" borderId="17" xfId="9" applyNumberFormat="1" applyFont="1" applyFill="1" applyBorder="1"/>
    <xf numFmtId="168" fontId="8" fillId="9" borderId="0" xfId="17" applyNumberFormat="1" applyFont="1" applyFill="1"/>
    <xf numFmtId="168" fontId="2" fillId="0" borderId="18" xfId="2" applyNumberFormat="1" applyFont="1" applyBorder="1"/>
    <xf numFmtId="8" fontId="2" fillId="0" borderId="0" xfId="2" applyNumberFormat="1" applyFont="1"/>
    <xf numFmtId="10" fontId="7" fillId="21" borderId="17" xfId="13" applyNumberFormat="1" applyFont="1" applyFill="1" applyBorder="1"/>
    <xf numFmtId="10" fontId="2" fillId="0" borderId="1" xfId="4" applyNumberFormat="1" applyFont="1" applyFill="1" applyBorder="1"/>
    <xf numFmtId="44" fontId="4" fillId="0" borderId="1" xfId="2" applyNumberFormat="1" applyFont="1" applyBorder="1"/>
    <xf numFmtId="170" fontId="4" fillId="14" borderId="33" xfId="6" applyNumberFormat="1" applyFont="1" applyFill="1" applyBorder="1"/>
    <xf numFmtId="165" fontId="4" fillId="14" borderId="33" xfId="6" applyNumberFormat="1" applyFont="1" applyFill="1" applyBorder="1"/>
    <xf numFmtId="9" fontId="4" fillId="14" borderId="31" xfId="4" applyFont="1" applyFill="1" applyBorder="1"/>
    <xf numFmtId="168" fontId="2" fillId="14" borderId="18" xfId="2" applyNumberFormat="1" applyFont="1" applyFill="1" applyBorder="1"/>
    <xf numFmtId="8" fontId="4" fillId="0" borderId="0" xfId="2" applyNumberFormat="1" applyFont="1"/>
    <xf numFmtId="0" fontId="13" fillId="16" borderId="36" xfId="15" applyFont="1" applyFill="1" applyBorder="1"/>
    <xf numFmtId="0" fontId="13" fillId="16" borderId="37" xfId="15" applyFont="1" applyFill="1" applyBorder="1" applyAlignment="1">
      <alignment horizontal="center"/>
    </xf>
    <xf numFmtId="0" fontId="11" fillId="16" borderId="38" xfId="15" applyFont="1" applyFill="1" applyBorder="1"/>
    <xf numFmtId="0" fontId="4" fillId="0" borderId="39" xfId="15" applyFont="1" applyBorder="1"/>
    <xf numFmtId="37" fontId="6" fillId="14" borderId="40" xfId="15" applyNumberFormat="1" applyFont="1" applyFill="1" applyBorder="1" applyAlignment="1">
      <alignment horizontal="center"/>
    </xf>
    <xf numFmtId="37" fontId="2" fillId="17" borderId="40" xfId="6" applyNumberFormat="1" applyFont="1" applyFill="1" applyBorder="1" applyAlignment="1" applyProtection="1">
      <alignment horizontal="center"/>
      <protection locked="0"/>
    </xf>
    <xf numFmtId="37" fontId="6" fillId="0" borderId="40" xfId="15" applyNumberFormat="1" applyFont="1" applyBorder="1" applyAlignment="1">
      <alignment horizontal="center"/>
    </xf>
    <xf numFmtId="0" fontId="6" fillId="0" borderId="41" xfId="2" applyFont="1" applyBorder="1" applyAlignment="1">
      <alignment horizontal="center"/>
    </xf>
    <xf numFmtId="37" fontId="6" fillId="14" borderId="40" xfId="8" applyNumberFormat="1" applyFont="1" applyFill="1" applyBorder="1" applyAlignment="1">
      <alignment horizontal="center"/>
    </xf>
    <xf numFmtId="37" fontId="6" fillId="0" borderId="40" xfId="8" applyNumberFormat="1" applyFont="1" applyFill="1" applyBorder="1" applyAlignment="1">
      <alignment horizontal="center"/>
    </xf>
    <xf numFmtId="0" fontId="4" fillId="13" borderId="39" xfId="15" applyFont="1" applyFill="1" applyBorder="1"/>
    <xf numFmtId="37" fontId="6" fillId="13" borderId="40" xfId="8" applyNumberFormat="1" applyFont="1" applyFill="1" applyBorder="1" applyAlignment="1">
      <alignment horizontal="center"/>
    </xf>
    <xf numFmtId="37" fontId="2" fillId="13" borderId="40" xfId="6" applyNumberFormat="1" applyFont="1" applyFill="1" applyBorder="1" applyAlignment="1" applyProtection="1">
      <alignment horizontal="center"/>
      <protection locked="0"/>
    </xf>
    <xf numFmtId="0" fontId="6" fillId="13" borderId="41" xfId="2" applyFont="1" applyFill="1" applyBorder="1" applyAlignment="1">
      <alignment horizontal="center"/>
    </xf>
    <xf numFmtId="0" fontId="4" fillId="0" borderId="42" xfId="15" applyFont="1" applyBorder="1"/>
    <xf numFmtId="37" fontId="6" fillId="14" borderId="43" xfId="8" applyNumberFormat="1" applyFont="1" applyFill="1" applyBorder="1" applyAlignment="1">
      <alignment horizontal="center"/>
    </xf>
    <xf numFmtId="37" fontId="2" fillId="17" borderId="43" xfId="6" applyNumberFormat="1" applyFont="1" applyFill="1" applyBorder="1" applyAlignment="1" applyProtection="1">
      <alignment horizontal="center"/>
      <protection locked="0"/>
    </xf>
    <xf numFmtId="37" fontId="6" fillId="0" borderId="43" xfId="8" applyNumberFormat="1" applyFont="1" applyFill="1" applyBorder="1" applyAlignment="1">
      <alignment horizontal="center"/>
    </xf>
    <xf numFmtId="0" fontId="6" fillId="0" borderId="44" xfId="2" applyFont="1" applyBorder="1" applyAlignment="1">
      <alignment horizontal="center"/>
    </xf>
    <xf numFmtId="0" fontId="4" fillId="0" borderId="45" xfId="15" applyFont="1" applyBorder="1"/>
    <xf numFmtId="37" fontId="6" fillId="14" borderId="46" xfId="6" applyNumberFormat="1" applyFont="1" applyFill="1" applyBorder="1" applyAlignment="1">
      <alignment horizontal="center"/>
    </xf>
    <xf numFmtId="37" fontId="2" fillId="17" borderId="46" xfId="6" applyNumberFormat="1" applyFont="1" applyFill="1" applyBorder="1" applyAlignment="1" applyProtection="1">
      <alignment horizontal="center"/>
      <protection locked="0"/>
    </xf>
    <xf numFmtId="37" fontId="6" fillId="0" borderId="46" xfId="6" applyNumberFormat="1" applyFont="1" applyBorder="1" applyAlignment="1">
      <alignment horizontal="center"/>
    </xf>
    <xf numFmtId="0" fontId="6" fillId="0" borderId="47" xfId="15" applyFont="1" applyBorder="1"/>
    <xf numFmtId="0" fontId="13" fillId="7" borderId="36" xfId="15" applyFont="1" applyFill="1" applyBorder="1"/>
    <xf numFmtId="0" fontId="13" fillId="7" borderId="37" xfId="15" applyFont="1" applyFill="1" applyBorder="1" applyAlignment="1">
      <alignment horizontal="center"/>
    </xf>
    <xf numFmtId="0" fontId="11" fillId="7" borderId="38" xfId="15" applyFont="1" applyFill="1" applyBorder="1"/>
    <xf numFmtId="0" fontId="8" fillId="0" borderId="39" xfId="15" applyFont="1" applyBorder="1"/>
    <xf numFmtId="3" fontId="6" fillId="14" borderId="40" xfId="15" applyNumberFormat="1" applyFont="1" applyFill="1" applyBorder="1" applyAlignment="1">
      <alignment horizontal="center"/>
    </xf>
    <xf numFmtId="3" fontId="6" fillId="0" borderId="40" xfId="7" applyNumberFormat="1" applyFont="1" applyBorder="1" applyAlignment="1">
      <alignment horizontal="center"/>
    </xf>
    <xf numFmtId="3" fontId="6" fillId="14" borderId="40" xfId="7" applyNumberFormat="1" applyFont="1" applyFill="1" applyBorder="1" applyAlignment="1">
      <alignment horizontal="center"/>
    </xf>
    <xf numFmtId="3" fontId="6" fillId="14" borderId="40" xfId="8" applyNumberFormat="1" applyFont="1" applyFill="1" applyBorder="1" applyAlignment="1">
      <alignment horizontal="center"/>
    </xf>
    <xf numFmtId="3" fontId="6" fillId="0" borderId="40" xfId="8" applyNumberFormat="1" applyFont="1" applyFill="1" applyBorder="1" applyAlignment="1">
      <alignment horizontal="center"/>
    </xf>
    <xf numFmtId="3" fontId="6" fillId="0" borderId="40" xfId="15" applyNumberFormat="1" applyFont="1" applyBorder="1" applyAlignment="1">
      <alignment horizontal="center"/>
    </xf>
    <xf numFmtId="0" fontId="8" fillId="13" borderId="39" xfId="15" applyFont="1" applyFill="1" applyBorder="1"/>
    <xf numFmtId="3" fontId="6" fillId="13" borderId="40" xfId="8" applyNumberFormat="1" applyFont="1" applyFill="1" applyBorder="1" applyAlignment="1">
      <alignment horizontal="center"/>
    </xf>
    <xf numFmtId="3" fontId="6" fillId="13" borderId="40" xfId="15" applyNumberFormat="1" applyFont="1" applyFill="1" applyBorder="1" applyAlignment="1">
      <alignment horizontal="center"/>
    </xf>
    <xf numFmtId="3" fontId="6" fillId="12" borderId="40" xfId="15" applyNumberFormat="1" applyFont="1" applyFill="1" applyBorder="1" applyAlignment="1">
      <alignment horizontal="center"/>
    </xf>
    <xf numFmtId="3" fontId="6" fillId="18" borderId="40" xfId="15" applyNumberFormat="1" applyFont="1" applyFill="1" applyBorder="1" applyAlignment="1">
      <alignment horizontal="center"/>
    </xf>
    <xf numFmtId="3" fontId="6" fillId="22" borderId="40" xfId="15" applyNumberFormat="1" applyFont="1" applyFill="1" applyBorder="1" applyAlignment="1">
      <alignment horizontal="center"/>
    </xf>
    <xf numFmtId="0" fontId="8" fillId="0" borderId="42" xfId="15" applyFont="1" applyBorder="1"/>
    <xf numFmtId="3" fontId="6" fillId="14" borderId="43" xfId="8" applyNumberFormat="1" applyFont="1" applyFill="1" applyBorder="1" applyAlignment="1">
      <alignment horizontal="center"/>
    </xf>
    <xf numFmtId="3" fontId="6" fillId="0" borderId="43" xfId="15" applyNumberFormat="1" applyFont="1" applyBorder="1" applyAlignment="1">
      <alignment horizontal="center"/>
    </xf>
    <xf numFmtId="3" fontId="6" fillId="14" borderId="43" xfId="15" applyNumberFormat="1" applyFont="1" applyFill="1" applyBorder="1" applyAlignment="1">
      <alignment horizontal="center"/>
    </xf>
    <xf numFmtId="0" fontId="8" fillId="0" borderId="45" xfId="15" applyFont="1" applyBorder="1"/>
    <xf numFmtId="3" fontId="6" fillId="0" borderId="46" xfId="6" applyNumberFormat="1" applyFont="1" applyFill="1" applyBorder="1" applyAlignment="1">
      <alignment horizontal="center"/>
    </xf>
    <xf numFmtId="0" fontId="13" fillId="6" borderId="36" xfId="15" applyFont="1" applyFill="1" applyBorder="1"/>
    <xf numFmtId="0" fontId="13" fillId="6" borderId="37" xfId="15" applyFont="1" applyFill="1" applyBorder="1" applyAlignment="1">
      <alignment horizontal="center"/>
    </xf>
    <xf numFmtId="0" fontId="11" fillId="6" borderId="38" xfId="15" applyFont="1" applyFill="1" applyBorder="1"/>
    <xf numFmtId="3" fontId="2" fillId="0" borderId="46" xfId="6" applyNumberFormat="1" applyFont="1" applyBorder="1" applyAlignment="1">
      <alignment horizontal="center"/>
    </xf>
    <xf numFmtId="0" fontId="2" fillId="0" borderId="47" xfId="15" applyFont="1" applyBorder="1"/>
    <xf numFmtId="42" fontId="1" fillId="0" borderId="1" xfId="12" applyNumberFormat="1" applyFont="1" applyFill="1" applyBorder="1" applyProtection="1">
      <protection locked="0"/>
    </xf>
    <xf numFmtId="42" fontId="1" fillId="0" borderId="48" xfId="12" applyNumberFormat="1" applyFont="1" applyFill="1" applyBorder="1" applyProtection="1">
      <protection locked="0"/>
    </xf>
    <xf numFmtId="42" fontId="1" fillId="0" borderId="1" xfId="12" applyNumberFormat="1" applyFont="1" applyFill="1" applyBorder="1" applyAlignment="1" applyProtection="1">
      <alignment horizontal="center"/>
      <protection locked="0"/>
    </xf>
    <xf numFmtId="167" fontId="1" fillId="0" borderId="1" xfId="12" applyNumberFormat="1" applyFont="1" applyFill="1" applyBorder="1" applyProtection="1">
      <protection locked="0"/>
    </xf>
    <xf numFmtId="167" fontId="2" fillId="20" borderId="1" xfId="12" applyNumberFormat="1" applyFont="1" applyFill="1" applyBorder="1" applyProtection="1">
      <protection locked="0"/>
    </xf>
    <xf numFmtId="42" fontId="6" fillId="14" borderId="1" xfId="12" applyNumberFormat="1" applyFont="1" applyFill="1" applyBorder="1" applyAlignment="1" applyProtection="1">
      <alignment horizontal="center"/>
    </xf>
    <xf numFmtId="42" fontId="22" fillId="0" borderId="1" xfId="12" applyNumberFormat="1" applyFont="1" applyFill="1" applyBorder="1" applyAlignment="1" applyProtection="1">
      <alignment horizontal="center"/>
    </xf>
    <xf numFmtId="42" fontId="2" fillId="14" borderId="1" xfId="12" applyNumberFormat="1" applyFont="1" applyFill="1" applyBorder="1" applyProtection="1">
      <protection locked="0"/>
    </xf>
    <xf numFmtId="167" fontId="6" fillId="20" borderId="1" xfId="12" applyNumberFormat="1" applyFont="1" applyFill="1" applyBorder="1" applyAlignment="1" applyProtection="1">
      <alignment horizontal="center"/>
    </xf>
    <xf numFmtId="164" fontId="23" fillId="0" borderId="0" xfId="1" applyFont="1" applyFill="1" applyAlignment="1">
      <alignment horizontal="left" vertical="top"/>
    </xf>
    <xf numFmtId="0" fontId="24" fillId="0" borderId="0" xfId="2" applyFont="1"/>
    <xf numFmtId="0" fontId="25" fillId="0" borderId="0" xfId="2" applyFont="1" applyAlignment="1">
      <alignment horizontal="left"/>
    </xf>
    <xf numFmtId="0" fontId="24" fillId="0" borderId="0" xfId="2" applyFont="1" applyAlignment="1">
      <alignment horizontal="center"/>
    </xf>
    <xf numFmtId="165" fontId="24" fillId="0" borderId="0" xfId="3" applyNumberFormat="1" applyFont="1"/>
    <xf numFmtId="0" fontId="26" fillId="0" borderId="0" xfId="2" applyFont="1"/>
    <xf numFmtId="0" fontId="27" fillId="0" borderId="0" xfId="2" applyFont="1"/>
    <xf numFmtId="0" fontId="28" fillId="0" borderId="0" xfId="2" applyFont="1"/>
    <xf numFmtId="6" fontId="24" fillId="0" borderId="0" xfId="2" applyNumberFormat="1" applyFont="1"/>
    <xf numFmtId="0" fontId="29" fillId="0" borderId="0" xfId="2" applyFont="1" applyAlignment="1">
      <alignment vertical="center" wrapText="1"/>
    </xf>
    <xf numFmtId="0" fontId="30" fillId="0" borderId="0" xfId="2" applyFont="1"/>
    <xf numFmtId="10" fontId="10" fillId="0" borderId="0" xfId="4" applyNumberFormat="1" applyFont="1" applyFill="1" applyBorder="1" applyAlignment="1">
      <alignment horizontal="center" vertical="center"/>
    </xf>
    <xf numFmtId="10" fontId="7" fillId="0" borderId="0" xfId="5" applyNumberFormat="1" applyFont="1" applyFill="1" applyBorder="1" applyAlignment="1">
      <alignment horizontal="center"/>
    </xf>
    <xf numFmtId="0" fontId="29" fillId="0" borderId="0" xfId="2" applyFont="1"/>
    <xf numFmtId="0" fontId="29" fillId="0" borderId="0" xfId="2" applyFont="1" applyAlignment="1">
      <alignment horizontal="center" vertical="center" wrapText="1"/>
    </xf>
    <xf numFmtId="0" fontId="29" fillId="0" borderId="0" xfId="2" applyFont="1" applyAlignment="1">
      <alignment horizontal="center"/>
    </xf>
    <xf numFmtId="6" fontId="9" fillId="0" borderId="0" xfId="2" applyNumberFormat="1" applyFont="1"/>
    <xf numFmtId="9" fontId="4" fillId="0" borderId="0" xfId="4" applyFont="1" applyFill="1" applyBorder="1" applyAlignment="1">
      <alignment horizontal="left"/>
    </xf>
    <xf numFmtId="0" fontId="13" fillId="0" borderId="0" xfId="2" applyFont="1" applyAlignment="1">
      <alignment vertical="center"/>
    </xf>
    <xf numFmtId="9" fontId="6" fillId="0" borderId="0" xfId="4" applyFont="1" applyFill="1" applyBorder="1" applyAlignment="1">
      <alignment horizontal="center"/>
    </xf>
    <xf numFmtId="9" fontId="6" fillId="0" borderId="0" xfId="2" applyNumberFormat="1" applyFont="1" applyAlignment="1">
      <alignment horizontal="center" vertical="top"/>
    </xf>
    <xf numFmtId="42" fontId="6" fillId="0" borderId="0" xfId="6" applyNumberFormat="1" applyFont="1" applyFill="1" applyBorder="1" applyAlignment="1">
      <alignment horizontal="right" vertical="top"/>
    </xf>
    <xf numFmtId="10" fontId="6" fillId="0" borderId="0" xfId="2" applyNumberFormat="1" applyFont="1" applyAlignment="1">
      <alignment horizontal="center" vertical="top"/>
    </xf>
    <xf numFmtId="6" fontId="6" fillId="0" borderId="0" xfId="2" applyNumberFormat="1" applyFont="1" applyAlignment="1">
      <alignment horizontal="center" vertical="top"/>
    </xf>
    <xf numFmtId="10" fontId="31" fillId="0" borderId="0" xfId="5" applyNumberFormat="1" applyFont="1" applyAlignment="1">
      <alignment horizontal="center"/>
    </xf>
    <xf numFmtId="44" fontId="2" fillId="0" borderId="0" xfId="14" applyFont="1"/>
    <xf numFmtId="0" fontId="31" fillId="0" borderId="0" xfId="2" applyFont="1" applyAlignment="1">
      <alignment horizontal="center" vertical="top"/>
    </xf>
    <xf numFmtId="0" fontId="13" fillId="0" borderId="0" xfId="2" applyFont="1" applyAlignment="1">
      <alignment horizontal="centerContinuous" vertical="top"/>
    </xf>
    <xf numFmtId="165" fontId="11" fillId="5" borderId="8" xfId="3" applyNumberFormat="1" applyFont="1" applyFill="1" applyBorder="1" applyAlignment="1">
      <alignment horizontal="centerContinuous" vertical="top"/>
    </xf>
    <xf numFmtId="175" fontId="9" fillId="0" borderId="0" xfId="2" applyNumberFormat="1" applyFont="1" applyAlignment="1">
      <alignment horizontal="center" vertical="top"/>
    </xf>
    <xf numFmtId="9" fontId="32" fillId="0" borderId="0" xfId="5" applyFont="1" applyFill="1" applyBorder="1" applyAlignment="1">
      <alignment horizontal="center" vertical="top" wrapText="1"/>
    </xf>
    <xf numFmtId="0" fontId="13" fillId="5" borderId="13" xfId="2" applyFont="1" applyFill="1" applyBorder="1" applyAlignment="1">
      <alignment horizontal="centerContinuous" vertical="top"/>
    </xf>
    <xf numFmtId="0" fontId="13" fillId="6" borderId="13" xfId="2" applyFont="1" applyFill="1" applyBorder="1" applyAlignment="1">
      <alignment horizontal="centerContinuous" vertical="top"/>
    </xf>
    <xf numFmtId="0" fontId="32" fillId="0" borderId="0" xfId="2" applyFont="1" applyAlignment="1">
      <alignment vertical="top"/>
    </xf>
    <xf numFmtId="0" fontId="33" fillId="0" borderId="0" xfId="2" applyFont="1" applyAlignment="1">
      <alignment vertical="top"/>
    </xf>
    <xf numFmtId="6" fontId="32" fillId="0" borderId="0" xfId="2" applyNumberFormat="1" applyFont="1" applyAlignment="1">
      <alignment vertical="top"/>
    </xf>
    <xf numFmtId="0" fontId="32" fillId="0" borderId="0" xfId="2" applyFont="1" applyAlignment="1">
      <alignment horizontal="center" vertical="top"/>
    </xf>
    <xf numFmtId="0" fontId="33" fillId="0" borderId="0" xfId="2" applyFont="1" applyAlignment="1">
      <alignment vertical="center"/>
    </xf>
    <xf numFmtId="166" fontId="13" fillId="0" borderId="0" xfId="7" applyNumberFormat="1" applyFont="1" applyAlignment="1">
      <alignment horizontal="center" vertical="top"/>
    </xf>
    <xf numFmtId="165" fontId="11" fillId="5" borderId="49" xfId="3" applyNumberFormat="1" applyFont="1" applyFill="1" applyBorder="1" applyAlignment="1">
      <alignment horizontal="center" vertical="top" wrapText="1"/>
    </xf>
    <xf numFmtId="0" fontId="11" fillId="6" borderId="17" xfId="2" applyFont="1" applyFill="1" applyBorder="1" applyAlignment="1">
      <alignment horizontal="center" vertical="top" wrapText="1"/>
    </xf>
    <xf numFmtId="0" fontId="11" fillId="6" borderId="49" xfId="2" applyFont="1" applyFill="1" applyBorder="1" applyAlignment="1">
      <alignment horizontal="center" vertical="top" wrapText="1"/>
    </xf>
    <xf numFmtId="0" fontId="13" fillId="6" borderId="23" xfId="2" applyFont="1" applyFill="1" applyBorder="1" applyAlignment="1">
      <alignment horizontal="center" vertical="top" wrapText="1"/>
    </xf>
    <xf numFmtId="0" fontId="13" fillId="6" borderId="56" xfId="2" applyFont="1" applyFill="1" applyBorder="1" applyAlignment="1">
      <alignment horizontal="center" vertical="top" wrapText="1"/>
    </xf>
    <xf numFmtId="0" fontId="13" fillId="7" borderId="23" xfId="2" applyFont="1" applyFill="1" applyBorder="1" applyAlignment="1">
      <alignment horizontal="center" vertical="top" wrapText="1"/>
    </xf>
    <xf numFmtId="0" fontId="13" fillId="7" borderId="56" xfId="2" applyFont="1" applyFill="1" applyBorder="1" applyAlignment="1">
      <alignment horizontal="center" vertical="top" wrapText="1"/>
    </xf>
    <xf numFmtId="0" fontId="13" fillId="8" borderId="23" xfId="2" applyFont="1" applyFill="1" applyBorder="1" applyAlignment="1">
      <alignment horizontal="center" vertical="top" wrapText="1"/>
    </xf>
    <xf numFmtId="0" fontId="13" fillId="8" borderId="56" xfId="2" applyFont="1" applyFill="1" applyBorder="1" applyAlignment="1">
      <alignment horizontal="center" vertical="top" wrapText="1"/>
    </xf>
    <xf numFmtId="6" fontId="13" fillId="8" borderId="21" xfId="2" applyNumberFormat="1" applyFont="1" applyFill="1" applyBorder="1" applyAlignment="1">
      <alignment horizontal="center" vertical="top" wrapText="1"/>
    </xf>
    <xf numFmtId="0" fontId="4" fillId="10" borderId="23" xfId="2" applyFont="1" applyFill="1" applyBorder="1" applyAlignment="1">
      <alignment horizontal="center" vertical="top" wrapText="1"/>
    </xf>
    <xf numFmtId="0" fontId="4" fillId="10" borderId="56" xfId="2" applyFont="1" applyFill="1" applyBorder="1" applyAlignment="1">
      <alignment horizontal="center" vertical="top" wrapText="1"/>
    </xf>
    <xf numFmtId="0" fontId="13" fillId="0" borderId="0" xfId="2" applyFont="1" applyAlignment="1">
      <alignment horizontal="center" vertical="top" wrapText="1"/>
    </xf>
    <xf numFmtId="0" fontId="13" fillId="2" borderId="23" xfId="2" applyFont="1" applyFill="1" applyBorder="1" applyAlignment="1">
      <alignment horizontal="center" vertical="top" wrapText="1"/>
    </xf>
    <xf numFmtId="0" fontId="13" fillId="2" borderId="21" xfId="2" applyFont="1" applyFill="1" applyBorder="1" applyAlignment="1">
      <alignment horizontal="center" vertical="top" wrapText="1"/>
    </xf>
    <xf numFmtId="0" fontId="13" fillId="2" borderId="56" xfId="2" applyFont="1" applyFill="1" applyBorder="1" applyAlignment="1">
      <alignment horizontal="center" vertical="top" wrapText="1"/>
    </xf>
    <xf numFmtId="0" fontId="13" fillId="23" borderId="21" xfId="2" applyFont="1" applyFill="1" applyBorder="1" applyAlignment="1">
      <alignment horizontal="center" vertical="top" wrapText="1"/>
    </xf>
    <xf numFmtId="0" fontId="13" fillId="23" borderId="56" xfId="2" applyFont="1" applyFill="1" applyBorder="1" applyAlignment="1">
      <alignment horizontal="center" vertical="top" wrapText="1"/>
    </xf>
    <xf numFmtId="0" fontId="6" fillId="0" borderId="54" xfId="2" applyFont="1" applyBorder="1" applyAlignment="1">
      <alignment horizontal="left"/>
    </xf>
    <xf numFmtId="167" fontId="4" fillId="0" borderId="49" xfId="8" applyNumberFormat="1" applyFont="1" applyFill="1" applyBorder="1" applyAlignment="1">
      <alignment horizontal="left"/>
    </xf>
    <xf numFmtId="167" fontId="4" fillId="0" borderId="0" xfId="8" applyNumberFormat="1" applyFont="1" applyFill="1" applyBorder="1" applyAlignment="1">
      <alignment horizontal="left"/>
    </xf>
    <xf numFmtId="169" fontId="32" fillId="0" borderId="1" xfId="10" applyNumberFormat="1" applyFont="1" applyBorder="1"/>
    <xf numFmtId="170" fontId="32" fillId="0" borderId="49" xfId="3" applyNumberFormat="1" applyFont="1" applyFill="1" applyBorder="1"/>
    <xf numFmtId="0" fontId="32" fillId="0" borderId="0" xfId="2" applyFont="1"/>
    <xf numFmtId="43" fontId="32" fillId="0" borderId="17" xfId="2" applyNumberFormat="1" applyFont="1" applyBorder="1" applyAlignment="1">
      <alignment horizontal="right"/>
    </xf>
    <xf numFmtId="43" fontId="32" fillId="0" borderId="1" xfId="2" applyNumberFormat="1" applyFont="1" applyBorder="1" applyAlignment="1">
      <alignment horizontal="right"/>
    </xf>
    <xf numFmtId="2" fontId="32" fillId="11" borderId="1" xfId="2" applyNumberFormat="1" applyFont="1" applyFill="1" applyBorder="1"/>
    <xf numFmtId="169" fontId="32" fillId="0" borderId="1" xfId="2" applyNumberFormat="1" applyFont="1" applyBorder="1"/>
    <xf numFmtId="169" fontId="32" fillId="0" borderId="18" xfId="10" applyNumberFormat="1" applyFont="1" applyFill="1" applyBorder="1"/>
    <xf numFmtId="43" fontId="32" fillId="0" borderId="19" xfId="2" applyNumberFormat="1" applyFont="1" applyBorder="1" applyAlignment="1">
      <alignment horizontal="right"/>
    </xf>
    <xf numFmtId="43" fontId="32" fillId="11" borderId="1" xfId="6" applyFont="1" applyFill="1" applyBorder="1"/>
    <xf numFmtId="169" fontId="32" fillId="0" borderId="49" xfId="10" applyNumberFormat="1" applyFont="1" applyFill="1" applyBorder="1"/>
    <xf numFmtId="170" fontId="32" fillId="0" borderId="17" xfId="6" applyNumberFormat="1" applyFont="1" applyFill="1" applyBorder="1"/>
    <xf numFmtId="170" fontId="32" fillId="0" borderId="1" xfId="6" applyNumberFormat="1" applyFont="1" applyFill="1" applyBorder="1"/>
    <xf numFmtId="170" fontId="32" fillId="0" borderId="49" xfId="6" applyNumberFormat="1" applyFont="1" applyFill="1" applyBorder="1"/>
    <xf numFmtId="9" fontId="32" fillId="0" borderId="0" xfId="11" applyFont="1"/>
    <xf numFmtId="6" fontId="32" fillId="0" borderId="17" xfId="2" applyNumberFormat="1" applyFont="1" applyBorder="1"/>
    <xf numFmtId="6" fontId="32" fillId="0" borderId="1" xfId="2" applyNumberFormat="1" applyFont="1" applyBorder="1"/>
    <xf numFmtId="6" fontId="33" fillId="0" borderId="49" xfId="2" applyNumberFormat="1" applyFont="1" applyBorder="1"/>
    <xf numFmtId="6" fontId="7" fillId="0" borderId="17" xfId="2" applyNumberFormat="1" applyFont="1" applyBorder="1"/>
    <xf numFmtId="10" fontId="32" fillId="0" borderId="1" xfId="4" applyNumberFormat="1" applyFont="1" applyFill="1" applyBorder="1"/>
    <xf numFmtId="168" fontId="33" fillId="0" borderId="1" xfId="2" applyNumberFormat="1" applyFont="1" applyBorder="1"/>
    <xf numFmtId="6" fontId="32" fillId="0" borderId="49" xfId="2" applyNumberFormat="1" applyFont="1" applyBorder="1"/>
    <xf numFmtId="168" fontId="7" fillId="0" borderId="17" xfId="9" applyNumberFormat="1" applyFont="1" applyFill="1" applyBorder="1"/>
    <xf numFmtId="10" fontId="7" fillId="9" borderId="17" xfId="11" applyNumberFormat="1" applyFont="1" applyFill="1" applyBorder="1"/>
    <xf numFmtId="172" fontId="6" fillId="9" borderId="0" xfId="11" applyNumberFormat="1" applyFont="1" applyFill="1" applyBorder="1"/>
    <xf numFmtId="175" fontId="32" fillId="0" borderId="1" xfId="4" applyNumberFormat="1" applyFont="1" applyFill="1" applyBorder="1"/>
    <xf numFmtId="8" fontId="32" fillId="0" borderId="1" xfId="2" applyNumberFormat="1" applyFont="1" applyBorder="1"/>
    <xf numFmtId="10" fontId="32" fillId="0" borderId="1" xfId="11" applyNumberFormat="1" applyFont="1" applyBorder="1"/>
    <xf numFmtId="167" fontId="32" fillId="0" borderId="18" xfId="12" applyNumberFormat="1" applyFont="1" applyFill="1" applyBorder="1"/>
    <xf numFmtId="8" fontId="7" fillId="0" borderId="17" xfId="2" applyNumberFormat="1" applyFont="1" applyBorder="1"/>
    <xf numFmtId="10" fontId="32" fillId="0" borderId="1" xfId="13" applyNumberFormat="1" applyFont="1" applyFill="1" applyBorder="1"/>
    <xf numFmtId="44" fontId="33" fillId="0" borderId="1" xfId="2" applyNumberFormat="1" applyFont="1" applyBorder="1"/>
    <xf numFmtId="8" fontId="32" fillId="0" borderId="49" xfId="2" applyNumberFormat="1" applyFont="1" applyBorder="1"/>
    <xf numFmtId="44" fontId="7" fillId="0" borderId="17" xfId="9" applyFont="1" applyFill="1" applyBorder="1"/>
    <xf numFmtId="9" fontId="32" fillId="0" borderId="1" xfId="11" applyFont="1" applyFill="1" applyBorder="1"/>
    <xf numFmtId="44" fontId="32" fillId="0" borderId="1" xfId="2" applyNumberFormat="1" applyFont="1" applyBorder="1"/>
    <xf numFmtId="44" fontId="33" fillId="0" borderId="49" xfId="2" applyNumberFormat="1" applyFont="1" applyBorder="1"/>
    <xf numFmtId="175" fontId="32" fillId="0" borderId="1" xfId="13" applyNumberFormat="1" applyFont="1" applyFill="1" applyBorder="1"/>
    <xf numFmtId="0" fontId="32" fillId="0" borderId="49" xfId="2" applyFont="1" applyBorder="1" applyAlignment="1">
      <alignment horizontal="center"/>
    </xf>
    <xf numFmtId="0" fontId="34" fillId="0" borderId="0" xfId="2" applyFont="1" applyAlignment="1">
      <alignment horizontal="center"/>
    </xf>
    <xf numFmtId="44" fontId="32" fillId="0" borderId="17" xfId="2" applyNumberFormat="1" applyFont="1" applyBorder="1"/>
    <xf numFmtId="44" fontId="33" fillId="12" borderId="1" xfId="2" applyNumberFormat="1" applyFont="1" applyFill="1" applyBorder="1"/>
    <xf numFmtId="10" fontId="33" fillId="12" borderId="49" xfId="11" applyNumberFormat="1" applyFont="1" applyFill="1" applyBorder="1"/>
    <xf numFmtId="44" fontId="2" fillId="0" borderId="17" xfId="14" applyFont="1" applyBorder="1"/>
    <xf numFmtId="44" fontId="8" fillId="24" borderId="49" xfId="2" applyNumberFormat="1" applyFont="1" applyFill="1" applyBorder="1"/>
    <xf numFmtId="10" fontId="8" fillId="24" borderId="49" xfId="11" applyNumberFormat="1" applyFont="1" applyFill="1" applyBorder="1"/>
    <xf numFmtId="168" fontId="2" fillId="0" borderId="0" xfId="2" applyNumberFormat="1" applyFont="1"/>
    <xf numFmtId="0" fontId="6" fillId="0" borderId="17" xfId="2" applyFont="1" applyBorder="1" applyAlignment="1">
      <alignment horizontal="left"/>
    </xf>
    <xf numFmtId="169" fontId="32" fillId="0" borderId="1" xfId="10" applyNumberFormat="1" applyFont="1" applyFill="1" applyBorder="1"/>
    <xf numFmtId="0" fontId="4" fillId="25" borderId="57" xfId="2" applyFont="1" applyFill="1" applyBorder="1" applyAlignment="1">
      <alignment horizontal="left"/>
    </xf>
    <xf numFmtId="167" fontId="4" fillId="25" borderId="27" xfId="8" applyNumberFormat="1" applyFont="1" applyFill="1" applyBorder="1" applyAlignment="1">
      <alignment horizontal="left"/>
    </xf>
    <xf numFmtId="167" fontId="4" fillId="25" borderId="33" xfId="6" applyNumberFormat="1" applyFont="1" applyFill="1" applyBorder="1"/>
    <xf numFmtId="167" fontId="4" fillId="25" borderId="28" xfId="6" applyNumberFormat="1" applyFont="1" applyFill="1" applyBorder="1"/>
    <xf numFmtId="170" fontId="33" fillId="25" borderId="28" xfId="6" applyNumberFormat="1" applyFont="1" applyFill="1" applyBorder="1"/>
    <xf numFmtId="170" fontId="33" fillId="25" borderId="58" xfId="6" applyNumberFormat="1" applyFont="1" applyFill="1" applyBorder="1"/>
    <xf numFmtId="0" fontId="33" fillId="0" borderId="0" xfId="2" applyFont="1"/>
    <xf numFmtId="43" fontId="33" fillId="25" borderId="33" xfId="6" applyFont="1" applyFill="1" applyBorder="1"/>
    <xf numFmtId="43" fontId="33" fillId="25" borderId="31" xfId="6" applyFont="1" applyFill="1" applyBorder="1"/>
    <xf numFmtId="2" fontId="33" fillId="25" borderId="31" xfId="2" applyNumberFormat="1" applyFont="1" applyFill="1" applyBorder="1"/>
    <xf numFmtId="170" fontId="33" fillId="25" borderId="31" xfId="6" applyNumberFormat="1" applyFont="1" applyFill="1" applyBorder="1"/>
    <xf numFmtId="170" fontId="33" fillId="25" borderId="32" xfId="6" applyNumberFormat="1" applyFont="1" applyFill="1" applyBorder="1"/>
    <xf numFmtId="43" fontId="33" fillId="25" borderId="30" xfId="6" applyFont="1" applyFill="1" applyBorder="1"/>
    <xf numFmtId="8" fontId="33" fillId="25" borderId="30" xfId="6" applyNumberFormat="1" applyFont="1" applyFill="1" applyBorder="1"/>
    <xf numFmtId="8" fontId="33" fillId="25" borderId="31" xfId="6" applyNumberFormat="1" applyFont="1" applyFill="1" applyBorder="1"/>
    <xf numFmtId="8" fontId="33" fillId="25" borderId="31" xfId="2" applyNumberFormat="1" applyFont="1" applyFill="1" applyBorder="1"/>
    <xf numFmtId="170" fontId="33" fillId="25" borderId="59" xfId="6" applyNumberFormat="1" applyFont="1" applyFill="1" applyBorder="1"/>
    <xf numFmtId="170" fontId="33" fillId="25" borderId="33" xfId="2" applyNumberFormat="1" applyFont="1" applyFill="1" applyBorder="1"/>
    <xf numFmtId="170" fontId="33" fillId="25" borderId="31" xfId="2" applyNumberFormat="1" applyFont="1" applyFill="1" applyBorder="1"/>
    <xf numFmtId="170" fontId="33" fillId="25" borderId="59" xfId="2" applyNumberFormat="1" applyFont="1" applyFill="1" applyBorder="1"/>
    <xf numFmtId="6" fontId="33" fillId="25" borderId="33" xfId="4" applyNumberFormat="1" applyFont="1" applyFill="1" applyBorder="1"/>
    <xf numFmtId="6" fontId="33" fillId="25" borderId="31" xfId="4" applyNumberFormat="1" applyFont="1" applyFill="1" applyBorder="1"/>
    <xf numFmtId="6" fontId="33" fillId="25" borderId="59" xfId="4" applyNumberFormat="1" applyFont="1" applyFill="1" applyBorder="1"/>
    <xf numFmtId="6" fontId="19" fillId="25" borderId="33" xfId="2" applyNumberFormat="1" applyFont="1" applyFill="1" applyBorder="1"/>
    <xf numFmtId="0" fontId="33" fillId="25" borderId="31" xfId="2" applyFont="1" applyFill="1" applyBorder="1"/>
    <xf numFmtId="168" fontId="33" fillId="25" borderId="31" xfId="2" applyNumberFormat="1" applyFont="1" applyFill="1" applyBorder="1"/>
    <xf numFmtId="6" fontId="33" fillId="25" borderId="59" xfId="2" applyNumberFormat="1" applyFont="1" applyFill="1" applyBorder="1"/>
    <xf numFmtId="173" fontId="4" fillId="9" borderId="33" xfId="6" applyNumberFormat="1" applyFont="1" applyFill="1" applyBorder="1"/>
    <xf numFmtId="165" fontId="4" fillId="9" borderId="33" xfId="6" applyNumberFormat="1" applyFont="1" applyFill="1" applyBorder="1"/>
    <xf numFmtId="165" fontId="4" fillId="9" borderId="1" xfId="6" applyNumberFormat="1" applyFont="1" applyFill="1" applyBorder="1"/>
    <xf numFmtId="167" fontId="6" fillId="9" borderId="33" xfId="6" applyNumberFormat="1" applyFont="1" applyFill="1" applyBorder="1"/>
    <xf numFmtId="167" fontId="4" fillId="9" borderId="49" xfId="6" applyNumberFormat="1" applyFont="1" applyFill="1" applyBorder="1"/>
    <xf numFmtId="173" fontId="6" fillId="9" borderId="13" xfId="6" applyNumberFormat="1" applyFont="1" applyFill="1" applyBorder="1"/>
    <xf numFmtId="167" fontId="6" fillId="9" borderId="13" xfId="6" applyNumberFormat="1" applyFont="1" applyFill="1" applyBorder="1"/>
    <xf numFmtId="44" fontId="4" fillId="9" borderId="17" xfId="2" applyNumberFormat="1" applyFont="1" applyFill="1" applyBorder="1"/>
    <xf numFmtId="9" fontId="4" fillId="25" borderId="31" xfId="4" applyFont="1" applyFill="1" applyBorder="1"/>
    <xf numFmtId="6" fontId="4" fillId="25" borderId="31" xfId="2" applyNumberFormat="1" applyFont="1" applyFill="1" applyBorder="1"/>
    <xf numFmtId="6" fontId="4" fillId="25" borderId="31" xfId="2" applyNumberFormat="1" applyFont="1" applyFill="1" applyBorder="1" applyAlignment="1">
      <alignment horizontal="right"/>
    </xf>
    <xf numFmtId="167" fontId="19" fillId="25" borderId="29" xfId="12" applyNumberFormat="1" applyFont="1" applyFill="1" applyBorder="1" applyAlignment="1">
      <alignment vertical="top"/>
    </xf>
    <xf numFmtId="8" fontId="7" fillId="25" borderId="33" xfId="2" applyNumberFormat="1" applyFont="1" applyFill="1" applyBorder="1"/>
    <xf numFmtId="9" fontId="32" fillId="25" borderId="31" xfId="4" applyFont="1" applyFill="1" applyBorder="1"/>
    <xf numFmtId="44" fontId="33" fillId="25" borderId="31" xfId="2" applyNumberFormat="1" applyFont="1" applyFill="1" applyBorder="1"/>
    <xf numFmtId="8" fontId="32" fillId="25" borderId="59" xfId="2" applyNumberFormat="1" applyFont="1" applyFill="1" applyBorder="1"/>
    <xf numFmtId="44" fontId="7" fillId="25" borderId="33" xfId="9" applyFont="1" applyFill="1" applyBorder="1"/>
    <xf numFmtId="9" fontId="32" fillId="25" borderId="31" xfId="11" applyFont="1" applyFill="1" applyBorder="1"/>
    <xf numFmtId="44" fontId="32" fillId="25" borderId="31" xfId="2" applyNumberFormat="1" applyFont="1" applyFill="1" applyBorder="1"/>
    <xf numFmtId="44" fontId="33" fillId="25" borderId="59" xfId="2" applyNumberFormat="1" applyFont="1" applyFill="1" applyBorder="1"/>
    <xf numFmtId="175" fontId="33" fillId="25" borderId="31" xfId="13" applyNumberFormat="1" applyFont="1" applyFill="1" applyBorder="1"/>
    <xf numFmtId="0" fontId="33" fillId="25" borderId="59" xfId="2" applyFont="1" applyFill="1" applyBorder="1" applyAlignment="1">
      <alignment horizontal="center"/>
    </xf>
    <xf numFmtId="0" fontId="35" fillId="0" borderId="0" xfId="2" applyFont="1" applyAlignment="1">
      <alignment horizontal="center"/>
    </xf>
    <xf numFmtId="44" fontId="33" fillId="25" borderId="33" xfId="2" applyNumberFormat="1" applyFont="1" applyFill="1" applyBorder="1"/>
    <xf numFmtId="44" fontId="33" fillId="2" borderId="31" xfId="2" applyNumberFormat="1" applyFont="1" applyFill="1" applyBorder="1"/>
    <xf numFmtId="10" fontId="33" fillId="2" borderId="59" xfId="11" applyNumberFormat="1" applyFont="1" applyFill="1" applyBorder="1"/>
    <xf numFmtId="44" fontId="4" fillId="0" borderId="33" xfId="2" applyNumberFormat="1" applyFont="1" applyBorder="1"/>
    <xf numFmtId="44" fontId="4" fillId="10" borderId="59" xfId="2" applyNumberFormat="1" applyFont="1" applyFill="1" applyBorder="1"/>
    <xf numFmtId="10" fontId="4" fillId="10" borderId="59" xfId="11" applyNumberFormat="1" applyFont="1" applyFill="1" applyBorder="1"/>
    <xf numFmtId="10" fontId="7" fillId="0" borderId="0" xfId="11" applyNumberFormat="1" applyFont="1" applyFill="1" applyBorder="1"/>
    <xf numFmtId="175" fontId="9" fillId="0" borderId="0" xfId="2" applyNumberFormat="1" applyFont="1"/>
    <xf numFmtId="175" fontId="9" fillId="0" borderId="0" xfId="2" applyNumberFormat="1" applyFont="1" applyAlignment="1">
      <alignment horizontal="center"/>
    </xf>
    <xf numFmtId="167" fontId="4" fillId="0" borderId="0" xfId="6" applyNumberFormat="1" applyFont="1" applyFill="1" applyBorder="1"/>
    <xf numFmtId="43" fontId="32" fillId="9" borderId="1" xfId="2" applyNumberFormat="1" applyFont="1" applyFill="1" applyBorder="1" applyAlignment="1">
      <alignment horizontal="right"/>
    </xf>
    <xf numFmtId="0" fontId="36" fillId="0" borderId="0" xfId="15" applyFont="1"/>
    <xf numFmtId="0" fontId="13" fillId="16" borderId="38" xfId="15" applyFont="1" applyFill="1" applyBorder="1" applyAlignment="1">
      <alignment horizontal="center"/>
    </xf>
    <xf numFmtId="37" fontId="6" fillId="14" borderId="41" xfId="15" applyNumberFormat="1" applyFont="1" applyFill="1" applyBorder="1" applyAlignment="1">
      <alignment horizontal="center"/>
    </xf>
    <xf numFmtId="37" fontId="36" fillId="0" borderId="0" xfId="15" applyNumberFormat="1" applyFont="1"/>
    <xf numFmtId="9" fontId="36" fillId="0" borderId="0" xfId="11" applyFont="1"/>
    <xf numFmtId="37" fontId="2" fillId="0" borderId="40" xfId="6" applyNumberFormat="1" applyFont="1" applyFill="1" applyBorder="1" applyAlignment="1" applyProtection="1">
      <alignment horizontal="center"/>
      <protection locked="0"/>
    </xf>
    <xf numFmtId="37" fontId="6" fillId="14" borderId="41" xfId="8" applyNumberFormat="1" applyFont="1" applyFill="1" applyBorder="1" applyAlignment="1">
      <alignment horizontal="center"/>
    </xf>
    <xf numFmtId="37" fontId="6" fillId="14" borderId="44" xfId="8" applyNumberFormat="1" applyFont="1" applyFill="1" applyBorder="1" applyAlignment="1">
      <alignment horizontal="center"/>
    </xf>
    <xf numFmtId="37" fontId="6" fillId="17" borderId="46" xfId="6" applyNumberFormat="1" applyFont="1" applyFill="1" applyBorder="1" applyAlignment="1">
      <alignment horizontal="center"/>
    </xf>
    <xf numFmtId="0" fontId="13" fillId="26" borderId="38" xfId="15" applyFont="1" applyFill="1" applyBorder="1" applyAlignment="1">
      <alignment horizontal="center"/>
    </xf>
    <xf numFmtId="0" fontId="13" fillId="27" borderId="37" xfId="15" applyFont="1" applyFill="1" applyBorder="1" applyAlignment="1">
      <alignment horizontal="center"/>
    </xf>
    <xf numFmtId="0" fontId="13" fillId="27" borderId="38" xfId="15" applyFont="1" applyFill="1" applyBorder="1" applyAlignment="1">
      <alignment horizontal="center"/>
    </xf>
    <xf numFmtId="0" fontId="11" fillId="27" borderId="38" xfId="15" applyFont="1" applyFill="1" applyBorder="1"/>
    <xf numFmtId="3" fontId="6" fillId="14" borderId="41" xfId="7" applyNumberFormat="1" applyFont="1" applyFill="1" applyBorder="1" applyAlignment="1">
      <alignment horizontal="center"/>
    </xf>
    <xf numFmtId="3" fontId="6" fillId="14" borderId="41" xfId="8" applyNumberFormat="1" applyFont="1" applyFill="1" applyBorder="1" applyAlignment="1">
      <alignment horizontal="center"/>
    </xf>
    <xf numFmtId="3" fontId="6" fillId="14" borderId="41" xfId="15" applyNumberFormat="1" applyFont="1" applyFill="1" applyBorder="1" applyAlignment="1">
      <alignment horizontal="center"/>
    </xf>
    <xf numFmtId="3" fontId="6" fillId="12" borderId="41" xfId="15" applyNumberFormat="1" applyFont="1" applyFill="1" applyBorder="1" applyAlignment="1">
      <alignment horizontal="center"/>
    </xf>
    <xf numFmtId="37" fontId="36" fillId="9" borderId="0" xfId="15" applyNumberFormat="1" applyFont="1" applyFill="1"/>
    <xf numFmtId="3" fontId="6" fillId="14" borderId="44" xfId="15" applyNumberFormat="1" applyFont="1" applyFill="1" applyBorder="1" applyAlignment="1">
      <alignment horizontal="center"/>
    </xf>
    <xf numFmtId="37" fontId="36" fillId="0" borderId="35" xfId="15" applyNumberFormat="1" applyFont="1" applyBorder="1"/>
    <xf numFmtId="0" fontId="13" fillId="28" borderId="38" xfId="15" applyFont="1" applyFill="1" applyBorder="1" applyAlignment="1">
      <alignment horizontal="center"/>
    </xf>
    <xf numFmtId="0" fontId="13" fillId="13" borderId="37" xfId="15" applyFont="1" applyFill="1" applyBorder="1" applyAlignment="1">
      <alignment horizontal="center"/>
    </xf>
    <xf numFmtId="0" fontId="13" fillId="13" borderId="38" xfId="15" applyFont="1" applyFill="1" applyBorder="1" applyAlignment="1">
      <alignment horizontal="center"/>
    </xf>
    <xf numFmtId="0" fontId="11" fillId="13" borderId="38" xfId="15" applyFont="1" applyFill="1" applyBorder="1"/>
    <xf numFmtId="3" fontId="6" fillId="9" borderId="40" xfId="7" applyNumberFormat="1" applyFont="1" applyFill="1" applyBorder="1" applyAlignment="1">
      <alignment horizontal="center"/>
    </xf>
    <xf numFmtId="42" fontId="38" fillId="0" borderId="1" xfId="18" applyNumberFormat="1" applyFont="1" applyBorder="1"/>
    <xf numFmtId="42" fontId="38" fillId="0" borderId="60" xfId="18" applyNumberFormat="1" applyFont="1" applyBorder="1"/>
    <xf numFmtId="0" fontId="8" fillId="0" borderId="0" xfId="15" applyFont="1" applyAlignment="1">
      <alignment horizontal="center" wrapText="1"/>
    </xf>
    <xf numFmtId="42" fontId="39" fillId="0" borderId="1" xfId="18" applyNumberFormat="1" applyFont="1" applyBorder="1"/>
    <xf numFmtId="42" fontId="39" fillId="0" borderId="60" xfId="18" applyNumberFormat="1" applyFont="1" applyBorder="1"/>
    <xf numFmtId="0" fontId="37" fillId="0" borderId="0" xfId="18"/>
    <xf numFmtId="0" fontId="24" fillId="0" borderId="0" xfId="7" applyFont="1"/>
    <xf numFmtId="0" fontId="15" fillId="0" borderId="0" xfId="7"/>
    <xf numFmtId="0" fontId="40" fillId="29" borderId="0" xfId="7" applyFont="1" applyFill="1" applyAlignment="1">
      <alignment horizontal="centerContinuous"/>
    </xf>
    <xf numFmtId="0" fontId="41" fillId="29" borderId="0" xfId="7" applyFont="1" applyFill="1" applyAlignment="1">
      <alignment horizontal="centerContinuous"/>
    </xf>
    <xf numFmtId="0" fontId="42" fillId="29" borderId="0" xfId="7" applyFont="1" applyFill="1" applyAlignment="1">
      <alignment horizontal="centerContinuous"/>
    </xf>
    <xf numFmtId="0" fontId="43" fillId="16" borderId="0" xfId="7" applyFont="1" applyFill="1"/>
    <xf numFmtId="0" fontId="44" fillId="30" borderId="0" xfId="7" applyFont="1" applyFill="1" applyAlignment="1">
      <alignment vertical="top" wrapText="1"/>
    </xf>
    <xf numFmtId="0" fontId="44" fillId="30" borderId="61" xfId="7" applyFont="1" applyFill="1" applyBorder="1" applyAlignment="1">
      <alignment horizontal="centerContinuous" vertical="top" wrapText="1"/>
    </xf>
    <xf numFmtId="0" fontId="15" fillId="30" borderId="62" xfId="7" applyFill="1" applyBorder="1" applyAlignment="1">
      <alignment horizontal="centerContinuous" vertical="top"/>
    </xf>
    <xf numFmtId="0" fontId="15" fillId="30" borderId="63" xfId="7" applyFill="1" applyBorder="1" applyAlignment="1">
      <alignment horizontal="centerContinuous" vertical="top"/>
    </xf>
    <xf numFmtId="0" fontId="44" fillId="30" borderId="0" xfId="7" applyFont="1" applyFill="1" applyAlignment="1">
      <alignment wrapText="1"/>
    </xf>
    <xf numFmtId="0" fontId="46" fillId="30" borderId="64" xfId="7" applyFont="1" applyFill="1" applyBorder="1" applyAlignment="1">
      <alignment wrapText="1"/>
    </xf>
    <xf numFmtId="0" fontId="47" fillId="30" borderId="64" xfId="7" applyFont="1" applyFill="1" applyBorder="1"/>
    <xf numFmtId="0" fontId="15" fillId="0" borderId="1" xfId="7" applyBorder="1"/>
    <xf numFmtId="167" fontId="4" fillId="0" borderId="1" xfId="8" applyNumberFormat="1" applyFont="1" applyFill="1" applyBorder="1" applyAlignment="1">
      <alignment horizontal="left"/>
    </xf>
    <xf numFmtId="168" fontId="3" fillId="0" borderId="0" xfId="14" applyNumberFormat="1" applyFont="1" applyAlignment="1">
      <alignment horizontal="left"/>
    </xf>
    <xf numFmtId="168" fontId="0" fillId="0" borderId="53" xfId="14" applyNumberFormat="1" applyFont="1" applyBorder="1" applyAlignment="1">
      <alignment horizontal="left"/>
    </xf>
    <xf numFmtId="168" fontId="15" fillId="0" borderId="0" xfId="7" applyNumberFormat="1"/>
    <xf numFmtId="9" fontId="0" fillId="0" borderId="52" xfId="11" applyFont="1" applyBorder="1"/>
    <xf numFmtId="9" fontId="15" fillId="0" borderId="0" xfId="7" applyNumberFormat="1"/>
    <xf numFmtId="176" fontId="15" fillId="0" borderId="0" xfId="7" applyNumberFormat="1"/>
    <xf numFmtId="177" fontId="15" fillId="0" borderId="0" xfId="7" applyNumberFormat="1"/>
    <xf numFmtId="168" fontId="3" fillId="9" borderId="0" xfId="14" applyNumberFormat="1" applyFont="1" applyFill="1" applyAlignment="1">
      <alignment horizontal="left"/>
    </xf>
    <xf numFmtId="168" fontId="0" fillId="9" borderId="53" xfId="14" applyNumberFormat="1" applyFont="1" applyFill="1" applyBorder="1" applyAlignment="1">
      <alignment horizontal="left"/>
    </xf>
    <xf numFmtId="168" fontId="15" fillId="9" borderId="0" xfId="7" applyNumberFormat="1" applyFill="1"/>
    <xf numFmtId="9" fontId="0" fillId="9" borderId="52" xfId="11" applyFont="1" applyFill="1" applyBorder="1"/>
    <xf numFmtId="0" fontId="15" fillId="0" borderId="65" xfId="7" applyBorder="1"/>
    <xf numFmtId="167" fontId="4" fillId="0" borderId="65" xfId="8" applyNumberFormat="1" applyFont="1" applyFill="1" applyBorder="1" applyAlignment="1">
      <alignment horizontal="left"/>
    </xf>
    <xf numFmtId="168" fontId="3" fillId="0" borderId="66" xfId="14" applyNumberFormat="1" applyFont="1" applyBorder="1" applyAlignment="1">
      <alignment horizontal="left"/>
    </xf>
    <xf numFmtId="168" fontId="0" fillId="0" borderId="67" xfId="14" applyNumberFormat="1" applyFont="1" applyBorder="1" applyAlignment="1">
      <alignment horizontal="left"/>
    </xf>
    <xf numFmtId="168" fontId="15" fillId="0" borderId="66" xfId="7" applyNumberFormat="1" applyBorder="1"/>
    <xf numFmtId="9" fontId="0" fillId="0" borderId="68" xfId="11" applyFont="1" applyBorder="1"/>
    <xf numFmtId="168" fontId="3" fillId="0" borderId="0" xfId="7" applyNumberFormat="1" applyFont="1"/>
    <xf numFmtId="0" fontId="3" fillId="0" borderId="0" xfId="7" applyFont="1"/>
    <xf numFmtId="0" fontId="4" fillId="0" borderId="0" xfId="17" applyFont="1" applyAlignment="1">
      <alignment horizontal="left"/>
    </xf>
    <xf numFmtId="0" fontId="42" fillId="29" borderId="0" xfId="7" applyFont="1" applyFill="1" applyAlignment="1">
      <alignment horizontal="left"/>
    </xf>
    <xf numFmtId="0" fontId="42" fillId="29" borderId="0" xfId="7" applyFont="1" applyFill="1" applyAlignment="1">
      <alignment horizontal="center"/>
    </xf>
    <xf numFmtId="0" fontId="6" fillId="0" borderId="1" xfId="17" applyFont="1" applyBorder="1" applyAlignment="1">
      <alignment horizontal="left"/>
    </xf>
    <xf numFmtId="168" fontId="15" fillId="0" borderId="1" xfId="7" applyNumberFormat="1" applyBorder="1"/>
    <xf numFmtId="168" fontId="0" fillId="0" borderId="1" xfId="14" applyNumberFormat="1" applyFont="1" applyBorder="1"/>
    <xf numFmtId="9" fontId="0" fillId="0" borderId="1" xfId="11" applyFont="1" applyBorder="1"/>
    <xf numFmtId="0" fontId="44" fillId="30" borderId="69" xfId="7" applyFont="1" applyFill="1" applyBorder="1" applyAlignment="1">
      <alignment vertical="top"/>
    </xf>
    <xf numFmtId="0" fontId="48" fillId="30" borderId="70" xfId="7" applyFont="1" applyFill="1" applyBorder="1" applyAlignment="1">
      <alignment vertical="top"/>
    </xf>
    <xf numFmtId="0" fontId="44" fillId="30" borderId="70" xfId="7" applyFont="1" applyFill="1" applyBorder="1" applyAlignment="1">
      <alignment vertical="top"/>
    </xf>
    <xf numFmtId="0" fontId="45" fillId="30" borderId="71" xfId="7" applyFont="1" applyFill="1" applyBorder="1" applyAlignment="1">
      <alignment horizontal="right"/>
    </xf>
    <xf numFmtId="0" fontId="44" fillId="30" borderId="72" xfId="7" applyFont="1" applyFill="1" applyBorder="1" applyAlignment="1">
      <alignment vertical="top"/>
    </xf>
    <xf numFmtId="0" fontId="44" fillId="30" borderId="0" xfId="7" applyFont="1" applyFill="1" applyAlignment="1">
      <alignment vertical="top"/>
    </xf>
    <xf numFmtId="0" fontId="48" fillId="30" borderId="73" xfId="7" applyFont="1" applyFill="1" applyBorder="1" applyAlignment="1">
      <alignment vertical="top"/>
    </xf>
    <xf numFmtId="0" fontId="44" fillId="30" borderId="73" xfId="7" applyFont="1" applyFill="1" applyBorder="1" applyAlignment="1">
      <alignment vertical="top"/>
    </xf>
    <xf numFmtId="0" fontId="45" fillId="30" borderId="74" xfId="7" applyFont="1" applyFill="1" applyBorder="1" applyAlignment="1">
      <alignment horizontal="right" vertical="top"/>
    </xf>
    <xf numFmtId="0" fontId="49" fillId="30" borderId="75" xfId="7" applyFont="1" applyFill="1" applyBorder="1"/>
    <xf numFmtId="0" fontId="15" fillId="30" borderId="0" xfId="7" applyFill="1"/>
    <xf numFmtId="0" fontId="15" fillId="30" borderId="73" xfId="7" applyFill="1" applyBorder="1"/>
    <xf numFmtId="0" fontId="50" fillId="30" borderId="74" xfId="7" applyFont="1" applyFill="1" applyBorder="1" applyAlignment="1">
      <alignment horizontal="right"/>
    </xf>
    <xf numFmtId="0" fontId="50" fillId="30" borderId="75" xfId="7" applyFont="1" applyFill="1" applyBorder="1"/>
    <xf numFmtId="0" fontId="15" fillId="30" borderId="49" xfId="7" applyFill="1" applyBorder="1"/>
    <xf numFmtId="0" fontId="15" fillId="30" borderId="76" xfId="7" applyFill="1" applyBorder="1"/>
    <xf numFmtId="0" fontId="50" fillId="30" borderId="77" xfId="7" applyFont="1" applyFill="1" applyBorder="1" applyAlignment="1">
      <alignment horizontal="right"/>
    </xf>
    <xf numFmtId="0" fontId="50" fillId="30" borderId="17" xfId="7" applyFont="1" applyFill="1" applyBorder="1"/>
    <xf numFmtId="0" fontId="15" fillId="30" borderId="35" xfId="7" applyFill="1" applyBorder="1"/>
    <xf numFmtId="0" fontId="51" fillId="0" borderId="11" xfId="7" applyFont="1" applyBorder="1"/>
    <xf numFmtId="0" fontId="52" fillId="31" borderId="60" xfId="7" applyFont="1" applyFill="1" applyBorder="1" applyAlignment="1">
      <alignment horizontal="left" vertical="center" wrapText="1" readingOrder="1"/>
    </xf>
    <xf numFmtId="9" fontId="53" fillId="0" borderId="78" xfId="13" applyFont="1" applyBorder="1"/>
    <xf numFmtId="0" fontId="48" fillId="32" borderId="0" xfId="7" applyFont="1" applyFill="1"/>
    <xf numFmtId="9" fontId="53" fillId="0" borderId="79" xfId="13" applyFont="1" applyBorder="1"/>
    <xf numFmtId="0" fontId="53" fillId="0" borderId="11" xfId="7" applyFont="1" applyBorder="1"/>
    <xf numFmtId="0" fontId="54" fillId="33" borderId="1" xfId="7" applyFont="1" applyFill="1" applyBorder="1" applyAlignment="1">
      <alignment horizontal="left" vertical="center" wrapText="1" readingOrder="1"/>
    </xf>
    <xf numFmtId="9" fontId="53" fillId="0" borderId="18" xfId="13" applyFont="1" applyBorder="1"/>
    <xf numFmtId="9" fontId="53" fillId="0" borderId="25" xfId="13" applyFont="1" applyBorder="1"/>
    <xf numFmtId="0" fontId="54" fillId="34" borderId="1" xfId="7" applyFont="1" applyFill="1" applyBorder="1" applyAlignment="1">
      <alignment horizontal="left" vertical="center" wrapText="1" readingOrder="1"/>
    </xf>
    <xf numFmtId="0" fontId="53" fillId="0" borderId="26" xfId="7" applyFont="1" applyBorder="1"/>
    <xf numFmtId="0" fontId="54" fillId="35" borderId="31" xfId="7" applyFont="1" applyFill="1" applyBorder="1" applyAlignment="1">
      <alignment horizontal="left" vertical="center" wrapText="1" readingOrder="1"/>
    </xf>
    <xf numFmtId="9" fontId="53" fillId="0" borderId="32" xfId="13" applyFont="1" applyBorder="1"/>
    <xf numFmtId="9" fontId="53" fillId="0" borderId="34" xfId="13" applyFont="1" applyBorder="1"/>
    <xf numFmtId="0" fontId="51" fillId="0" borderId="6" xfId="7" applyFont="1" applyBorder="1"/>
    <xf numFmtId="0" fontId="54" fillId="0" borderId="21" xfId="7" applyFont="1" applyBorder="1" applyAlignment="1">
      <alignment horizontal="left" vertical="center" wrapText="1" readingOrder="1"/>
    </xf>
    <xf numFmtId="9" fontId="53" fillId="0" borderId="22" xfId="7" applyNumberFormat="1" applyFont="1" applyBorder="1"/>
    <xf numFmtId="9" fontId="53" fillId="0" borderId="80" xfId="13" applyFont="1" applyBorder="1"/>
    <xf numFmtId="0" fontId="54" fillId="0" borderId="1" xfId="7" applyFont="1" applyBorder="1" applyAlignment="1">
      <alignment horizontal="left" vertical="center" wrapText="1" readingOrder="1"/>
    </xf>
    <xf numFmtId="9" fontId="53" fillId="0" borderId="18" xfId="7" applyNumberFormat="1" applyFont="1" applyBorder="1"/>
    <xf numFmtId="0" fontId="54" fillId="0" borderId="31" xfId="7" applyFont="1" applyBorder="1" applyAlignment="1">
      <alignment horizontal="left" vertical="center" wrapText="1" readingOrder="1"/>
    </xf>
    <xf numFmtId="9" fontId="53" fillId="0" borderId="32" xfId="7" applyNumberFormat="1" applyFont="1" applyBorder="1"/>
    <xf numFmtId="0" fontId="51" fillId="0" borderId="6" xfId="7" applyFont="1" applyBorder="1" applyAlignment="1">
      <alignment wrapText="1"/>
    </xf>
    <xf numFmtId="0" fontId="53" fillId="0" borderId="8" xfId="7" applyFont="1" applyBorder="1"/>
    <xf numFmtId="0" fontId="53" fillId="0" borderId="81" xfId="7" applyFont="1" applyBorder="1" applyAlignment="1">
      <alignment horizontal="right" wrapText="1"/>
    </xf>
    <xf numFmtId="9" fontId="53" fillId="0" borderId="24" xfId="13" applyFont="1" applyBorder="1" applyAlignment="1">
      <alignment horizontal="right" vertical="top" wrapText="1"/>
    </xf>
    <xf numFmtId="0" fontId="51" fillId="0" borderId="10" xfId="7" applyFont="1" applyBorder="1"/>
    <xf numFmtId="0" fontId="53" fillId="0" borderId="22" xfId="7" applyFont="1" applyBorder="1" applyAlignment="1">
      <alignment horizontal="right"/>
    </xf>
    <xf numFmtId="9" fontId="53" fillId="0" borderId="80" xfId="13" applyFont="1" applyBorder="1" applyAlignment="1">
      <alignment horizontal="right"/>
    </xf>
    <xf numFmtId="0" fontId="51" fillId="0" borderId="82" xfId="7" applyFont="1" applyBorder="1"/>
    <xf numFmtId="0" fontId="53" fillId="0" borderId="18" xfId="7" applyFont="1" applyBorder="1" applyAlignment="1">
      <alignment horizontal="right"/>
    </xf>
    <xf numFmtId="9" fontId="53" fillId="0" borderId="25" xfId="13" applyFont="1" applyBorder="1" applyAlignment="1">
      <alignment horizontal="right"/>
    </xf>
    <xf numFmtId="9" fontId="53" fillId="0" borderId="18" xfId="7" applyNumberFormat="1" applyFont="1" applyBorder="1" applyAlignment="1">
      <alignment horizontal="right"/>
    </xf>
    <xf numFmtId="0" fontId="53" fillId="0" borderId="82" xfId="7" applyFont="1" applyBorder="1"/>
    <xf numFmtId="0" fontId="54" fillId="0" borderId="2" xfId="7" applyFont="1" applyBorder="1" applyAlignment="1">
      <alignment horizontal="left" vertical="center" wrapText="1" readingOrder="1"/>
    </xf>
    <xf numFmtId="9" fontId="53" fillId="0" borderId="83" xfId="13" applyFont="1" applyBorder="1" applyAlignment="1">
      <alignment horizontal="right"/>
    </xf>
    <xf numFmtId="9" fontId="53" fillId="0" borderId="24" xfId="13" applyFont="1" applyBorder="1" applyAlignment="1">
      <alignment horizontal="right"/>
    </xf>
    <xf numFmtId="0" fontId="53" fillId="0" borderId="84" xfId="7" applyFont="1" applyBorder="1"/>
    <xf numFmtId="9" fontId="53" fillId="0" borderId="85" xfId="13" applyFont="1" applyBorder="1" applyAlignment="1">
      <alignment horizontal="right"/>
    </xf>
    <xf numFmtId="0" fontId="13" fillId="30" borderId="52" xfId="17" applyFont="1" applyFill="1" applyBorder="1" applyAlignment="1">
      <alignment horizontal="center" vertical="center" wrapText="1"/>
    </xf>
    <xf numFmtId="166" fontId="13" fillId="30" borderId="53" xfId="7" applyNumberFormat="1" applyFont="1" applyFill="1" applyBorder="1" applyAlignment="1">
      <alignment horizontal="center" vertical="center"/>
    </xf>
    <xf numFmtId="0" fontId="44" fillId="30" borderId="0" xfId="7" applyFont="1" applyFill="1" applyAlignment="1">
      <alignment horizontal="right" wrapText="1"/>
    </xf>
    <xf numFmtId="0" fontId="44" fillId="30" borderId="0" xfId="7" applyFont="1" applyFill="1" applyAlignment="1">
      <alignment horizontal="right"/>
    </xf>
    <xf numFmtId="0" fontId="44" fillId="30" borderId="0" xfId="7" applyFont="1" applyFill="1" applyAlignment="1">
      <alignment horizontal="centerContinuous"/>
    </xf>
    <xf numFmtId="167" fontId="3" fillId="0" borderId="0" xfId="12" applyNumberFormat="1" applyFont="1" applyBorder="1"/>
    <xf numFmtId="0" fontId="6" fillId="0" borderId="69" xfId="17" applyFont="1" applyBorder="1" applyAlignment="1">
      <alignment horizontal="left"/>
    </xf>
    <xf numFmtId="167" fontId="15" fillId="0" borderId="23" xfId="12" applyNumberFormat="1" applyFont="1" applyFill="1" applyBorder="1"/>
    <xf numFmtId="168" fontId="0" fillId="0" borderId="22" xfId="14" applyNumberFormat="1" applyFont="1" applyBorder="1"/>
    <xf numFmtId="0" fontId="48" fillId="0" borderId="0" xfId="7" applyFont="1"/>
    <xf numFmtId="168" fontId="0" fillId="0" borderId="20" xfId="14" applyNumberFormat="1" applyFont="1" applyBorder="1"/>
    <xf numFmtId="167" fontId="15" fillId="0" borderId="21" xfId="12" applyNumberFormat="1" applyFont="1" applyBorder="1"/>
    <xf numFmtId="9" fontId="0" fillId="0" borderId="22" xfId="13" applyFont="1" applyBorder="1"/>
    <xf numFmtId="168" fontId="0" fillId="0" borderId="0" xfId="14" applyNumberFormat="1" applyFont="1"/>
    <xf numFmtId="168" fontId="0" fillId="0" borderId="0" xfId="14" applyNumberFormat="1" applyFont="1" applyAlignment="1">
      <alignment horizontal="left" indent="1"/>
    </xf>
    <xf numFmtId="0" fontId="6" fillId="0" borderId="14" xfId="17" applyFont="1" applyBorder="1" applyAlignment="1">
      <alignment horizontal="left"/>
    </xf>
    <xf numFmtId="167" fontId="15" fillId="0" borderId="17" xfId="12" applyNumberFormat="1" applyFont="1" applyFill="1" applyBorder="1"/>
    <xf numFmtId="168" fontId="0" fillId="0" borderId="18" xfId="14" applyNumberFormat="1" applyFont="1" applyBorder="1"/>
    <xf numFmtId="168" fontId="0" fillId="0" borderId="19" xfId="14" applyNumberFormat="1" applyFont="1" applyBorder="1"/>
    <xf numFmtId="167" fontId="15" fillId="0" borderId="1" xfId="12" applyNumberFormat="1" applyFont="1" applyBorder="1"/>
    <xf numFmtId="9" fontId="0" fillId="0" borderId="18" xfId="13" applyFont="1" applyBorder="1"/>
    <xf numFmtId="0" fontId="6" fillId="0" borderId="86" xfId="17" applyFont="1" applyBorder="1" applyAlignment="1">
      <alignment horizontal="left"/>
    </xf>
    <xf numFmtId="167" fontId="15" fillId="0" borderId="33" xfId="12" applyNumberFormat="1" applyFont="1" applyFill="1" applyBorder="1"/>
    <xf numFmtId="168" fontId="0" fillId="0" borderId="32" xfId="14" applyNumberFormat="1" applyFont="1" applyBorder="1"/>
    <xf numFmtId="168" fontId="0" fillId="0" borderId="30" xfId="14" applyNumberFormat="1" applyFont="1" applyBorder="1"/>
    <xf numFmtId="167" fontId="15" fillId="0" borderId="31" xfId="12" applyNumberFormat="1" applyFont="1" applyBorder="1"/>
    <xf numFmtId="9" fontId="0" fillId="0" borderId="32" xfId="13" applyFont="1" applyBorder="1"/>
    <xf numFmtId="168" fontId="3" fillId="0" borderId="0" xfId="14" applyNumberFormat="1" applyFont="1"/>
    <xf numFmtId="168" fontId="3" fillId="0" borderId="0" xfId="14" applyNumberFormat="1" applyFont="1" applyAlignment="1">
      <alignment horizontal="left" indent="1"/>
    </xf>
    <xf numFmtId="0" fontId="3" fillId="0" borderId="0" xfId="7" applyFont="1" applyAlignment="1">
      <alignment horizontal="centerContinuous"/>
    </xf>
    <xf numFmtId="0" fontId="15" fillId="0" borderId="0" xfId="7" applyAlignment="1">
      <alignment horizontal="centerContinuous"/>
    </xf>
    <xf numFmtId="166" fontId="13" fillId="30" borderId="53" xfId="7" applyNumberFormat="1" applyFont="1" applyFill="1" applyBorder="1" applyAlignment="1">
      <alignment horizontal="left" vertical="center"/>
    </xf>
    <xf numFmtId="166" fontId="13" fillId="30" borderId="53" xfId="7" applyNumberFormat="1" applyFont="1" applyFill="1" applyBorder="1" applyAlignment="1">
      <alignment horizontal="left" vertical="center" wrapText="1"/>
    </xf>
    <xf numFmtId="0" fontId="44" fillId="36" borderId="0" xfId="7" applyFont="1" applyFill="1" applyAlignment="1">
      <alignment horizontal="centerContinuous"/>
    </xf>
    <xf numFmtId="0" fontId="15" fillId="0" borderId="0" xfId="7" applyAlignment="1">
      <alignment wrapText="1"/>
    </xf>
    <xf numFmtId="0" fontId="15" fillId="0" borderId="53" xfId="7" applyBorder="1"/>
    <xf numFmtId="0" fontId="48" fillId="0" borderId="1" xfId="7" applyFont="1" applyBorder="1"/>
    <xf numFmtId="9" fontId="0" fillId="0" borderId="1" xfId="13" applyFont="1" applyBorder="1"/>
    <xf numFmtId="10" fontId="0" fillId="0" borderId="1" xfId="13" applyNumberFormat="1" applyFont="1" applyBorder="1"/>
    <xf numFmtId="0" fontId="15" fillId="9" borderId="0" xfId="7" applyFill="1"/>
    <xf numFmtId="168" fontId="15" fillId="0" borderId="65" xfId="7" applyNumberFormat="1" applyBorder="1"/>
    <xf numFmtId="0" fontId="48" fillId="0" borderId="65" xfId="7" applyFont="1" applyBorder="1"/>
    <xf numFmtId="167" fontId="15" fillId="0" borderId="65" xfId="12" applyNumberFormat="1" applyFont="1" applyBorder="1"/>
    <xf numFmtId="9" fontId="0" fillId="0" borderId="65" xfId="13" applyFont="1" applyBorder="1"/>
    <xf numFmtId="0" fontId="15" fillId="0" borderId="60" xfId="7" applyBorder="1"/>
    <xf numFmtId="168" fontId="15" fillId="0" borderId="60" xfId="7" applyNumberFormat="1" applyBorder="1"/>
    <xf numFmtId="44" fontId="0" fillId="0" borderId="60" xfId="14" applyFont="1" applyBorder="1"/>
    <xf numFmtId="9" fontId="15" fillId="0" borderId="60" xfId="7" applyNumberFormat="1" applyBorder="1"/>
    <xf numFmtId="167" fontId="13" fillId="36" borderId="0" xfId="8" applyNumberFormat="1" applyFont="1" applyFill="1" applyBorder="1" applyAlignment="1">
      <alignment horizontal="left"/>
    </xf>
    <xf numFmtId="10" fontId="0" fillId="0" borderId="0" xfId="11" applyNumberFormat="1" applyFont="1"/>
    <xf numFmtId="168" fontId="0" fillId="0" borderId="0" xfId="14" applyNumberFormat="1" applyFont="1" applyBorder="1"/>
    <xf numFmtId="44" fontId="0" fillId="0" borderId="0" xfId="14" applyFont="1" applyBorder="1"/>
    <xf numFmtId="9" fontId="0" fillId="0" borderId="0" xfId="11" applyFont="1"/>
    <xf numFmtId="9" fontId="0" fillId="0" borderId="0" xfId="11" applyFont="1" applyBorder="1"/>
    <xf numFmtId="0" fontId="15" fillId="0" borderId="35" xfId="7" applyBorder="1"/>
    <xf numFmtId="168" fontId="0" fillId="0" borderId="35" xfId="14" applyNumberFormat="1" applyFont="1" applyBorder="1"/>
    <xf numFmtId="44" fontId="0" fillId="0" borderId="35" xfId="14" applyFont="1" applyBorder="1"/>
    <xf numFmtId="9" fontId="0" fillId="0" borderId="35" xfId="11" applyFont="1" applyBorder="1"/>
    <xf numFmtId="44" fontId="0" fillId="0" borderId="0" xfId="14" applyFont="1"/>
    <xf numFmtId="168" fontId="0" fillId="18" borderId="0" xfId="14" applyNumberFormat="1" applyFont="1" applyFill="1"/>
    <xf numFmtId="44" fontId="15" fillId="0" borderId="0" xfId="7" applyNumberFormat="1"/>
    <xf numFmtId="0" fontId="15" fillId="18" borderId="1" xfId="7" applyFill="1" applyBorder="1"/>
    <xf numFmtId="0" fontId="55" fillId="0" borderId="0" xfId="2" applyFont="1"/>
    <xf numFmtId="0" fontId="15" fillId="0" borderId="87" xfId="7" applyBorder="1"/>
    <xf numFmtId="0" fontId="13" fillId="30" borderId="88" xfId="2" applyFont="1" applyFill="1" applyBorder="1" applyAlignment="1">
      <alignment horizontal="left" vertical="top"/>
    </xf>
    <xf numFmtId="0" fontId="11" fillId="30" borderId="88" xfId="2" applyFont="1" applyFill="1" applyBorder="1" applyAlignment="1">
      <alignment vertical="top"/>
    </xf>
    <xf numFmtId="0" fontId="48" fillId="30" borderId="73" xfId="7" applyFont="1" applyFill="1" applyBorder="1" applyAlignment="1">
      <alignment horizontal="right"/>
    </xf>
    <xf numFmtId="0" fontId="44" fillId="29" borderId="0" xfId="7" applyFont="1" applyFill="1" applyAlignment="1">
      <alignment horizontal="right"/>
    </xf>
    <xf numFmtId="0" fontId="3" fillId="29" borderId="89" xfId="7" applyFont="1" applyFill="1" applyBorder="1" applyAlignment="1">
      <alignment horizontal="right"/>
    </xf>
    <xf numFmtId="0" fontId="44" fillId="29" borderId="0" xfId="7" applyFont="1" applyFill="1" applyAlignment="1">
      <alignment horizontal="left"/>
    </xf>
    <xf numFmtId="0" fontId="44" fillId="29" borderId="35" xfId="7" applyFont="1" applyFill="1" applyBorder="1" applyAlignment="1">
      <alignment horizontal="right"/>
    </xf>
    <xf numFmtId="0" fontId="44" fillId="29" borderId="90" xfId="7" applyFont="1" applyFill="1" applyBorder="1" applyAlignment="1">
      <alignment horizontal="right"/>
    </xf>
    <xf numFmtId="0" fontId="3" fillId="29" borderId="35" xfId="7" applyFont="1" applyFill="1" applyBorder="1" applyAlignment="1">
      <alignment horizontal="right"/>
    </xf>
    <xf numFmtId="0" fontId="44" fillId="37" borderId="0" xfId="7" applyFont="1" applyFill="1" applyAlignment="1">
      <alignment horizontal="right"/>
    </xf>
    <xf numFmtId="0" fontId="3" fillId="37" borderId="54" xfId="7" applyFont="1" applyFill="1" applyBorder="1" applyAlignment="1">
      <alignment horizontal="right"/>
    </xf>
    <xf numFmtId="0" fontId="3" fillId="2" borderId="0" xfId="7" applyFont="1" applyFill="1" applyAlignment="1">
      <alignment horizontal="right"/>
    </xf>
    <xf numFmtId="0" fontId="3" fillId="2" borderId="54" xfId="7" applyFont="1" applyFill="1" applyBorder="1"/>
    <xf numFmtId="0" fontId="3" fillId="2" borderId="0" xfId="7" applyFont="1" applyFill="1" applyAlignment="1">
      <alignment horizontal="left"/>
    </xf>
    <xf numFmtId="0" fontId="3" fillId="2" borderId="55" xfId="7" applyFont="1" applyFill="1" applyBorder="1" applyAlignment="1">
      <alignment horizontal="right"/>
    </xf>
    <xf numFmtId="0" fontId="3" fillId="2" borderId="35" xfId="7" applyFont="1" applyFill="1" applyBorder="1" applyAlignment="1">
      <alignment horizontal="right"/>
    </xf>
    <xf numFmtId="0" fontId="44" fillId="38" borderId="53" xfId="7" applyFont="1" applyFill="1" applyBorder="1" applyAlignment="1">
      <alignment horizontal="right"/>
    </xf>
    <xf numFmtId="0" fontId="44" fillId="38" borderId="0" xfId="7" applyFont="1" applyFill="1" applyAlignment="1">
      <alignment horizontal="right"/>
    </xf>
    <xf numFmtId="0" fontId="3" fillId="38" borderId="52" xfId="7" applyFont="1" applyFill="1" applyBorder="1"/>
    <xf numFmtId="0" fontId="44" fillId="38" borderId="0" xfId="7" applyFont="1" applyFill="1"/>
    <xf numFmtId="0" fontId="44" fillId="39" borderId="0" xfId="7" applyFont="1" applyFill="1"/>
    <xf numFmtId="0" fontId="44" fillId="40" borderId="0" xfId="7" applyFont="1" applyFill="1"/>
    <xf numFmtId="0" fontId="3" fillId="40" borderId="0" xfId="7" applyFont="1" applyFill="1"/>
    <xf numFmtId="0" fontId="44" fillId="40" borderId="35" xfId="7" applyFont="1" applyFill="1" applyBorder="1"/>
    <xf numFmtId="0" fontId="3" fillId="40" borderId="54" xfId="7" applyFont="1" applyFill="1" applyBorder="1"/>
    <xf numFmtId="0" fontId="3" fillId="40" borderId="35" xfId="7" applyFont="1" applyFill="1" applyBorder="1"/>
    <xf numFmtId="0" fontId="3" fillId="41" borderId="0" xfId="7" applyFont="1" applyFill="1"/>
    <xf numFmtId="0" fontId="44" fillId="29" borderId="91" xfId="7" applyFont="1" applyFill="1" applyBorder="1" applyAlignment="1">
      <alignment horizontal="centerContinuous" vertical="top" wrapText="1"/>
    </xf>
    <xf numFmtId="0" fontId="44" fillId="29" borderId="92" xfId="7" applyFont="1" applyFill="1" applyBorder="1" applyAlignment="1">
      <alignment horizontal="centerContinuous" vertical="top" wrapText="1"/>
    </xf>
    <xf numFmtId="0" fontId="48" fillId="29" borderId="93" xfId="7" applyFont="1" applyFill="1" applyBorder="1" applyAlignment="1">
      <alignment horizontal="centerContinuous" vertical="top"/>
    </xf>
    <xf numFmtId="0" fontId="48" fillId="29" borderId="92" xfId="7" applyFont="1" applyFill="1" applyBorder="1" applyAlignment="1">
      <alignment horizontal="centerContinuous" vertical="top"/>
    </xf>
    <xf numFmtId="0" fontId="44" fillId="29" borderId="27" xfId="7" applyFont="1" applyFill="1" applyBorder="1" applyAlignment="1">
      <alignment horizontal="centerContinuous" vertical="top" wrapText="1"/>
    </xf>
    <xf numFmtId="0" fontId="48" fillId="29" borderId="57" xfId="7" applyFont="1" applyFill="1" applyBorder="1" applyAlignment="1">
      <alignment horizontal="centerContinuous" vertical="top"/>
    </xf>
    <xf numFmtId="0" fontId="44" fillId="29" borderId="94" xfId="7" applyFont="1" applyFill="1" applyBorder="1" applyAlignment="1">
      <alignment horizontal="centerContinuous" vertical="top" wrapText="1"/>
    </xf>
    <xf numFmtId="0" fontId="48" fillId="29" borderId="27" xfId="7" applyFont="1" applyFill="1" applyBorder="1" applyAlignment="1">
      <alignment horizontal="centerContinuous" vertical="top"/>
    </xf>
    <xf numFmtId="0" fontId="44" fillId="37" borderId="88" xfId="7" applyFont="1" applyFill="1" applyBorder="1" applyAlignment="1">
      <alignment horizontal="centerContinuous" vertical="top" wrapText="1"/>
    </xf>
    <xf numFmtId="0" fontId="48" fillId="37" borderId="88" xfId="7" applyFont="1" applyFill="1" applyBorder="1" applyAlignment="1">
      <alignment horizontal="centerContinuous" vertical="top"/>
    </xf>
    <xf numFmtId="0" fontId="44" fillId="37" borderId="59" xfId="7" applyFont="1" applyFill="1" applyBorder="1" applyAlignment="1">
      <alignment horizontal="centerContinuous" vertical="top" wrapText="1"/>
    </xf>
    <xf numFmtId="0" fontId="48" fillId="37" borderId="33" xfId="7" applyFont="1" applyFill="1" applyBorder="1" applyAlignment="1">
      <alignment horizontal="centerContinuous" vertical="top"/>
    </xf>
    <xf numFmtId="0" fontId="44" fillId="2" borderId="59" xfId="7" applyFont="1" applyFill="1" applyBorder="1" applyAlignment="1">
      <alignment horizontal="centerContinuous" vertical="top" wrapText="1"/>
    </xf>
    <xf numFmtId="0" fontId="44" fillId="2" borderId="88" xfId="7" applyFont="1" applyFill="1" applyBorder="1" applyAlignment="1">
      <alignment horizontal="centerContinuous" vertical="top" wrapText="1"/>
    </xf>
    <xf numFmtId="0" fontId="48" fillId="2" borderId="33" xfId="7" applyFont="1" applyFill="1" applyBorder="1" applyAlignment="1">
      <alignment horizontal="centerContinuous" vertical="top"/>
    </xf>
    <xf numFmtId="0" fontId="48" fillId="2" borderId="88" xfId="7" applyFont="1" applyFill="1" applyBorder="1" applyAlignment="1">
      <alignment horizontal="centerContinuous" vertical="top"/>
    </xf>
    <xf numFmtId="0" fontId="44" fillId="2" borderId="31" xfId="7" applyFont="1" applyFill="1" applyBorder="1" applyAlignment="1">
      <alignment horizontal="centerContinuous" vertical="top" wrapText="1"/>
    </xf>
    <xf numFmtId="0" fontId="44" fillId="2" borderId="33" xfId="7" applyFont="1" applyFill="1" applyBorder="1" applyAlignment="1">
      <alignment horizontal="centerContinuous" vertical="top" wrapText="1"/>
    </xf>
    <xf numFmtId="0" fontId="44" fillId="38" borderId="59" xfId="7" applyFont="1" applyFill="1" applyBorder="1" applyAlignment="1">
      <alignment horizontal="centerContinuous" vertical="top" wrapText="1"/>
    </xf>
    <xf numFmtId="0" fontId="44" fillId="38" borderId="88" xfId="7" applyFont="1" applyFill="1" applyBorder="1" applyAlignment="1">
      <alignment horizontal="centerContinuous" vertical="top" wrapText="1"/>
    </xf>
    <xf numFmtId="0" fontId="44" fillId="38" borderId="33" xfId="7" applyFont="1" applyFill="1" applyBorder="1" applyAlignment="1">
      <alignment horizontal="centerContinuous" vertical="top" wrapText="1"/>
    </xf>
    <xf numFmtId="0" fontId="44" fillId="39" borderId="88" xfId="7" applyFont="1" applyFill="1" applyBorder="1" applyAlignment="1">
      <alignment horizontal="centerContinuous" vertical="top" wrapText="1"/>
    </xf>
    <xf numFmtId="0" fontId="48" fillId="40" borderId="88" xfId="7" applyFont="1" applyFill="1" applyBorder="1" applyAlignment="1">
      <alignment horizontal="centerContinuous" vertical="top" wrapText="1"/>
    </xf>
    <xf numFmtId="0" fontId="48" fillId="40" borderId="88" xfId="7" applyFont="1" applyFill="1" applyBorder="1" applyAlignment="1">
      <alignment horizontal="centerContinuous" vertical="top"/>
    </xf>
    <xf numFmtId="0" fontId="44" fillId="40" borderId="88" xfId="7" applyFont="1" applyFill="1" applyBorder="1" applyAlignment="1">
      <alignment horizontal="centerContinuous" vertical="top"/>
    </xf>
    <xf numFmtId="0" fontId="44" fillId="40" borderId="33" xfId="7" applyFont="1" applyFill="1" applyBorder="1" applyAlignment="1">
      <alignment horizontal="centerContinuous" vertical="top"/>
    </xf>
    <xf numFmtId="0" fontId="48" fillId="40" borderId="27" xfId="7" applyFont="1" applyFill="1" applyBorder="1" applyAlignment="1">
      <alignment horizontal="centerContinuous" vertical="top" wrapText="1"/>
    </xf>
    <xf numFmtId="0" fontId="44" fillId="40" borderId="27" xfId="7" applyFont="1" applyFill="1" applyBorder="1" applyAlignment="1">
      <alignment horizontal="centerContinuous" vertical="top"/>
    </xf>
    <xf numFmtId="0" fontId="44" fillId="41" borderId="27" xfId="7" applyFont="1" applyFill="1" applyBorder="1" applyAlignment="1">
      <alignment horizontal="centerContinuous" vertical="top"/>
    </xf>
    <xf numFmtId="0" fontId="2" fillId="0" borderId="95" xfId="2" applyFont="1" applyBorder="1"/>
    <xf numFmtId="0" fontId="15" fillId="0" borderId="95" xfId="7" applyBorder="1"/>
    <xf numFmtId="0" fontId="15" fillId="0" borderId="96" xfId="7" applyBorder="1"/>
    <xf numFmtId="0" fontId="15" fillId="30" borderId="0" xfId="7" applyFill="1" applyAlignment="1">
      <alignment horizontal="centerContinuous"/>
    </xf>
    <xf numFmtId="0" fontId="15" fillId="30" borderId="95" xfId="7" applyFill="1" applyBorder="1" applyAlignment="1">
      <alignment horizontal="centerContinuous"/>
    </xf>
    <xf numFmtId="0" fontId="15" fillId="30" borderId="98" xfId="7" applyFill="1" applyBorder="1" applyAlignment="1">
      <alignment horizontal="centerContinuous"/>
    </xf>
    <xf numFmtId="0" fontId="15" fillId="30" borderId="96" xfId="7" applyFill="1" applyBorder="1" applyAlignment="1">
      <alignment horizontal="centerContinuous"/>
    </xf>
    <xf numFmtId="0" fontId="15" fillId="29" borderId="35" xfId="7" applyFill="1" applyBorder="1" applyAlignment="1">
      <alignment horizontal="right"/>
    </xf>
    <xf numFmtId="0" fontId="48" fillId="37" borderId="35" xfId="7" applyFont="1" applyFill="1" applyBorder="1" applyAlignment="1">
      <alignment horizontal="right"/>
    </xf>
    <xf numFmtId="0" fontId="15" fillId="37" borderId="99" xfId="7" applyFill="1" applyBorder="1" applyAlignment="1">
      <alignment horizontal="right"/>
    </xf>
    <xf numFmtId="0" fontId="15" fillId="37" borderId="99" xfId="7" applyFill="1" applyBorder="1"/>
    <xf numFmtId="0" fontId="15" fillId="2" borderId="35" xfId="7" applyFill="1" applyBorder="1" applyAlignment="1">
      <alignment horizontal="right"/>
    </xf>
    <xf numFmtId="0" fontId="15" fillId="2" borderId="99" xfId="7" applyFill="1" applyBorder="1"/>
    <xf numFmtId="0" fontId="15" fillId="2" borderId="100" xfId="7" applyFill="1" applyBorder="1" applyAlignment="1">
      <alignment horizontal="right"/>
    </xf>
    <xf numFmtId="0" fontId="15" fillId="2" borderId="101" xfId="7" applyFill="1" applyBorder="1" applyAlignment="1">
      <alignment horizontal="right"/>
    </xf>
    <xf numFmtId="0" fontId="48" fillId="38" borderId="35" xfId="7" applyFont="1" applyFill="1" applyBorder="1" applyAlignment="1">
      <alignment horizontal="right"/>
    </xf>
    <xf numFmtId="0" fontId="15" fillId="38" borderId="99" xfId="7" applyFill="1" applyBorder="1"/>
    <xf numFmtId="0" fontId="15" fillId="38" borderId="35" xfId="7" applyFill="1" applyBorder="1"/>
    <xf numFmtId="9" fontId="0" fillId="39" borderId="35" xfId="11" applyFont="1" applyFill="1" applyBorder="1"/>
    <xf numFmtId="0" fontId="15" fillId="39" borderId="35" xfId="7" applyFill="1" applyBorder="1"/>
    <xf numFmtId="0" fontId="48" fillId="40" borderId="35" xfId="7" applyFont="1" applyFill="1" applyBorder="1"/>
    <xf numFmtId="0" fontId="15" fillId="40" borderId="35" xfId="7" applyFill="1" applyBorder="1"/>
    <xf numFmtId="0" fontId="15" fillId="40" borderId="54" xfId="7" applyFill="1" applyBorder="1"/>
    <xf numFmtId="0" fontId="15" fillId="41" borderId="35" xfId="7" applyFill="1" applyBorder="1"/>
    <xf numFmtId="9" fontId="48" fillId="29" borderId="13" xfId="7" applyNumberFormat="1" applyFont="1" applyFill="1" applyBorder="1" applyAlignment="1">
      <alignment horizontal="right"/>
    </xf>
    <xf numFmtId="0" fontId="15" fillId="29" borderId="13" xfId="7" applyFill="1" applyBorder="1" applyAlignment="1">
      <alignment horizontal="right"/>
    </xf>
    <xf numFmtId="9" fontId="48" fillId="37" borderId="13" xfId="11" applyFont="1" applyFill="1" applyBorder="1" applyAlignment="1">
      <alignment horizontal="right"/>
    </xf>
    <xf numFmtId="0" fontId="15" fillId="37" borderId="17" xfId="7" applyFill="1" applyBorder="1" applyAlignment="1">
      <alignment horizontal="right"/>
    </xf>
    <xf numFmtId="0" fontId="15" fillId="37" borderId="17" xfId="7" applyFill="1" applyBorder="1"/>
    <xf numFmtId="9" fontId="0" fillId="2" borderId="13" xfId="11" applyFont="1" applyFill="1" applyBorder="1"/>
    <xf numFmtId="9" fontId="15" fillId="2" borderId="13" xfId="7" applyNumberFormat="1" applyFill="1" applyBorder="1"/>
    <xf numFmtId="0" fontId="15" fillId="2" borderId="17" xfId="7" applyFill="1" applyBorder="1"/>
    <xf numFmtId="178" fontId="15" fillId="2" borderId="13" xfId="7" applyNumberFormat="1" applyFill="1" applyBorder="1"/>
    <xf numFmtId="0" fontId="15" fillId="2" borderId="13" xfId="7" applyFill="1" applyBorder="1" applyAlignment="1">
      <alignment horizontal="right"/>
    </xf>
    <xf numFmtId="9" fontId="48" fillId="38" borderId="13" xfId="11" applyFont="1" applyFill="1" applyBorder="1"/>
    <xf numFmtId="0" fontId="15" fillId="38" borderId="17" xfId="7" applyFill="1" applyBorder="1"/>
    <xf numFmtId="0" fontId="15" fillId="38" borderId="13" xfId="7" applyFill="1" applyBorder="1"/>
    <xf numFmtId="9" fontId="0" fillId="39" borderId="13" xfId="11" applyFont="1" applyFill="1" applyBorder="1"/>
    <xf numFmtId="0" fontId="15" fillId="39" borderId="13" xfId="7" applyFill="1" applyBorder="1"/>
    <xf numFmtId="9" fontId="48" fillId="40" borderId="13" xfId="11" applyFont="1" applyFill="1" applyBorder="1"/>
    <xf numFmtId="0" fontId="48" fillId="40" borderId="13" xfId="7" applyFont="1" applyFill="1" applyBorder="1"/>
    <xf numFmtId="0" fontId="15" fillId="40" borderId="13" xfId="7" applyFill="1" applyBorder="1"/>
    <xf numFmtId="0" fontId="15" fillId="40" borderId="17" xfId="7" applyFill="1" applyBorder="1"/>
    <xf numFmtId="0" fontId="15" fillId="41" borderId="13" xfId="7" applyFill="1" applyBorder="1"/>
    <xf numFmtId="0" fontId="13" fillId="30" borderId="54" xfId="2" applyFont="1" applyFill="1" applyBorder="1" applyAlignment="1">
      <alignment horizontal="center" vertical="center" wrapText="1"/>
    </xf>
    <xf numFmtId="166" fontId="13" fillId="30" borderId="55" xfId="7" applyNumberFormat="1" applyFont="1" applyFill="1" applyBorder="1" applyAlignment="1">
      <alignment horizontal="center" vertical="center"/>
    </xf>
    <xf numFmtId="0" fontId="15" fillId="2" borderId="13" xfId="7" applyFill="1" applyBorder="1"/>
    <xf numFmtId="9" fontId="48" fillId="38" borderId="17" xfId="11" applyFont="1" applyFill="1" applyBorder="1"/>
    <xf numFmtId="9" fontId="48" fillId="20" borderId="13" xfId="7" applyNumberFormat="1" applyFont="1" applyFill="1" applyBorder="1" applyAlignment="1">
      <alignment horizontal="right"/>
    </xf>
    <xf numFmtId="0" fontId="15" fillId="20" borderId="13" xfId="7" applyFill="1" applyBorder="1" applyAlignment="1">
      <alignment horizontal="right"/>
    </xf>
    <xf numFmtId="9" fontId="48" fillId="20" borderId="13" xfId="11" applyFont="1" applyFill="1" applyBorder="1" applyAlignment="1">
      <alignment horizontal="right"/>
    </xf>
    <xf numFmtId="0" fontId="15" fillId="20" borderId="17" xfId="7" applyFill="1" applyBorder="1" applyAlignment="1">
      <alignment horizontal="right"/>
    </xf>
    <xf numFmtId="0" fontId="15" fillId="20" borderId="17" xfId="7" applyFill="1" applyBorder="1"/>
    <xf numFmtId="9" fontId="0" fillId="20" borderId="13" xfId="11" applyFont="1" applyFill="1" applyBorder="1"/>
    <xf numFmtId="0" fontId="15" fillId="20" borderId="13" xfId="7" applyFill="1" applyBorder="1"/>
    <xf numFmtId="9" fontId="48" fillId="29" borderId="13" xfId="7" applyNumberFormat="1" applyFont="1" applyFill="1" applyBorder="1" applyAlignment="1">
      <alignment horizontal="left" wrapText="1"/>
    </xf>
    <xf numFmtId="9" fontId="48" fillId="37" borderId="13" xfId="11" applyFont="1" applyFill="1" applyBorder="1" applyAlignment="1">
      <alignment horizontal="right" wrapText="1"/>
    </xf>
    <xf numFmtId="9" fontId="0" fillId="2" borderId="13" xfId="11" applyFont="1" applyFill="1" applyBorder="1" applyAlignment="1">
      <alignment wrapText="1"/>
    </xf>
    <xf numFmtId="9" fontId="48" fillId="38" borderId="13" xfId="11" applyFont="1" applyFill="1" applyBorder="1" applyAlignment="1">
      <alignment wrapText="1"/>
    </xf>
    <xf numFmtId="0" fontId="48" fillId="40" borderId="13" xfId="7" applyFont="1" applyFill="1" applyBorder="1" applyAlignment="1">
      <alignment horizontal="right" wrapText="1"/>
    </xf>
    <xf numFmtId="9" fontId="15" fillId="20" borderId="13" xfId="7" applyNumberFormat="1" applyFill="1" applyBorder="1"/>
    <xf numFmtId="178" fontId="15" fillId="20" borderId="13" xfId="7" applyNumberFormat="1" applyFill="1" applyBorder="1"/>
    <xf numFmtId="0" fontId="15" fillId="20" borderId="49" xfId="7" applyFill="1" applyBorder="1" applyAlignment="1">
      <alignment horizontal="right"/>
    </xf>
    <xf numFmtId="9" fontId="48" fillId="20" borderId="13" xfId="11" applyFont="1" applyFill="1" applyBorder="1"/>
    <xf numFmtId="0" fontId="48" fillId="20" borderId="13" xfId="7" applyFont="1" applyFill="1" applyBorder="1" applyAlignment="1">
      <alignment horizontal="right"/>
    </xf>
    <xf numFmtId="9" fontId="15" fillId="2" borderId="13" xfId="11" applyFont="1" applyFill="1" applyBorder="1"/>
    <xf numFmtId="9" fontId="0" fillId="39" borderId="13" xfId="11" applyFont="1" applyFill="1" applyBorder="1" applyAlignment="1">
      <alignment horizontal="right"/>
    </xf>
    <xf numFmtId="0" fontId="48" fillId="40" borderId="13" xfId="7" applyFont="1" applyFill="1" applyBorder="1" applyAlignment="1">
      <alignment horizontal="right"/>
    </xf>
    <xf numFmtId="9" fontId="15" fillId="2" borderId="13" xfId="7" applyNumberFormat="1" applyFill="1" applyBorder="1" applyAlignment="1">
      <alignment horizontal="right"/>
    </xf>
    <xf numFmtId="9" fontId="48" fillId="40" borderId="13" xfId="11" applyFont="1" applyFill="1" applyBorder="1" applyAlignment="1">
      <alignment horizontal="right"/>
    </xf>
    <xf numFmtId="9" fontId="15" fillId="39" borderId="13" xfId="11" applyFont="1" applyFill="1" applyBorder="1"/>
    <xf numFmtId="9" fontId="48" fillId="40" borderId="13" xfId="7" applyNumberFormat="1" applyFont="1" applyFill="1" applyBorder="1"/>
    <xf numFmtId="9" fontId="48" fillId="40" borderId="13" xfId="7" applyNumberFormat="1" applyFont="1" applyFill="1" applyBorder="1" applyAlignment="1">
      <alignment horizontal="right"/>
    </xf>
    <xf numFmtId="9" fontId="48" fillId="29" borderId="4" xfId="7" applyNumberFormat="1" applyFont="1" applyFill="1" applyBorder="1" applyAlignment="1">
      <alignment horizontal="right"/>
    </xf>
    <xf numFmtId="0" fontId="15" fillId="29" borderId="4" xfId="7" applyFill="1" applyBorder="1" applyAlignment="1">
      <alignment horizontal="right"/>
    </xf>
    <xf numFmtId="9" fontId="48" fillId="37" borderId="4" xfId="11" applyFont="1" applyFill="1" applyBorder="1" applyAlignment="1">
      <alignment horizontal="right"/>
    </xf>
    <xf numFmtId="0" fontId="15" fillId="37" borderId="5" xfId="7" applyFill="1" applyBorder="1" applyAlignment="1">
      <alignment horizontal="right"/>
    </xf>
    <xf numFmtId="0" fontId="15" fillId="37" borderId="5" xfId="7" applyFill="1" applyBorder="1"/>
    <xf numFmtId="0" fontId="15" fillId="2" borderId="4" xfId="7" applyFill="1" applyBorder="1"/>
    <xf numFmtId="0" fontId="15" fillId="2" borderId="5" xfId="7" applyFill="1" applyBorder="1"/>
    <xf numFmtId="0" fontId="15" fillId="38" borderId="4" xfId="7" applyFill="1" applyBorder="1"/>
    <xf numFmtId="0" fontId="15" fillId="38" borderId="5" xfId="7" applyFill="1" applyBorder="1"/>
    <xf numFmtId="0" fontId="15" fillId="39" borderId="4" xfId="7" applyFill="1" applyBorder="1"/>
    <xf numFmtId="0" fontId="15" fillId="40" borderId="4" xfId="7" applyFill="1" applyBorder="1"/>
    <xf numFmtId="0" fontId="15" fillId="40" borderId="5" xfId="7" applyFill="1" applyBorder="1"/>
    <xf numFmtId="0" fontId="15" fillId="41" borderId="4" xfId="7" applyFill="1" applyBorder="1"/>
    <xf numFmtId="44" fontId="15" fillId="20" borderId="0" xfId="7" applyNumberFormat="1" applyFill="1"/>
    <xf numFmtId="168" fontId="15" fillId="0" borderId="53" xfId="7" applyNumberFormat="1" applyBorder="1"/>
    <xf numFmtId="167" fontId="15" fillId="0" borderId="0" xfId="7" applyNumberFormat="1"/>
    <xf numFmtId="44" fontId="0" fillId="0" borderId="0" xfId="11" applyNumberFormat="1" applyFont="1" applyFill="1" applyBorder="1"/>
    <xf numFmtId="6" fontId="15" fillId="0" borderId="0" xfId="7" applyNumberFormat="1"/>
    <xf numFmtId="9" fontId="0" fillId="0" borderId="52" xfId="11" applyFont="1" applyFill="1" applyBorder="1"/>
    <xf numFmtId="168" fontId="0" fillId="0" borderId="0" xfId="14" applyNumberFormat="1" applyFont="1" applyFill="1"/>
    <xf numFmtId="178" fontId="0" fillId="0" borderId="52" xfId="11" applyNumberFormat="1" applyFont="1" applyFill="1" applyBorder="1"/>
    <xf numFmtId="178" fontId="0" fillId="0" borderId="0" xfId="11" applyNumberFormat="1" applyFont="1" applyFill="1" applyBorder="1"/>
    <xf numFmtId="10" fontId="0" fillId="0" borderId="52" xfId="11" applyNumberFormat="1" applyFont="1" applyFill="1" applyBorder="1"/>
    <xf numFmtId="10" fontId="0" fillId="0" borderId="0" xfId="11" applyNumberFormat="1" applyFont="1" applyFill="1" applyBorder="1"/>
    <xf numFmtId="0" fontId="6" fillId="0" borderId="104" xfId="2" applyFont="1" applyBorder="1" applyAlignment="1">
      <alignment horizontal="left"/>
    </xf>
    <xf numFmtId="167" fontId="4" fillId="0" borderId="105" xfId="8" applyNumberFormat="1" applyFont="1" applyFill="1" applyBorder="1" applyAlignment="1">
      <alignment horizontal="left"/>
    </xf>
    <xf numFmtId="168" fontId="15" fillId="0" borderId="67" xfId="7" applyNumberFormat="1" applyBorder="1"/>
    <xf numFmtId="168" fontId="0" fillId="0" borderId="67" xfId="14" applyNumberFormat="1" applyFont="1" applyBorder="1"/>
    <xf numFmtId="167" fontId="15" fillId="0" borderId="106" xfId="7" applyNumberFormat="1" applyBorder="1"/>
    <xf numFmtId="168" fontId="0" fillId="0" borderId="106" xfId="14" applyNumberFormat="1" applyFont="1" applyBorder="1"/>
    <xf numFmtId="44" fontId="0" fillId="0" borderId="67" xfId="11" applyNumberFormat="1" applyFont="1" applyFill="1" applyBorder="1"/>
    <xf numFmtId="6" fontId="15" fillId="0" borderId="67" xfId="7" applyNumberFormat="1" applyBorder="1"/>
    <xf numFmtId="0" fontId="4" fillId="25" borderId="54" xfId="2" applyFont="1" applyFill="1" applyBorder="1" applyAlignment="1">
      <alignment horizontal="left"/>
    </xf>
    <xf numFmtId="167" fontId="4" fillId="25" borderId="35" xfId="8" applyNumberFormat="1" applyFont="1" applyFill="1" applyBorder="1" applyAlignment="1">
      <alignment horizontal="left"/>
    </xf>
    <xf numFmtId="168" fontId="3" fillId="0" borderId="35" xfId="7" applyNumberFormat="1" applyFont="1" applyBorder="1"/>
    <xf numFmtId="44" fontId="3" fillId="20" borderId="35" xfId="7" applyNumberFormat="1" applyFont="1" applyFill="1" applyBorder="1"/>
    <xf numFmtId="168" fontId="15" fillId="0" borderId="54" xfId="7" applyNumberFormat="1" applyBorder="1"/>
    <xf numFmtId="168" fontId="3" fillId="0" borderId="54" xfId="7" applyNumberFormat="1" applyFont="1" applyBorder="1"/>
    <xf numFmtId="0" fontId="15" fillId="0" borderId="54" xfId="7" applyBorder="1"/>
    <xf numFmtId="168" fontId="3" fillId="0" borderId="55" xfId="7" applyNumberFormat="1" applyFont="1" applyBorder="1"/>
    <xf numFmtId="168" fontId="3" fillId="0" borderId="55" xfId="14" applyNumberFormat="1" applyFont="1" applyBorder="1"/>
    <xf numFmtId="168" fontId="3" fillId="0" borderId="35" xfId="14" applyNumberFormat="1" applyFont="1" applyBorder="1"/>
    <xf numFmtId="168" fontId="3" fillId="0" borderId="107" xfId="7" applyNumberFormat="1" applyFont="1" applyBorder="1"/>
    <xf numFmtId="168" fontId="15" fillId="0" borderId="35" xfId="7" applyNumberFormat="1" applyBorder="1"/>
    <xf numFmtId="168" fontId="3" fillId="0" borderId="67" xfId="7" applyNumberFormat="1" applyFont="1" applyBorder="1"/>
    <xf numFmtId="0" fontId="15" fillId="0" borderId="107" xfId="7" applyBorder="1"/>
    <xf numFmtId="0" fontId="4" fillId="25" borderId="0" xfId="2" applyFont="1" applyFill="1" applyAlignment="1">
      <alignment horizontal="left"/>
    </xf>
    <xf numFmtId="167" fontId="4" fillId="25" borderId="0" xfId="8" applyNumberFormat="1" applyFont="1" applyFill="1" applyBorder="1" applyAlignment="1">
      <alignment horizontal="left"/>
    </xf>
    <xf numFmtId="44" fontId="3" fillId="20" borderId="0" xfId="7" applyNumberFormat="1" applyFont="1" applyFill="1"/>
    <xf numFmtId="168" fontId="3" fillId="0" borderId="0" xfId="14" applyNumberFormat="1" applyFont="1" applyBorder="1"/>
    <xf numFmtId="0" fontId="6" fillId="0" borderId="1" xfId="2" applyFont="1" applyBorder="1" applyAlignment="1">
      <alignment horizontal="left"/>
    </xf>
    <xf numFmtId="167" fontId="15" fillId="0" borderId="0" xfId="12" applyNumberFormat="1" applyFont="1" applyBorder="1"/>
    <xf numFmtId="0" fontId="6" fillId="0" borderId="0" xfId="2" applyFont="1" applyAlignment="1">
      <alignment horizontal="left"/>
    </xf>
    <xf numFmtId="0" fontId="11" fillId="30" borderId="13" xfId="2" applyFont="1" applyFill="1" applyBorder="1" applyAlignment="1">
      <alignment horizontal="left"/>
    </xf>
    <xf numFmtId="0" fontId="11" fillId="30" borderId="13" xfId="2" applyFont="1" applyFill="1" applyBorder="1"/>
    <xf numFmtId="0" fontId="48" fillId="30" borderId="13" xfId="7" applyFont="1" applyFill="1" applyBorder="1"/>
    <xf numFmtId="0" fontId="48" fillId="42" borderId="13" xfId="7" applyFont="1" applyFill="1" applyBorder="1"/>
    <xf numFmtId="168" fontId="48" fillId="30" borderId="108" xfId="7" applyNumberFormat="1" applyFont="1" applyFill="1" applyBorder="1" applyAlignment="1">
      <alignment horizontal="centerContinuous"/>
    </xf>
    <xf numFmtId="168" fontId="48" fillId="30" borderId="4" xfId="7" applyNumberFormat="1" applyFont="1" applyFill="1" applyBorder="1" applyAlignment="1">
      <alignment horizontal="centerContinuous"/>
    </xf>
    <xf numFmtId="0" fontId="48" fillId="30" borderId="4" xfId="7" applyFont="1" applyFill="1" applyBorder="1" applyAlignment="1">
      <alignment horizontal="centerContinuous"/>
    </xf>
    <xf numFmtId="0" fontId="48" fillId="30" borderId="109" xfId="7" applyFont="1" applyFill="1" applyBorder="1" applyAlignment="1">
      <alignment horizontal="centerContinuous"/>
    </xf>
    <xf numFmtId="0" fontId="48" fillId="30" borderId="108" xfId="7" applyFont="1" applyFill="1" applyBorder="1" applyAlignment="1">
      <alignment horizontal="centerContinuous"/>
    </xf>
    <xf numFmtId="0" fontId="48" fillId="30" borderId="110" xfId="7" applyFont="1" applyFill="1" applyBorder="1" applyAlignment="1">
      <alignment horizontal="centerContinuous"/>
    </xf>
    <xf numFmtId="0" fontId="48" fillId="30" borderId="13" xfId="7" applyFont="1" applyFill="1" applyBorder="1" applyAlignment="1">
      <alignment horizontal="centerContinuous"/>
    </xf>
    <xf numFmtId="0" fontId="48" fillId="30" borderId="49" xfId="7" applyFont="1" applyFill="1" applyBorder="1" applyAlignment="1">
      <alignment horizontal="centerContinuous"/>
    </xf>
    <xf numFmtId="0" fontId="48" fillId="30" borderId="17" xfId="7" applyFont="1" applyFill="1" applyBorder="1" applyAlignment="1">
      <alignment horizontal="centerContinuous"/>
    </xf>
    <xf numFmtId="0" fontId="15" fillId="0" borderId="0" xfId="7" applyAlignment="1">
      <alignment vertical="top"/>
    </xf>
    <xf numFmtId="0" fontId="8" fillId="35" borderId="13" xfId="2" applyFont="1" applyFill="1" applyBorder="1" applyAlignment="1">
      <alignment horizontal="left" vertical="top"/>
    </xf>
    <xf numFmtId="0" fontId="2" fillId="35" borderId="13" xfId="2" applyFont="1" applyFill="1" applyBorder="1" applyAlignment="1">
      <alignment vertical="top"/>
    </xf>
    <xf numFmtId="0" fontId="15" fillId="35" borderId="13" xfId="7" applyFill="1" applyBorder="1" applyAlignment="1">
      <alignment vertical="top"/>
    </xf>
    <xf numFmtId="0" fontId="15" fillId="42" borderId="13" xfId="7" applyFill="1" applyBorder="1" applyAlignment="1">
      <alignment vertical="top"/>
    </xf>
    <xf numFmtId="0" fontId="15" fillId="35" borderId="111" xfId="7" applyFill="1" applyBorder="1" applyAlignment="1">
      <alignment vertical="top" wrapText="1"/>
    </xf>
    <xf numFmtId="0" fontId="15" fillId="35" borderId="13" xfId="7" applyFill="1" applyBorder="1" applyAlignment="1">
      <alignment vertical="top" wrapText="1"/>
    </xf>
    <xf numFmtId="0" fontId="15" fillId="35" borderId="112" xfId="7" applyFill="1" applyBorder="1" applyAlignment="1">
      <alignment vertical="top"/>
    </xf>
    <xf numFmtId="0" fontId="15" fillId="35" borderId="90" xfId="7" applyFill="1" applyBorder="1" applyAlignment="1">
      <alignment vertical="top" wrapText="1"/>
    </xf>
    <xf numFmtId="0" fontId="15" fillId="35" borderId="35" xfId="7" applyFill="1" applyBorder="1" applyAlignment="1">
      <alignment vertical="top" wrapText="1"/>
    </xf>
    <xf numFmtId="0" fontId="15" fillId="35" borderId="113" xfId="7" applyFill="1" applyBorder="1"/>
    <xf numFmtId="0" fontId="15" fillId="35" borderId="114" xfId="7" applyFill="1" applyBorder="1"/>
    <xf numFmtId="0" fontId="15" fillId="35" borderId="115" xfId="7" applyFill="1" applyBorder="1" applyAlignment="1">
      <alignment vertical="top" wrapText="1"/>
    </xf>
    <xf numFmtId="0" fontId="15" fillId="35" borderId="114" xfId="7" applyFill="1" applyBorder="1" applyAlignment="1">
      <alignment vertical="top" wrapText="1"/>
    </xf>
    <xf numFmtId="0" fontId="15" fillId="35" borderId="116" xfId="7" applyFill="1" applyBorder="1"/>
    <xf numFmtId="0" fontId="15" fillId="35" borderId="111" xfId="7" applyFill="1" applyBorder="1" applyAlignment="1">
      <alignment vertical="top"/>
    </xf>
    <xf numFmtId="0" fontId="15" fillId="35" borderId="117" xfId="7" applyFill="1" applyBorder="1"/>
    <xf numFmtId="0" fontId="15" fillId="35" borderId="35" xfId="7" applyFill="1" applyBorder="1"/>
    <xf numFmtId="0" fontId="15" fillId="35" borderId="118" xfId="7" applyFill="1" applyBorder="1"/>
    <xf numFmtId="0" fontId="15" fillId="35" borderId="119" xfId="7" applyFill="1" applyBorder="1"/>
    <xf numFmtId="0" fontId="15" fillId="35" borderId="120" xfId="7" applyFill="1" applyBorder="1"/>
    <xf numFmtId="0" fontId="15" fillId="35" borderId="121" xfId="7" applyFill="1" applyBorder="1"/>
    <xf numFmtId="0" fontId="15" fillId="35" borderId="120" xfId="7" applyFill="1" applyBorder="1" applyAlignment="1">
      <alignment vertical="top" wrapText="1"/>
    </xf>
    <xf numFmtId="0" fontId="15" fillId="35" borderId="119" xfId="7" applyFill="1" applyBorder="1" applyAlignment="1">
      <alignment vertical="top" wrapText="1"/>
    </xf>
    <xf numFmtId="0" fontId="8" fillId="35" borderId="35" xfId="2" applyFont="1" applyFill="1" applyBorder="1" applyAlignment="1">
      <alignment horizontal="left" vertical="top"/>
    </xf>
    <xf numFmtId="0" fontId="2" fillId="35" borderId="35" xfId="2" applyFont="1" applyFill="1" applyBorder="1" applyAlignment="1">
      <alignment vertical="top"/>
    </xf>
    <xf numFmtId="0" fontId="15" fillId="35" borderId="35" xfId="7" applyFill="1" applyBorder="1" applyAlignment="1">
      <alignment vertical="top"/>
    </xf>
    <xf numFmtId="0" fontId="15" fillId="42" borderId="35" xfId="7" applyFill="1" applyBorder="1" applyAlignment="1">
      <alignment vertical="top"/>
    </xf>
    <xf numFmtId="0" fontId="15" fillId="35" borderId="117" xfId="7" applyFill="1" applyBorder="1" applyAlignment="1">
      <alignment vertical="top"/>
    </xf>
    <xf numFmtId="0" fontId="15" fillId="35" borderId="89" xfId="7" applyFill="1" applyBorder="1"/>
    <xf numFmtId="0" fontId="15" fillId="35" borderId="122" xfId="7" applyFill="1" applyBorder="1" applyAlignment="1">
      <alignment vertical="top" wrapText="1"/>
    </xf>
    <xf numFmtId="0" fontId="15" fillId="35" borderId="123" xfId="7" applyFill="1" applyBorder="1"/>
    <xf numFmtId="0" fontId="15" fillId="35" borderId="122" xfId="7" applyFill="1" applyBorder="1"/>
    <xf numFmtId="0" fontId="15" fillId="35" borderId="124" xfId="7" applyFill="1" applyBorder="1" applyAlignment="1">
      <alignment vertical="top" wrapText="1"/>
    </xf>
    <xf numFmtId="0" fontId="15" fillId="35" borderId="124" xfId="7" applyFill="1" applyBorder="1"/>
    <xf numFmtId="0" fontId="15" fillId="35" borderId="115" xfId="7" applyFill="1" applyBorder="1"/>
    <xf numFmtId="0" fontId="55" fillId="0" borderId="0" xfId="17" applyFont="1"/>
    <xf numFmtId="0" fontId="15" fillId="0" borderId="0" xfId="19"/>
    <xf numFmtId="0" fontId="2" fillId="0" borderId="0" xfId="17" applyFont="1" applyAlignment="1">
      <alignment horizontal="left"/>
    </xf>
    <xf numFmtId="0" fontId="4" fillId="0" borderId="0" xfId="17" applyFont="1" applyAlignment="1">
      <alignment horizontal="right"/>
    </xf>
    <xf numFmtId="0" fontId="9" fillId="0" borderId="0" xfId="17" applyFont="1"/>
    <xf numFmtId="0" fontId="29" fillId="0" borderId="0" xfId="17" applyFont="1"/>
    <xf numFmtId="9" fontId="4" fillId="0" borderId="0" xfId="20" applyFont="1" applyFill="1" applyBorder="1" applyAlignment="1">
      <alignment horizontal="right"/>
    </xf>
    <xf numFmtId="0" fontId="13" fillId="30" borderId="88" xfId="17" applyFont="1" applyFill="1" applyBorder="1" applyAlignment="1">
      <alignment horizontal="left" vertical="top"/>
    </xf>
    <xf numFmtId="0" fontId="11" fillId="30" borderId="88" xfId="17" applyFont="1" applyFill="1" applyBorder="1" applyAlignment="1">
      <alignment vertical="top"/>
    </xf>
    <xf numFmtId="0" fontId="48" fillId="30" borderId="73" xfId="19" applyFont="1" applyFill="1" applyBorder="1" applyAlignment="1">
      <alignment horizontal="right"/>
    </xf>
    <xf numFmtId="0" fontId="44" fillId="29" borderId="0" xfId="19" applyFont="1" applyFill="1" applyAlignment="1">
      <alignment horizontal="left"/>
    </xf>
    <xf numFmtId="0" fontId="44" fillId="29" borderId="0" xfId="19" applyFont="1" applyFill="1" applyAlignment="1">
      <alignment horizontal="right"/>
    </xf>
    <xf numFmtId="0" fontId="3" fillId="29" borderId="89" xfId="19" applyFont="1" applyFill="1" applyBorder="1" applyAlignment="1">
      <alignment horizontal="right"/>
    </xf>
    <xf numFmtId="0" fontId="44" fillId="29" borderId="35" xfId="19" applyFont="1" applyFill="1" applyBorder="1" applyAlignment="1">
      <alignment horizontal="right"/>
    </xf>
    <xf numFmtId="0" fontId="44" fillId="29" borderId="90" xfId="19" applyFont="1" applyFill="1" applyBorder="1" applyAlignment="1">
      <alignment horizontal="right"/>
    </xf>
    <xf numFmtId="0" fontId="3" fillId="29" borderId="35" xfId="19" applyFont="1" applyFill="1" applyBorder="1" applyAlignment="1">
      <alignment horizontal="right"/>
    </xf>
    <xf numFmtId="0" fontId="3" fillId="2" borderId="0" xfId="19" applyFont="1" applyFill="1" applyAlignment="1">
      <alignment horizontal="left"/>
    </xf>
    <xf numFmtId="0" fontId="3" fillId="2" borderId="0" xfId="19" applyFont="1" applyFill="1" applyAlignment="1">
      <alignment horizontal="right"/>
    </xf>
    <xf numFmtId="0" fontId="3" fillId="2" borderId="54" xfId="19" applyFont="1" applyFill="1" applyBorder="1"/>
    <xf numFmtId="0" fontId="44" fillId="38" borderId="0" xfId="19" applyFont="1" applyFill="1"/>
    <xf numFmtId="0" fontId="44" fillId="40" borderId="0" xfId="19" applyFont="1" applyFill="1"/>
    <xf numFmtId="0" fontId="3" fillId="40" borderId="0" xfId="19" applyFont="1" applyFill="1"/>
    <xf numFmtId="0" fontId="44" fillId="40" borderId="35" xfId="19" applyFont="1" applyFill="1" applyBorder="1"/>
    <xf numFmtId="0" fontId="3" fillId="40" borderId="54" xfId="19" applyFont="1" applyFill="1" applyBorder="1"/>
    <xf numFmtId="0" fontId="44" fillId="30" borderId="88" xfId="19" applyFont="1" applyFill="1" applyBorder="1" applyAlignment="1">
      <alignment vertical="top"/>
    </xf>
    <xf numFmtId="0" fontId="44" fillId="29" borderId="92" xfId="19" applyFont="1" applyFill="1" applyBorder="1" applyAlignment="1">
      <alignment horizontal="centerContinuous" vertical="top" wrapText="1"/>
    </xf>
    <xf numFmtId="0" fontId="48" fillId="29" borderId="92" xfId="19" applyFont="1" applyFill="1" applyBorder="1" applyAlignment="1">
      <alignment horizontal="centerContinuous" vertical="top"/>
    </xf>
    <xf numFmtId="0" fontId="44" fillId="29" borderId="91" xfId="19" applyFont="1" applyFill="1" applyBorder="1" applyAlignment="1">
      <alignment horizontal="centerContinuous" vertical="top" wrapText="1"/>
    </xf>
    <xf numFmtId="0" fontId="44" fillId="29" borderId="27" xfId="19" applyFont="1" applyFill="1" applyBorder="1" applyAlignment="1">
      <alignment horizontal="centerContinuous" vertical="top" wrapText="1"/>
    </xf>
    <xf numFmtId="0" fontId="48" fillId="29" borderId="57" xfId="19" applyFont="1" applyFill="1" applyBorder="1" applyAlignment="1">
      <alignment horizontal="centerContinuous" vertical="top"/>
    </xf>
    <xf numFmtId="0" fontId="44" fillId="29" borderId="94" xfId="19" applyFont="1" applyFill="1" applyBorder="1" applyAlignment="1">
      <alignment horizontal="centerContinuous" vertical="top" wrapText="1"/>
    </xf>
    <xf numFmtId="0" fontId="48" fillId="29" borderId="27" xfId="19" applyFont="1" applyFill="1" applyBorder="1" applyAlignment="1">
      <alignment horizontal="centerContinuous" vertical="top"/>
    </xf>
    <xf numFmtId="0" fontId="44" fillId="2" borderId="59" xfId="19" applyFont="1" applyFill="1" applyBorder="1" applyAlignment="1">
      <alignment horizontal="centerContinuous" vertical="top" wrapText="1"/>
    </xf>
    <xf numFmtId="0" fontId="44" fillId="2" borderId="88" xfId="19" applyFont="1" applyFill="1" applyBorder="1" applyAlignment="1">
      <alignment horizontal="centerContinuous" vertical="top" wrapText="1"/>
    </xf>
    <xf numFmtId="0" fontId="48" fillId="2" borderId="88" xfId="19" applyFont="1" applyFill="1" applyBorder="1" applyAlignment="1">
      <alignment horizontal="centerContinuous" vertical="top"/>
    </xf>
    <xf numFmtId="0" fontId="44" fillId="38" borderId="59" xfId="19" applyFont="1" applyFill="1" applyBorder="1" applyAlignment="1">
      <alignment horizontal="centerContinuous" vertical="top" wrapText="1"/>
    </xf>
    <xf numFmtId="0" fontId="44" fillId="38" borderId="88" xfId="19" applyFont="1" applyFill="1" applyBorder="1" applyAlignment="1">
      <alignment horizontal="centerContinuous" vertical="top" wrapText="1"/>
    </xf>
    <xf numFmtId="0" fontId="48" fillId="40" borderId="88" xfId="19" applyFont="1" applyFill="1" applyBorder="1" applyAlignment="1">
      <alignment horizontal="center" vertical="top" wrapText="1"/>
    </xf>
    <xf numFmtId="0" fontId="48" fillId="40" borderId="88" xfId="19" applyFont="1" applyFill="1" applyBorder="1" applyAlignment="1">
      <alignment horizontal="centerContinuous" vertical="top" wrapText="1"/>
    </xf>
    <xf numFmtId="0" fontId="44" fillId="40" borderId="88" xfId="19" applyFont="1" applyFill="1" applyBorder="1" applyAlignment="1">
      <alignment horizontal="centerContinuous" vertical="top"/>
    </xf>
    <xf numFmtId="0" fontId="44" fillId="40" borderId="33" xfId="19" applyFont="1" applyFill="1" applyBorder="1" applyAlignment="1">
      <alignment horizontal="centerContinuous" vertical="top"/>
    </xf>
    <xf numFmtId="0" fontId="2" fillId="0" borderId="95" xfId="17" applyFont="1" applyBorder="1"/>
    <xf numFmtId="0" fontId="15" fillId="0" borderId="95" xfId="19" applyBorder="1"/>
    <xf numFmtId="0" fontId="15" fillId="0" borderId="96" xfId="19" applyBorder="1"/>
    <xf numFmtId="0" fontId="15" fillId="30" borderId="0" xfId="19" applyFill="1"/>
    <xf numFmtId="0" fontId="44" fillId="30" borderId="97" xfId="19" applyFont="1" applyFill="1" applyBorder="1" applyAlignment="1">
      <alignment horizontal="centerContinuous"/>
    </xf>
    <xf numFmtId="0" fontId="15" fillId="30" borderId="0" xfId="19" applyFill="1" applyAlignment="1">
      <alignment horizontal="centerContinuous"/>
    </xf>
    <xf numFmtId="0" fontId="15" fillId="30" borderId="95" xfId="19" applyFill="1" applyBorder="1" applyAlignment="1">
      <alignment horizontal="centerContinuous"/>
    </xf>
    <xf numFmtId="0" fontId="15" fillId="30" borderId="98" xfId="19" applyFill="1" applyBorder="1" applyAlignment="1">
      <alignment horizontal="centerContinuous"/>
    </xf>
    <xf numFmtId="0" fontId="15" fillId="30" borderId="96" xfId="19" applyFill="1" applyBorder="1" applyAlignment="1">
      <alignment horizontal="centerContinuous"/>
    </xf>
    <xf numFmtId="0" fontId="15" fillId="29" borderId="35" xfId="19" applyFill="1" applyBorder="1" applyAlignment="1">
      <alignment horizontal="right"/>
    </xf>
    <xf numFmtId="0" fontId="15" fillId="2" borderId="35" xfId="19" applyFill="1" applyBorder="1" applyAlignment="1">
      <alignment horizontal="right"/>
    </xf>
    <xf numFmtId="0" fontId="15" fillId="2" borderId="99" xfId="19" applyFill="1" applyBorder="1"/>
    <xf numFmtId="0" fontId="15" fillId="38" borderId="35" xfId="19" applyFill="1" applyBorder="1"/>
    <xf numFmtId="0" fontId="48" fillId="40" borderId="35" xfId="19" applyFont="1" applyFill="1" applyBorder="1"/>
    <xf numFmtId="0" fontId="15" fillId="40" borderId="35" xfId="19" applyFill="1" applyBorder="1"/>
    <xf numFmtId="0" fontId="15" fillId="40" borderId="54" xfId="19" applyFill="1" applyBorder="1"/>
    <xf numFmtId="0" fontId="56" fillId="20" borderId="102" xfId="19" applyFont="1" applyFill="1" applyBorder="1" applyAlignment="1">
      <alignment horizontal="left" vertical="center" wrapText="1" readingOrder="1"/>
    </xf>
    <xf numFmtId="9" fontId="48" fillId="29" borderId="13" xfId="19" applyNumberFormat="1" applyFont="1" applyFill="1" applyBorder="1" applyAlignment="1">
      <alignment horizontal="right"/>
    </xf>
    <xf numFmtId="0" fontId="15" fillId="29" borderId="13" xfId="19" applyFill="1" applyBorder="1" applyAlignment="1">
      <alignment horizontal="right"/>
    </xf>
    <xf numFmtId="9" fontId="0" fillId="2" borderId="13" xfId="13" applyFont="1" applyFill="1" applyBorder="1"/>
    <xf numFmtId="178" fontId="15" fillId="2" borderId="13" xfId="19" applyNumberFormat="1" applyFill="1" applyBorder="1"/>
    <xf numFmtId="0" fontId="15" fillId="2" borderId="17" xfId="19" applyFill="1" applyBorder="1"/>
    <xf numFmtId="9" fontId="48" fillId="38" borderId="13" xfId="13" applyFont="1" applyFill="1" applyBorder="1"/>
    <xf numFmtId="0" fontId="15" fillId="38" borderId="13" xfId="19" applyFill="1" applyBorder="1"/>
    <xf numFmtId="9" fontId="48" fillId="40" borderId="13" xfId="13" applyFont="1" applyFill="1" applyBorder="1"/>
    <xf numFmtId="0" fontId="48" fillId="40" borderId="13" xfId="19" applyFont="1" applyFill="1" applyBorder="1"/>
    <xf numFmtId="0" fontId="15" fillId="40" borderId="13" xfId="19" applyFill="1" applyBorder="1"/>
    <xf numFmtId="0" fontId="15" fillId="40" borderId="17" xfId="19" applyFill="1" applyBorder="1"/>
    <xf numFmtId="0" fontId="56" fillId="20" borderId="61" xfId="19" applyFont="1" applyFill="1" applyBorder="1" applyAlignment="1">
      <alignment horizontal="left" vertical="center" wrapText="1" readingOrder="1"/>
    </xf>
    <xf numFmtId="9" fontId="15" fillId="2" borderId="13" xfId="19" applyNumberFormat="1" applyFill="1" applyBorder="1"/>
    <xf numFmtId="0" fontId="13" fillId="30" borderId="54" xfId="17" applyFont="1" applyFill="1" applyBorder="1" applyAlignment="1">
      <alignment horizontal="center" vertical="center" wrapText="1"/>
    </xf>
    <xf numFmtId="0" fontId="56" fillId="20" borderId="103" xfId="19" applyFont="1" applyFill="1" applyBorder="1" applyAlignment="1">
      <alignment horizontal="left" vertical="center" wrapText="1" readingOrder="1"/>
    </xf>
    <xf numFmtId="0" fontId="15" fillId="2" borderId="13" xfId="19" applyFill="1" applyBorder="1"/>
    <xf numFmtId="9" fontId="48" fillId="30" borderId="0" xfId="19" applyNumberFormat="1" applyFont="1" applyFill="1"/>
    <xf numFmtId="9" fontId="48" fillId="20" borderId="13" xfId="19" applyNumberFormat="1" applyFont="1" applyFill="1" applyBorder="1" applyAlignment="1">
      <alignment horizontal="right"/>
    </xf>
    <xf numFmtId="0" fontId="15" fillId="20" borderId="13" xfId="19" applyFill="1" applyBorder="1" applyAlignment="1">
      <alignment horizontal="right"/>
    </xf>
    <xf numFmtId="9" fontId="0" fillId="20" borderId="13" xfId="13" applyFont="1" applyFill="1" applyBorder="1"/>
    <xf numFmtId="0" fontId="15" fillId="20" borderId="13" xfId="19" applyFill="1" applyBorder="1"/>
    <xf numFmtId="0" fontId="15" fillId="20" borderId="17" xfId="19" applyFill="1" applyBorder="1"/>
    <xf numFmtId="9" fontId="48" fillId="40" borderId="13" xfId="19" applyNumberFormat="1" applyFont="1" applyFill="1" applyBorder="1"/>
    <xf numFmtId="9" fontId="48" fillId="30" borderId="0" xfId="19" applyNumberFormat="1" applyFont="1" applyFill="1" applyAlignment="1">
      <alignment horizontal="right"/>
    </xf>
    <xf numFmtId="9" fontId="48" fillId="29" borderId="13" xfId="19" applyNumberFormat="1" applyFont="1" applyFill="1" applyBorder="1" applyAlignment="1">
      <alignment horizontal="left" wrapText="1"/>
    </xf>
    <xf numFmtId="9" fontId="0" fillId="2" borderId="13" xfId="13" applyFont="1" applyFill="1" applyBorder="1" applyAlignment="1">
      <alignment wrapText="1"/>
    </xf>
    <xf numFmtId="9" fontId="48" fillId="38" borderId="13" xfId="13" applyFont="1" applyFill="1" applyBorder="1" applyAlignment="1">
      <alignment wrapText="1"/>
    </xf>
    <xf numFmtId="0" fontId="48" fillId="40" borderId="13" xfId="19" applyFont="1" applyFill="1" applyBorder="1" applyAlignment="1">
      <alignment horizontal="right" wrapText="1"/>
    </xf>
    <xf numFmtId="0" fontId="48" fillId="40" borderId="13" xfId="19" applyFont="1" applyFill="1" applyBorder="1" applyAlignment="1">
      <alignment horizontal="right" vertical="top" wrapText="1"/>
    </xf>
    <xf numFmtId="9" fontId="15" fillId="20" borderId="13" xfId="19" applyNumberFormat="1" applyFill="1" applyBorder="1"/>
    <xf numFmtId="178" fontId="15" fillId="20" borderId="13" xfId="19" applyNumberFormat="1" applyFill="1" applyBorder="1"/>
    <xf numFmtId="9" fontId="48" fillId="20" borderId="13" xfId="13" applyFont="1" applyFill="1" applyBorder="1"/>
    <xf numFmtId="0" fontId="48" fillId="20" borderId="13" xfId="19" applyFont="1" applyFill="1" applyBorder="1"/>
    <xf numFmtId="9" fontId="15" fillId="2" borderId="13" xfId="13" applyFont="1" applyFill="1" applyBorder="1"/>
    <xf numFmtId="9" fontId="48" fillId="20" borderId="13" xfId="19" applyNumberFormat="1" applyFont="1" applyFill="1" applyBorder="1"/>
    <xf numFmtId="9" fontId="48" fillId="40" borderId="13" xfId="19" applyNumberFormat="1" applyFont="1" applyFill="1" applyBorder="1" applyAlignment="1">
      <alignment horizontal="right"/>
    </xf>
    <xf numFmtId="9" fontId="48" fillId="29" borderId="4" xfId="19" applyNumberFormat="1" applyFont="1" applyFill="1" applyBorder="1" applyAlignment="1">
      <alignment horizontal="right"/>
    </xf>
    <xf numFmtId="0" fontId="15" fillId="29" borderId="4" xfId="19" applyFill="1" applyBorder="1" applyAlignment="1">
      <alignment horizontal="right"/>
    </xf>
    <xf numFmtId="0" fontId="15" fillId="2" borderId="4" xfId="19" applyFill="1" applyBorder="1"/>
    <xf numFmtId="0" fontId="15" fillId="2" borderId="5" xfId="19" applyFill="1" applyBorder="1"/>
    <xf numFmtId="0" fontId="15" fillId="38" borderId="4" xfId="19" applyFill="1" applyBorder="1"/>
    <xf numFmtId="0" fontId="15" fillId="40" borderId="4" xfId="19" applyFill="1" applyBorder="1"/>
    <xf numFmtId="0" fontId="48" fillId="40" borderId="4" xfId="19" applyFont="1" applyFill="1" applyBorder="1"/>
    <xf numFmtId="0" fontId="15" fillId="40" borderId="5" xfId="19" applyFill="1" applyBorder="1"/>
    <xf numFmtId="0" fontId="6" fillId="0" borderId="15" xfId="17" applyFont="1" applyBorder="1" applyAlignment="1">
      <alignment horizontal="left"/>
    </xf>
    <xf numFmtId="168" fontId="15" fillId="0" borderId="0" xfId="19" applyNumberFormat="1"/>
    <xf numFmtId="44" fontId="15" fillId="20" borderId="0" xfId="19" applyNumberFormat="1" applyFill="1"/>
    <xf numFmtId="9" fontId="0" fillId="0" borderId="52" xfId="13" applyFont="1" applyBorder="1"/>
    <xf numFmtId="168" fontId="15" fillId="0" borderId="53" xfId="19" applyNumberFormat="1" applyBorder="1"/>
    <xf numFmtId="6" fontId="15" fillId="0" borderId="0" xfId="19" applyNumberFormat="1"/>
    <xf numFmtId="0" fontId="6" fillId="0" borderId="19" xfId="17" applyFont="1" applyBorder="1" applyAlignment="1">
      <alignment horizontal="left"/>
    </xf>
    <xf numFmtId="9" fontId="0" fillId="0" borderId="52" xfId="13" applyFont="1" applyFill="1" applyBorder="1"/>
    <xf numFmtId="0" fontId="6" fillId="13" borderId="19" xfId="17" applyFont="1" applyFill="1" applyBorder="1" applyAlignment="1">
      <alignment horizontal="left"/>
    </xf>
    <xf numFmtId="178" fontId="0" fillId="0" borderId="52" xfId="13" applyNumberFormat="1" applyFont="1" applyFill="1" applyBorder="1"/>
    <xf numFmtId="0" fontId="15" fillId="0" borderId="35" xfId="19" applyBorder="1"/>
    <xf numFmtId="0" fontId="6" fillId="0" borderId="125" xfId="17" applyFont="1" applyBorder="1" applyAlignment="1">
      <alignment horizontal="left"/>
    </xf>
    <xf numFmtId="167" fontId="4" fillId="0" borderId="3" xfId="8" applyNumberFormat="1" applyFont="1" applyFill="1" applyBorder="1" applyAlignment="1">
      <alignment horizontal="left"/>
    </xf>
    <xf numFmtId="0" fontId="6" fillId="0" borderId="126" xfId="17" applyFont="1" applyBorder="1" applyAlignment="1">
      <alignment horizontal="left"/>
    </xf>
    <xf numFmtId="168" fontId="15" fillId="0" borderId="127" xfId="19" applyNumberFormat="1" applyBorder="1"/>
    <xf numFmtId="168" fontId="15" fillId="0" borderId="66" xfId="19" applyNumberFormat="1" applyBorder="1"/>
    <xf numFmtId="9" fontId="0" fillId="0" borderId="68" xfId="13" applyFont="1" applyBorder="1"/>
    <xf numFmtId="168" fontId="15" fillId="0" borderId="67" xfId="19" applyNumberFormat="1" applyBorder="1"/>
    <xf numFmtId="0" fontId="4" fillId="25" borderId="54" xfId="17" applyFont="1" applyFill="1" applyBorder="1" applyAlignment="1">
      <alignment horizontal="left"/>
    </xf>
    <xf numFmtId="168" fontId="3" fillId="0" borderId="35" xfId="19" applyNumberFormat="1" applyFont="1" applyBorder="1"/>
    <xf numFmtId="44" fontId="3" fillId="20" borderId="35" xfId="19" applyNumberFormat="1" applyFont="1" applyFill="1" applyBorder="1"/>
    <xf numFmtId="0" fontId="15" fillId="0" borderId="54" xfId="19" applyBorder="1"/>
    <xf numFmtId="168" fontId="15" fillId="0" borderId="35" xfId="19" applyNumberFormat="1" applyBorder="1"/>
    <xf numFmtId="168" fontId="3" fillId="0" borderId="128" xfId="19" applyNumberFormat="1" applyFont="1" applyBorder="1"/>
    <xf numFmtId="0" fontId="4" fillId="25" borderId="0" xfId="17" applyFont="1" applyFill="1" applyAlignment="1">
      <alignment horizontal="left"/>
    </xf>
    <xf numFmtId="168" fontId="3" fillId="0" borderId="0" xfId="19" applyNumberFormat="1" applyFont="1"/>
    <xf numFmtId="44" fontId="3" fillId="20" borderId="0" xfId="19" applyNumberFormat="1" applyFont="1" applyFill="1"/>
    <xf numFmtId="0" fontId="6" fillId="0" borderId="17" xfId="17" applyFont="1" applyBorder="1" applyAlignment="1">
      <alignment horizontal="left"/>
    </xf>
    <xf numFmtId="0" fontId="2" fillId="0" borderId="0" xfId="17" applyFont="1"/>
    <xf numFmtId="0" fontId="6" fillId="0" borderId="0" xfId="17" applyFont="1" applyAlignment="1">
      <alignment horizontal="left"/>
    </xf>
    <xf numFmtId="0" fontId="11" fillId="30" borderId="13" xfId="17" applyFont="1" applyFill="1" applyBorder="1" applyAlignment="1">
      <alignment horizontal="left"/>
    </xf>
    <xf numFmtId="0" fontId="11" fillId="30" borderId="13" xfId="17" applyFont="1" applyFill="1" applyBorder="1"/>
    <xf numFmtId="0" fontId="48" fillId="30" borderId="13" xfId="19" applyFont="1" applyFill="1" applyBorder="1"/>
    <xf numFmtId="0" fontId="48" fillId="42" borderId="13" xfId="19" applyFont="1" applyFill="1" applyBorder="1"/>
    <xf numFmtId="0" fontId="48" fillId="30" borderId="4" xfId="19" applyFont="1" applyFill="1" applyBorder="1" applyAlignment="1">
      <alignment horizontal="centerContinuous"/>
    </xf>
    <xf numFmtId="0" fontId="48" fillId="30" borderId="108" xfId="19" applyFont="1" applyFill="1" applyBorder="1" applyAlignment="1">
      <alignment horizontal="centerContinuous"/>
    </xf>
    <xf numFmtId="0" fontId="48" fillId="30" borderId="13" xfId="19" applyFont="1" applyFill="1" applyBorder="1" applyAlignment="1">
      <alignment horizontal="centerContinuous"/>
    </xf>
    <xf numFmtId="0" fontId="48" fillId="30" borderId="0" xfId="19" applyFont="1" applyFill="1" applyAlignment="1">
      <alignment horizontal="centerContinuous"/>
    </xf>
    <xf numFmtId="0" fontId="15" fillId="0" borderId="0" xfId="19" applyAlignment="1">
      <alignment vertical="top"/>
    </xf>
    <xf numFmtId="0" fontId="8" fillId="35" borderId="13" xfId="17" applyFont="1" applyFill="1" applyBorder="1" applyAlignment="1">
      <alignment horizontal="left" vertical="top"/>
    </xf>
    <xf numFmtId="0" fontId="2" fillId="35" borderId="13" xfId="17" applyFont="1" applyFill="1" applyBorder="1" applyAlignment="1">
      <alignment vertical="top"/>
    </xf>
    <xf numFmtId="0" fontId="15" fillId="35" borderId="13" xfId="19" applyFill="1" applyBorder="1" applyAlignment="1">
      <alignment vertical="top"/>
    </xf>
    <xf numFmtId="0" fontId="15" fillId="42" borderId="13" xfId="19" applyFill="1" applyBorder="1" applyAlignment="1">
      <alignment vertical="top"/>
    </xf>
    <xf numFmtId="0" fontId="15" fillId="35" borderId="13" xfId="19" applyFill="1" applyBorder="1" applyAlignment="1">
      <alignment vertical="top" wrapText="1"/>
    </xf>
    <xf numFmtId="0" fontId="15" fillId="35" borderId="111" xfId="19" applyFill="1" applyBorder="1" applyAlignment="1">
      <alignment vertical="top" wrapText="1"/>
    </xf>
    <xf numFmtId="0" fontId="15" fillId="35" borderId="35" xfId="19" applyFill="1" applyBorder="1" applyAlignment="1">
      <alignment vertical="top" wrapText="1"/>
    </xf>
    <xf numFmtId="0" fontId="15" fillId="35" borderId="114" xfId="19" applyFill="1" applyBorder="1"/>
    <xf numFmtId="0" fontId="15" fillId="35" borderId="115" xfId="19" applyFill="1" applyBorder="1" applyAlignment="1">
      <alignment vertical="top" wrapText="1"/>
    </xf>
    <xf numFmtId="0" fontId="15" fillId="35" borderId="114" xfId="19" applyFill="1" applyBorder="1" applyAlignment="1">
      <alignment vertical="top" wrapText="1"/>
    </xf>
    <xf numFmtId="0" fontId="15" fillId="35" borderId="0" xfId="19" applyFill="1"/>
    <xf numFmtId="0" fontId="15" fillId="35" borderId="35" xfId="19" applyFill="1" applyBorder="1"/>
    <xf numFmtId="0" fontId="15" fillId="35" borderId="119" xfId="19" applyFill="1" applyBorder="1"/>
    <xf numFmtId="0" fontId="15" fillId="35" borderId="119" xfId="19" applyFill="1" applyBorder="1" applyAlignment="1">
      <alignment vertical="top" wrapText="1"/>
    </xf>
    <xf numFmtId="0" fontId="8" fillId="35" borderId="35" xfId="17" applyFont="1" applyFill="1" applyBorder="1" applyAlignment="1">
      <alignment horizontal="left" vertical="top"/>
    </xf>
    <xf numFmtId="0" fontId="2" fillId="35" borderId="35" xfId="17" applyFont="1" applyFill="1" applyBorder="1" applyAlignment="1">
      <alignment vertical="top"/>
    </xf>
    <xf numFmtId="0" fontId="15" fillId="35" borderId="35" xfId="19" applyFill="1" applyBorder="1" applyAlignment="1">
      <alignment vertical="top"/>
    </xf>
    <xf numFmtId="0" fontId="15" fillId="42" borderId="35" xfId="19" applyFill="1" applyBorder="1" applyAlignment="1">
      <alignment vertical="top"/>
    </xf>
    <xf numFmtId="0" fontId="15" fillId="35" borderId="122" xfId="19" applyFill="1" applyBorder="1" applyAlignment="1">
      <alignment vertical="top" wrapText="1"/>
    </xf>
    <xf numFmtId="0" fontId="15" fillId="35" borderId="123" xfId="19" applyFill="1" applyBorder="1"/>
    <xf numFmtId="0" fontId="15" fillId="35" borderId="122" xfId="19" applyFill="1" applyBorder="1"/>
    <xf numFmtId="0" fontId="15" fillId="35" borderId="116" xfId="19" applyFill="1" applyBorder="1"/>
    <xf numFmtId="0" fontId="24" fillId="0" borderId="0" xfId="17" applyFont="1"/>
    <xf numFmtId="9" fontId="48" fillId="40" borderId="35" xfId="19" applyNumberFormat="1" applyFont="1" applyFill="1" applyBorder="1"/>
    <xf numFmtId="9" fontId="0" fillId="43" borderId="52" xfId="13" applyFont="1" applyFill="1" applyBorder="1"/>
    <xf numFmtId="9" fontId="0" fillId="0" borderId="0" xfId="13" applyFont="1" applyBorder="1"/>
    <xf numFmtId="167" fontId="4" fillId="0" borderId="129" xfId="8" applyNumberFormat="1" applyFont="1" applyFill="1" applyBorder="1" applyAlignment="1">
      <alignment horizontal="left"/>
    </xf>
    <xf numFmtId="44" fontId="15" fillId="20" borderId="66" xfId="19" applyNumberFormat="1" applyFill="1" applyBorder="1"/>
    <xf numFmtId="6" fontId="15" fillId="0" borderId="67" xfId="19" applyNumberFormat="1" applyBorder="1"/>
    <xf numFmtId="9" fontId="0" fillId="0" borderId="66" xfId="13" applyFont="1" applyBorder="1"/>
    <xf numFmtId="168" fontId="3" fillId="0" borderId="107" xfId="19" applyNumberFormat="1" applyFont="1" applyBorder="1"/>
    <xf numFmtId="0" fontId="15" fillId="0" borderId="107" xfId="19" applyBorder="1"/>
    <xf numFmtId="0" fontId="58" fillId="0" borderId="0" xfId="7" applyFont="1"/>
    <xf numFmtId="0" fontId="48" fillId="30" borderId="0" xfId="19" applyFont="1" applyFill="1" applyAlignment="1">
      <alignment horizontal="right"/>
    </xf>
    <xf numFmtId="9" fontId="48" fillId="30" borderId="49" xfId="19" applyNumberFormat="1" applyFont="1" applyFill="1" applyBorder="1" applyAlignment="1">
      <alignment horizontal="right"/>
    </xf>
    <xf numFmtId="0" fontId="48" fillId="30" borderId="130" xfId="19" applyFont="1" applyFill="1" applyBorder="1" applyAlignment="1">
      <alignment vertical="top"/>
    </xf>
    <xf numFmtId="0" fontId="15" fillId="30" borderId="97" xfId="19" applyFill="1" applyBorder="1"/>
    <xf numFmtId="0" fontId="3" fillId="20" borderId="131" xfId="19" applyFont="1" applyFill="1" applyBorder="1" applyAlignment="1">
      <alignment horizontal="center"/>
    </xf>
    <xf numFmtId="0" fontId="57" fillId="20" borderId="131" xfId="19" applyFont="1" applyFill="1" applyBorder="1" applyAlignment="1">
      <alignment horizontal="left" vertical="center" wrapText="1" readingOrder="1"/>
    </xf>
    <xf numFmtId="0" fontId="56" fillId="20" borderId="110" xfId="19" applyFont="1" applyFill="1" applyBorder="1" applyAlignment="1">
      <alignment horizontal="left" vertical="center" wrapText="1" readingOrder="1"/>
    </xf>
    <xf numFmtId="0" fontId="57" fillId="20" borderId="132" xfId="19" applyFont="1" applyFill="1" applyBorder="1" applyAlignment="1">
      <alignment horizontal="left" vertical="center" wrapText="1" readingOrder="1"/>
    </xf>
    <xf numFmtId="0" fontId="56" fillId="20" borderId="132" xfId="19" applyFont="1" applyFill="1" applyBorder="1" applyAlignment="1">
      <alignment horizontal="left" vertical="center" wrapText="1" readingOrder="1"/>
    </xf>
    <xf numFmtId="0" fontId="56" fillId="20" borderId="131" xfId="19" applyFont="1" applyFill="1" applyBorder="1" applyAlignment="1">
      <alignment horizontal="left" vertical="center" wrapText="1" readingOrder="1"/>
    </xf>
    <xf numFmtId="164" fontId="59" fillId="0" borderId="0" xfId="1" applyFont="1" applyFill="1" applyAlignment="1">
      <alignment horizontal="left" vertical="top"/>
    </xf>
    <xf numFmtId="0" fontId="13" fillId="30" borderId="52" xfId="2" applyFont="1" applyFill="1" applyBorder="1" applyAlignment="1">
      <alignment horizontal="center" vertical="center" wrapText="1"/>
    </xf>
    <xf numFmtId="0" fontId="13" fillId="30" borderId="54" xfId="2" applyFont="1" applyFill="1" applyBorder="1" applyAlignment="1">
      <alignment horizontal="center" vertical="center" wrapText="1"/>
    </xf>
    <xf numFmtId="166" fontId="13" fillId="30" borderId="53" xfId="7" applyNumberFormat="1" applyFont="1" applyFill="1" applyBorder="1" applyAlignment="1">
      <alignment horizontal="center" vertical="center"/>
    </xf>
    <xf numFmtId="166" fontId="13" fillId="30" borderId="55" xfId="7" applyNumberFormat="1" applyFont="1" applyFill="1" applyBorder="1" applyAlignment="1">
      <alignment horizontal="center" vertical="center"/>
    </xf>
    <xf numFmtId="0" fontId="13" fillId="30" borderId="52" xfId="17" applyFont="1" applyFill="1" applyBorder="1" applyAlignment="1">
      <alignment horizontal="center" vertical="center" wrapText="1"/>
    </xf>
    <xf numFmtId="0" fontId="13" fillId="30" borderId="54" xfId="17" applyFont="1" applyFill="1" applyBorder="1" applyAlignment="1">
      <alignment horizontal="center" vertical="center" wrapText="1"/>
    </xf>
    <xf numFmtId="0" fontId="13" fillId="20" borderId="0" xfId="2" applyFont="1" applyFill="1" applyAlignment="1">
      <alignment horizontal="center"/>
    </xf>
    <xf numFmtId="0" fontId="8" fillId="0" borderId="49" xfId="2" applyFont="1" applyBorder="1" applyAlignment="1">
      <alignment horizontal="left"/>
    </xf>
    <xf numFmtId="0" fontId="8" fillId="0" borderId="13" xfId="2" applyFont="1" applyBorder="1" applyAlignment="1">
      <alignment horizontal="left"/>
    </xf>
    <xf numFmtId="0" fontId="8" fillId="0" borderId="17" xfId="2" applyFont="1" applyBorder="1" applyAlignment="1">
      <alignment horizontal="left"/>
    </xf>
    <xf numFmtId="0" fontId="13" fillId="16" borderId="50" xfId="2" applyFont="1" applyFill="1" applyBorder="1" applyAlignment="1">
      <alignment horizontal="center" vertical="center" wrapText="1"/>
    </xf>
    <xf numFmtId="0" fontId="13" fillId="16" borderId="52" xfId="2" applyFont="1" applyFill="1" applyBorder="1" applyAlignment="1">
      <alignment horizontal="center" vertical="center" wrapText="1"/>
    </xf>
    <xf numFmtId="0" fontId="13" fillId="16" borderId="54" xfId="2" applyFont="1" applyFill="1" applyBorder="1" applyAlignment="1">
      <alignment horizontal="center" vertical="center" wrapText="1"/>
    </xf>
    <xf numFmtId="166" fontId="13" fillId="16" borderId="51" xfId="7" applyNumberFormat="1" applyFont="1" applyFill="1" applyBorder="1" applyAlignment="1">
      <alignment horizontal="center" vertical="center"/>
    </xf>
    <xf numFmtId="166" fontId="13" fillId="16" borderId="53" xfId="7" applyNumberFormat="1" applyFont="1" applyFill="1" applyBorder="1" applyAlignment="1">
      <alignment horizontal="center" vertical="center"/>
    </xf>
    <xf numFmtId="166" fontId="13" fillId="16" borderId="55" xfId="7" applyNumberFormat="1" applyFont="1" applyFill="1" applyBorder="1" applyAlignment="1">
      <alignment horizontal="center" vertical="center"/>
    </xf>
    <xf numFmtId="0" fontId="8" fillId="2" borderId="0" xfId="2" applyFont="1" applyFill="1" applyAlignment="1">
      <alignment horizontal="center"/>
    </xf>
  </cellXfs>
  <cellStyles count="21">
    <cellStyle name="Comma 11 2" xfId="16" xr:uid="{C7713FDB-C104-432F-AAD0-9780B196E184}"/>
    <cellStyle name="Comma 2 2" xfId="12" xr:uid="{9373D590-8ECA-43CF-B430-18DEBC28AD35}"/>
    <cellStyle name="Comma 2 2 2" xfId="8" xr:uid="{BEA61D96-674B-41DE-8355-B681E1DA4DF2}"/>
    <cellStyle name="Comma 4 6" xfId="6" xr:uid="{7557890A-CCFD-47B2-85F2-3B98873E7891}"/>
    <cellStyle name="Comma 5 4" xfId="3" xr:uid="{E73F91ED-602B-4CFF-AD9D-B8DE3D09942B}"/>
    <cellStyle name="Comma 7" xfId="1" xr:uid="{DC07EF39-AC5F-4AA7-8856-4173EB12A17C}"/>
    <cellStyle name="Currency 2" xfId="14" xr:uid="{3784475C-FE1D-43A0-9238-C84FA1C05629}"/>
    <cellStyle name="Currency 3 2 4" xfId="9" xr:uid="{C687870D-B4EB-4756-B4C8-475235714BDA}"/>
    <cellStyle name="Normal" xfId="0" builtinId="0"/>
    <cellStyle name="Normal 10 5" xfId="15" xr:uid="{A1089C7A-070F-40C4-8A01-5AFBD82B842D}"/>
    <cellStyle name="Normal 11 2" xfId="19" xr:uid="{C142C762-7420-40DE-A29D-C570BBEA0567}"/>
    <cellStyle name="Normal 2" xfId="18" xr:uid="{605982E6-D762-404C-995B-F395C03CE378}"/>
    <cellStyle name="Normal 4 2" xfId="7" xr:uid="{934CD2E5-319E-4448-AF19-D124D5B4BB06}"/>
    <cellStyle name="Normal 8 2 4" xfId="2" xr:uid="{30CE1DC1-A2B7-4690-B6AA-0CD08EE80D45}"/>
    <cellStyle name="Normal 8 2 4 2" xfId="17" xr:uid="{E57ED0FD-0510-42E7-97CA-50259BE39E1A}"/>
    <cellStyle name="Percent 2" xfId="11" xr:uid="{650C0986-5604-4A9C-BB57-A241DB69BD5D}"/>
    <cellStyle name="Percent 3 2" xfId="13" xr:uid="{7EE1D112-F345-4C0E-9BD7-D9CBD469DFA7}"/>
    <cellStyle name="Percent 4 2" xfId="10" xr:uid="{48D9D496-9B56-4842-8C43-C15E7E6BD6D5}"/>
    <cellStyle name="Percent 4 3" xfId="4" xr:uid="{130383F8-A0AB-487F-98A1-E744F7274AA5}"/>
    <cellStyle name="Percent 4 3 2" xfId="20" xr:uid="{3EAA6EEE-B5A7-4B2F-870B-1469DBF7085D}"/>
    <cellStyle name="Percent 7" xfId="5" xr:uid="{EE5CE810-FF53-45B7-81C8-04C6292E1D73}"/>
  </cellStyles>
  <dxfs count="902">
    <dxf>
      <font>
        <color rgb="FF9C0006"/>
      </font>
      <fill>
        <patternFill>
          <bgColor rgb="FFFFC7CE"/>
        </patternFill>
      </fill>
    </dxf>
    <dxf>
      <font>
        <color rgb="FF9C0006"/>
      </font>
      <fill>
        <patternFill>
          <bgColor rgb="FFFFC7CE"/>
        </patternFill>
      </fill>
    </dxf>
    <dxf>
      <font>
        <color theme="0"/>
      </font>
      <fill>
        <patternFill>
          <bgColor rgb="FFFF0000"/>
        </patternFill>
      </fill>
    </dxf>
    <dxf>
      <fill>
        <patternFill>
          <bgColor theme="6"/>
        </patternFill>
      </fill>
    </dxf>
    <dxf>
      <font>
        <color theme="0"/>
      </font>
      <fill>
        <patternFill>
          <bgColor rgb="FFFF0000"/>
        </patternFill>
      </fill>
    </dxf>
    <dxf>
      <fill>
        <patternFill>
          <bgColor theme="6"/>
        </patternFill>
      </fill>
    </dxf>
    <dxf>
      <font>
        <color theme="0"/>
      </font>
      <fill>
        <patternFill>
          <bgColor rgb="FFFF0000"/>
        </patternFill>
      </fill>
    </dxf>
    <dxf>
      <fill>
        <patternFill>
          <bgColor theme="6"/>
        </patternFill>
      </fill>
    </dxf>
    <dxf>
      <font>
        <color theme="0"/>
      </font>
      <fill>
        <patternFill>
          <bgColor rgb="FFFF0000"/>
        </patternFill>
      </fill>
    </dxf>
    <dxf>
      <fill>
        <patternFill>
          <bgColor theme="6"/>
        </patternFill>
      </fill>
    </dxf>
    <dxf>
      <font>
        <color theme="0"/>
      </font>
      <fill>
        <patternFill>
          <bgColor rgb="FFFF0000"/>
        </patternFill>
      </fill>
    </dxf>
    <dxf>
      <fill>
        <patternFill>
          <bgColor theme="6"/>
        </patternFill>
      </fill>
    </dxf>
    <dxf>
      <font>
        <color theme="0"/>
      </font>
      <fill>
        <patternFill>
          <bgColor rgb="FFFF0000"/>
        </patternFill>
      </fill>
    </dxf>
    <dxf>
      <fill>
        <patternFill>
          <bgColor theme="6"/>
        </patternFill>
      </fill>
    </dxf>
    <dxf>
      <fill>
        <patternFill>
          <bgColor theme="6"/>
        </patternFill>
      </fill>
    </dxf>
    <dxf>
      <font>
        <color theme="0"/>
      </font>
      <fill>
        <patternFill>
          <bgColor rgb="FFFF0000"/>
        </patternFill>
      </fill>
    </dxf>
    <dxf>
      <fill>
        <patternFill>
          <bgColor theme="6"/>
        </patternFill>
      </fill>
    </dxf>
    <dxf>
      <fill>
        <patternFill>
          <bgColor theme="6"/>
        </patternFill>
      </fill>
    </dxf>
    <dxf>
      <font>
        <color theme="0"/>
      </font>
      <fill>
        <patternFill>
          <bgColor rgb="FFFF0000"/>
        </patternFill>
      </fill>
    </dxf>
    <dxf>
      <fill>
        <patternFill>
          <bgColor theme="6"/>
        </patternFill>
      </fill>
    </dxf>
    <dxf>
      <fill>
        <patternFill>
          <bgColor theme="6"/>
        </patternFill>
      </fill>
    </dxf>
    <dxf>
      <font>
        <color theme="0"/>
      </font>
      <fill>
        <patternFill>
          <bgColor rgb="FFFF0000"/>
        </patternFill>
      </fill>
    </dxf>
    <dxf>
      <fill>
        <patternFill>
          <bgColor theme="6"/>
        </patternFill>
      </fill>
    </dxf>
    <dxf>
      <fill>
        <patternFill>
          <bgColor theme="6"/>
        </patternFill>
      </fill>
    </dxf>
    <dxf>
      <font>
        <color theme="0"/>
      </font>
      <fill>
        <patternFill>
          <bgColor rgb="FFFF0000"/>
        </patternFill>
      </fill>
    </dxf>
    <dxf>
      <fill>
        <patternFill>
          <bgColor theme="6"/>
        </patternFill>
      </fill>
    </dxf>
    <dxf>
      <fill>
        <patternFill>
          <bgColor theme="6"/>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6"/>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6"/>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6"/>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6"/>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6"/>
        </patternFill>
      </fill>
    </dxf>
    <dxf>
      <font>
        <color rgb="FF9C0006"/>
      </font>
      <fill>
        <patternFill>
          <bgColor rgb="FFFFC7CE"/>
        </patternFill>
      </fill>
    </dxf>
    <dxf>
      <fill>
        <patternFill>
          <bgColor theme="6" tint="0.59996337778862885"/>
        </patternFill>
      </fill>
    </dxf>
    <dxf>
      <fill>
        <patternFill>
          <bgColor theme="5" tint="0.79998168889431442"/>
        </patternFill>
      </fill>
    </dxf>
    <dxf>
      <font>
        <color rgb="FF9C5700"/>
      </font>
      <fill>
        <patternFill>
          <bgColor rgb="FFFFEB9C"/>
        </patternFill>
      </fill>
    </dxf>
    <dxf>
      <font>
        <color rgb="FF9C0006"/>
      </font>
      <fill>
        <patternFill>
          <bgColor rgb="FFFFC7CE"/>
        </patternFill>
      </fill>
    </dxf>
    <dxf>
      <font>
        <color theme="0"/>
      </font>
      <fill>
        <patternFill>
          <bgColor theme="5"/>
        </patternFill>
      </fill>
    </dxf>
    <dxf>
      <font>
        <color theme="0"/>
      </font>
      <fill>
        <patternFill>
          <bgColor rgb="FF00B050"/>
        </patternFill>
      </fill>
    </dxf>
    <dxf>
      <font>
        <color rgb="FF006100"/>
      </font>
      <fill>
        <patternFill>
          <bgColor rgb="FFC6EFCE"/>
        </patternFill>
      </fill>
    </dxf>
    <dxf>
      <fill>
        <patternFill>
          <bgColor theme="6" tint="0.59996337778862885"/>
        </patternFill>
      </fill>
    </dxf>
    <dxf>
      <fill>
        <patternFill>
          <bgColor theme="5"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theme="0"/>
      </font>
      <fill>
        <patternFill>
          <bgColor theme="5"/>
        </patternFill>
      </fill>
    </dxf>
    <dxf>
      <font>
        <color theme="0"/>
      </font>
      <fill>
        <patternFill>
          <bgColor rgb="FF00B050"/>
        </patternFill>
      </fill>
    </dxf>
    <dxf>
      <font>
        <color rgb="FF006100"/>
      </font>
      <fill>
        <patternFill>
          <bgColor rgb="FFC6EFCE"/>
        </patternFill>
      </fill>
    </dxf>
    <dxf>
      <fill>
        <patternFill>
          <bgColor theme="6" tint="0.59996337778862885"/>
        </patternFill>
      </fill>
    </dxf>
    <dxf>
      <fill>
        <patternFill>
          <bgColor theme="5" tint="0.79998168889431442"/>
        </patternFill>
      </fill>
    </dxf>
    <dxf>
      <font>
        <color rgb="FF9C5700"/>
      </font>
      <fill>
        <patternFill>
          <bgColor rgb="FFFFEB9C"/>
        </patternFill>
      </fill>
    </dxf>
    <dxf>
      <font>
        <color rgb="FF9C0006"/>
      </font>
      <fill>
        <patternFill>
          <bgColor rgb="FFFFC7CE"/>
        </patternFill>
      </fill>
    </dxf>
    <dxf>
      <font>
        <color theme="0"/>
      </font>
      <fill>
        <patternFill>
          <bgColor theme="5"/>
        </patternFill>
      </fill>
    </dxf>
    <dxf>
      <font>
        <color theme="0"/>
      </font>
      <fill>
        <patternFill>
          <bgColor rgb="FF00B050"/>
        </patternFill>
      </fill>
    </dxf>
    <dxf>
      <font>
        <color rgb="FF006100"/>
      </font>
      <fill>
        <patternFill>
          <bgColor rgb="FFC6EFCE"/>
        </patternFill>
      </fill>
    </dxf>
    <dxf>
      <fill>
        <patternFill>
          <bgColor theme="6" tint="0.59996337778862885"/>
        </patternFill>
      </fill>
    </dxf>
    <dxf>
      <fill>
        <patternFill>
          <bgColor theme="5" tint="0.79998168889431442"/>
        </patternFill>
      </fill>
    </dxf>
    <dxf>
      <font>
        <color rgb="FF9C5700"/>
      </font>
      <fill>
        <patternFill>
          <bgColor rgb="FFFFEB9C"/>
        </patternFill>
      </fill>
    </dxf>
    <dxf>
      <font>
        <color rgb="FF9C0006"/>
      </font>
      <fill>
        <patternFill>
          <bgColor rgb="FFFFC7CE"/>
        </patternFill>
      </fill>
    </dxf>
    <dxf>
      <font>
        <color theme="0"/>
      </font>
      <fill>
        <patternFill>
          <bgColor theme="5"/>
        </patternFill>
      </fill>
    </dxf>
    <dxf>
      <font>
        <color theme="0"/>
      </font>
      <fill>
        <patternFill>
          <bgColor rgb="FF00B050"/>
        </patternFill>
      </fill>
    </dxf>
    <dxf>
      <font>
        <color rgb="FF006100"/>
      </font>
      <fill>
        <patternFill>
          <bgColor rgb="FFC6EFCE"/>
        </patternFill>
      </fill>
    </dxf>
    <dxf>
      <fill>
        <patternFill>
          <bgColor theme="5" tint="0.79998168889431442"/>
        </patternFill>
      </fill>
    </dxf>
    <dxf>
      <fill>
        <patternFill>
          <bgColor theme="6" tint="0.59996337778862885"/>
        </patternFill>
      </fill>
    </dxf>
    <dxf>
      <font>
        <color rgb="FF9C0006"/>
      </font>
      <fill>
        <patternFill>
          <bgColor rgb="FFFFC7CE"/>
        </patternFill>
      </fill>
    </dxf>
    <dxf>
      <font>
        <color rgb="FF006100"/>
      </font>
      <fill>
        <patternFill>
          <bgColor rgb="FFC6EFCE"/>
        </patternFill>
      </fill>
    </dxf>
    <dxf>
      <font>
        <color theme="0"/>
      </font>
      <fill>
        <patternFill>
          <bgColor rgb="FF00B050"/>
        </patternFill>
      </fill>
    </dxf>
    <dxf>
      <font>
        <color theme="0"/>
      </font>
      <fill>
        <patternFill>
          <bgColor theme="5"/>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5" tint="0.79998168889431442"/>
        </patternFill>
      </fill>
    </dxf>
    <dxf>
      <fill>
        <patternFill>
          <bgColor theme="6"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rgb="FF00B050"/>
        </patternFill>
      </fill>
    </dxf>
    <dxf>
      <font>
        <color theme="0"/>
      </font>
      <fill>
        <patternFill>
          <bgColor theme="5"/>
        </patternFill>
      </fill>
    </dxf>
    <dxf>
      <font>
        <color rgb="FF9C5700"/>
      </font>
      <fill>
        <patternFill>
          <bgColor rgb="FFFFEB9C"/>
        </patternFill>
      </fill>
    </dxf>
    <dxf>
      <fill>
        <patternFill>
          <bgColor theme="5" tint="0.79998168889431442"/>
        </patternFill>
      </fill>
    </dxf>
    <dxf>
      <fill>
        <patternFill>
          <bgColor theme="6" tint="0.59996337778862885"/>
        </patternFill>
      </fill>
    </dxf>
    <dxf>
      <font>
        <color rgb="FF9C0006"/>
      </font>
      <fill>
        <patternFill>
          <bgColor rgb="FFFFC7CE"/>
        </patternFill>
      </fill>
    </dxf>
    <dxf>
      <font>
        <color rgb="FF9C5700"/>
      </font>
      <fill>
        <patternFill>
          <bgColor rgb="FFFFEB9C"/>
        </patternFill>
      </fill>
    </dxf>
    <dxf>
      <font>
        <color theme="0"/>
      </font>
      <fill>
        <patternFill>
          <bgColor theme="5"/>
        </patternFill>
      </fill>
    </dxf>
    <dxf>
      <font>
        <color theme="0"/>
      </font>
      <fill>
        <patternFill>
          <bgColor rgb="FF00B05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theme="5"/>
        </patternFill>
      </fill>
    </dxf>
    <dxf>
      <font>
        <color theme="0"/>
      </font>
      <fill>
        <patternFill>
          <bgColor rgb="FF00B050"/>
        </patternFill>
      </fill>
    </dxf>
    <dxf>
      <font>
        <color rgb="FF006100"/>
      </font>
      <fill>
        <patternFill>
          <bgColor rgb="FFC6EFCE"/>
        </patternFill>
      </fill>
    </dxf>
    <dxf>
      <fill>
        <patternFill>
          <bgColor theme="5" tint="0.79998168889431442"/>
        </patternFill>
      </fill>
    </dxf>
    <dxf>
      <fill>
        <patternFill>
          <bgColor theme="6" tint="0.59996337778862885"/>
        </patternFill>
      </fill>
    </dxf>
    <dxf>
      <font>
        <color rgb="FF006100"/>
      </font>
      <fill>
        <patternFill>
          <bgColor rgb="FFC6EFCE"/>
        </patternFill>
      </fill>
    </dxf>
    <dxf>
      <font>
        <color theme="0"/>
      </font>
      <fill>
        <patternFill>
          <bgColor rgb="FF00B05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theme="0"/>
      </font>
      <fill>
        <patternFill>
          <bgColor theme="5"/>
        </patternFill>
      </fill>
    </dxf>
    <dxf>
      <font>
        <color theme="0"/>
      </font>
      <fill>
        <patternFill>
          <bgColor rgb="FF00B050"/>
        </patternFill>
      </fill>
    </dxf>
    <dxf>
      <font>
        <color rgb="FF006100"/>
      </font>
      <fill>
        <patternFill>
          <bgColor rgb="FFC6EFCE"/>
        </patternFill>
      </fill>
    </dxf>
    <dxf>
      <font>
        <color rgb="FF9C5700"/>
      </font>
      <fill>
        <patternFill>
          <bgColor rgb="FFFFEB9C"/>
        </patternFill>
      </fill>
    </dxf>
    <dxf>
      <fill>
        <patternFill>
          <bgColor theme="6" tint="0.59996337778862885"/>
        </patternFill>
      </fill>
    </dxf>
    <dxf>
      <fill>
        <patternFill>
          <bgColor theme="5" tint="0.79998168889431442"/>
        </patternFill>
      </fill>
    </dxf>
    <dxf>
      <font>
        <color theme="0"/>
      </font>
      <fill>
        <patternFill>
          <bgColor rgb="FF00B050"/>
        </patternFill>
      </fill>
    </dxf>
    <dxf>
      <font>
        <color theme="0"/>
      </font>
      <fill>
        <patternFill>
          <bgColor theme="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5" tint="0.79998168889431442"/>
        </patternFill>
      </fill>
    </dxf>
    <dxf>
      <fill>
        <patternFill>
          <bgColor theme="6" tint="0.59996337778862885"/>
        </patternFill>
      </fill>
    </dxf>
    <dxf>
      <font>
        <color rgb="FF006100"/>
      </font>
      <fill>
        <patternFill>
          <bgColor rgb="FFC6EFCE"/>
        </patternFill>
      </fill>
    </dxf>
    <dxf>
      <font>
        <color theme="0"/>
      </font>
      <fill>
        <patternFill>
          <bgColor rgb="FF00B050"/>
        </patternFill>
      </fill>
    </dxf>
    <dxf>
      <font>
        <color theme="0"/>
      </font>
      <fill>
        <patternFill>
          <bgColor theme="5"/>
        </patternFill>
      </fill>
    </dxf>
    <dxf>
      <font>
        <color rgb="FF9C0006"/>
      </font>
      <fill>
        <patternFill>
          <bgColor rgb="FFFFC7CE"/>
        </patternFill>
      </fill>
    </dxf>
    <dxf>
      <font>
        <color rgb="FF9C5700"/>
      </font>
      <fill>
        <patternFill>
          <bgColor rgb="FFFFEB9C"/>
        </patternFill>
      </fill>
    </dxf>
    <dxf>
      <fill>
        <patternFill>
          <bgColor theme="6" tint="0.59996337778862885"/>
        </patternFill>
      </fill>
    </dxf>
    <dxf>
      <fill>
        <patternFill>
          <bgColor theme="5"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theme="0"/>
      </font>
      <fill>
        <patternFill>
          <bgColor theme="5"/>
        </patternFill>
      </fill>
    </dxf>
    <dxf>
      <font>
        <color rgb="FF006100"/>
      </font>
      <fill>
        <patternFill>
          <bgColor rgb="FFC6EFCE"/>
        </patternFill>
      </fill>
    </dxf>
    <dxf>
      <font>
        <color theme="0"/>
      </font>
      <fill>
        <patternFill>
          <bgColor rgb="FF00B050"/>
        </patternFill>
      </fill>
    </dxf>
    <dxf>
      <fill>
        <patternFill>
          <bgColor theme="5" tint="0.79998168889431442"/>
        </patternFill>
      </fill>
    </dxf>
    <dxf>
      <fill>
        <patternFill>
          <bgColor theme="6" tint="0.59996337778862885"/>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0"/>
      </font>
      <fill>
        <patternFill>
          <bgColor rgb="FF00B050"/>
        </patternFill>
      </fill>
    </dxf>
    <dxf>
      <font>
        <color theme="0"/>
      </font>
      <fill>
        <patternFill>
          <bgColor theme="5"/>
        </patternFill>
      </fill>
    </dxf>
    <dxf>
      <font>
        <color rgb="FF9C0006"/>
      </font>
      <fill>
        <patternFill>
          <bgColor rgb="FFFFC7CE"/>
        </patternFill>
      </fill>
    </dxf>
    <dxf>
      <font>
        <color rgb="FF9C5700"/>
      </font>
      <fill>
        <patternFill>
          <bgColor rgb="FFFFEB9C"/>
        </patternFill>
      </fill>
    </dxf>
    <dxf>
      <fill>
        <patternFill>
          <bgColor theme="6" tint="0.59996337778862885"/>
        </patternFill>
      </fill>
    </dxf>
    <dxf>
      <fill>
        <patternFill>
          <bgColor theme="5" tint="0.79998168889431442"/>
        </patternFill>
      </fill>
    </dxf>
    <dxf>
      <font>
        <color rgb="FF006100"/>
      </font>
      <fill>
        <patternFill>
          <bgColor rgb="FFC6EFCE"/>
        </patternFill>
      </fill>
    </dxf>
    <dxf>
      <font>
        <color rgb="FF9C0006"/>
      </font>
      <fill>
        <patternFill>
          <bgColor rgb="FFFFC7CE"/>
        </patternFill>
      </fill>
    </dxf>
    <dxf>
      <font>
        <color theme="0"/>
      </font>
      <fill>
        <patternFill>
          <bgColor rgb="FF00B05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theme="5"/>
        </patternFill>
      </fill>
    </dxf>
    <dxf>
      <fill>
        <patternFill>
          <bgColor theme="6" tint="0.59996337778862885"/>
        </patternFill>
      </fill>
    </dxf>
    <dxf>
      <fill>
        <patternFill>
          <bgColor theme="5"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theme="0"/>
      </font>
      <fill>
        <patternFill>
          <bgColor theme="5"/>
        </patternFill>
      </fill>
    </dxf>
    <dxf>
      <font>
        <color theme="0"/>
      </font>
      <fill>
        <patternFill>
          <bgColor rgb="FF00B050"/>
        </patternFill>
      </fill>
    </dxf>
    <dxf>
      <font>
        <color rgb="FF006100"/>
      </font>
      <fill>
        <patternFill>
          <bgColor rgb="FFC6EFCE"/>
        </patternFill>
      </fill>
    </dxf>
    <dxf>
      <fill>
        <patternFill>
          <bgColor theme="6" tint="0.59996337778862885"/>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theme="0"/>
      </font>
      <fill>
        <patternFill>
          <bgColor rgb="FF00B050"/>
        </patternFill>
      </fill>
    </dxf>
    <dxf>
      <font>
        <color rgb="FF9C0006"/>
      </font>
      <fill>
        <patternFill>
          <bgColor rgb="FFFFC7CE"/>
        </patternFill>
      </fill>
    </dxf>
    <dxf>
      <font>
        <color theme="0"/>
      </font>
      <fill>
        <patternFill>
          <bgColor theme="5"/>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0"/>
      </font>
      <fill>
        <patternFill>
          <bgColor rgb="FF00B050"/>
        </patternFill>
      </fill>
    </dxf>
    <dxf>
      <font>
        <color theme="0"/>
      </font>
      <fill>
        <patternFill>
          <bgColor theme="5"/>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0"/>
      </font>
      <fill>
        <patternFill>
          <bgColor rgb="FF00B050"/>
        </patternFill>
      </fill>
    </dxf>
    <dxf>
      <font>
        <color rgb="FF9C5700"/>
      </font>
      <fill>
        <patternFill>
          <bgColor rgb="FFFFEB9C"/>
        </patternFill>
      </fill>
    </dxf>
    <dxf>
      <font>
        <color theme="0"/>
      </font>
      <fill>
        <patternFill>
          <bgColor theme="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rgb="FF00B050"/>
        </patternFill>
      </fill>
    </dxf>
    <dxf>
      <font>
        <color rgb="FF9C5700"/>
      </font>
      <fill>
        <patternFill>
          <bgColor rgb="FFFFEB9C"/>
        </patternFill>
      </fill>
    </dxf>
    <dxf>
      <font>
        <color rgb="FF9C0006"/>
      </font>
      <fill>
        <patternFill>
          <bgColor rgb="FFFFC7CE"/>
        </patternFill>
      </fill>
    </dxf>
    <dxf>
      <font>
        <color theme="0"/>
      </font>
      <fill>
        <patternFill>
          <bgColor theme="5"/>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fill>
        <patternFill>
          <bgColor rgb="FF00B050"/>
        </patternFill>
      </fill>
    </dxf>
    <dxf>
      <font>
        <color rgb="FF9C5700"/>
      </font>
      <fill>
        <patternFill>
          <bgColor rgb="FFFFEB9C"/>
        </patternFill>
      </fill>
    </dxf>
    <dxf>
      <font>
        <color rgb="FF006100"/>
      </font>
      <fill>
        <patternFill>
          <bgColor rgb="FFC6EFCE"/>
        </patternFill>
      </fill>
    </dxf>
    <dxf>
      <font>
        <color theme="0"/>
      </font>
      <fill>
        <patternFill>
          <bgColor theme="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fill>
        <patternFill>
          <bgColor rgb="FF00B050"/>
        </patternFill>
      </fill>
    </dxf>
    <dxf>
      <font>
        <color theme="0"/>
      </font>
      <fill>
        <patternFill>
          <bgColor theme="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rgb="FF00B05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theme="0"/>
      </font>
      <fill>
        <patternFill>
          <bgColor rgb="FF00B05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theme="5"/>
        </patternFill>
      </fill>
    </dxf>
    <dxf>
      <font>
        <color theme="0"/>
      </font>
      <fill>
        <patternFill>
          <bgColor rgb="FF00B050"/>
        </patternFill>
      </fill>
    </dxf>
    <dxf>
      <fill>
        <patternFill>
          <bgColor theme="6" tint="0.59996337778862885"/>
        </patternFill>
      </fill>
    </dxf>
    <dxf>
      <fill>
        <patternFill>
          <bgColor theme="5" tint="0.79998168889431442"/>
        </patternFill>
      </fill>
    </dxf>
    <dxf>
      <font>
        <color rgb="FF006100"/>
      </font>
      <fill>
        <patternFill>
          <bgColor rgb="FFC6EFCE"/>
        </patternFill>
      </fill>
    </dxf>
    <dxf>
      <font>
        <color rgb="FF9C0006"/>
      </font>
      <fill>
        <patternFill>
          <bgColor rgb="FFFFC7CE"/>
        </patternFill>
      </fill>
    </dxf>
    <dxf>
      <font>
        <color theme="0"/>
      </font>
      <fill>
        <patternFill>
          <bgColor theme="5"/>
        </patternFill>
      </fill>
    </dxf>
    <dxf>
      <font>
        <color rgb="FF9C0006"/>
      </font>
      <fill>
        <patternFill>
          <bgColor rgb="FFFFC7CE"/>
        </patternFill>
      </fill>
    </dxf>
    <dxf>
      <font>
        <color rgb="FF9C5700"/>
      </font>
      <fill>
        <patternFill>
          <bgColor rgb="FFFFEB9C"/>
        </patternFill>
      </fill>
    </dxf>
    <dxf>
      <font>
        <color theme="0"/>
      </font>
      <fill>
        <patternFill>
          <bgColor rgb="FF00B050"/>
        </patternFill>
      </fill>
    </dxf>
    <dxf>
      <font>
        <color rgb="FF006100"/>
      </font>
      <fill>
        <patternFill>
          <bgColor rgb="FFC6EFCE"/>
        </patternFill>
      </fill>
    </dxf>
    <dxf>
      <fill>
        <patternFill>
          <bgColor theme="6" tint="0.59996337778862885"/>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theme="0"/>
      </font>
      <fill>
        <patternFill>
          <bgColor rgb="FF00B05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0"/>
      </font>
      <fill>
        <patternFill>
          <bgColor theme="5"/>
        </patternFill>
      </fill>
    </dxf>
    <dxf>
      <fill>
        <patternFill>
          <bgColor theme="5" tint="0.79998168889431442"/>
        </patternFill>
      </fill>
    </dxf>
    <dxf>
      <fill>
        <patternFill>
          <bgColor theme="6" tint="0.59996337778862885"/>
        </patternFill>
      </fill>
    </dxf>
    <dxf>
      <font>
        <color rgb="FF9C0006"/>
      </font>
      <fill>
        <patternFill>
          <bgColor rgb="FFFFC7CE"/>
        </patternFill>
      </fill>
    </dxf>
    <dxf>
      <font>
        <color rgb="FF006100"/>
      </font>
      <fill>
        <patternFill>
          <bgColor rgb="FFC6EFCE"/>
        </patternFill>
      </fill>
    </dxf>
    <dxf>
      <font>
        <color theme="0"/>
      </font>
      <fill>
        <patternFill>
          <bgColor theme="5"/>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fill>
        <patternFill>
          <bgColor rgb="FF00B05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bgColor theme="5"/>
        </patternFill>
      </fill>
    </dxf>
    <dxf>
      <font>
        <color rgb="FF006100"/>
      </font>
      <fill>
        <patternFill>
          <bgColor rgb="FFC6EFCE"/>
        </patternFill>
      </fill>
    </dxf>
    <dxf>
      <font>
        <color theme="0"/>
      </font>
      <fill>
        <patternFill>
          <bgColor rgb="FF00B050"/>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theme="0"/>
      </font>
      <fill>
        <patternFill>
          <bgColor rgb="FF00B050"/>
        </patternFill>
      </fill>
    </dxf>
    <dxf>
      <fill>
        <patternFill>
          <bgColor theme="6" tint="0.59996337778862885"/>
        </patternFill>
      </fill>
    </dxf>
    <dxf>
      <fill>
        <patternFill>
          <bgColor theme="5"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bgColor rgb="FF00B050"/>
        </patternFill>
      </fill>
    </dxf>
    <dxf>
      <font>
        <color rgb="FF9C5700"/>
      </font>
      <fill>
        <patternFill>
          <bgColor rgb="FFFFEB9C"/>
        </patternFill>
      </fill>
    </dxf>
    <dxf>
      <font>
        <color rgb="FF9C0006"/>
      </font>
      <fill>
        <patternFill>
          <bgColor rgb="FFFFC7CE"/>
        </patternFill>
      </fill>
    </dxf>
    <dxf>
      <font>
        <color theme="0"/>
      </font>
      <fill>
        <patternFill>
          <bgColor theme="5"/>
        </patternFill>
      </fill>
    </dxf>
    <dxf>
      <fill>
        <patternFill>
          <bgColor theme="5" tint="0.79998168889431442"/>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ont>
        <color theme="0"/>
      </font>
      <fill>
        <patternFill>
          <bgColor rgb="FF00B050"/>
        </patternFill>
      </fill>
    </dxf>
    <dxf>
      <font>
        <color rgb="FF9C0006"/>
      </font>
      <fill>
        <patternFill>
          <bgColor rgb="FFFFC7CE"/>
        </patternFill>
      </fill>
    </dxf>
    <dxf>
      <font>
        <color theme="0"/>
      </font>
      <fill>
        <patternFill>
          <bgColor theme="5"/>
        </patternFill>
      </fill>
    </dxf>
    <dxf>
      <font>
        <color rgb="FF006100"/>
      </font>
      <fill>
        <patternFill>
          <bgColor rgb="FFC6EFCE"/>
        </patternFill>
      </fill>
    </dxf>
    <dxf>
      <font>
        <color rgb="FF9C5700"/>
      </font>
      <fill>
        <patternFill>
          <bgColor rgb="FFFFEB9C"/>
        </patternFill>
      </fill>
    </dxf>
    <dxf>
      <fill>
        <patternFill>
          <bgColor theme="5" tint="0.79998168889431442"/>
        </patternFill>
      </fill>
    </dxf>
    <dxf>
      <fill>
        <patternFill>
          <bgColor theme="6"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fill>
        <patternFill>
          <bgColor theme="5"/>
        </patternFill>
      </fill>
    </dxf>
    <dxf>
      <font>
        <color theme="0"/>
      </font>
      <fill>
        <patternFill>
          <bgColor rgb="FF00B050"/>
        </patternFill>
      </fill>
    </dxf>
    <dxf>
      <fill>
        <patternFill>
          <bgColor theme="6" tint="0.59996337778862885"/>
        </patternFill>
      </fill>
    </dxf>
    <dxf>
      <fill>
        <patternFill>
          <bgColor theme="5" tint="0.79998168889431442"/>
        </patternFill>
      </fill>
    </dxf>
    <dxf>
      <font>
        <color rgb="FF006100"/>
      </font>
      <fill>
        <patternFill>
          <bgColor rgb="FFC6EFCE"/>
        </patternFill>
      </fill>
    </dxf>
    <dxf>
      <font>
        <color rgb="FF9C0006"/>
      </font>
      <fill>
        <patternFill>
          <bgColor rgb="FFFFC7CE"/>
        </patternFill>
      </fill>
    </dxf>
    <dxf>
      <font>
        <color theme="0"/>
      </font>
      <fill>
        <patternFill>
          <bgColor rgb="FF00B050"/>
        </patternFill>
      </fill>
    </dxf>
    <dxf>
      <font>
        <color theme="0"/>
      </font>
      <fill>
        <patternFill>
          <bgColor theme="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FF0000"/>
      </font>
    </dxf>
    <dxf>
      <font>
        <color theme="8"/>
      </font>
      <fill>
        <patternFill>
          <bgColor theme="8"/>
        </patternFill>
      </fill>
    </dxf>
    <dxf>
      <font>
        <color rgb="FF7030A0"/>
      </font>
      <fill>
        <patternFill>
          <bgColor rgb="FF7030A0"/>
        </patternFill>
      </fill>
    </dxf>
    <dxf>
      <font>
        <color theme="5"/>
      </font>
      <fill>
        <patternFill>
          <fgColor theme="5"/>
          <bgColor rgb="FF7030A0"/>
        </patternFill>
      </fill>
    </dxf>
    <dxf>
      <font>
        <color theme="3" tint="-0.499984740745262"/>
      </font>
      <fill>
        <patternFill>
          <bgColor theme="3" tint="-0.499984740745262"/>
        </patternFill>
      </fill>
    </dxf>
    <dxf>
      <font>
        <color theme="9"/>
      </font>
      <fill>
        <patternFill>
          <bgColor theme="9"/>
        </patternFill>
      </fill>
    </dxf>
    <dxf>
      <font>
        <color rgb="FF7030A0"/>
      </font>
      <fill>
        <patternFill>
          <bgColor rgb="FF7030A0"/>
        </patternFill>
      </fill>
    </dxf>
    <dxf>
      <font>
        <color rgb="FF00B050"/>
      </font>
      <fill>
        <patternFill>
          <bgColor rgb="FF00B050"/>
        </patternFill>
      </fill>
    </dxf>
    <dxf>
      <font>
        <color theme="5" tint="-0.499984740745262"/>
      </font>
      <fill>
        <patternFill>
          <bgColor theme="5" tint="-0.499984740745262"/>
        </patternFill>
      </fill>
    </dxf>
    <dxf>
      <font>
        <color theme="3" tint="-0.499984740745262"/>
      </font>
      <fill>
        <patternFill>
          <bgColor theme="3" tint="-0.499984740745262"/>
        </patternFill>
      </fill>
    </dxf>
    <dxf>
      <font>
        <color theme="9"/>
      </font>
      <fill>
        <patternFill>
          <bgColor theme="9"/>
        </patternFill>
      </fill>
    </dxf>
    <dxf>
      <font>
        <color theme="8"/>
      </font>
      <fill>
        <patternFill>
          <bgColor theme="8"/>
        </patternFill>
      </fill>
    </dxf>
    <dxf>
      <font>
        <color theme="5" tint="-0.499984740745262"/>
      </font>
      <fill>
        <patternFill>
          <bgColor theme="5" tint="-0.499984740745262"/>
        </patternFill>
      </fill>
    </dxf>
    <dxf>
      <font>
        <color theme="3" tint="-0.499984740745262"/>
      </font>
      <fill>
        <patternFill>
          <bgColor theme="3" tint="-0.499984740745262"/>
        </patternFill>
      </fill>
    </dxf>
    <dxf>
      <font>
        <color rgb="FF7030A0"/>
      </font>
      <fill>
        <patternFill>
          <bgColor rgb="FF7030A0"/>
        </patternFill>
      </fill>
    </dxf>
    <dxf>
      <font>
        <color theme="8"/>
      </font>
      <fill>
        <patternFill>
          <bgColor theme="8"/>
        </patternFill>
      </fill>
    </dxf>
    <dxf>
      <font>
        <color theme="9"/>
      </font>
      <fill>
        <patternFill>
          <bgColor theme="9"/>
        </patternFill>
      </fill>
    </dxf>
    <dxf>
      <font>
        <color rgb="FF00B050"/>
      </font>
      <fill>
        <patternFill>
          <bgColor rgb="FF00B050"/>
        </patternFill>
      </fill>
    </dxf>
    <dxf>
      <font>
        <color theme="5" tint="-0.499984740745262"/>
      </font>
      <fill>
        <patternFill>
          <bgColor theme="5" tint="-0.499984740745262"/>
        </patternFill>
      </fill>
    </dxf>
    <dxf>
      <font>
        <color theme="3" tint="-0.499984740745262"/>
      </font>
      <fill>
        <patternFill>
          <bgColor theme="3" tint="-0.499984740745262"/>
        </patternFill>
      </fill>
    </dxf>
    <dxf>
      <font>
        <color theme="9"/>
      </font>
      <fill>
        <patternFill>
          <bgColor theme="9"/>
        </patternFill>
      </fill>
    </dxf>
    <dxf>
      <font>
        <color theme="8"/>
      </font>
      <fill>
        <patternFill>
          <bgColor theme="8"/>
        </patternFill>
      </fill>
    </dxf>
    <dxf>
      <font>
        <color rgb="FF7030A0"/>
      </font>
      <fill>
        <patternFill>
          <bgColor rgb="FF7030A0"/>
        </patternFill>
      </fill>
    </dxf>
    <dxf>
      <font>
        <color rgb="FF00B050"/>
      </font>
      <fill>
        <patternFill>
          <bgColor rgb="FF00B05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FF0000"/>
      </font>
    </dxf>
    <dxf>
      <font>
        <color theme="8"/>
      </font>
      <fill>
        <patternFill>
          <bgColor theme="8"/>
        </patternFill>
      </fill>
    </dxf>
    <dxf>
      <font>
        <color rgb="FF7030A0"/>
      </font>
      <fill>
        <patternFill>
          <bgColor rgb="FF7030A0"/>
        </patternFill>
      </fill>
    </dxf>
    <dxf>
      <font>
        <color theme="5"/>
      </font>
      <fill>
        <patternFill>
          <fgColor theme="5"/>
          <bgColor rgb="FF7030A0"/>
        </patternFill>
      </fill>
    </dxf>
    <dxf>
      <font>
        <color theme="3" tint="-0.499984740745262"/>
      </font>
      <fill>
        <patternFill>
          <bgColor theme="3" tint="-0.499984740745262"/>
        </patternFill>
      </fill>
    </dxf>
    <dxf>
      <font>
        <color theme="9"/>
      </font>
      <fill>
        <patternFill>
          <bgColor theme="9"/>
        </patternFill>
      </fill>
    </dxf>
    <dxf>
      <font>
        <color rgb="FF7030A0"/>
      </font>
      <fill>
        <patternFill>
          <bgColor rgb="FF7030A0"/>
        </patternFill>
      </fill>
    </dxf>
    <dxf>
      <font>
        <color rgb="FF00B050"/>
      </font>
      <fill>
        <patternFill>
          <bgColor rgb="FF00B050"/>
        </patternFill>
      </fill>
    </dxf>
    <dxf>
      <font>
        <color theme="5" tint="-0.499984740745262"/>
      </font>
      <fill>
        <patternFill>
          <bgColor theme="5" tint="-0.499984740745262"/>
        </patternFill>
      </fill>
    </dxf>
    <dxf>
      <font>
        <color theme="3" tint="-0.499984740745262"/>
      </font>
      <fill>
        <patternFill>
          <bgColor theme="3" tint="-0.499984740745262"/>
        </patternFill>
      </fill>
    </dxf>
    <dxf>
      <font>
        <color theme="9"/>
      </font>
      <fill>
        <patternFill>
          <bgColor theme="9"/>
        </patternFill>
      </fill>
    </dxf>
    <dxf>
      <font>
        <color theme="8"/>
      </font>
      <fill>
        <patternFill>
          <bgColor theme="8"/>
        </patternFill>
      </fill>
    </dxf>
    <dxf>
      <font>
        <color theme="5" tint="-0.499984740745262"/>
      </font>
      <fill>
        <patternFill>
          <bgColor theme="5" tint="-0.499984740745262"/>
        </patternFill>
      </fill>
    </dxf>
    <dxf>
      <font>
        <color theme="3" tint="-0.499984740745262"/>
      </font>
      <fill>
        <patternFill>
          <bgColor theme="3" tint="-0.499984740745262"/>
        </patternFill>
      </fill>
    </dxf>
    <dxf>
      <font>
        <color rgb="FF7030A0"/>
      </font>
      <fill>
        <patternFill>
          <bgColor rgb="FF7030A0"/>
        </patternFill>
      </fill>
    </dxf>
    <dxf>
      <font>
        <color theme="8"/>
      </font>
      <fill>
        <patternFill>
          <bgColor theme="8"/>
        </patternFill>
      </fill>
    </dxf>
    <dxf>
      <font>
        <color theme="9"/>
      </font>
      <fill>
        <patternFill>
          <bgColor theme="9"/>
        </patternFill>
      </fill>
    </dxf>
    <dxf>
      <font>
        <color rgb="FF00B050"/>
      </font>
      <fill>
        <patternFill>
          <bgColor rgb="FF00B050"/>
        </patternFill>
      </fill>
    </dxf>
    <dxf>
      <font>
        <color theme="5" tint="-0.499984740745262"/>
      </font>
      <fill>
        <patternFill>
          <bgColor theme="5" tint="-0.499984740745262"/>
        </patternFill>
      </fill>
    </dxf>
    <dxf>
      <font>
        <color theme="3" tint="-0.499984740745262"/>
      </font>
      <fill>
        <patternFill>
          <bgColor theme="3" tint="-0.499984740745262"/>
        </patternFill>
      </fill>
    </dxf>
    <dxf>
      <font>
        <color theme="9"/>
      </font>
      <fill>
        <patternFill>
          <bgColor theme="9"/>
        </patternFill>
      </fill>
    </dxf>
    <dxf>
      <font>
        <color theme="8"/>
      </font>
      <fill>
        <patternFill>
          <bgColor theme="8"/>
        </patternFill>
      </fill>
    </dxf>
    <dxf>
      <font>
        <color rgb="FF7030A0"/>
      </font>
      <fill>
        <patternFill>
          <bgColor rgb="FF7030A0"/>
        </patternFill>
      </fill>
    </dxf>
    <dxf>
      <font>
        <color rgb="FF00B050"/>
      </font>
      <fill>
        <patternFill>
          <bgColor rgb="FF00B05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FF0000"/>
      </font>
    </dxf>
    <dxf>
      <font>
        <color theme="8"/>
      </font>
      <fill>
        <patternFill>
          <bgColor theme="8"/>
        </patternFill>
      </fill>
    </dxf>
    <dxf>
      <font>
        <color rgb="FF7030A0"/>
      </font>
      <fill>
        <patternFill>
          <bgColor rgb="FF7030A0"/>
        </patternFill>
      </fill>
    </dxf>
    <dxf>
      <font>
        <color theme="5"/>
      </font>
      <fill>
        <patternFill>
          <fgColor theme="5"/>
          <bgColor rgb="FF7030A0"/>
        </patternFill>
      </fill>
    </dxf>
    <dxf>
      <font>
        <color theme="3" tint="-0.499984740745262"/>
      </font>
      <fill>
        <patternFill>
          <bgColor theme="3" tint="-0.499984740745262"/>
        </patternFill>
      </fill>
    </dxf>
    <dxf>
      <font>
        <color theme="9"/>
      </font>
      <fill>
        <patternFill>
          <bgColor theme="9"/>
        </patternFill>
      </fill>
    </dxf>
    <dxf>
      <font>
        <color rgb="FF7030A0"/>
      </font>
      <fill>
        <patternFill>
          <bgColor rgb="FF7030A0"/>
        </patternFill>
      </fill>
    </dxf>
    <dxf>
      <font>
        <color rgb="FF00B050"/>
      </font>
      <fill>
        <patternFill>
          <bgColor rgb="FF00B050"/>
        </patternFill>
      </fill>
    </dxf>
    <dxf>
      <font>
        <color theme="5" tint="-0.499984740745262"/>
      </font>
      <fill>
        <patternFill>
          <bgColor theme="5" tint="-0.499984740745262"/>
        </patternFill>
      </fill>
    </dxf>
    <dxf>
      <font>
        <color theme="3" tint="-0.499984740745262"/>
      </font>
      <fill>
        <patternFill>
          <bgColor theme="3" tint="-0.499984740745262"/>
        </patternFill>
      </fill>
    </dxf>
    <dxf>
      <font>
        <color theme="9"/>
      </font>
      <fill>
        <patternFill>
          <bgColor theme="9"/>
        </patternFill>
      </fill>
    </dxf>
    <dxf>
      <font>
        <color theme="8"/>
      </font>
      <fill>
        <patternFill>
          <bgColor theme="8"/>
        </patternFill>
      </fill>
    </dxf>
    <dxf>
      <font>
        <color theme="5" tint="-0.499984740745262"/>
      </font>
      <fill>
        <patternFill>
          <bgColor theme="5" tint="-0.499984740745262"/>
        </patternFill>
      </fill>
    </dxf>
    <dxf>
      <font>
        <color theme="3" tint="-0.499984740745262"/>
      </font>
      <fill>
        <patternFill>
          <bgColor theme="3" tint="-0.499984740745262"/>
        </patternFill>
      </fill>
    </dxf>
    <dxf>
      <font>
        <color rgb="FF7030A0"/>
      </font>
      <fill>
        <patternFill>
          <bgColor rgb="FF7030A0"/>
        </patternFill>
      </fill>
    </dxf>
    <dxf>
      <font>
        <color theme="8"/>
      </font>
      <fill>
        <patternFill>
          <bgColor theme="8"/>
        </patternFill>
      </fill>
    </dxf>
    <dxf>
      <font>
        <color theme="9"/>
      </font>
      <fill>
        <patternFill>
          <bgColor theme="9"/>
        </patternFill>
      </fill>
    </dxf>
    <dxf>
      <font>
        <color rgb="FF00B050"/>
      </font>
      <fill>
        <patternFill>
          <bgColor rgb="FF00B050"/>
        </patternFill>
      </fill>
    </dxf>
    <dxf>
      <font>
        <color theme="5" tint="-0.499984740745262"/>
      </font>
      <fill>
        <patternFill>
          <bgColor theme="5" tint="-0.499984740745262"/>
        </patternFill>
      </fill>
    </dxf>
    <dxf>
      <font>
        <color theme="3" tint="-0.499984740745262"/>
      </font>
      <fill>
        <patternFill>
          <bgColor theme="3" tint="-0.499984740745262"/>
        </patternFill>
      </fill>
    </dxf>
    <dxf>
      <font>
        <color theme="9"/>
      </font>
      <fill>
        <patternFill>
          <bgColor theme="9"/>
        </patternFill>
      </fill>
    </dxf>
    <dxf>
      <font>
        <color theme="8"/>
      </font>
      <fill>
        <patternFill>
          <bgColor theme="8"/>
        </patternFill>
      </fill>
    </dxf>
    <dxf>
      <font>
        <color rgb="FF7030A0"/>
      </font>
      <fill>
        <patternFill>
          <bgColor rgb="FF7030A0"/>
        </patternFill>
      </fill>
    </dxf>
    <dxf>
      <font>
        <color rgb="FF00B050"/>
      </font>
      <fill>
        <patternFill>
          <bgColor rgb="FF00B05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FF0000"/>
      </font>
    </dxf>
    <dxf>
      <font>
        <color theme="8"/>
      </font>
      <fill>
        <patternFill>
          <bgColor theme="8"/>
        </patternFill>
      </fill>
    </dxf>
    <dxf>
      <font>
        <color rgb="FF7030A0"/>
      </font>
      <fill>
        <patternFill>
          <bgColor rgb="FF7030A0"/>
        </patternFill>
      </fill>
    </dxf>
    <dxf>
      <font>
        <color theme="5"/>
      </font>
      <fill>
        <patternFill>
          <fgColor theme="5"/>
          <bgColor rgb="FF7030A0"/>
        </patternFill>
      </fill>
    </dxf>
    <dxf>
      <font>
        <color theme="3" tint="-0.499984740745262"/>
      </font>
      <fill>
        <patternFill>
          <bgColor theme="3" tint="-0.499984740745262"/>
        </patternFill>
      </fill>
    </dxf>
    <dxf>
      <font>
        <color theme="9"/>
      </font>
      <fill>
        <patternFill>
          <bgColor theme="9"/>
        </patternFill>
      </fill>
    </dxf>
    <dxf>
      <font>
        <color rgb="FF7030A0"/>
      </font>
      <fill>
        <patternFill>
          <bgColor rgb="FF7030A0"/>
        </patternFill>
      </fill>
    </dxf>
    <dxf>
      <font>
        <color rgb="FF00B050"/>
      </font>
      <fill>
        <patternFill>
          <bgColor rgb="FF00B050"/>
        </patternFill>
      </fill>
    </dxf>
    <dxf>
      <font>
        <color theme="5" tint="-0.499984740745262"/>
      </font>
      <fill>
        <patternFill>
          <bgColor theme="5" tint="-0.499984740745262"/>
        </patternFill>
      </fill>
    </dxf>
    <dxf>
      <font>
        <color theme="3" tint="-0.499984740745262"/>
      </font>
      <fill>
        <patternFill>
          <bgColor theme="3" tint="-0.499984740745262"/>
        </patternFill>
      </fill>
    </dxf>
    <dxf>
      <font>
        <color theme="9"/>
      </font>
      <fill>
        <patternFill>
          <bgColor theme="9"/>
        </patternFill>
      </fill>
    </dxf>
    <dxf>
      <font>
        <color theme="8"/>
      </font>
      <fill>
        <patternFill>
          <bgColor theme="8"/>
        </patternFill>
      </fill>
    </dxf>
    <dxf>
      <font>
        <color theme="5" tint="-0.499984740745262"/>
      </font>
      <fill>
        <patternFill>
          <bgColor theme="5" tint="-0.499984740745262"/>
        </patternFill>
      </fill>
    </dxf>
    <dxf>
      <font>
        <color theme="3" tint="-0.499984740745262"/>
      </font>
      <fill>
        <patternFill>
          <bgColor theme="3" tint="-0.499984740745262"/>
        </patternFill>
      </fill>
    </dxf>
    <dxf>
      <font>
        <color rgb="FF7030A0"/>
      </font>
      <fill>
        <patternFill>
          <bgColor rgb="FF7030A0"/>
        </patternFill>
      </fill>
    </dxf>
    <dxf>
      <font>
        <color theme="8"/>
      </font>
      <fill>
        <patternFill>
          <bgColor theme="8"/>
        </patternFill>
      </fill>
    </dxf>
    <dxf>
      <font>
        <color theme="9"/>
      </font>
      <fill>
        <patternFill>
          <bgColor theme="9"/>
        </patternFill>
      </fill>
    </dxf>
    <dxf>
      <font>
        <color rgb="FF00B050"/>
      </font>
      <fill>
        <patternFill>
          <bgColor rgb="FF00B050"/>
        </patternFill>
      </fill>
    </dxf>
    <dxf>
      <font>
        <color theme="5" tint="-0.499984740745262"/>
      </font>
      <fill>
        <patternFill>
          <bgColor theme="5" tint="-0.499984740745262"/>
        </patternFill>
      </fill>
    </dxf>
    <dxf>
      <font>
        <color theme="3" tint="-0.499984740745262"/>
      </font>
      <fill>
        <patternFill>
          <bgColor theme="3" tint="-0.499984740745262"/>
        </patternFill>
      </fill>
    </dxf>
    <dxf>
      <font>
        <color theme="9"/>
      </font>
      <fill>
        <patternFill>
          <bgColor theme="9"/>
        </patternFill>
      </fill>
    </dxf>
    <dxf>
      <font>
        <color theme="8"/>
      </font>
      <fill>
        <patternFill>
          <bgColor theme="8"/>
        </patternFill>
      </fill>
    </dxf>
    <dxf>
      <font>
        <color rgb="FF7030A0"/>
      </font>
      <fill>
        <patternFill>
          <bgColor rgb="FF7030A0"/>
        </patternFill>
      </fill>
    </dxf>
    <dxf>
      <font>
        <color rgb="FF00B050"/>
      </font>
      <fill>
        <patternFill>
          <bgColor rgb="FF00B05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FF0000"/>
      </font>
    </dxf>
    <dxf>
      <font>
        <color theme="8"/>
      </font>
      <fill>
        <patternFill>
          <bgColor theme="8"/>
        </patternFill>
      </fill>
    </dxf>
    <dxf>
      <font>
        <color rgb="FF7030A0"/>
      </font>
      <fill>
        <patternFill>
          <bgColor rgb="FF7030A0"/>
        </patternFill>
      </fill>
    </dxf>
    <dxf>
      <font>
        <color theme="5"/>
      </font>
      <fill>
        <patternFill>
          <fgColor theme="5"/>
          <bgColor rgb="FF7030A0"/>
        </patternFill>
      </fill>
    </dxf>
    <dxf>
      <font>
        <color theme="3" tint="-0.499984740745262"/>
      </font>
      <fill>
        <patternFill>
          <bgColor theme="3" tint="-0.499984740745262"/>
        </patternFill>
      </fill>
    </dxf>
    <dxf>
      <font>
        <color theme="9"/>
      </font>
      <fill>
        <patternFill>
          <bgColor theme="9"/>
        </patternFill>
      </fill>
    </dxf>
    <dxf>
      <font>
        <color rgb="FF7030A0"/>
      </font>
      <fill>
        <patternFill>
          <bgColor rgb="FF7030A0"/>
        </patternFill>
      </fill>
    </dxf>
    <dxf>
      <font>
        <color rgb="FF00B050"/>
      </font>
      <fill>
        <patternFill>
          <bgColor rgb="FF00B050"/>
        </patternFill>
      </fill>
    </dxf>
    <dxf>
      <font>
        <color theme="5" tint="-0.499984740745262"/>
      </font>
      <fill>
        <patternFill>
          <bgColor theme="5" tint="-0.499984740745262"/>
        </patternFill>
      </fill>
    </dxf>
    <dxf>
      <font>
        <color theme="3" tint="-0.499984740745262"/>
      </font>
      <fill>
        <patternFill>
          <bgColor theme="3" tint="-0.499984740745262"/>
        </patternFill>
      </fill>
    </dxf>
    <dxf>
      <font>
        <color theme="9"/>
      </font>
      <fill>
        <patternFill>
          <bgColor theme="9"/>
        </patternFill>
      </fill>
    </dxf>
    <dxf>
      <font>
        <color theme="8"/>
      </font>
      <fill>
        <patternFill>
          <bgColor theme="8"/>
        </patternFill>
      </fill>
    </dxf>
    <dxf>
      <font>
        <color theme="5" tint="-0.499984740745262"/>
      </font>
      <fill>
        <patternFill>
          <bgColor theme="5" tint="-0.499984740745262"/>
        </patternFill>
      </fill>
    </dxf>
    <dxf>
      <font>
        <color theme="3" tint="-0.499984740745262"/>
      </font>
      <fill>
        <patternFill>
          <bgColor theme="3" tint="-0.499984740745262"/>
        </patternFill>
      </fill>
    </dxf>
    <dxf>
      <font>
        <color rgb="FF7030A0"/>
      </font>
      <fill>
        <patternFill>
          <bgColor rgb="FF7030A0"/>
        </patternFill>
      </fill>
    </dxf>
    <dxf>
      <font>
        <color theme="8"/>
      </font>
      <fill>
        <patternFill>
          <bgColor theme="8"/>
        </patternFill>
      </fill>
    </dxf>
    <dxf>
      <font>
        <color theme="9"/>
      </font>
      <fill>
        <patternFill>
          <bgColor theme="9"/>
        </patternFill>
      </fill>
    </dxf>
    <dxf>
      <font>
        <color rgb="FF00B050"/>
      </font>
      <fill>
        <patternFill>
          <bgColor rgb="FF00B050"/>
        </patternFill>
      </fill>
    </dxf>
    <dxf>
      <font>
        <color theme="5" tint="-0.499984740745262"/>
      </font>
      <fill>
        <patternFill>
          <bgColor theme="5" tint="-0.499984740745262"/>
        </patternFill>
      </fill>
    </dxf>
    <dxf>
      <font>
        <color theme="3" tint="-0.499984740745262"/>
      </font>
      <fill>
        <patternFill>
          <bgColor theme="3" tint="-0.499984740745262"/>
        </patternFill>
      </fill>
    </dxf>
    <dxf>
      <font>
        <color theme="9"/>
      </font>
      <fill>
        <patternFill>
          <bgColor theme="9"/>
        </patternFill>
      </fill>
    </dxf>
    <dxf>
      <font>
        <color theme="8"/>
      </font>
      <fill>
        <patternFill>
          <bgColor theme="8"/>
        </patternFill>
      </fill>
    </dxf>
    <dxf>
      <font>
        <color rgb="FF7030A0"/>
      </font>
      <fill>
        <patternFill>
          <bgColor rgb="FF7030A0"/>
        </patternFill>
      </fill>
    </dxf>
    <dxf>
      <font>
        <color rgb="FF00B050"/>
      </font>
      <fill>
        <patternFill>
          <bgColor rgb="FF00B05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FY24-26 Comparison Between</a:t>
            </a:r>
            <a:r>
              <a:rPr lang="en-US" sz="2000" b="1" baseline="0"/>
              <a:t> Base Scenario and Combination Alternative</a:t>
            </a:r>
          </a:p>
          <a:p>
            <a:pPr>
              <a:defRPr sz="2000" b="1"/>
            </a:pPr>
            <a:r>
              <a:rPr lang="en-US" sz="1800" b="0" baseline="0"/>
              <a:t>X-Axis = Amount Change ; Y-Axis = Percent Change </a:t>
            </a:r>
            <a:endParaRPr lang="en-US" sz="1800" b="0"/>
          </a:p>
        </c:rich>
      </c:tx>
      <c:layout>
        <c:manualLayout>
          <c:xMode val="edge"/>
          <c:yMode val="edge"/>
          <c:x val="0.11676045613752206"/>
          <c:y val="0"/>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422252961623029E-2"/>
          <c:y val="0.10607523441195292"/>
          <c:w val="0.8662781974888274"/>
          <c:h val="0.88339222614840984"/>
        </c:manualLayout>
      </c:layout>
      <c:scatterChart>
        <c:scatterStyle val="lineMarker"/>
        <c:varyColors val="0"/>
        <c:ser>
          <c:idx val="0"/>
          <c:order val="0"/>
          <c:tx>
            <c:strRef>
              <c:f>'Summary Table'!$AJ$5:$AJ$43</c:f>
              <c:strCache>
                <c:ptCount val="39"/>
                <c:pt idx="0">
                  <c:v>AASC/ 4 County</c:v>
                </c:pt>
                <c:pt idx="1">
                  <c:v>City of Bristol Virginia</c:v>
                </c:pt>
                <c:pt idx="2">
                  <c:v>District Three</c:v>
                </c:pt>
                <c:pt idx="3">
                  <c:v>MEOC</c:v>
                </c:pt>
                <c:pt idx="4">
                  <c:v>Bluefield-Graham </c:v>
                </c:pt>
                <c:pt idx="5">
                  <c:v>CAT</c:v>
                </c:pt>
                <c:pt idx="6">
                  <c:v>FXBGO!</c:v>
                </c:pt>
                <c:pt idx="7">
                  <c:v>City of Suffolk</c:v>
                </c:pt>
                <c:pt idx="8">
                  <c:v>Greensville Co.</c:v>
                </c:pt>
                <c:pt idx="9">
                  <c:v>HRT</c:v>
                </c:pt>
                <c:pt idx="10">
                  <c:v>STAR Transit</c:v>
                </c:pt>
                <c:pt idx="11">
                  <c:v>PONY Express</c:v>
                </c:pt>
                <c:pt idx="12">
                  <c:v>WATA</c:v>
                </c:pt>
                <c:pt idx="13">
                  <c:v>DTS</c:v>
                </c:pt>
                <c:pt idx="14">
                  <c:v>Farmville Area Bus</c:v>
                </c:pt>
                <c:pt idx="15">
                  <c:v>GLTC (Lynchburg)</c:v>
                </c:pt>
                <c:pt idx="16">
                  <c:v>Town of Altavista</c:v>
                </c:pt>
                <c:pt idx="17">
                  <c:v>Loudoun Co.</c:v>
                </c:pt>
                <c:pt idx="18">
                  <c:v>Arlington Co. - ART</c:v>
                </c:pt>
                <c:pt idx="19">
                  <c:v>Alexandria - DASH</c:v>
                </c:pt>
                <c:pt idx="20">
                  <c:v>City of Fairfax - CUE</c:v>
                </c:pt>
                <c:pt idx="21">
                  <c:v>Fairfax Connector</c:v>
                </c:pt>
                <c:pt idx="22">
                  <c:v>#N/A</c:v>
                </c:pt>
                <c:pt idx="23">
                  <c:v>PRTC</c:v>
                </c:pt>
                <c:pt idx="24">
                  <c:v>PAT (Petersburg)</c:v>
                </c:pt>
                <c:pt idx="25">
                  <c:v>GRTC (Richmond)</c:v>
                </c:pt>
                <c:pt idx="26">
                  <c:v>Blacksburg Transit</c:v>
                </c:pt>
                <c:pt idx="27">
                  <c:v>City of Radford</c:v>
                </c:pt>
                <c:pt idx="28">
                  <c:v>GRTC (Valley Metro)</c:v>
                </c:pt>
                <c:pt idx="29">
                  <c:v>Pulaski Area Transit</c:v>
                </c:pt>
                <c:pt idx="30">
                  <c:v>CSPDC</c:v>
                </c:pt>
                <c:pt idx="31">
                  <c:v>HDPT (Harrisonburg)</c:v>
                </c:pt>
                <c:pt idx="32">
                  <c:v>City of Winchester</c:v>
                </c:pt>
                <c:pt idx="33">
                  <c:v>Bay Aging</c:v>
                </c:pt>
                <c:pt idx="34">
                  <c:v>Blackstone Area Bus</c:v>
                </c:pt>
                <c:pt idx="35">
                  <c:v>JAUNT</c:v>
                </c:pt>
                <c:pt idx="36">
                  <c:v>Lake Area</c:v>
                </c:pt>
                <c:pt idx="37">
                  <c:v>RADAR</c:v>
                </c:pt>
                <c:pt idx="38">
                  <c:v>VRT</c:v>
                </c:pt>
              </c:strCache>
            </c:strRef>
          </c:tx>
          <c:spPr>
            <a:ln w="25400" cap="rnd">
              <a:noFill/>
              <a:round/>
            </a:ln>
            <a:effectLst/>
          </c:spPr>
          <c:marker>
            <c:symbol val="circle"/>
            <c:size val="5"/>
            <c:spPr>
              <a:solidFill>
                <a:schemeClr val="accent1"/>
              </a:solidFill>
              <a:ln w="9525">
                <a:solidFill>
                  <a:schemeClr val="accent1"/>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0-5CB2-46EA-870C-7C430A0F3603}"/>
                </c:ext>
              </c:extLst>
            </c:dLbl>
            <c:dLbl>
              <c:idx val="1"/>
              <c:delete val="1"/>
              <c:extLst>
                <c:ext xmlns:c15="http://schemas.microsoft.com/office/drawing/2012/chart" uri="{CE6537A1-D6FC-4f65-9D91-7224C49458BB}"/>
                <c:ext xmlns:c16="http://schemas.microsoft.com/office/drawing/2014/chart" uri="{C3380CC4-5D6E-409C-BE32-E72D297353CC}">
                  <c16:uniqueId val="{00000001-5CB2-46EA-870C-7C430A0F3603}"/>
                </c:ext>
              </c:extLst>
            </c:dLbl>
            <c:dLbl>
              <c:idx val="2"/>
              <c:delete val="1"/>
              <c:extLst>
                <c:ext xmlns:c15="http://schemas.microsoft.com/office/drawing/2012/chart" uri="{CE6537A1-D6FC-4f65-9D91-7224C49458BB}"/>
                <c:ext xmlns:c16="http://schemas.microsoft.com/office/drawing/2014/chart" uri="{C3380CC4-5D6E-409C-BE32-E72D297353CC}">
                  <c16:uniqueId val="{00000002-5CB2-46EA-870C-7C430A0F3603}"/>
                </c:ext>
              </c:extLst>
            </c:dLbl>
            <c:dLbl>
              <c:idx val="3"/>
              <c:delete val="1"/>
              <c:extLst>
                <c:ext xmlns:c15="http://schemas.microsoft.com/office/drawing/2012/chart" uri="{CE6537A1-D6FC-4f65-9D91-7224C49458BB}"/>
                <c:ext xmlns:c16="http://schemas.microsoft.com/office/drawing/2014/chart" uri="{C3380CC4-5D6E-409C-BE32-E72D297353CC}">
                  <c16:uniqueId val="{00000003-5CB2-46EA-870C-7C430A0F3603}"/>
                </c:ext>
              </c:extLst>
            </c:dLbl>
            <c:dLbl>
              <c:idx val="4"/>
              <c:delete val="1"/>
              <c:extLst>
                <c:ext xmlns:c15="http://schemas.microsoft.com/office/drawing/2012/chart" uri="{CE6537A1-D6FC-4f65-9D91-7224C49458BB}"/>
                <c:ext xmlns:c16="http://schemas.microsoft.com/office/drawing/2014/chart" uri="{C3380CC4-5D6E-409C-BE32-E72D297353CC}">
                  <c16:uniqueId val="{00000004-5CB2-46EA-870C-7C430A0F3603}"/>
                </c:ext>
              </c:extLst>
            </c:dLbl>
            <c:dLbl>
              <c:idx val="5"/>
              <c:tx>
                <c:rich>
                  <a:bodyPr/>
                  <a:lstStyle/>
                  <a:p>
                    <a:fld id="{D6153CE1-7B0D-4B22-A8B5-D887D0A19E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CB2-46EA-870C-7C430A0F3603}"/>
                </c:ext>
              </c:extLst>
            </c:dLbl>
            <c:dLbl>
              <c:idx val="6"/>
              <c:tx>
                <c:rich>
                  <a:bodyPr/>
                  <a:lstStyle/>
                  <a:p>
                    <a:fld id="{B28DD713-6142-41FA-B35A-D4315176FE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CB2-46EA-870C-7C430A0F3603}"/>
                </c:ext>
              </c:extLst>
            </c:dLbl>
            <c:dLbl>
              <c:idx val="7"/>
              <c:delete val="1"/>
              <c:extLst>
                <c:ext xmlns:c15="http://schemas.microsoft.com/office/drawing/2012/chart" uri="{CE6537A1-D6FC-4f65-9D91-7224C49458BB}"/>
                <c:ext xmlns:c16="http://schemas.microsoft.com/office/drawing/2014/chart" uri="{C3380CC4-5D6E-409C-BE32-E72D297353CC}">
                  <c16:uniqueId val="{00000007-5CB2-46EA-870C-7C430A0F3603}"/>
                </c:ext>
              </c:extLst>
            </c:dLbl>
            <c:dLbl>
              <c:idx val="8"/>
              <c:delete val="1"/>
              <c:extLst>
                <c:ext xmlns:c15="http://schemas.microsoft.com/office/drawing/2012/chart" uri="{CE6537A1-D6FC-4f65-9D91-7224C49458BB}"/>
                <c:ext xmlns:c16="http://schemas.microsoft.com/office/drawing/2014/chart" uri="{C3380CC4-5D6E-409C-BE32-E72D297353CC}">
                  <c16:uniqueId val="{00000008-5CB2-46EA-870C-7C430A0F3603}"/>
                </c:ext>
              </c:extLst>
            </c:dLbl>
            <c:dLbl>
              <c:idx val="9"/>
              <c:tx>
                <c:rich>
                  <a:bodyPr/>
                  <a:lstStyle/>
                  <a:p>
                    <a:fld id="{31ADD7F9-B0D8-426D-9B79-4B629EED9E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CB2-46EA-870C-7C430A0F3603}"/>
                </c:ext>
              </c:extLst>
            </c:dLbl>
            <c:dLbl>
              <c:idx val="10"/>
              <c:delete val="1"/>
              <c:extLst>
                <c:ext xmlns:c15="http://schemas.microsoft.com/office/drawing/2012/chart" uri="{CE6537A1-D6FC-4f65-9D91-7224C49458BB}"/>
                <c:ext xmlns:c16="http://schemas.microsoft.com/office/drawing/2014/chart" uri="{C3380CC4-5D6E-409C-BE32-E72D297353CC}">
                  <c16:uniqueId val="{0000000A-5CB2-46EA-870C-7C430A0F3603}"/>
                </c:ext>
              </c:extLst>
            </c:dLbl>
            <c:dLbl>
              <c:idx val="11"/>
              <c:delete val="1"/>
              <c:extLst>
                <c:ext xmlns:c15="http://schemas.microsoft.com/office/drawing/2012/chart" uri="{CE6537A1-D6FC-4f65-9D91-7224C49458BB}"/>
                <c:ext xmlns:c16="http://schemas.microsoft.com/office/drawing/2014/chart" uri="{C3380CC4-5D6E-409C-BE32-E72D297353CC}">
                  <c16:uniqueId val="{0000000B-5CB2-46EA-870C-7C430A0F3603}"/>
                </c:ext>
              </c:extLst>
            </c:dLbl>
            <c:dLbl>
              <c:idx val="12"/>
              <c:delete val="1"/>
              <c:extLst>
                <c:ext xmlns:c15="http://schemas.microsoft.com/office/drawing/2012/chart" uri="{CE6537A1-D6FC-4f65-9D91-7224C49458BB}"/>
                <c:ext xmlns:c16="http://schemas.microsoft.com/office/drawing/2014/chart" uri="{C3380CC4-5D6E-409C-BE32-E72D297353CC}">
                  <c16:uniqueId val="{0000000C-5CB2-46EA-870C-7C430A0F3603}"/>
                </c:ext>
              </c:extLst>
            </c:dLbl>
            <c:dLbl>
              <c:idx val="13"/>
              <c:delete val="1"/>
              <c:extLst>
                <c:ext xmlns:c15="http://schemas.microsoft.com/office/drawing/2012/chart" uri="{CE6537A1-D6FC-4f65-9D91-7224C49458BB}"/>
                <c:ext xmlns:c16="http://schemas.microsoft.com/office/drawing/2014/chart" uri="{C3380CC4-5D6E-409C-BE32-E72D297353CC}">
                  <c16:uniqueId val="{0000000D-5CB2-46EA-870C-7C430A0F3603}"/>
                </c:ext>
              </c:extLst>
            </c:dLbl>
            <c:dLbl>
              <c:idx val="14"/>
              <c:delete val="1"/>
              <c:extLst>
                <c:ext xmlns:c15="http://schemas.microsoft.com/office/drawing/2012/chart" uri="{CE6537A1-D6FC-4f65-9D91-7224C49458BB}"/>
                <c:ext xmlns:c16="http://schemas.microsoft.com/office/drawing/2014/chart" uri="{C3380CC4-5D6E-409C-BE32-E72D297353CC}">
                  <c16:uniqueId val="{0000000E-5CB2-46EA-870C-7C430A0F3603}"/>
                </c:ext>
              </c:extLst>
            </c:dLbl>
            <c:dLbl>
              <c:idx val="15"/>
              <c:tx>
                <c:rich>
                  <a:bodyPr/>
                  <a:lstStyle/>
                  <a:p>
                    <a:fld id="{5AF4868A-3E5A-4C6C-A95B-F3D7AC10C7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CB2-46EA-870C-7C430A0F3603}"/>
                </c:ext>
              </c:extLst>
            </c:dLbl>
            <c:dLbl>
              <c:idx val="16"/>
              <c:delete val="1"/>
              <c:extLst>
                <c:ext xmlns:c15="http://schemas.microsoft.com/office/drawing/2012/chart" uri="{CE6537A1-D6FC-4f65-9D91-7224C49458BB}"/>
                <c:ext xmlns:c16="http://schemas.microsoft.com/office/drawing/2014/chart" uri="{C3380CC4-5D6E-409C-BE32-E72D297353CC}">
                  <c16:uniqueId val="{00000010-5CB2-46EA-870C-7C430A0F3603}"/>
                </c:ext>
              </c:extLst>
            </c:dLbl>
            <c:dLbl>
              <c:idx val="17"/>
              <c:delete val="1"/>
              <c:extLst>
                <c:ext xmlns:c15="http://schemas.microsoft.com/office/drawing/2012/chart" uri="{CE6537A1-D6FC-4f65-9D91-7224C49458BB}"/>
                <c:ext xmlns:c16="http://schemas.microsoft.com/office/drawing/2014/chart" uri="{C3380CC4-5D6E-409C-BE32-E72D297353CC}">
                  <c16:uniqueId val="{00000011-5CB2-46EA-870C-7C430A0F3603}"/>
                </c:ext>
              </c:extLst>
            </c:dLbl>
            <c:dLbl>
              <c:idx val="18"/>
              <c:tx>
                <c:rich>
                  <a:bodyPr/>
                  <a:lstStyle/>
                  <a:p>
                    <a:fld id="{A70E7A9A-7508-43DD-851D-8FB1726686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CB2-46EA-870C-7C430A0F3603}"/>
                </c:ext>
              </c:extLst>
            </c:dLbl>
            <c:dLbl>
              <c:idx val="19"/>
              <c:delete val="1"/>
              <c:extLst>
                <c:ext xmlns:c15="http://schemas.microsoft.com/office/drawing/2012/chart" uri="{CE6537A1-D6FC-4f65-9D91-7224C49458BB}"/>
                <c:ext xmlns:c16="http://schemas.microsoft.com/office/drawing/2014/chart" uri="{C3380CC4-5D6E-409C-BE32-E72D297353CC}">
                  <c16:uniqueId val="{00000013-5CB2-46EA-870C-7C430A0F3603}"/>
                </c:ext>
              </c:extLst>
            </c:dLbl>
            <c:dLbl>
              <c:idx val="20"/>
              <c:delete val="1"/>
              <c:extLst>
                <c:ext xmlns:c15="http://schemas.microsoft.com/office/drawing/2012/chart" uri="{CE6537A1-D6FC-4f65-9D91-7224C49458BB}"/>
                <c:ext xmlns:c16="http://schemas.microsoft.com/office/drawing/2014/chart" uri="{C3380CC4-5D6E-409C-BE32-E72D297353CC}">
                  <c16:uniqueId val="{00000014-5CB2-46EA-870C-7C430A0F3603}"/>
                </c:ext>
              </c:extLst>
            </c:dLbl>
            <c:dLbl>
              <c:idx val="21"/>
              <c:tx>
                <c:rich>
                  <a:bodyPr/>
                  <a:lstStyle/>
                  <a:p>
                    <a:fld id="{7BBFE9DF-F9B2-4B94-920B-857E117D0E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CB2-46EA-870C-7C430A0F3603}"/>
                </c:ext>
              </c:extLst>
            </c:dLbl>
            <c:dLbl>
              <c:idx val="22"/>
              <c:tx>
                <c:rich>
                  <a:bodyPr/>
                  <a:lstStyle/>
                  <a:p>
                    <a:fld id="{512F9705-65DD-4A35-8104-4C4427A0F620}" type="CELLRANGE">
                      <a:rPr lang="en-US" baseline="0"/>
                      <a:pPr/>
                      <a:t>[CELLRANGE]</a:t>
                    </a:fld>
                    <a:r>
                      <a:rPr lang="en-US" baseline="0"/>
                      <a:t>, </a:t>
                    </a:r>
                    <a:fld id="{6B0FB22D-0EAC-4EE8-87F0-4D305E1E64E2}" type="YVALUE">
                      <a:rPr lang="en-US" baseline="0"/>
                      <a:pPr/>
                      <a:t>[Y VALUE]</a:t>
                    </a:fld>
                    <a:endParaRPr lang="en-US" baseline="0"/>
                  </a:p>
                </c:rich>
              </c:tx>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5CB2-46EA-870C-7C430A0F3603}"/>
                </c:ext>
              </c:extLst>
            </c:dLbl>
            <c:dLbl>
              <c:idx val="23"/>
              <c:delete val="1"/>
              <c:extLst>
                <c:ext xmlns:c15="http://schemas.microsoft.com/office/drawing/2012/chart" uri="{CE6537A1-D6FC-4f65-9D91-7224C49458BB}"/>
                <c:ext xmlns:c16="http://schemas.microsoft.com/office/drawing/2014/chart" uri="{C3380CC4-5D6E-409C-BE32-E72D297353CC}">
                  <c16:uniqueId val="{00000017-5CB2-46EA-870C-7C430A0F3603}"/>
                </c:ext>
              </c:extLst>
            </c:dLbl>
            <c:dLbl>
              <c:idx val="24"/>
              <c:delete val="1"/>
              <c:extLst>
                <c:ext xmlns:c15="http://schemas.microsoft.com/office/drawing/2012/chart" uri="{CE6537A1-D6FC-4f65-9D91-7224C49458BB}"/>
                <c:ext xmlns:c16="http://schemas.microsoft.com/office/drawing/2014/chart" uri="{C3380CC4-5D6E-409C-BE32-E72D297353CC}">
                  <c16:uniqueId val="{00000018-5CB2-46EA-870C-7C430A0F3603}"/>
                </c:ext>
              </c:extLst>
            </c:dLbl>
            <c:dLbl>
              <c:idx val="25"/>
              <c:delete val="1"/>
              <c:extLst>
                <c:ext xmlns:c15="http://schemas.microsoft.com/office/drawing/2012/chart" uri="{CE6537A1-D6FC-4f65-9D91-7224C49458BB}"/>
                <c:ext xmlns:c16="http://schemas.microsoft.com/office/drawing/2014/chart" uri="{C3380CC4-5D6E-409C-BE32-E72D297353CC}">
                  <c16:uniqueId val="{00000019-5CB2-46EA-870C-7C430A0F3603}"/>
                </c:ext>
              </c:extLst>
            </c:dLbl>
            <c:dLbl>
              <c:idx val="26"/>
              <c:delete val="1"/>
              <c:extLst>
                <c:ext xmlns:c15="http://schemas.microsoft.com/office/drawing/2012/chart" uri="{CE6537A1-D6FC-4f65-9D91-7224C49458BB}"/>
                <c:ext xmlns:c16="http://schemas.microsoft.com/office/drawing/2014/chart" uri="{C3380CC4-5D6E-409C-BE32-E72D297353CC}">
                  <c16:uniqueId val="{0000001A-5CB2-46EA-870C-7C430A0F3603}"/>
                </c:ext>
              </c:extLst>
            </c:dLbl>
            <c:dLbl>
              <c:idx val="27"/>
              <c:delete val="1"/>
              <c:extLst>
                <c:ext xmlns:c15="http://schemas.microsoft.com/office/drawing/2012/chart" uri="{CE6537A1-D6FC-4f65-9D91-7224C49458BB}"/>
                <c:ext xmlns:c16="http://schemas.microsoft.com/office/drawing/2014/chart" uri="{C3380CC4-5D6E-409C-BE32-E72D297353CC}">
                  <c16:uniqueId val="{0000001B-5CB2-46EA-870C-7C430A0F3603}"/>
                </c:ext>
              </c:extLst>
            </c:dLbl>
            <c:dLbl>
              <c:idx val="28"/>
              <c:delete val="1"/>
              <c:extLst>
                <c:ext xmlns:c15="http://schemas.microsoft.com/office/drawing/2012/chart" uri="{CE6537A1-D6FC-4f65-9D91-7224C49458BB}"/>
                <c:ext xmlns:c16="http://schemas.microsoft.com/office/drawing/2014/chart" uri="{C3380CC4-5D6E-409C-BE32-E72D297353CC}">
                  <c16:uniqueId val="{0000001C-5CB2-46EA-870C-7C430A0F3603}"/>
                </c:ext>
              </c:extLst>
            </c:dLbl>
            <c:dLbl>
              <c:idx val="29"/>
              <c:tx>
                <c:rich>
                  <a:bodyPr/>
                  <a:lstStyle/>
                  <a:p>
                    <a:fld id="{3B4ACF66-6134-400C-8897-07A9C5E054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CB2-46EA-870C-7C430A0F3603}"/>
                </c:ext>
              </c:extLst>
            </c:dLbl>
            <c:dLbl>
              <c:idx val="30"/>
              <c:delete val="1"/>
              <c:extLst>
                <c:ext xmlns:c15="http://schemas.microsoft.com/office/drawing/2012/chart" uri="{CE6537A1-D6FC-4f65-9D91-7224C49458BB}"/>
                <c:ext xmlns:c16="http://schemas.microsoft.com/office/drawing/2014/chart" uri="{C3380CC4-5D6E-409C-BE32-E72D297353CC}">
                  <c16:uniqueId val="{0000001E-5CB2-46EA-870C-7C430A0F3603}"/>
                </c:ext>
              </c:extLst>
            </c:dLbl>
            <c:dLbl>
              <c:idx val="31"/>
              <c:delete val="1"/>
              <c:extLst>
                <c:ext xmlns:c15="http://schemas.microsoft.com/office/drawing/2012/chart" uri="{CE6537A1-D6FC-4f65-9D91-7224C49458BB}"/>
                <c:ext xmlns:c16="http://schemas.microsoft.com/office/drawing/2014/chart" uri="{C3380CC4-5D6E-409C-BE32-E72D297353CC}">
                  <c16:uniqueId val="{0000001F-5CB2-46EA-870C-7C430A0F3603}"/>
                </c:ext>
              </c:extLst>
            </c:dLbl>
            <c:dLbl>
              <c:idx val="32"/>
              <c:tx>
                <c:rich>
                  <a:bodyPr/>
                  <a:lstStyle/>
                  <a:p>
                    <a:fld id="{F75DC59D-5320-476D-BF1F-908F9FD868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CB2-46EA-870C-7C430A0F3603}"/>
                </c:ext>
              </c:extLst>
            </c:dLbl>
            <c:dLbl>
              <c:idx val="33"/>
              <c:delete val="1"/>
              <c:extLst>
                <c:ext xmlns:c15="http://schemas.microsoft.com/office/drawing/2012/chart" uri="{CE6537A1-D6FC-4f65-9D91-7224C49458BB}"/>
                <c:ext xmlns:c16="http://schemas.microsoft.com/office/drawing/2014/chart" uri="{C3380CC4-5D6E-409C-BE32-E72D297353CC}">
                  <c16:uniqueId val="{00000021-5CB2-46EA-870C-7C430A0F3603}"/>
                </c:ext>
              </c:extLst>
            </c:dLbl>
            <c:dLbl>
              <c:idx val="34"/>
              <c:delete val="1"/>
              <c:extLst>
                <c:ext xmlns:c15="http://schemas.microsoft.com/office/drawing/2012/chart" uri="{CE6537A1-D6FC-4f65-9D91-7224C49458BB}"/>
                <c:ext xmlns:c16="http://schemas.microsoft.com/office/drawing/2014/chart" uri="{C3380CC4-5D6E-409C-BE32-E72D297353CC}">
                  <c16:uniqueId val="{00000022-5CB2-46EA-870C-7C430A0F3603}"/>
                </c:ext>
              </c:extLst>
            </c:dLbl>
            <c:dLbl>
              <c:idx val="35"/>
              <c:delete val="1"/>
              <c:extLst>
                <c:ext xmlns:c15="http://schemas.microsoft.com/office/drawing/2012/chart" uri="{CE6537A1-D6FC-4f65-9D91-7224C49458BB}"/>
                <c:ext xmlns:c16="http://schemas.microsoft.com/office/drawing/2014/chart" uri="{C3380CC4-5D6E-409C-BE32-E72D297353CC}">
                  <c16:uniqueId val="{00000023-5CB2-46EA-870C-7C430A0F3603}"/>
                </c:ext>
              </c:extLst>
            </c:dLbl>
            <c:dLbl>
              <c:idx val="36"/>
              <c:tx>
                <c:rich>
                  <a:bodyPr/>
                  <a:lstStyle/>
                  <a:p>
                    <a:fld id="{0EC1BF9B-51E8-4615-97AC-E3E2C88673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CB2-46EA-870C-7C430A0F3603}"/>
                </c:ext>
              </c:extLst>
            </c:dLbl>
            <c:dLbl>
              <c:idx val="37"/>
              <c:delete val="1"/>
              <c:extLst>
                <c:ext xmlns:c15="http://schemas.microsoft.com/office/drawing/2012/chart" uri="{CE6537A1-D6FC-4f65-9D91-7224C49458BB}"/>
                <c:ext xmlns:c16="http://schemas.microsoft.com/office/drawing/2014/chart" uri="{C3380CC4-5D6E-409C-BE32-E72D297353CC}">
                  <c16:uniqueId val="{00000025-5CB2-46EA-870C-7C430A0F36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'Summary Table'!$AG$5:$AG$43</c:f>
              <c:numCache>
                <c:formatCode>_("$"* #,##0_);_("$"* \(#,##0\);_("$"* "-"??_);_(@_)</c:formatCode>
                <c:ptCount val="38"/>
                <c:pt idx="0">
                  <c:v>-4328.5732290145243</c:v>
                </c:pt>
                <c:pt idx="1">
                  <c:v>-745.58518981929228</c:v>
                </c:pt>
                <c:pt idx="2">
                  <c:v>-8257.1854741401039</c:v>
                </c:pt>
                <c:pt idx="3">
                  <c:v>0</c:v>
                </c:pt>
                <c:pt idx="4">
                  <c:v>-357.70757779682754</c:v>
                </c:pt>
                <c:pt idx="5">
                  <c:v>-11439.555122213438</c:v>
                </c:pt>
                <c:pt idx="6">
                  <c:v>4532.2962633647257</c:v>
                </c:pt>
                <c:pt idx="7">
                  <c:v>3583.4365457254462</c:v>
                </c:pt>
                <c:pt idx="8">
                  <c:v>-411.6032648252949</c:v>
                </c:pt>
                <c:pt idx="9">
                  <c:v>-179663.32432662696</c:v>
                </c:pt>
                <c:pt idx="10">
                  <c:v>0</c:v>
                </c:pt>
                <c:pt idx="11">
                  <c:v>-265.63613890736815</c:v>
                </c:pt>
                <c:pt idx="12">
                  <c:v>0</c:v>
                </c:pt>
                <c:pt idx="13">
                  <c:v>9164.7246201559901</c:v>
                </c:pt>
                <c:pt idx="14">
                  <c:v>0</c:v>
                </c:pt>
                <c:pt idx="15">
                  <c:v>51584.909956997726</c:v>
                </c:pt>
                <c:pt idx="16">
                  <c:v>0</c:v>
                </c:pt>
                <c:pt idx="17">
                  <c:v>-21881.029867848381</c:v>
                </c:pt>
                <c:pt idx="18">
                  <c:v>-75912.713768167421</c:v>
                </c:pt>
                <c:pt idx="19">
                  <c:v>-45615.097100451589</c:v>
                </c:pt>
                <c:pt idx="20">
                  <c:v>-26995.401317819487</c:v>
                </c:pt>
                <c:pt idx="21">
                  <c:v>-371123.6524823904</c:v>
                </c:pt>
                <c:pt idx="22">
                  <c:v>447863.34283792507</c:v>
                </c:pt>
                <c:pt idx="23">
                  <c:v>-4599.0235639042221</c:v>
                </c:pt>
                <c:pt idx="24">
                  <c:v>56520.59034915641</c:v>
                </c:pt>
                <c:pt idx="25">
                  <c:v>0</c:v>
                </c:pt>
                <c:pt idx="26">
                  <c:v>5670.8858191805193</c:v>
                </c:pt>
                <c:pt idx="27">
                  <c:v>1466.546565764118</c:v>
                </c:pt>
                <c:pt idx="28">
                  <c:v>-339.49382361513563</c:v>
                </c:pt>
                <c:pt idx="29">
                  <c:v>49512.491263368982</c:v>
                </c:pt>
                <c:pt idx="30">
                  <c:v>0</c:v>
                </c:pt>
                <c:pt idx="31">
                  <c:v>272.71029099571751</c:v>
                </c:pt>
                <c:pt idx="32">
                  <c:v>22624.949147812789</c:v>
                </c:pt>
                <c:pt idx="33">
                  <c:v>0</c:v>
                </c:pt>
                <c:pt idx="34">
                  <c:v>-6662.7278738117311</c:v>
                </c:pt>
                <c:pt idx="35">
                  <c:v>88.95864950746909</c:v>
                </c:pt>
                <c:pt idx="36">
                  <c:v>7994.6294794855057</c:v>
                </c:pt>
                <c:pt idx="37">
                  <c:v>-4170.0149514994118</c:v>
                </c:pt>
              </c:numCache>
            </c:numRef>
          </c:xVal>
          <c:yVal>
            <c:numRef>
              <c:f>'Summary Table'!$AH$5:$AH$43</c:f>
              <c:numCache>
                <c:formatCode>0%</c:formatCode>
                <c:ptCount val="38"/>
                <c:pt idx="0">
                  <c:v>-6.6251436516960747E-3</c:v>
                </c:pt>
                <c:pt idx="1">
                  <c:v>-6.1068697109592975E-3</c:v>
                </c:pt>
                <c:pt idx="2">
                  <c:v>-1.1121214394529958E-2</c:v>
                </c:pt>
                <c:pt idx="3">
                  <c:v>0</c:v>
                </c:pt>
                <c:pt idx="4">
                  <c:v>-2.6085578031388493E-3</c:v>
                </c:pt>
                <c:pt idx="5">
                  <c:v>-3.8704607330605129E-3</c:v>
                </c:pt>
                <c:pt idx="6">
                  <c:v>4.5701017667905252E-3</c:v>
                </c:pt>
                <c:pt idx="7">
                  <c:v>7.6564794622769536E-3</c:v>
                </c:pt>
                <c:pt idx="8">
                  <c:v>-7.7167901120977125E-3</c:v>
                </c:pt>
                <c:pt idx="9">
                  <c:v>-6.8981617274690918E-3</c:v>
                </c:pt>
                <c:pt idx="10">
                  <c:v>0</c:v>
                </c:pt>
                <c:pt idx="11">
                  <c:v>-1.6221148859181658E-2</c:v>
                </c:pt>
                <c:pt idx="12">
                  <c:v>0</c:v>
                </c:pt>
                <c:pt idx="13">
                  <c:v>1.064675048491056E-2</c:v>
                </c:pt>
                <c:pt idx="14">
                  <c:v>0</c:v>
                </c:pt>
                <c:pt idx="15">
                  <c:v>2.6840087531376369E-2</c:v>
                </c:pt>
                <c:pt idx="16">
                  <c:v>0</c:v>
                </c:pt>
                <c:pt idx="17">
                  <c:v>-6.1105314062701874E-3</c:v>
                </c:pt>
                <c:pt idx="18">
                  <c:v>-1.2034034175442252E-2</c:v>
                </c:pt>
                <c:pt idx="19">
                  <c:v>-4.9335596626773953E-3</c:v>
                </c:pt>
                <c:pt idx="20">
                  <c:v>-1.6661584196776959E-2</c:v>
                </c:pt>
                <c:pt idx="21">
                  <c:v>-1.5391085863530099E-2</c:v>
                </c:pt>
                <c:pt idx="22">
                  <c:v>6.0209219817673014E-2</c:v>
                </c:pt>
                <c:pt idx="23">
                  <c:v>-3.8947308967793178E-3</c:v>
                </c:pt>
                <c:pt idx="24">
                  <c:v>2.883532691136986E-3</c:v>
                </c:pt>
                <c:pt idx="25">
                  <c:v>0</c:v>
                </c:pt>
                <c:pt idx="26">
                  <c:v>1.0184336510130272E-2</c:v>
                </c:pt>
                <c:pt idx="27">
                  <c:v>4.1872040516598586E-4</c:v>
                </c:pt>
                <c:pt idx="28">
                  <c:v>-1.5098227095074438E-3</c:v>
                </c:pt>
                <c:pt idx="29">
                  <c:v>6.6439822332383991E-2</c:v>
                </c:pt>
                <c:pt idx="30">
                  <c:v>0</c:v>
                </c:pt>
                <c:pt idx="31">
                  <c:v>5.5632960366078644E-4</c:v>
                </c:pt>
                <c:pt idx="32">
                  <c:v>1.9072149739684324E-2</c:v>
                </c:pt>
                <c:pt idx="33">
                  <c:v>0</c:v>
                </c:pt>
                <c:pt idx="34">
                  <c:v>-4.7573971785487791E-3</c:v>
                </c:pt>
                <c:pt idx="35">
                  <c:v>1.4779258463911858E-3</c:v>
                </c:pt>
                <c:pt idx="36">
                  <c:v>2.428538566258865E-2</c:v>
                </c:pt>
                <c:pt idx="37">
                  <c:v>-3.7466965412837265E-3</c:v>
                </c:pt>
              </c:numCache>
            </c:numRef>
          </c:yVal>
          <c:smooth val="0"/>
          <c:extLst>
            <c:ext xmlns:c15="http://schemas.microsoft.com/office/drawing/2012/chart" uri="{02D57815-91ED-43cb-92C2-25804820EDAC}">
              <c15:datalabelsRange>
                <c15:f>S6C!$K$42:$K$80</c15:f>
                <c15:dlblRangeCache>
                  <c:ptCount val="38"/>
                  <c:pt idx="0">
                    <c:v>AASC/ 4 County</c:v>
                  </c:pt>
                  <c:pt idx="1">
                    <c:v>City of Bristol Virginia</c:v>
                  </c:pt>
                  <c:pt idx="2">
                    <c:v>District Three</c:v>
                  </c:pt>
                  <c:pt idx="3">
                    <c:v>MEOC</c:v>
                  </c:pt>
                  <c:pt idx="4">
                    <c:v>Bluefield-Graham </c:v>
                  </c:pt>
                  <c:pt idx="5">
                    <c:v>CAT</c:v>
                  </c:pt>
                  <c:pt idx="6">
                    <c:v>FXBGO!</c:v>
                  </c:pt>
                  <c:pt idx="7">
                    <c:v>City of Suffolk</c:v>
                  </c:pt>
                  <c:pt idx="8">
                    <c:v>Greensville Co.</c:v>
                  </c:pt>
                  <c:pt idx="9">
                    <c:v>HRT</c:v>
                  </c:pt>
                  <c:pt idx="10">
                    <c:v>STAR Transit</c:v>
                  </c:pt>
                  <c:pt idx="11">
                    <c:v>PONY Express</c:v>
                  </c:pt>
                  <c:pt idx="12">
                    <c:v>WATA</c:v>
                  </c:pt>
                  <c:pt idx="13">
                    <c:v>DTS</c:v>
                  </c:pt>
                  <c:pt idx="14">
                    <c:v>Farmville Area Bus</c:v>
                  </c:pt>
                  <c:pt idx="15">
                    <c:v>GLTC (Lynchburg)</c:v>
                  </c:pt>
                  <c:pt idx="16">
                    <c:v>Town of Altavista</c:v>
                  </c:pt>
                  <c:pt idx="17">
                    <c:v>Loudoun Co.</c:v>
                  </c:pt>
                  <c:pt idx="18">
                    <c:v>Arlington Co. - ART</c:v>
                  </c:pt>
                  <c:pt idx="19">
                    <c:v>Alexandria - DASH</c:v>
                  </c:pt>
                  <c:pt idx="20">
                    <c:v>City of Fairfax - CUE</c:v>
                  </c:pt>
                  <c:pt idx="21">
                    <c:v>Fairfax Connector</c:v>
                  </c:pt>
                  <c:pt idx="22">
                    <c:v>PRTC</c:v>
                  </c:pt>
                  <c:pt idx="23">
                    <c:v>PAT (Petersburg)</c:v>
                  </c:pt>
                  <c:pt idx="24">
                    <c:v>GRTC (Richmond)</c:v>
                  </c:pt>
                  <c:pt idx="25">
                    <c:v>Blacksburg Transit</c:v>
                  </c:pt>
                  <c:pt idx="26">
                    <c:v>City of Radford</c:v>
                  </c:pt>
                  <c:pt idx="27">
                    <c:v>GRTC (Valley Metro)</c:v>
                  </c:pt>
                  <c:pt idx="28">
                    <c:v>Pulaski Area Transit</c:v>
                  </c:pt>
                  <c:pt idx="29">
                    <c:v>CSPDC</c:v>
                  </c:pt>
                  <c:pt idx="30">
                    <c:v>HDPT (Harrisonburg)</c:v>
                  </c:pt>
                  <c:pt idx="31">
                    <c:v>City of Winchester</c:v>
                  </c:pt>
                  <c:pt idx="32">
                    <c:v>Bay Aging</c:v>
                  </c:pt>
                  <c:pt idx="33">
                    <c:v>Blackstone Area Bus</c:v>
                  </c:pt>
                  <c:pt idx="34">
                    <c:v>JAUNT</c:v>
                  </c:pt>
                  <c:pt idx="35">
                    <c:v>Lake Area</c:v>
                  </c:pt>
                  <c:pt idx="36">
                    <c:v>RADAR</c:v>
                  </c:pt>
                  <c:pt idx="37">
                    <c:v>VRT</c:v>
                  </c:pt>
                </c15:dlblRangeCache>
              </c15:datalabelsRange>
            </c:ext>
            <c:ext xmlns:c16="http://schemas.microsoft.com/office/drawing/2014/chart" uri="{C3380CC4-5D6E-409C-BE32-E72D297353CC}">
              <c16:uniqueId val="{00000026-5CB2-46EA-870C-7C430A0F3603}"/>
            </c:ext>
          </c:extLst>
        </c:ser>
        <c:dLbls>
          <c:showLegendKey val="0"/>
          <c:showVal val="0"/>
          <c:showCatName val="0"/>
          <c:showSerName val="0"/>
          <c:showPercent val="0"/>
          <c:showBubbleSize val="0"/>
        </c:dLbls>
        <c:axId val="1155863776"/>
        <c:axId val="1155862816"/>
      </c:scatterChart>
      <c:valAx>
        <c:axId val="115586377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quot;$&quot;#,##0.0&quot;M&quot;" sourceLinked="0"/>
        <c:majorTickMark val="none"/>
        <c:minorTickMark val="none"/>
        <c:tickLblPos val="nextTo"/>
        <c:spPr>
          <a:noFill/>
          <a:ln w="12700" cap="flat" cmpd="sng" algn="ctr">
            <a:solidFill>
              <a:schemeClr val="tx1">
                <a:alpha val="92000"/>
              </a:schemeClr>
            </a:solidFill>
            <a:round/>
          </a:ln>
          <a:effectLst/>
        </c:spPr>
        <c:txPr>
          <a:bodyPr rot="-60000000" spcFirstLastPara="1" vertOverflow="ellipsis" vert="horz" wrap="square" anchor="ctr" anchorCtr="1"/>
          <a:lstStyle/>
          <a:p>
            <a:pPr>
              <a:defRPr sz="1150" b="1" i="0" u="none" strike="noStrike" kern="1200" baseline="0">
                <a:solidFill>
                  <a:schemeClr val="tx1">
                    <a:lumMod val="65000"/>
                    <a:lumOff val="35000"/>
                  </a:schemeClr>
                </a:solidFill>
                <a:latin typeface="+mn-lt"/>
                <a:ea typeface="+mn-ea"/>
                <a:cs typeface="+mn-cs"/>
              </a:defRPr>
            </a:pPr>
            <a:endParaRPr lang="en-US"/>
          </a:p>
        </c:txPr>
        <c:crossAx val="1155862816"/>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1155862816"/>
        <c:scaling>
          <c:orientation val="minMax"/>
        </c:scaling>
        <c:delete val="0"/>
        <c:axPos val="l"/>
        <c:majorGridlines>
          <c:spPr>
            <a:ln w="9525" cap="flat" cmpd="sng" algn="ctr">
              <a:solidFill>
                <a:schemeClr val="lt1">
                  <a:shade val="50000"/>
                  <a:alpha val="98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150" b="1" i="0" u="none" strike="noStrike" kern="1200" baseline="0">
                <a:solidFill>
                  <a:schemeClr val="tx1">
                    <a:lumMod val="65000"/>
                    <a:lumOff val="35000"/>
                  </a:schemeClr>
                </a:solidFill>
                <a:latin typeface="+mn-lt"/>
                <a:ea typeface="+mn-ea"/>
                <a:cs typeface="+mn-cs"/>
              </a:defRPr>
            </a:pPr>
            <a:endParaRPr lang="en-US"/>
          </a:p>
        </c:txPr>
        <c:crossAx val="1155863776"/>
        <c:crosses val="autoZero"/>
        <c:crossBetween val="midCat"/>
      </c:valAx>
      <c:spPr>
        <a:noFill/>
        <a:ln w="12700">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ysClr val="windowText" lastClr="000000">
                    <a:lumMod val="65000"/>
                    <a:lumOff val="35000"/>
                  </a:sysClr>
                </a:solidFill>
              </a:rPr>
              <a:t>FY24-26 Average Allocations by District  Under Current and Revised Approaches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45079113687639E-2"/>
          <c:y val="0.15222579719568433"/>
          <c:w val="0.89156188106854728"/>
          <c:h val="0.77432100144271276"/>
        </c:manualLayout>
      </c:layout>
      <c:barChart>
        <c:barDir val="col"/>
        <c:grouping val="clustered"/>
        <c:varyColors val="0"/>
        <c:ser>
          <c:idx val="0"/>
          <c:order val="0"/>
          <c:tx>
            <c:v>Allocation Under Current Approach</c:v>
          </c:tx>
          <c:spPr>
            <a:solidFill>
              <a:schemeClr val="accent1"/>
            </a:solidFill>
            <a:ln>
              <a:noFill/>
            </a:ln>
            <a:effectLst/>
          </c:spPr>
          <c:invertIfNegative val="0"/>
          <c:cat>
            <c:strRef>
              <c:f>'S6C-D'!$B$28:$B$37</c:f>
              <c:strCache>
                <c:ptCount val="10"/>
                <c:pt idx="0">
                  <c:v>Bristol</c:v>
                </c:pt>
                <c:pt idx="1">
                  <c:v>Culpeper</c:v>
                </c:pt>
                <c:pt idx="2">
                  <c:v>Fredericksburg</c:v>
                </c:pt>
                <c:pt idx="3">
                  <c:v>Hampton Roads </c:v>
                </c:pt>
                <c:pt idx="4">
                  <c:v>Lynchburg</c:v>
                </c:pt>
                <c:pt idx="5">
                  <c:v>Northern Virginia</c:v>
                </c:pt>
                <c:pt idx="6">
                  <c:v>Richmond</c:v>
                </c:pt>
                <c:pt idx="7">
                  <c:v>Salem</c:v>
                </c:pt>
                <c:pt idx="8">
                  <c:v>Staunton</c:v>
                </c:pt>
                <c:pt idx="9">
                  <c:v>XMulti</c:v>
                </c:pt>
              </c:strCache>
            </c:strRef>
          </c:cat>
          <c:val>
            <c:numRef>
              <c:f>'S6C-D'!$D$28:$D$37</c:f>
              <c:numCache>
                <c:formatCode>_("$"* #,##0_);_("$"* \(#,##0\);_("$"* "-"??_);_(@_)</c:formatCode>
                <c:ptCount val="10"/>
                <c:pt idx="0">
                  <c:v>2257448.1399023193</c:v>
                </c:pt>
                <c:pt idx="1">
                  <c:v>2971811.8341092449</c:v>
                </c:pt>
                <c:pt idx="2">
                  <c:v>1071485.0448851464</c:v>
                </c:pt>
                <c:pt idx="3">
                  <c:v>28692230.700066816</c:v>
                </c:pt>
                <c:pt idx="4">
                  <c:v>2772386.367524276</c:v>
                </c:pt>
                <c:pt idx="5">
                  <c:v>56728251.939407773</c:v>
                </c:pt>
                <c:pt idx="6">
                  <c:v>20052090.808745552</c:v>
                </c:pt>
                <c:pt idx="7">
                  <c:v>7455196.5558467098</c:v>
                </c:pt>
                <c:pt idx="8">
                  <c:v>3142870.4044961301</c:v>
                </c:pt>
                <c:pt idx="9">
                  <c:v>4404643.8716827054</c:v>
                </c:pt>
              </c:numCache>
            </c:numRef>
          </c:val>
          <c:extLst>
            <c:ext xmlns:c16="http://schemas.microsoft.com/office/drawing/2014/chart" uri="{C3380CC4-5D6E-409C-BE32-E72D297353CC}">
              <c16:uniqueId val="{00000000-943A-4F22-9DD7-BC9789FBCFB3}"/>
            </c:ext>
          </c:extLst>
        </c:ser>
        <c:ser>
          <c:idx val="1"/>
          <c:order val="1"/>
          <c:tx>
            <c:v>Allocation Under Sizing + Performance Approach</c:v>
          </c:tx>
          <c:spPr>
            <a:solidFill>
              <a:schemeClr val="accent2"/>
            </a:solidFill>
            <a:ln>
              <a:noFill/>
            </a:ln>
            <a:effectLst/>
          </c:spPr>
          <c:invertIfNegative val="0"/>
          <c:cat>
            <c:strRef>
              <c:f>'S6C-D'!$B$28:$B$37</c:f>
              <c:strCache>
                <c:ptCount val="10"/>
                <c:pt idx="0">
                  <c:v>Bristol</c:v>
                </c:pt>
                <c:pt idx="1">
                  <c:v>Culpeper</c:v>
                </c:pt>
                <c:pt idx="2">
                  <c:v>Fredericksburg</c:v>
                </c:pt>
                <c:pt idx="3">
                  <c:v>Hampton Roads </c:v>
                </c:pt>
                <c:pt idx="4">
                  <c:v>Lynchburg</c:v>
                </c:pt>
                <c:pt idx="5">
                  <c:v>Northern Virginia</c:v>
                </c:pt>
                <c:pt idx="6">
                  <c:v>Richmond</c:v>
                </c:pt>
                <c:pt idx="7">
                  <c:v>Salem</c:v>
                </c:pt>
                <c:pt idx="8">
                  <c:v>Staunton</c:v>
                </c:pt>
                <c:pt idx="9">
                  <c:v>XMulti</c:v>
                </c:pt>
              </c:strCache>
            </c:strRef>
          </c:cat>
          <c:val>
            <c:numRef>
              <c:f>'S6C-D'!$F$28:$F$37</c:f>
              <c:numCache>
                <c:formatCode>_("$"* #,##0_);_("$"* \(#,##0\);_("$"* "-"??_);_(@_)</c:formatCode>
                <c:ptCount val="10"/>
                <c:pt idx="0">
                  <c:v>2302545.0132369325</c:v>
                </c:pt>
                <c:pt idx="1">
                  <c:v>2955605.5237816013</c:v>
                </c:pt>
                <c:pt idx="2">
                  <c:v>991727.64516962832</c:v>
                </c:pt>
                <c:pt idx="3">
                  <c:v>29276880.127124388</c:v>
                </c:pt>
                <c:pt idx="4">
                  <c:v>3028554.3050672058</c:v>
                </c:pt>
                <c:pt idx="5">
                  <c:v>54932327.820781887</c:v>
                </c:pt>
                <c:pt idx="6">
                  <c:v>20781993.808721017</c:v>
                </c:pt>
                <c:pt idx="7">
                  <c:v>7767250.6118149497</c:v>
                </c:pt>
                <c:pt idx="8">
                  <c:v>3232911.6544858101</c:v>
                </c:pt>
                <c:pt idx="9">
                  <c:v>4278619.4898165548</c:v>
                </c:pt>
              </c:numCache>
            </c:numRef>
          </c:val>
          <c:extLst>
            <c:ext xmlns:c16="http://schemas.microsoft.com/office/drawing/2014/chart" uri="{C3380CC4-5D6E-409C-BE32-E72D297353CC}">
              <c16:uniqueId val="{00000001-943A-4F22-9DD7-BC9789FBCFB3}"/>
            </c:ext>
          </c:extLst>
        </c:ser>
        <c:dLbls>
          <c:showLegendKey val="0"/>
          <c:showVal val="0"/>
          <c:showCatName val="0"/>
          <c:showSerName val="0"/>
          <c:showPercent val="0"/>
          <c:showBubbleSize val="0"/>
        </c:dLbls>
        <c:gapWidth val="219"/>
        <c:overlap val="-27"/>
        <c:axId val="2100629999"/>
        <c:axId val="2100632879"/>
      </c:barChart>
      <c:catAx>
        <c:axId val="2100629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0632879"/>
        <c:crosses val="autoZero"/>
        <c:auto val="1"/>
        <c:lblAlgn val="ctr"/>
        <c:lblOffset val="100"/>
        <c:noMultiLvlLbl val="0"/>
      </c:catAx>
      <c:valAx>
        <c:axId val="2100632879"/>
        <c:scaling>
          <c:orientation val="minMax"/>
          <c:max val="65000000"/>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0629999"/>
        <c:crosses val="autoZero"/>
        <c:crossBetween val="between"/>
      </c:valAx>
      <c:spPr>
        <a:noFill/>
        <a:ln>
          <a:noFill/>
        </a:ln>
        <a:effectLst/>
      </c:spPr>
    </c:plotArea>
    <c:legend>
      <c:legendPos val="r"/>
      <c:layout>
        <c:manualLayout>
          <c:xMode val="edge"/>
          <c:yMode val="edge"/>
          <c:x val="0.21028229915283361"/>
          <c:y val="8.8085945607413355E-2"/>
          <c:w val="0.67706525526171479"/>
          <c:h val="6.69720012742656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FY24-26 Allocation Comparison of Current to Between</a:t>
            </a:r>
            <a:r>
              <a:rPr lang="en-US" sz="2000" b="1" baseline="0"/>
              <a:t> Single Year and Base 3-Year Average Performance</a:t>
            </a:r>
          </a:p>
          <a:p>
            <a:pPr>
              <a:defRPr sz="2000" b="1"/>
            </a:pPr>
            <a:r>
              <a:rPr lang="en-US" sz="1800" b="0" baseline="0"/>
              <a:t>X-Axis = Amount Change ; Y-Axis = Percent Change </a:t>
            </a:r>
            <a:endParaRPr lang="en-US" sz="1800" b="0"/>
          </a:p>
        </c:rich>
      </c:tx>
      <c:layout>
        <c:manualLayout>
          <c:xMode val="edge"/>
          <c:yMode val="edge"/>
          <c:x val="0.1565852741542629"/>
          <c:y val="7.0929481992777757E-3"/>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326239793339995E-2"/>
          <c:y val="0.10415966505646504"/>
          <c:w val="0.8662781974888274"/>
          <c:h val="0.88339222614840984"/>
        </c:manualLayout>
      </c:layout>
      <c:scatterChart>
        <c:scatterStyle val="lineMarker"/>
        <c:varyColors val="0"/>
        <c:ser>
          <c:idx val="0"/>
          <c:order val="0"/>
          <c:tx>
            <c:v>Single Year Performance</c:v>
          </c:tx>
          <c:spPr>
            <a:ln w="25400" cap="rnd">
              <a:noFill/>
              <a:round/>
            </a:ln>
            <a:effectLst/>
          </c:spPr>
          <c:marker>
            <c:symbol val="circle"/>
            <c:size val="5"/>
            <c:spPr>
              <a:solidFill>
                <a:schemeClr val="accent1"/>
              </a:solidFill>
              <a:ln w="9525">
                <a:solidFill>
                  <a:schemeClr val="accent1"/>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0-483A-48A3-A69F-87411D8870AA}"/>
                </c:ext>
              </c:extLst>
            </c:dLbl>
            <c:dLbl>
              <c:idx val="1"/>
              <c:delete val="1"/>
              <c:extLst>
                <c:ext xmlns:c15="http://schemas.microsoft.com/office/drawing/2012/chart" uri="{CE6537A1-D6FC-4f65-9D91-7224C49458BB}"/>
                <c:ext xmlns:c16="http://schemas.microsoft.com/office/drawing/2014/chart" uri="{C3380CC4-5D6E-409C-BE32-E72D297353CC}">
                  <c16:uniqueId val="{00000001-483A-48A3-A69F-87411D8870AA}"/>
                </c:ext>
              </c:extLst>
            </c:dLbl>
            <c:dLbl>
              <c:idx val="2"/>
              <c:delete val="1"/>
              <c:extLst>
                <c:ext xmlns:c15="http://schemas.microsoft.com/office/drawing/2012/chart" uri="{CE6537A1-D6FC-4f65-9D91-7224C49458BB}"/>
                <c:ext xmlns:c16="http://schemas.microsoft.com/office/drawing/2014/chart" uri="{C3380CC4-5D6E-409C-BE32-E72D297353CC}">
                  <c16:uniqueId val="{00000002-483A-48A3-A69F-87411D8870AA}"/>
                </c:ext>
              </c:extLst>
            </c:dLbl>
            <c:dLbl>
              <c:idx val="3"/>
              <c:delete val="1"/>
              <c:extLst>
                <c:ext xmlns:c15="http://schemas.microsoft.com/office/drawing/2012/chart" uri="{CE6537A1-D6FC-4f65-9D91-7224C49458BB}"/>
                <c:ext xmlns:c16="http://schemas.microsoft.com/office/drawing/2014/chart" uri="{C3380CC4-5D6E-409C-BE32-E72D297353CC}">
                  <c16:uniqueId val="{00000003-483A-48A3-A69F-87411D8870AA}"/>
                </c:ext>
              </c:extLst>
            </c:dLbl>
            <c:dLbl>
              <c:idx val="4"/>
              <c:delete val="1"/>
              <c:extLst>
                <c:ext xmlns:c15="http://schemas.microsoft.com/office/drawing/2012/chart" uri="{CE6537A1-D6FC-4f65-9D91-7224C49458BB}"/>
                <c:ext xmlns:c16="http://schemas.microsoft.com/office/drawing/2014/chart" uri="{C3380CC4-5D6E-409C-BE32-E72D297353CC}">
                  <c16:uniqueId val="{00000004-483A-48A3-A69F-87411D8870AA}"/>
                </c:ext>
              </c:extLst>
            </c:dLbl>
            <c:dLbl>
              <c:idx val="5"/>
              <c:delete val="1"/>
              <c:extLst>
                <c:ext xmlns:c15="http://schemas.microsoft.com/office/drawing/2012/chart" uri="{CE6537A1-D6FC-4f65-9D91-7224C49458BB}"/>
                <c:ext xmlns:c16="http://schemas.microsoft.com/office/drawing/2014/chart" uri="{C3380CC4-5D6E-409C-BE32-E72D297353CC}">
                  <c16:uniqueId val="{00000005-483A-48A3-A69F-87411D8870AA}"/>
                </c:ext>
              </c:extLst>
            </c:dLbl>
            <c:dLbl>
              <c:idx val="6"/>
              <c:delete val="1"/>
              <c:extLst>
                <c:ext xmlns:c15="http://schemas.microsoft.com/office/drawing/2012/chart" uri="{CE6537A1-D6FC-4f65-9D91-7224C49458BB}"/>
                <c:ext xmlns:c16="http://schemas.microsoft.com/office/drawing/2014/chart" uri="{C3380CC4-5D6E-409C-BE32-E72D297353CC}">
                  <c16:uniqueId val="{00000006-483A-48A3-A69F-87411D8870AA}"/>
                </c:ext>
              </c:extLst>
            </c:dLbl>
            <c:dLbl>
              <c:idx val="7"/>
              <c:delete val="1"/>
              <c:extLst>
                <c:ext xmlns:c15="http://schemas.microsoft.com/office/drawing/2012/chart" uri="{CE6537A1-D6FC-4f65-9D91-7224C49458BB}"/>
                <c:ext xmlns:c16="http://schemas.microsoft.com/office/drawing/2014/chart" uri="{C3380CC4-5D6E-409C-BE32-E72D297353CC}">
                  <c16:uniqueId val="{00000007-483A-48A3-A69F-87411D8870AA}"/>
                </c:ext>
              </c:extLst>
            </c:dLbl>
            <c:dLbl>
              <c:idx val="8"/>
              <c:delete val="1"/>
              <c:extLst>
                <c:ext xmlns:c15="http://schemas.microsoft.com/office/drawing/2012/chart" uri="{CE6537A1-D6FC-4f65-9D91-7224C49458BB}"/>
                <c:ext xmlns:c16="http://schemas.microsoft.com/office/drawing/2014/chart" uri="{C3380CC4-5D6E-409C-BE32-E72D297353CC}">
                  <c16:uniqueId val="{00000008-483A-48A3-A69F-87411D8870AA}"/>
                </c:ext>
              </c:extLst>
            </c:dLbl>
            <c:dLbl>
              <c:idx val="9"/>
              <c:delete val="1"/>
              <c:extLst>
                <c:ext xmlns:c15="http://schemas.microsoft.com/office/drawing/2012/chart" uri="{CE6537A1-D6FC-4f65-9D91-7224C49458BB}"/>
                <c:ext xmlns:c16="http://schemas.microsoft.com/office/drawing/2014/chart" uri="{C3380CC4-5D6E-409C-BE32-E72D297353CC}">
                  <c16:uniqueId val="{00000009-483A-48A3-A69F-87411D8870AA}"/>
                </c:ext>
              </c:extLst>
            </c:dLbl>
            <c:dLbl>
              <c:idx val="10"/>
              <c:delete val="1"/>
              <c:extLst>
                <c:ext xmlns:c15="http://schemas.microsoft.com/office/drawing/2012/chart" uri="{CE6537A1-D6FC-4f65-9D91-7224C49458BB}"/>
                <c:ext xmlns:c16="http://schemas.microsoft.com/office/drawing/2014/chart" uri="{C3380CC4-5D6E-409C-BE32-E72D297353CC}">
                  <c16:uniqueId val="{0000000A-483A-48A3-A69F-87411D8870AA}"/>
                </c:ext>
              </c:extLst>
            </c:dLbl>
            <c:dLbl>
              <c:idx val="11"/>
              <c:delete val="1"/>
              <c:extLst>
                <c:ext xmlns:c15="http://schemas.microsoft.com/office/drawing/2012/chart" uri="{CE6537A1-D6FC-4f65-9D91-7224C49458BB}"/>
                <c:ext xmlns:c16="http://schemas.microsoft.com/office/drawing/2014/chart" uri="{C3380CC4-5D6E-409C-BE32-E72D297353CC}">
                  <c16:uniqueId val="{0000000B-483A-48A3-A69F-87411D8870AA}"/>
                </c:ext>
              </c:extLst>
            </c:dLbl>
            <c:dLbl>
              <c:idx val="12"/>
              <c:delete val="1"/>
              <c:extLst>
                <c:ext xmlns:c15="http://schemas.microsoft.com/office/drawing/2012/chart" uri="{CE6537A1-D6FC-4f65-9D91-7224C49458BB}"/>
                <c:ext xmlns:c16="http://schemas.microsoft.com/office/drawing/2014/chart" uri="{C3380CC4-5D6E-409C-BE32-E72D297353CC}">
                  <c16:uniqueId val="{0000000C-483A-48A3-A69F-87411D8870AA}"/>
                </c:ext>
              </c:extLst>
            </c:dLbl>
            <c:dLbl>
              <c:idx val="13"/>
              <c:delete val="1"/>
              <c:extLst>
                <c:ext xmlns:c15="http://schemas.microsoft.com/office/drawing/2012/chart" uri="{CE6537A1-D6FC-4f65-9D91-7224C49458BB}"/>
                <c:ext xmlns:c16="http://schemas.microsoft.com/office/drawing/2014/chart" uri="{C3380CC4-5D6E-409C-BE32-E72D297353CC}">
                  <c16:uniqueId val="{0000000D-483A-48A3-A69F-87411D8870AA}"/>
                </c:ext>
              </c:extLst>
            </c:dLbl>
            <c:dLbl>
              <c:idx val="14"/>
              <c:delete val="1"/>
              <c:extLst>
                <c:ext xmlns:c15="http://schemas.microsoft.com/office/drawing/2012/chart" uri="{CE6537A1-D6FC-4f65-9D91-7224C49458BB}"/>
                <c:ext xmlns:c16="http://schemas.microsoft.com/office/drawing/2014/chart" uri="{C3380CC4-5D6E-409C-BE32-E72D297353CC}">
                  <c16:uniqueId val="{0000000E-483A-48A3-A69F-87411D8870AA}"/>
                </c:ext>
              </c:extLst>
            </c:dLbl>
            <c:dLbl>
              <c:idx val="15"/>
              <c:delete val="1"/>
              <c:extLst>
                <c:ext xmlns:c15="http://schemas.microsoft.com/office/drawing/2012/chart" uri="{CE6537A1-D6FC-4f65-9D91-7224C49458BB}"/>
                <c:ext xmlns:c16="http://schemas.microsoft.com/office/drawing/2014/chart" uri="{C3380CC4-5D6E-409C-BE32-E72D297353CC}">
                  <c16:uniqueId val="{0000000F-483A-48A3-A69F-87411D8870AA}"/>
                </c:ext>
              </c:extLst>
            </c:dLbl>
            <c:dLbl>
              <c:idx val="16"/>
              <c:delete val="1"/>
              <c:extLst>
                <c:ext xmlns:c15="http://schemas.microsoft.com/office/drawing/2012/chart" uri="{CE6537A1-D6FC-4f65-9D91-7224C49458BB}"/>
                <c:ext xmlns:c16="http://schemas.microsoft.com/office/drawing/2014/chart" uri="{C3380CC4-5D6E-409C-BE32-E72D297353CC}">
                  <c16:uniqueId val="{00000010-483A-48A3-A69F-87411D8870AA}"/>
                </c:ext>
              </c:extLst>
            </c:dLbl>
            <c:dLbl>
              <c:idx val="17"/>
              <c:delete val="1"/>
              <c:extLst>
                <c:ext xmlns:c15="http://schemas.microsoft.com/office/drawing/2012/chart" uri="{CE6537A1-D6FC-4f65-9D91-7224C49458BB}"/>
                <c:ext xmlns:c16="http://schemas.microsoft.com/office/drawing/2014/chart" uri="{C3380CC4-5D6E-409C-BE32-E72D297353CC}">
                  <c16:uniqueId val="{00000011-483A-48A3-A69F-87411D8870AA}"/>
                </c:ext>
              </c:extLst>
            </c:dLbl>
            <c:dLbl>
              <c:idx val="18"/>
              <c:delete val="1"/>
              <c:extLst>
                <c:ext xmlns:c15="http://schemas.microsoft.com/office/drawing/2012/chart" uri="{CE6537A1-D6FC-4f65-9D91-7224C49458BB}"/>
                <c:ext xmlns:c16="http://schemas.microsoft.com/office/drawing/2014/chart" uri="{C3380CC4-5D6E-409C-BE32-E72D297353CC}">
                  <c16:uniqueId val="{00000012-483A-48A3-A69F-87411D8870AA}"/>
                </c:ext>
              </c:extLst>
            </c:dLbl>
            <c:dLbl>
              <c:idx val="19"/>
              <c:delete val="1"/>
              <c:extLst>
                <c:ext xmlns:c15="http://schemas.microsoft.com/office/drawing/2012/chart" uri="{CE6537A1-D6FC-4f65-9D91-7224C49458BB}"/>
                <c:ext xmlns:c16="http://schemas.microsoft.com/office/drawing/2014/chart" uri="{C3380CC4-5D6E-409C-BE32-E72D297353CC}">
                  <c16:uniqueId val="{00000013-483A-48A3-A69F-87411D8870AA}"/>
                </c:ext>
              </c:extLst>
            </c:dLbl>
            <c:dLbl>
              <c:idx val="20"/>
              <c:delete val="1"/>
              <c:extLst>
                <c:ext xmlns:c15="http://schemas.microsoft.com/office/drawing/2012/chart" uri="{CE6537A1-D6FC-4f65-9D91-7224C49458BB}"/>
                <c:ext xmlns:c16="http://schemas.microsoft.com/office/drawing/2014/chart" uri="{C3380CC4-5D6E-409C-BE32-E72D297353CC}">
                  <c16:uniqueId val="{00000014-483A-48A3-A69F-87411D8870AA}"/>
                </c:ext>
              </c:extLst>
            </c:dLbl>
            <c:dLbl>
              <c:idx val="21"/>
              <c:delete val="1"/>
              <c:extLst>
                <c:ext xmlns:c15="http://schemas.microsoft.com/office/drawing/2012/chart" uri="{CE6537A1-D6FC-4f65-9D91-7224C49458BB}"/>
                <c:ext xmlns:c16="http://schemas.microsoft.com/office/drawing/2014/chart" uri="{C3380CC4-5D6E-409C-BE32-E72D297353CC}">
                  <c16:uniqueId val="{00000015-483A-48A3-A69F-87411D8870AA}"/>
                </c:ext>
              </c:extLst>
            </c:dLbl>
            <c:dLbl>
              <c:idx val="22"/>
              <c:delete val="1"/>
              <c:extLst>
                <c:ext xmlns:c15="http://schemas.microsoft.com/office/drawing/2012/chart" uri="{CE6537A1-D6FC-4f65-9D91-7224C49458BB}"/>
                <c:ext xmlns:c16="http://schemas.microsoft.com/office/drawing/2014/chart" uri="{C3380CC4-5D6E-409C-BE32-E72D297353CC}">
                  <c16:uniqueId val="{00000016-483A-48A3-A69F-87411D8870AA}"/>
                </c:ext>
              </c:extLst>
            </c:dLbl>
            <c:dLbl>
              <c:idx val="23"/>
              <c:delete val="1"/>
              <c:extLst>
                <c:ext xmlns:c15="http://schemas.microsoft.com/office/drawing/2012/chart" uri="{CE6537A1-D6FC-4f65-9D91-7224C49458BB}"/>
                <c:ext xmlns:c16="http://schemas.microsoft.com/office/drawing/2014/chart" uri="{C3380CC4-5D6E-409C-BE32-E72D297353CC}">
                  <c16:uniqueId val="{00000017-483A-48A3-A69F-87411D8870AA}"/>
                </c:ext>
              </c:extLst>
            </c:dLbl>
            <c:dLbl>
              <c:idx val="24"/>
              <c:delete val="1"/>
              <c:extLst>
                <c:ext xmlns:c15="http://schemas.microsoft.com/office/drawing/2012/chart" uri="{CE6537A1-D6FC-4f65-9D91-7224C49458BB}"/>
                <c:ext xmlns:c16="http://schemas.microsoft.com/office/drawing/2014/chart" uri="{C3380CC4-5D6E-409C-BE32-E72D297353CC}">
                  <c16:uniqueId val="{00000018-483A-48A3-A69F-87411D8870AA}"/>
                </c:ext>
              </c:extLst>
            </c:dLbl>
            <c:dLbl>
              <c:idx val="25"/>
              <c:delete val="1"/>
              <c:extLst>
                <c:ext xmlns:c15="http://schemas.microsoft.com/office/drawing/2012/chart" uri="{CE6537A1-D6FC-4f65-9D91-7224C49458BB}"/>
                <c:ext xmlns:c16="http://schemas.microsoft.com/office/drawing/2014/chart" uri="{C3380CC4-5D6E-409C-BE32-E72D297353CC}">
                  <c16:uniqueId val="{00000019-483A-48A3-A69F-87411D8870AA}"/>
                </c:ext>
              </c:extLst>
            </c:dLbl>
            <c:dLbl>
              <c:idx val="26"/>
              <c:delete val="1"/>
              <c:extLst>
                <c:ext xmlns:c15="http://schemas.microsoft.com/office/drawing/2012/chart" uri="{CE6537A1-D6FC-4f65-9D91-7224C49458BB}"/>
                <c:ext xmlns:c16="http://schemas.microsoft.com/office/drawing/2014/chart" uri="{C3380CC4-5D6E-409C-BE32-E72D297353CC}">
                  <c16:uniqueId val="{0000001A-483A-48A3-A69F-87411D8870AA}"/>
                </c:ext>
              </c:extLst>
            </c:dLbl>
            <c:dLbl>
              <c:idx val="27"/>
              <c:delete val="1"/>
              <c:extLst>
                <c:ext xmlns:c15="http://schemas.microsoft.com/office/drawing/2012/chart" uri="{CE6537A1-D6FC-4f65-9D91-7224C49458BB}"/>
                <c:ext xmlns:c16="http://schemas.microsoft.com/office/drawing/2014/chart" uri="{C3380CC4-5D6E-409C-BE32-E72D297353CC}">
                  <c16:uniqueId val="{0000001B-483A-48A3-A69F-87411D8870AA}"/>
                </c:ext>
              </c:extLst>
            </c:dLbl>
            <c:dLbl>
              <c:idx val="28"/>
              <c:delete val="1"/>
              <c:extLst>
                <c:ext xmlns:c15="http://schemas.microsoft.com/office/drawing/2012/chart" uri="{CE6537A1-D6FC-4f65-9D91-7224C49458BB}"/>
                <c:ext xmlns:c16="http://schemas.microsoft.com/office/drawing/2014/chart" uri="{C3380CC4-5D6E-409C-BE32-E72D297353CC}">
                  <c16:uniqueId val="{0000001C-483A-48A3-A69F-87411D8870AA}"/>
                </c:ext>
              </c:extLst>
            </c:dLbl>
            <c:dLbl>
              <c:idx val="29"/>
              <c:delete val="1"/>
              <c:extLst>
                <c:ext xmlns:c15="http://schemas.microsoft.com/office/drawing/2012/chart" uri="{CE6537A1-D6FC-4f65-9D91-7224C49458BB}"/>
                <c:ext xmlns:c16="http://schemas.microsoft.com/office/drawing/2014/chart" uri="{C3380CC4-5D6E-409C-BE32-E72D297353CC}">
                  <c16:uniqueId val="{0000001D-483A-48A3-A69F-87411D8870AA}"/>
                </c:ext>
              </c:extLst>
            </c:dLbl>
            <c:dLbl>
              <c:idx val="30"/>
              <c:delete val="1"/>
              <c:extLst>
                <c:ext xmlns:c15="http://schemas.microsoft.com/office/drawing/2012/chart" uri="{CE6537A1-D6FC-4f65-9D91-7224C49458BB}"/>
                <c:ext xmlns:c16="http://schemas.microsoft.com/office/drawing/2014/chart" uri="{C3380CC4-5D6E-409C-BE32-E72D297353CC}">
                  <c16:uniqueId val="{0000001E-483A-48A3-A69F-87411D8870AA}"/>
                </c:ext>
              </c:extLst>
            </c:dLbl>
            <c:dLbl>
              <c:idx val="31"/>
              <c:delete val="1"/>
              <c:extLst>
                <c:ext xmlns:c15="http://schemas.microsoft.com/office/drawing/2012/chart" uri="{CE6537A1-D6FC-4f65-9D91-7224C49458BB}"/>
                <c:ext xmlns:c16="http://schemas.microsoft.com/office/drawing/2014/chart" uri="{C3380CC4-5D6E-409C-BE32-E72D297353CC}">
                  <c16:uniqueId val="{0000001F-483A-48A3-A69F-87411D8870AA}"/>
                </c:ext>
              </c:extLst>
            </c:dLbl>
            <c:dLbl>
              <c:idx val="32"/>
              <c:delete val="1"/>
              <c:extLst>
                <c:ext xmlns:c15="http://schemas.microsoft.com/office/drawing/2012/chart" uri="{CE6537A1-D6FC-4f65-9D91-7224C49458BB}"/>
                <c:ext xmlns:c16="http://schemas.microsoft.com/office/drawing/2014/chart" uri="{C3380CC4-5D6E-409C-BE32-E72D297353CC}">
                  <c16:uniqueId val="{00000020-483A-48A3-A69F-87411D8870AA}"/>
                </c:ext>
              </c:extLst>
            </c:dLbl>
            <c:dLbl>
              <c:idx val="33"/>
              <c:delete val="1"/>
              <c:extLst>
                <c:ext xmlns:c15="http://schemas.microsoft.com/office/drawing/2012/chart" uri="{CE6537A1-D6FC-4f65-9D91-7224C49458BB}"/>
                <c:ext xmlns:c16="http://schemas.microsoft.com/office/drawing/2014/chart" uri="{C3380CC4-5D6E-409C-BE32-E72D297353CC}">
                  <c16:uniqueId val="{00000021-483A-48A3-A69F-87411D8870AA}"/>
                </c:ext>
              </c:extLst>
            </c:dLbl>
            <c:dLbl>
              <c:idx val="34"/>
              <c:delete val="1"/>
              <c:extLst>
                <c:ext xmlns:c15="http://schemas.microsoft.com/office/drawing/2012/chart" uri="{CE6537A1-D6FC-4f65-9D91-7224C49458BB}"/>
                <c:ext xmlns:c16="http://schemas.microsoft.com/office/drawing/2014/chart" uri="{C3380CC4-5D6E-409C-BE32-E72D297353CC}">
                  <c16:uniqueId val="{00000022-483A-48A3-A69F-87411D8870AA}"/>
                </c:ext>
              </c:extLst>
            </c:dLbl>
            <c:dLbl>
              <c:idx val="35"/>
              <c:delete val="1"/>
              <c:extLst>
                <c:ext xmlns:c15="http://schemas.microsoft.com/office/drawing/2012/chart" uri="{CE6537A1-D6FC-4f65-9D91-7224C49458BB}"/>
                <c:ext xmlns:c16="http://schemas.microsoft.com/office/drawing/2014/chart" uri="{C3380CC4-5D6E-409C-BE32-E72D297353CC}">
                  <c16:uniqueId val="{00000023-483A-48A3-A69F-87411D8870AA}"/>
                </c:ext>
              </c:extLst>
            </c:dLbl>
            <c:dLbl>
              <c:idx val="36"/>
              <c:delete val="1"/>
              <c:extLst>
                <c:ext xmlns:c15="http://schemas.microsoft.com/office/drawing/2012/chart" uri="{CE6537A1-D6FC-4f65-9D91-7224C49458BB}"/>
                <c:ext xmlns:c16="http://schemas.microsoft.com/office/drawing/2014/chart" uri="{C3380CC4-5D6E-409C-BE32-E72D297353CC}">
                  <c16:uniqueId val="{00000024-483A-48A3-A69F-87411D8870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'Summary Table'!$E$5:$E$42</c:f>
              <c:numCache>
                <c:formatCode>_("$"* #,##0_);_("$"* \(#,##0\);_("$"* "-"??_);_(@_)</c:formatCode>
                <c:ptCount val="37"/>
                <c:pt idx="0">
                  <c:v>28232.640215837862</c:v>
                </c:pt>
                <c:pt idx="1">
                  <c:v>745.78518981928937</c:v>
                </c:pt>
                <c:pt idx="2">
                  <c:v>-421.62660889211111</c:v>
                </c:pt>
                <c:pt idx="3">
                  <c:v>4900.4649432094302</c:v>
                </c:pt>
                <c:pt idx="4">
                  <c:v>11639.609594638969</c:v>
                </c:pt>
                <c:pt idx="5">
                  <c:v>-16206.310327643529</c:v>
                </c:pt>
                <c:pt idx="6">
                  <c:v>-79757.399715518113</c:v>
                </c:pt>
                <c:pt idx="7">
                  <c:v>37375.99087476969</c:v>
                </c:pt>
                <c:pt idx="8">
                  <c:v>-1429.5266314869223</c:v>
                </c:pt>
                <c:pt idx="9">
                  <c:v>507722.4808171615</c:v>
                </c:pt>
                <c:pt idx="10">
                  <c:v>8366.9656313666492</c:v>
                </c:pt>
                <c:pt idx="11">
                  <c:v>-642.81932049754505</c:v>
                </c:pt>
                <c:pt idx="12">
                  <c:v>33256.335686265025</c:v>
                </c:pt>
                <c:pt idx="13">
                  <c:v>28781.40046420088</c:v>
                </c:pt>
                <c:pt idx="14">
                  <c:v>4475.3356486134289</c:v>
                </c:pt>
                <c:pt idx="15">
                  <c:v>218873.19476539548</c:v>
                </c:pt>
                <c:pt idx="16">
                  <c:v>4038.0066647201311</c:v>
                </c:pt>
                <c:pt idx="17">
                  <c:v>-85639.749032695778</c:v>
                </c:pt>
                <c:pt idx="18">
                  <c:v>300183.36425793916</c:v>
                </c:pt>
                <c:pt idx="19">
                  <c:v>-53724.797995895147</c:v>
                </c:pt>
                <c:pt idx="20">
                  <c:v>28719.961670455988</c:v>
                </c:pt>
                <c:pt idx="21">
                  <c:v>-1616797.5096581019</c:v>
                </c:pt>
                <c:pt idx="22">
                  <c:v>-748658.37008957099</c:v>
                </c:pt>
                <c:pt idx="23">
                  <c:v>-18126.715611636871</c:v>
                </c:pt>
                <c:pt idx="24">
                  <c:v>748029.71558709815</c:v>
                </c:pt>
                <c:pt idx="25">
                  <c:v>-0.10000000055879354</c:v>
                </c:pt>
                <c:pt idx="26">
                  <c:v>55700.50849639537</c:v>
                </c:pt>
                <c:pt idx="27">
                  <c:v>230908.37831469532</c:v>
                </c:pt>
                <c:pt idx="28">
                  <c:v>25445.269157149974</c:v>
                </c:pt>
                <c:pt idx="29">
                  <c:v>87512.933390082791</c:v>
                </c:pt>
                <c:pt idx="30">
                  <c:v>0.13333333353511989</c:v>
                </c:pt>
                <c:pt idx="31">
                  <c:v>2528.1832662636298</c:v>
                </c:pt>
                <c:pt idx="32">
                  <c:v>-4655.2602034148294</c:v>
                </c:pt>
                <c:pt idx="33">
                  <c:v>0.16666666668606922</c:v>
                </c:pt>
                <c:pt idx="34">
                  <c:v>-163032.63483350072</c:v>
                </c:pt>
                <c:pt idx="35">
                  <c:v>6318.9991316934102</c:v>
                </c:pt>
                <c:pt idx="36">
                  <c:v>4858.898037849518</c:v>
                </c:pt>
              </c:numCache>
            </c:numRef>
          </c:xVal>
          <c:yVal>
            <c:numRef>
              <c:f>'Summary Table'!$F$5:$F$43</c:f>
              <c:numCache>
                <c:formatCode>0%</c:formatCode>
                <c:ptCount val="38"/>
                <c:pt idx="0">
                  <c:v>4.5163355208848392E-2</c:v>
                </c:pt>
                <c:pt idx="1">
                  <c:v>6.1460510534472245E-3</c:v>
                </c:pt>
                <c:pt idx="2">
                  <c:v>-5.6754673853427382E-4</c:v>
                </c:pt>
                <c:pt idx="3">
                  <c:v>7.6260013832352763E-3</c:v>
                </c:pt>
                <c:pt idx="4">
                  <c:v>9.2754115617202204E-2</c:v>
                </c:pt>
                <c:pt idx="5">
                  <c:v>-5.4533433582954699E-3</c:v>
                </c:pt>
                <c:pt idx="6">
                  <c:v>-7.4436316303478967E-2</c:v>
                </c:pt>
                <c:pt idx="7">
                  <c:v>8.6789579467565367E-2</c:v>
                </c:pt>
                <c:pt idx="8">
                  <c:v>-2.6101403921554318E-2</c:v>
                </c:pt>
                <c:pt idx="9">
                  <c:v>1.9881542062490182E-2</c:v>
                </c:pt>
                <c:pt idx="10">
                  <c:v>2.2541128523117123E-2</c:v>
                </c:pt>
                <c:pt idx="11">
                  <c:v>-3.7771278737795511E-2</c:v>
                </c:pt>
                <c:pt idx="12">
                  <c:v>1.4578265683711327E-2</c:v>
                </c:pt>
                <c:pt idx="13">
                  <c:v>3.4592249047050383E-2</c:v>
                </c:pt>
                <c:pt idx="14">
                  <c:v>2.2802647157710527E-2</c:v>
                </c:pt>
                <c:pt idx="15">
                  <c:v>0.1285174523880907</c:v>
                </c:pt>
                <c:pt idx="16">
                  <c:v>9.8387915716163191E-2</c:v>
                </c:pt>
                <c:pt idx="17">
                  <c:v>-2.3357283032455285E-2</c:v>
                </c:pt>
                <c:pt idx="18">
                  <c:v>4.9964066803023024E-2</c:v>
                </c:pt>
                <c:pt idx="19">
                  <c:v>-5.7771059391384608E-3</c:v>
                </c:pt>
                <c:pt idx="20">
                  <c:v>1.8045865003464025E-2</c:v>
                </c:pt>
                <c:pt idx="21">
                  <c:v>-6.283780683829894E-2</c:v>
                </c:pt>
                <c:pt idx="22">
                  <c:v>-9.1443550930864287E-2</c:v>
                </c:pt>
                <c:pt idx="23">
                  <c:v>-1.5118713178943977E-2</c:v>
                </c:pt>
                <c:pt idx="24">
                  <c:v>3.9676681779822087E-2</c:v>
                </c:pt>
                <c:pt idx="25">
                  <c:v>-2.8709880901306956E-8</c:v>
                </c:pt>
                <c:pt idx="26">
                  <c:v>0.11115120044283962</c:v>
                </c:pt>
                <c:pt idx="27">
                  <c:v>7.0580944988218777E-2</c:v>
                </c:pt>
                <c:pt idx="28">
                  <c:v>0.12760182804407075</c:v>
                </c:pt>
                <c:pt idx="29">
                  <c:v>0.13305698471408756</c:v>
                </c:pt>
                <c:pt idx="30">
                  <c:v>6.6750342772247821E-8</c:v>
                </c:pt>
                <c:pt idx="31">
                  <c:v>5.1842372194700979E-3</c:v>
                </c:pt>
                <c:pt idx="32">
                  <c:v>-3.9089044493915825E-3</c:v>
                </c:pt>
                <c:pt idx="33">
                  <c:v>8.796577217642761E-7</c:v>
                </c:pt>
                <c:pt idx="34">
                  <c:v>-0.10427207074621184</c:v>
                </c:pt>
                <c:pt idx="35">
                  <c:v>0.11729533628691344</c:v>
                </c:pt>
                <c:pt idx="36">
                  <c:v>1.4981054553706581E-2</c:v>
                </c:pt>
                <c:pt idx="37">
                  <c:v>2.816210416829578E-2</c:v>
                </c:pt>
              </c:numCache>
            </c:numRef>
          </c:yVal>
          <c:smooth val="0"/>
          <c:extLst>
            <c:ext xmlns:c16="http://schemas.microsoft.com/office/drawing/2014/chart" uri="{C3380CC4-5D6E-409C-BE32-E72D297353CC}">
              <c16:uniqueId val="{00000025-483A-48A3-A69F-87411D8870AA}"/>
            </c:ext>
          </c:extLst>
        </c:ser>
        <c:ser>
          <c:idx val="1"/>
          <c:order val="1"/>
          <c:tx>
            <c:v>3-Year Average Performance</c:v>
          </c:tx>
          <c:spPr>
            <a:ln w="25400" cap="rnd">
              <a:noFill/>
              <a:round/>
            </a:ln>
            <a:effectLst/>
          </c:spPr>
          <c:marker>
            <c:symbol val="circle"/>
            <c:size val="5"/>
            <c:spPr>
              <a:solidFill>
                <a:schemeClr val="accent2"/>
              </a:solidFill>
              <a:ln w="9525">
                <a:solidFill>
                  <a:schemeClr val="accent2"/>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26-483A-48A3-A69F-87411D8870AA}"/>
                </c:ext>
              </c:extLst>
            </c:dLbl>
            <c:dLbl>
              <c:idx val="1"/>
              <c:delete val="1"/>
              <c:extLst>
                <c:ext xmlns:c15="http://schemas.microsoft.com/office/drawing/2012/chart" uri="{CE6537A1-D6FC-4f65-9D91-7224C49458BB}"/>
                <c:ext xmlns:c16="http://schemas.microsoft.com/office/drawing/2014/chart" uri="{C3380CC4-5D6E-409C-BE32-E72D297353CC}">
                  <c16:uniqueId val="{00000027-483A-48A3-A69F-87411D8870AA}"/>
                </c:ext>
              </c:extLst>
            </c:dLbl>
            <c:dLbl>
              <c:idx val="2"/>
              <c:delete val="1"/>
              <c:extLst>
                <c:ext xmlns:c15="http://schemas.microsoft.com/office/drawing/2012/chart" uri="{CE6537A1-D6FC-4f65-9D91-7224C49458BB}"/>
                <c:ext xmlns:c16="http://schemas.microsoft.com/office/drawing/2014/chart" uri="{C3380CC4-5D6E-409C-BE32-E72D297353CC}">
                  <c16:uniqueId val="{00000028-483A-48A3-A69F-87411D8870AA}"/>
                </c:ext>
              </c:extLst>
            </c:dLbl>
            <c:dLbl>
              <c:idx val="3"/>
              <c:delete val="1"/>
              <c:extLst>
                <c:ext xmlns:c15="http://schemas.microsoft.com/office/drawing/2012/chart" uri="{CE6537A1-D6FC-4f65-9D91-7224C49458BB}"/>
                <c:ext xmlns:c16="http://schemas.microsoft.com/office/drawing/2014/chart" uri="{C3380CC4-5D6E-409C-BE32-E72D297353CC}">
                  <c16:uniqueId val="{00000029-483A-48A3-A69F-87411D8870AA}"/>
                </c:ext>
              </c:extLst>
            </c:dLbl>
            <c:dLbl>
              <c:idx val="4"/>
              <c:delete val="1"/>
              <c:extLst>
                <c:ext xmlns:c15="http://schemas.microsoft.com/office/drawing/2012/chart" uri="{CE6537A1-D6FC-4f65-9D91-7224C49458BB}"/>
                <c:ext xmlns:c16="http://schemas.microsoft.com/office/drawing/2014/chart" uri="{C3380CC4-5D6E-409C-BE32-E72D297353CC}">
                  <c16:uniqueId val="{0000002A-483A-48A3-A69F-87411D8870AA}"/>
                </c:ext>
              </c:extLst>
            </c:dLbl>
            <c:dLbl>
              <c:idx val="5"/>
              <c:delete val="1"/>
              <c:extLst>
                <c:ext xmlns:c15="http://schemas.microsoft.com/office/drawing/2012/chart" uri="{CE6537A1-D6FC-4f65-9D91-7224C49458BB}"/>
                <c:ext xmlns:c16="http://schemas.microsoft.com/office/drawing/2014/chart" uri="{C3380CC4-5D6E-409C-BE32-E72D297353CC}">
                  <c16:uniqueId val="{0000002B-483A-48A3-A69F-87411D8870AA}"/>
                </c:ext>
              </c:extLst>
            </c:dLbl>
            <c:dLbl>
              <c:idx val="6"/>
              <c:tx>
                <c:rich>
                  <a:bodyPr/>
                  <a:lstStyle/>
                  <a:p>
                    <a:fld id="{9CEE551B-736C-4E27-8D88-FAEBC669E3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483A-48A3-A69F-87411D8870AA}"/>
                </c:ext>
              </c:extLst>
            </c:dLbl>
            <c:dLbl>
              <c:idx val="7"/>
              <c:delete val="1"/>
              <c:extLst>
                <c:ext xmlns:c15="http://schemas.microsoft.com/office/drawing/2012/chart" uri="{CE6537A1-D6FC-4f65-9D91-7224C49458BB}"/>
                <c:ext xmlns:c16="http://schemas.microsoft.com/office/drawing/2014/chart" uri="{C3380CC4-5D6E-409C-BE32-E72D297353CC}">
                  <c16:uniqueId val="{0000002D-483A-48A3-A69F-87411D8870AA}"/>
                </c:ext>
              </c:extLst>
            </c:dLbl>
            <c:dLbl>
              <c:idx val="8"/>
              <c:delete val="1"/>
              <c:extLst>
                <c:ext xmlns:c15="http://schemas.microsoft.com/office/drawing/2012/chart" uri="{CE6537A1-D6FC-4f65-9D91-7224C49458BB}"/>
                <c:ext xmlns:c16="http://schemas.microsoft.com/office/drawing/2014/chart" uri="{C3380CC4-5D6E-409C-BE32-E72D297353CC}">
                  <c16:uniqueId val="{0000002E-483A-48A3-A69F-87411D8870AA}"/>
                </c:ext>
              </c:extLst>
            </c:dLbl>
            <c:dLbl>
              <c:idx val="9"/>
              <c:layout>
                <c:manualLayout>
                  <c:x val="-6.2881310783204055E-3"/>
                  <c:y val="2.6598555747291596E-2"/>
                </c:manualLayout>
              </c:layout>
              <c:tx>
                <c:rich>
                  <a:bodyPr/>
                  <a:lstStyle/>
                  <a:p>
                    <a:fld id="{949D5973-F2F5-43AF-8809-0D616807CF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483A-48A3-A69F-87411D8870AA}"/>
                </c:ext>
              </c:extLst>
            </c:dLbl>
            <c:dLbl>
              <c:idx val="10"/>
              <c:delete val="1"/>
              <c:extLst>
                <c:ext xmlns:c15="http://schemas.microsoft.com/office/drawing/2012/chart" uri="{CE6537A1-D6FC-4f65-9D91-7224C49458BB}"/>
                <c:ext xmlns:c16="http://schemas.microsoft.com/office/drawing/2014/chart" uri="{C3380CC4-5D6E-409C-BE32-E72D297353CC}">
                  <c16:uniqueId val="{00000030-483A-48A3-A69F-87411D8870AA}"/>
                </c:ext>
              </c:extLst>
            </c:dLbl>
            <c:dLbl>
              <c:idx val="11"/>
              <c:delete val="1"/>
              <c:extLst>
                <c:ext xmlns:c15="http://schemas.microsoft.com/office/drawing/2012/chart" uri="{CE6537A1-D6FC-4f65-9D91-7224C49458BB}"/>
                <c:ext xmlns:c16="http://schemas.microsoft.com/office/drawing/2014/chart" uri="{C3380CC4-5D6E-409C-BE32-E72D297353CC}">
                  <c16:uniqueId val="{00000031-483A-48A3-A69F-87411D8870AA}"/>
                </c:ext>
              </c:extLst>
            </c:dLbl>
            <c:dLbl>
              <c:idx val="12"/>
              <c:delete val="1"/>
              <c:extLst>
                <c:ext xmlns:c15="http://schemas.microsoft.com/office/drawing/2012/chart" uri="{CE6537A1-D6FC-4f65-9D91-7224C49458BB}"/>
                <c:ext xmlns:c16="http://schemas.microsoft.com/office/drawing/2014/chart" uri="{C3380CC4-5D6E-409C-BE32-E72D297353CC}">
                  <c16:uniqueId val="{00000032-483A-48A3-A69F-87411D8870AA}"/>
                </c:ext>
              </c:extLst>
            </c:dLbl>
            <c:dLbl>
              <c:idx val="13"/>
              <c:delete val="1"/>
              <c:extLst>
                <c:ext xmlns:c15="http://schemas.microsoft.com/office/drawing/2012/chart" uri="{CE6537A1-D6FC-4f65-9D91-7224C49458BB}"/>
                <c:ext xmlns:c16="http://schemas.microsoft.com/office/drawing/2014/chart" uri="{C3380CC4-5D6E-409C-BE32-E72D297353CC}">
                  <c16:uniqueId val="{00000033-483A-48A3-A69F-87411D8870AA}"/>
                </c:ext>
              </c:extLst>
            </c:dLbl>
            <c:dLbl>
              <c:idx val="14"/>
              <c:delete val="1"/>
              <c:extLst>
                <c:ext xmlns:c15="http://schemas.microsoft.com/office/drawing/2012/chart" uri="{CE6537A1-D6FC-4f65-9D91-7224C49458BB}"/>
                <c:ext xmlns:c16="http://schemas.microsoft.com/office/drawing/2014/chart" uri="{C3380CC4-5D6E-409C-BE32-E72D297353CC}">
                  <c16:uniqueId val="{00000034-483A-48A3-A69F-87411D8870AA}"/>
                </c:ext>
              </c:extLst>
            </c:dLbl>
            <c:dLbl>
              <c:idx val="15"/>
              <c:layout>
                <c:manualLayout>
                  <c:x val="2.4104502466894887E-2"/>
                  <c:y val="1.0639422298916663E-2"/>
                </c:manualLayout>
              </c:layout>
              <c:tx>
                <c:rich>
                  <a:bodyPr/>
                  <a:lstStyle/>
                  <a:p>
                    <a:fld id="{0EB07E8E-9FBF-4379-B671-2965F9F98D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483A-48A3-A69F-87411D8870AA}"/>
                </c:ext>
              </c:extLst>
            </c:dLbl>
            <c:dLbl>
              <c:idx val="16"/>
              <c:delete val="1"/>
              <c:extLst>
                <c:ext xmlns:c15="http://schemas.microsoft.com/office/drawing/2012/chart" uri="{CE6537A1-D6FC-4f65-9D91-7224C49458BB}"/>
                <c:ext xmlns:c16="http://schemas.microsoft.com/office/drawing/2014/chart" uri="{C3380CC4-5D6E-409C-BE32-E72D297353CC}">
                  <c16:uniqueId val="{00000036-483A-48A3-A69F-87411D8870AA}"/>
                </c:ext>
              </c:extLst>
            </c:dLbl>
            <c:dLbl>
              <c:idx val="17"/>
              <c:delete val="1"/>
              <c:extLst>
                <c:ext xmlns:c15="http://schemas.microsoft.com/office/drawing/2012/chart" uri="{CE6537A1-D6FC-4f65-9D91-7224C49458BB}"/>
                <c:ext xmlns:c16="http://schemas.microsoft.com/office/drawing/2014/chart" uri="{C3380CC4-5D6E-409C-BE32-E72D297353CC}">
                  <c16:uniqueId val="{00000037-483A-48A3-A69F-87411D8870AA}"/>
                </c:ext>
              </c:extLst>
            </c:dLbl>
            <c:dLbl>
              <c:idx val="18"/>
              <c:layout>
                <c:manualLayout>
                  <c:x val="-1.9912415081347952E-2"/>
                  <c:y val="2.6598555747291596E-2"/>
                </c:manualLayout>
              </c:layout>
              <c:tx>
                <c:rich>
                  <a:bodyPr/>
                  <a:lstStyle/>
                  <a:p>
                    <a:fld id="{97B11E4F-D4CC-4477-9333-EEA5E01184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483A-48A3-A69F-87411D8870AA}"/>
                </c:ext>
              </c:extLst>
            </c:dLbl>
            <c:dLbl>
              <c:idx val="19"/>
              <c:delete val="1"/>
              <c:extLst>
                <c:ext xmlns:c15="http://schemas.microsoft.com/office/drawing/2012/chart" uri="{CE6537A1-D6FC-4f65-9D91-7224C49458BB}"/>
                <c:ext xmlns:c16="http://schemas.microsoft.com/office/drawing/2014/chart" uri="{C3380CC4-5D6E-409C-BE32-E72D297353CC}">
                  <c16:uniqueId val="{00000039-483A-48A3-A69F-87411D8870AA}"/>
                </c:ext>
              </c:extLst>
            </c:dLbl>
            <c:dLbl>
              <c:idx val="20"/>
              <c:delete val="1"/>
              <c:extLst>
                <c:ext xmlns:c15="http://schemas.microsoft.com/office/drawing/2012/chart" uri="{CE6537A1-D6FC-4f65-9D91-7224C49458BB}"/>
                <c:ext xmlns:c16="http://schemas.microsoft.com/office/drawing/2014/chart" uri="{C3380CC4-5D6E-409C-BE32-E72D297353CC}">
                  <c16:uniqueId val="{0000003A-483A-48A3-A69F-87411D8870AA}"/>
                </c:ext>
              </c:extLst>
            </c:dLbl>
            <c:dLbl>
              <c:idx val="21"/>
              <c:layout>
                <c:manualLayout>
                  <c:x val="0"/>
                  <c:y val="3.1918266896749994E-2"/>
                </c:manualLayout>
              </c:layout>
              <c:tx>
                <c:rich>
                  <a:bodyPr/>
                  <a:lstStyle/>
                  <a:p>
                    <a:fld id="{B2BD038F-55EA-4E8B-AD32-2613C694F4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483A-48A3-A69F-87411D8870AA}"/>
                </c:ext>
              </c:extLst>
            </c:dLbl>
            <c:dLbl>
              <c:idx val="22"/>
              <c:layout>
                <c:manualLayout>
                  <c:x val="5.2401092319336717E-3"/>
                  <c:y val="4.0784452145847208E-2"/>
                </c:manualLayout>
              </c:layout>
              <c:tx>
                <c:rich>
                  <a:bodyPr/>
                  <a:lstStyle/>
                  <a:p>
                    <a:fld id="{876BE79B-4692-47AE-82B8-01DE24AFBF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483A-48A3-A69F-87411D8870AA}"/>
                </c:ext>
              </c:extLst>
            </c:dLbl>
            <c:dLbl>
              <c:idx val="23"/>
              <c:delete val="1"/>
              <c:extLst>
                <c:ext xmlns:c15="http://schemas.microsoft.com/office/drawing/2012/chart" uri="{CE6537A1-D6FC-4f65-9D91-7224C49458BB}"/>
                <c:ext xmlns:c16="http://schemas.microsoft.com/office/drawing/2014/chart" uri="{C3380CC4-5D6E-409C-BE32-E72D297353CC}">
                  <c16:uniqueId val="{0000003D-483A-48A3-A69F-87411D8870AA}"/>
                </c:ext>
              </c:extLst>
            </c:dLbl>
            <c:dLbl>
              <c:idx val="24"/>
              <c:layout>
                <c:manualLayout>
                  <c:x val="-2.3056480620508153E-2"/>
                  <c:y val="-3.5464740996388945E-2"/>
                </c:manualLayout>
              </c:layout>
              <c:tx>
                <c:rich>
                  <a:bodyPr/>
                  <a:lstStyle/>
                  <a:p>
                    <a:fld id="{4807708C-9758-4342-82F2-FA1E578DBA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483A-48A3-A69F-87411D8870AA}"/>
                </c:ext>
              </c:extLst>
            </c:dLbl>
            <c:dLbl>
              <c:idx val="25"/>
              <c:delete val="1"/>
              <c:extLst>
                <c:ext xmlns:c15="http://schemas.microsoft.com/office/drawing/2012/chart" uri="{CE6537A1-D6FC-4f65-9D91-7224C49458BB}"/>
                <c:ext xmlns:c16="http://schemas.microsoft.com/office/drawing/2014/chart" uri="{C3380CC4-5D6E-409C-BE32-E72D297353CC}">
                  <c16:uniqueId val="{0000003F-483A-48A3-A69F-87411D8870AA}"/>
                </c:ext>
              </c:extLst>
            </c:dLbl>
            <c:dLbl>
              <c:idx val="26"/>
              <c:delete val="1"/>
              <c:extLst>
                <c:ext xmlns:c15="http://schemas.microsoft.com/office/drawing/2012/chart" uri="{CE6537A1-D6FC-4f65-9D91-7224C49458BB}"/>
                <c:ext xmlns:c16="http://schemas.microsoft.com/office/drawing/2014/chart" uri="{C3380CC4-5D6E-409C-BE32-E72D297353CC}">
                  <c16:uniqueId val="{00000040-483A-48A3-A69F-87411D8870AA}"/>
                </c:ext>
              </c:extLst>
            </c:dLbl>
            <c:dLbl>
              <c:idx val="27"/>
              <c:layout>
                <c:manualLayout>
                  <c:x val="9.4321966174806086E-3"/>
                  <c:y val="-2.1278844597833326E-2"/>
                </c:manualLayout>
              </c:layout>
              <c:tx>
                <c:rich>
                  <a:bodyPr/>
                  <a:lstStyle/>
                  <a:p>
                    <a:fld id="{4DBD99E1-FB5D-4AF2-9D7B-EFF28D2B66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1-483A-48A3-A69F-87411D8870AA}"/>
                </c:ext>
              </c:extLst>
            </c:dLbl>
            <c:dLbl>
              <c:idx val="28"/>
              <c:delete val="1"/>
              <c:extLst>
                <c:ext xmlns:c15="http://schemas.microsoft.com/office/drawing/2012/chart" uri="{CE6537A1-D6FC-4f65-9D91-7224C49458BB}"/>
                <c:ext xmlns:c16="http://schemas.microsoft.com/office/drawing/2014/chart" uri="{C3380CC4-5D6E-409C-BE32-E72D297353CC}">
                  <c16:uniqueId val="{00000042-483A-48A3-A69F-87411D8870AA}"/>
                </c:ext>
              </c:extLst>
            </c:dLbl>
            <c:dLbl>
              <c:idx val="29"/>
              <c:layout>
                <c:manualLayout>
                  <c:x val="-1.8864393234961217E-2"/>
                  <c:y val="-3.7237978046208355E-2"/>
                </c:manualLayout>
              </c:layout>
              <c:tx>
                <c:rich>
                  <a:bodyPr/>
                  <a:lstStyle/>
                  <a:p>
                    <a:fld id="{44315FE3-D080-4EA0-99F1-A7A229E424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483A-48A3-A69F-87411D8870AA}"/>
                </c:ext>
              </c:extLst>
            </c:dLbl>
            <c:dLbl>
              <c:idx val="30"/>
              <c:delete val="1"/>
              <c:extLst>
                <c:ext xmlns:c15="http://schemas.microsoft.com/office/drawing/2012/chart" uri="{CE6537A1-D6FC-4f65-9D91-7224C49458BB}"/>
                <c:ext xmlns:c16="http://schemas.microsoft.com/office/drawing/2014/chart" uri="{C3380CC4-5D6E-409C-BE32-E72D297353CC}">
                  <c16:uniqueId val="{00000044-483A-48A3-A69F-87411D8870AA}"/>
                </c:ext>
              </c:extLst>
            </c:dLbl>
            <c:dLbl>
              <c:idx val="31"/>
              <c:delete val="1"/>
              <c:extLst>
                <c:ext xmlns:c15="http://schemas.microsoft.com/office/drawing/2012/chart" uri="{CE6537A1-D6FC-4f65-9D91-7224C49458BB}"/>
                <c:ext xmlns:c16="http://schemas.microsoft.com/office/drawing/2014/chart" uri="{C3380CC4-5D6E-409C-BE32-E72D297353CC}">
                  <c16:uniqueId val="{00000045-483A-48A3-A69F-87411D8870AA}"/>
                </c:ext>
              </c:extLst>
            </c:dLbl>
            <c:dLbl>
              <c:idx val="32"/>
              <c:delete val="1"/>
              <c:extLst>
                <c:ext xmlns:c15="http://schemas.microsoft.com/office/drawing/2012/chart" uri="{CE6537A1-D6FC-4f65-9D91-7224C49458BB}"/>
                <c:ext xmlns:c16="http://schemas.microsoft.com/office/drawing/2014/chart" uri="{C3380CC4-5D6E-409C-BE32-E72D297353CC}">
                  <c16:uniqueId val="{00000046-483A-48A3-A69F-87411D8870AA}"/>
                </c:ext>
              </c:extLst>
            </c:dLbl>
            <c:dLbl>
              <c:idx val="33"/>
              <c:delete val="1"/>
              <c:extLst>
                <c:ext xmlns:c15="http://schemas.microsoft.com/office/drawing/2012/chart" uri="{CE6537A1-D6FC-4f65-9D91-7224C49458BB}"/>
                <c:ext xmlns:c16="http://schemas.microsoft.com/office/drawing/2014/chart" uri="{C3380CC4-5D6E-409C-BE32-E72D297353CC}">
                  <c16:uniqueId val="{00000047-483A-48A3-A69F-87411D8870AA}"/>
                </c:ext>
              </c:extLst>
            </c:dLbl>
            <c:dLbl>
              <c:idx val="34"/>
              <c:delete val="1"/>
              <c:extLst>
                <c:ext xmlns:c15="http://schemas.microsoft.com/office/drawing/2012/chart" uri="{CE6537A1-D6FC-4f65-9D91-7224C49458BB}"/>
                <c:ext xmlns:c16="http://schemas.microsoft.com/office/drawing/2014/chart" uri="{C3380CC4-5D6E-409C-BE32-E72D297353CC}">
                  <c16:uniqueId val="{00000048-483A-48A3-A69F-87411D8870AA}"/>
                </c:ext>
              </c:extLst>
            </c:dLbl>
            <c:dLbl>
              <c:idx val="35"/>
              <c:delete val="1"/>
              <c:extLst>
                <c:ext xmlns:c15="http://schemas.microsoft.com/office/drawing/2012/chart" uri="{CE6537A1-D6FC-4f65-9D91-7224C49458BB}"/>
                <c:ext xmlns:c16="http://schemas.microsoft.com/office/drawing/2014/chart" uri="{C3380CC4-5D6E-409C-BE32-E72D297353CC}">
                  <c16:uniqueId val="{00000049-483A-48A3-A69F-87411D8870AA}"/>
                </c:ext>
              </c:extLst>
            </c:dLbl>
            <c:dLbl>
              <c:idx val="36"/>
              <c:delete val="1"/>
              <c:extLst>
                <c:ext xmlns:c15="http://schemas.microsoft.com/office/drawing/2012/chart" uri="{CE6537A1-D6FC-4f65-9D91-7224C49458BB}"/>
                <c:ext xmlns:c16="http://schemas.microsoft.com/office/drawing/2014/chart" uri="{C3380CC4-5D6E-409C-BE32-E72D297353CC}">
                  <c16:uniqueId val="{0000004A-483A-48A3-A69F-87411D8870AA}"/>
                </c:ext>
              </c:extLst>
            </c:dLbl>
            <c:dLbl>
              <c:idx val="37"/>
              <c:delete val="1"/>
              <c:extLst>
                <c:ext xmlns:c15="http://schemas.microsoft.com/office/drawing/2012/chart" uri="{CE6537A1-D6FC-4f65-9D91-7224C49458BB}"/>
                <c:ext xmlns:c16="http://schemas.microsoft.com/office/drawing/2014/chart" uri="{C3380CC4-5D6E-409C-BE32-E72D297353CC}">
                  <c16:uniqueId val="{0000004B-483A-48A3-A69F-87411D8870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'Summary Table'!$H$5:$H$43</c:f>
              <c:numCache>
                <c:formatCode>_("$"* #,##0_);_("$"* \(#,##0\);_("$"* "-"??_);_(@_)</c:formatCode>
                <c:ptCount val="38"/>
                <c:pt idx="0">
                  <c:v>28965.475201626192</c:v>
                </c:pt>
                <c:pt idx="1">
                  <c:v>69.459321090456797</c:v>
                </c:pt>
                <c:pt idx="2">
                  <c:v>-2858.627856722218</c:v>
                </c:pt>
                <c:pt idx="3">
                  <c:v>4900.4649432094302</c:v>
                </c:pt>
                <c:pt idx="4">
                  <c:v>11688.529035598374</c:v>
                </c:pt>
                <c:pt idx="5">
                  <c:v>-10809.73251055181</c:v>
                </c:pt>
                <c:pt idx="6">
                  <c:v>-90110.00736894412</c:v>
                </c:pt>
                <c:pt idx="7">
                  <c:v>45013.81660082459</c:v>
                </c:pt>
                <c:pt idx="8">
                  <c:v>-1672.519506731529</c:v>
                </c:pt>
                <c:pt idx="9">
                  <c:v>555627.80043519661</c:v>
                </c:pt>
                <c:pt idx="10">
                  <c:v>8366.9656313666492</c:v>
                </c:pt>
                <c:pt idx="11">
                  <c:v>-815.87049698674127</c:v>
                </c:pt>
                <c:pt idx="12">
                  <c:v>33256.335686265025</c:v>
                </c:pt>
                <c:pt idx="13">
                  <c:v>38714.576975505566</c:v>
                </c:pt>
                <c:pt idx="14">
                  <c:v>4475.3356486134289</c:v>
                </c:pt>
                <c:pt idx="15">
                  <c:v>262188.58102970384</c:v>
                </c:pt>
                <c:pt idx="16">
                  <c:v>4038.0066647201311</c:v>
                </c:pt>
                <c:pt idx="17">
                  <c:v>-78928.663002290763</c:v>
                </c:pt>
                <c:pt idx="18">
                  <c:v>289885.97567327879</c:v>
                </c:pt>
                <c:pt idx="19">
                  <c:v>-78968.259177345783</c:v>
                </c:pt>
                <c:pt idx="20">
                  <c:v>6235.0856046746485</c:v>
                </c:pt>
                <c:pt idx="21">
                  <c:v>-1796127.6347567774</c:v>
                </c:pt>
                <c:pt idx="22">
                  <c:v>-792054.90086862724</c:v>
                </c:pt>
                <c:pt idx="23">
                  <c:v>-19151.089716382325</c:v>
                </c:pt>
                <c:pt idx="24">
                  <c:v>794362.34685876966</c:v>
                </c:pt>
                <c:pt idx="25">
                  <c:v>-0.10000000055879354</c:v>
                </c:pt>
                <c:pt idx="26">
                  <c:v>61085.0962233686</c:v>
                </c:pt>
                <c:pt idx="27">
                  <c:v>248736.37530553713</c:v>
                </c:pt>
                <c:pt idx="28">
                  <c:v>25531.82490059777</c:v>
                </c:pt>
                <c:pt idx="29">
                  <c:v>84160.635087606963</c:v>
                </c:pt>
                <c:pt idx="30">
                  <c:v>0.13333333353511989</c:v>
                </c:pt>
                <c:pt idx="31">
                  <c:v>4790.4762789511005</c:v>
                </c:pt>
                <c:pt idx="32">
                  <c:v>-5225.6003448308911</c:v>
                </c:pt>
                <c:pt idx="33">
                  <c:v>0.16666666668606922</c:v>
                </c:pt>
                <c:pt idx="34">
                  <c:v>-167570.96449786657</c:v>
                </c:pt>
                <c:pt idx="35">
                  <c:v>6671.3414149490636</c:v>
                </c:pt>
                <c:pt idx="36">
                  <c:v>3684.5309584450442</c:v>
                </c:pt>
                <c:pt idx="37">
                  <c:v>31476.181262651458</c:v>
                </c:pt>
              </c:numCache>
            </c:numRef>
          </c:xVal>
          <c:yVal>
            <c:numRef>
              <c:f>'Summary Table'!$I$5:$I$43</c:f>
              <c:numCache>
                <c:formatCode>0%</c:formatCode>
                <c:ptCount val="38"/>
                <c:pt idx="0">
                  <c:v>4.6335660969825818E-2</c:v>
                </c:pt>
                <c:pt idx="1">
                  <c:v>5.7241755318736352E-4</c:v>
                </c:pt>
                <c:pt idx="2">
                  <c:v>-3.8479661448053174E-3</c:v>
                </c:pt>
                <c:pt idx="3">
                  <c:v>7.6260013832352763E-3</c:v>
                </c:pt>
                <c:pt idx="4">
                  <c:v>9.3143946517094886E-2</c:v>
                </c:pt>
                <c:pt idx="5">
                  <c:v>-3.6374215845303886E-3</c:v>
                </c:pt>
                <c:pt idx="6">
                  <c:v>-8.4098240847218828E-2</c:v>
                </c:pt>
                <c:pt idx="7">
                  <c:v>0.10452512753723085</c:v>
                </c:pt>
                <c:pt idx="8">
                  <c:v>-3.0538155953394559E-2</c:v>
                </c:pt>
                <c:pt idx="9">
                  <c:v>2.1757432264299045E-2</c:v>
                </c:pt>
                <c:pt idx="10">
                  <c:v>2.2541128523117123E-2</c:v>
                </c:pt>
                <c:pt idx="11">
                  <c:v>-4.7939554666430795E-2</c:v>
                </c:pt>
                <c:pt idx="12">
                  <c:v>1.4578265683711327E-2</c:v>
                </c:pt>
                <c:pt idx="13">
                  <c:v>4.6530893802532516E-2</c:v>
                </c:pt>
                <c:pt idx="14">
                  <c:v>2.2802647157710527E-2</c:v>
                </c:pt>
                <c:pt idx="15">
                  <c:v>0.15395127994226834</c:v>
                </c:pt>
                <c:pt idx="16">
                  <c:v>9.8387915716163191E-2</c:v>
                </c:pt>
                <c:pt idx="17">
                  <c:v>-2.1526909430969351E-2</c:v>
                </c:pt>
                <c:pt idx="18">
                  <c:v>4.8250116356726595E-2</c:v>
                </c:pt>
                <c:pt idx="19">
                  <c:v>-8.4915721624812101E-3</c:v>
                </c:pt>
                <c:pt idx="20">
                  <c:v>3.9177459356690746E-3</c:v>
                </c:pt>
                <c:pt idx="21">
                  <c:v>-6.9807579919914778E-2</c:v>
                </c:pt>
                <c:pt idx="22">
                  <c:v>-9.6744143338643909E-2</c:v>
                </c:pt>
                <c:pt idx="23">
                  <c:v>-1.5973099522802191E-2</c:v>
                </c:pt>
                <c:pt idx="24">
                  <c:v>4.213423798204477E-2</c:v>
                </c:pt>
                <c:pt idx="25">
                  <c:v>-2.8709880901306956E-8</c:v>
                </c:pt>
                <c:pt idx="26">
                  <c:v>0.12189622604312814</c:v>
                </c:pt>
                <c:pt idx="27">
                  <c:v>7.6030365594108751E-2</c:v>
                </c:pt>
                <c:pt idx="28">
                  <c:v>0.1280358840182261</c:v>
                </c:pt>
                <c:pt idx="29">
                  <c:v>0.12796006147416636</c:v>
                </c:pt>
                <c:pt idx="30">
                  <c:v>6.6750342772247821E-8</c:v>
                </c:pt>
                <c:pt idx="31">
                  <c:v>9.823245709963976E-3</c:v>
                </c:pt>
                <c:pt idx="32">
                  <c:v>-4.3878046652833834E-3</c:v>
                </c:pt>
                <c:pt idx="33">
                  <c:v>8.796577217642761E-7</c:v>
                </c:pt>
                <c:pt idx="34">
                  <c:v>-0.10717468611715074</c:v>
                </c:pt>
                <c:pt idx="35">
                  <c:v>0.1238356294158184</c:v>
                </c:pt>
                <c:pt idx="36">
                  <c:v>1.1360221775247616E-2</c:v>
                </c:pt>
                <c:pt idx="37">
                  <c:v>2.907733082136885E-2</c:v>
                </c:pt>
              </c:numCache>
            </c:numRef>
          </c:yVal>
          <c:smooth val="0"/>
          <c:extLst>
            <c:ext xmlns:c15="http://schemas.microsoft.com/office/drawing/2012/chart" uri="{02D57815-91ED-43cb-92C2-25804820EDAC}">
              <c15:datalabelsRange>
                <c15:f>'Summary Table'!$AJ$5:$AJ$43</c15:f>
                <c15:dlblRangeCache>
                  <c:ptCount val="38"/>
                  <c:pt idx="0">
                    <c:v>AASC/ 4 County</c:v>
                  </c:pt>
                  <c:pt idx="1">
                    <c:v>City of Bristol Virginia</c:v>
                  </c:pt>
                  <c:pt idx="2">
                    <c:v>District Three</c:v>
                  </c:pt>
                  <c:pt idx="3">
                    <c:v>MEOC</c:v>
                  </c:pt>
                  <c:pt idx="4">
                    <c:v>Bluefield-Graham </c:v>
                  </c:pt>
                  <c:pt idx="5">
                    <c:v>CAT</c:v>
                  </c:pt>
                  <c:pt idx="6">
                    <c:v>FXBGO!</c:v>
                  </c:pt>
                  <c:pt idx="7">
                    <c:v>City of Suffolk</c:v>
                  </c:pt>
                  <c:pt idx="8">
                    <c:v>Greensville Co.</c:v>
                  </c:pt>
                  <c:pt idx="9">
                    <c:v>HRT</c:v>
                  </c:pt>
                  <c:pt idx="10">
                    <c:v>STAR Transit</c:v>
                  </c:pt>
                  <c:pt idx="11">
                    <c:v>PONY Express</c:v>
                  </c:pt>
                  <c:pt idx="12">
                    <c:v>WATA</c:v>
                  </c:pt>
                  <c:pt idx="13">
                    <c:v>DTS</c:v>
                  </c:pt>
                  <c:pt idx="14">
                    <c:v>Farmville Area Bus</c:v>
                  </c:pt>
                  <c:pt idx="15">
                    <c:v>GLTC (Lynchburg)</c:v>
                  </c:pt>
                  <c:pt idx="16">
                    <c:v>Town of Altavista</c:v>
                  </c:pt>
                  <c:pt idx="17">
                    <c:v>Loudoun Co.</c:v>
                  </c:pt>
                  <c:pt idx="18">
                    <c:v>Arlington Co. - ART</c:v>
                  </c:pt>
                  <c:pt idx="19">
                    <c:v>Alexandria - DASH</c:v>
                  </c:pt>
                  <c:pt idx="20">
                    <c:v>City of Fairfax - CUE</c:v>
                  </c:pt>
                  <c:pt idx="21">
                    <c:v>Fairfax Connector</c:v>
                  </c:pt>
                  <c:pt idx="22">
                    <c:v>PRTC</c:v>
                  </c:pt>
                  <c:pt idx="23">
                    <c:v>PAT (Petersburg)</c:v>
                  </c:pt>
                  <c:pt idx="24">
                    <c:v>GRTC (Richmond)</c:v>
                  </c:pt>
                  <c:pt idx="25">
                    <c:v>Blacksburg Transit</c:v>
                  </c:pt>
                  <c:pt idx="26">
                    <c:v>City of Radford</c:v>
                  </c:pt>
                  <c:pt idx="27">
                    <c:v>GRTC (Valley Metro)</c:v>
                  </c:pt>
                  <c:pt idx="28">
                    <c:v>Pulaski Area Transit</c:v>
                  </c:pt>
                  <c:pt idx="29">
                    <c:v>CSPDC</c:v>
                  </c:pt>
                  <c:pt idx="30">
                    <c:v>HDPT (Harrisonburg)</c:v>
                  </c:pt>
                  <c:pt idx="31">
                    <c:v>City of Winchester</c:v>
                  </c:pt>
                  <c:pt idx="32">
                    <c:v>Bay Aging</c:v>
                  </c:pt>
                  <c:pt idx="33">
                    <c:v>Blackstone Area Bus</c:v>
                  </c:pt>
                  <c:pt idx="34">
                    <c:v>JAUNT</c:v>
                  </c:pt>
                  <c:pt idx="35">
                    <c:v>Lake Area</c:v>
                  </c:pt>
                  <c:pt idx="36">
                    <c:v>RADAR</c:v>
                  </c:pt>
                  <c:pt idx="37">
                    <c:v>VRT</c:v>
                  </c:pt>
                </c15:dlblRangeCache>
              </c15:datalabelsRange>
            </c:ext>
            <c:ext xmlns:c16="http://schemas.microsoft.com/office/drawing/2014/chart" uri="{C3380CC4-5D6E-409C-BE32-E72D297353CC}">
              <c16:uniqueId val="{0000004C-483A-48A3-A69F-87411D8870AA}"/>
            </c:ext>
          </c:extLst>
        </c:ser>
        <c:dLbls>
          <c:showLegendKey val="0"/>
          <c:showVal val="0"/>
          <c:showCatName val="0"/>
          <c:showSerName val="0"/>
          <c:showPercent val="0"/>
          <c:showBubbleSize val="0"/>
        </c:dLbls>
        <c:axId val="1155863776"/>
        <c:axId val="1155862816"/>
      </c:scatterChart>
      <c:valAx>
        <c:axId val="115586377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quot;$&quot;#,##0.0&quot;M&quot;" sourceLinked="0"/>
        <c:majorTickMark val="none"/>
        <c:minorTickMark val="none"/>
        <c:tickLblPos val="nextTo"/>
        <c:spPr>
          <a:noFill/>
          <a:ln w="12700" cap="flat" cmpd="sng" algn="ctr">
            <a:solidFill>
              <a:schemeClr val="tx1">
                <a:alpha val="92000"/>
              </a:schemeClr>
            </a:solidFill>
            <a:round/>
          </a:ln>
          <a:effectLst/>
        </c:spPr>
        <c:txPr>
          <a:bodyPr rot="-60000000" spcFirstLastPara="1" vertOverflow="ellipsis" vert="horz" wrap="square" anchor="ctr" anchorCtr="1"/>
          <a:lstStyle/>
          <a:p>
            <a:pPr>
              <a:defRPr sz="1150" b="1" i="0" u="none" strike="noStrike" kern="1200" baseline="0">
                <a:solidFill>
                  <a:schemeClr val="tx1">
                    <a:lumMod val="65000"/>
                    <a:lumOff val="35000"/>
                  </a:schemeClr>
                </a:solidFill>
                <a:latin typeface="+mn-lt"/>
                <a:ea typeface="+mn-ea"/>
                <a:cs typeface="+mn-cs"/>
              </a:defRPr>
            </a:pPr>
            <a:endParaRPr lang="en-US"/>
          </a:p>
        </c:txPr>
        <c:crossAx val="1155862816"/>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1155862816"/>
        <c:scaling>
          <c:orientation val="minMax"/>
        </c:scaling>
        <c:delete val="0"/>
        <c:axPos val="l"/>
        <c:majorGridlines>
          <c:spPr>
            <a:ln w="9525" cap="flat" cmpd="sng" algn="ctr">
              <a:solidFill>
                <a:schemeClr val="lt1">
                  <a:shade val="50000"/>
                  <a:alpha val="98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150" b="1" i="0" u="none" strike="noStrike" kern="1200" baseline="0">
                <a:solidFill>
                  <a:schemeClr val="tx1">
                    <a:lumMod val="65000"/>
                    <a:lumOff val="35000"/>
                  </a:schemeClr>
                </a:solidFill>
                <a:latin typeface="+mn-lt"/>
                <a:ea typeface="+mn-ea"/>
                <a:cs typeface="+mn-cs"/>
              </a:defRPr>
            </a:pPr>
            <a:endParaRPr lang="en-US"/>
          </a:p>
        </c:txPr>
        <c:crossAx val="1155863776"/>
        <c:crosses val="autoZero"/>
        <c:crossBetween val="midCat"/>
      </c:valAx>
      <c:spPr>
        <a:noFill/>
        <a:ln w="12700">
          <a:solidFill>
            <a:schemeClr val="tx1"/>
          </a:solidFill>
        </a:ln>
        <a:effectLst/>
      </c:spPr>
    </c:plotArea>
    <c:legend>
      <c:legendPos val="r"/>
      <c:layout>
        <c:manualLayout>
          <c:xMode val="edge"/>
          <c:yMode val="edge"/>
          <c:x val="0.10589350226659219"/>
          <c:y val="0.12051202139949768"/>
          <c:w val="0.12978410942245222"/>
          <c:h val="7.336519620998280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US" sz="2000" b="1"/>
              <a:t>FY24-26 Allocation Comparison of Current o Base Formula</a:t>
            </a:r>
            <a:r>
              <a:rPr lang="en-US" sz="2000" b="1" baseline="0"/>
              <a:t> and Base with All Alternatives Presented</a:t>
            </a:r>
          </a:p>
          <a:p>
            <a:pPr>
              <a:defRPr sz="2000" b="1"/>
            </a:pPr>
            <a:r>
              <a:rPr lang="en-US" sz="1800" b="0" baseline="0"/>
              <a:t>X-Axis = Amount Change ; Y-Axis = Percent Change </a:t>
            </a:r>
            <a:endParaRPr lang="en-US" sz="1800" b="0"/>
          </a:p>
        </c:rich>
      </c:tx>
      <c:layout>
        <c:manualLayout>
          <c:xMode val="edge"/>
          <c:yMode val="edge"/>
          <c:x val="0.1565852741542629"/>
          <c:y val="7.0929481992777757E-3"/>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3326239793339995E-2"/>
          <c:y val="0.10415966505646504"/>
          <c:w val="0.8662781974888274"/>
          <c:h val="0.88339222614840984"/>
        </c:manualLayout>
      </c:layout>
      <c:scatterChart>
        <c:scatterStyle val="lineMarker"/>
        <c:varyColors val="0"/>
        <c:ser>
          <c:idx val="0"/>
          <c:order val="0"/>
          <c:tx>
            <c:v>Base Sizing + Performance Allocation</c:v>
          </c:tx>
          <c:spPr>
            <a:ln w="25400" cap="rnd">
              <a:noFill/>
              <a:round/>
            </a:ln>
            <a:effectLst/>
          </c:spPr>
          <c:marker>
            <c:symbol val="circle"/>
            <c:size val="5"/>
            <c:spPr>
              <a:solidFill>
                <a:schemeClr val="accent1"/>
              </a:solidFill>
              <a:ln w="9525">
                <a:solidFill>
                  <a:schemeClr val="accent1"/>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0-2E54-4DE0-A980-9154F52A9438}"/>
                </c:ext>
              </c:extLst>
            </c:dLbl>
            <c:dLbl>
              <c:idx val="1"/>
              <c:delete val="1"/>
              <c:extLst>
                <c:ext xmlns:c15="http://schemas.microsoft.com/office/drawing/2012/chart" uri="{CE6537A1-D6FC-4f65-9D91-7224C49458BB}"/>
                <c:ext xmlns:c16="http://schemas.microsoft.com/office/drawing/2014/chart" uri="{C3380CC4-5D6E-409C-BE32-E72D297353CC}">
                  <c16:uniqueId val="{00000001-2E54-4DE0-A980-9154F52A9438}"/>
                </c:ext>
              </c:extLst>
            </c:dLbl>
            <c:dLbl>
              <c:idx val="2"/>
              <c:delete val="1"/>
              <c:extLst>
                <c:ext xmlns:c15="http://schemas.microsoft.com/office/drawing/2012/chart" uri="{CE6537A1-D6FC-4f65-9D91-7224C49458BB}"/>
                <c:ext xmlns:c16="http://schemas.microsoft.com/office/drawing/2014/chart" uri="{C3380CC4-5D6E-409C-BE32-E72D297353CC}">
                  <c16:uniqueId val="{00000002-2E54-4DE0-A980-9154F52A9438}"/>
                </c:ext>
              </c:extLst>
            </c:dLbl>
            <c:dLbl>
              <c:idx val="3"/>
              <c:delete val="1"/>
              <c:extLst>
                <c:ext xmlns:c15="http://schemas.microsoft.com/office/drawing/2012/chart" uri="{CE6537A1-D6FC-4f65-9D91-7224C49458BB}"/>
                <c:ext xmlns:c16="http://schemas.microsoft.com/office/drawing/2014/chart" uri="{C3380CC4-5D6E-409C-BE32-E72D297353CC}">
                  <c16:uniqueId val="{00000003-2E54-4DE0-A980-9154F52A9438}"/>
                </c:ext>
              </c:extLst>
            </c:dLbl>
            <c:dLbl>
              <c:idx val="4"/>
              <c:delete val="1"/>
              <c:extLst>
                <c:ext xmlns:c15="http://schemas.microsoft.com/office/drawing/2012/chart" uri="{CE6537A1-D6FC-4f65-9D91-7224C49458BB}"/>
                <c:ext xmlns:c16="http://schemas.microsoft.com/office/drawing/2014/chart" uri="{C3380CC4-5D6E-409C-BE32-E72D297353CC}">
                  <c16:uniqueId val="{00000004-2E54-4DE0-A980-9154F52A9438}"/>
                </c:ext>
              </c:extLst>
            </c:dLbl>
            <c:dLbl>
              <c:idx val="5"/>
              <c:delete val="1"/>
              <c:extLst>
                <c:ext xmlns:c15="http://schemas.microsoft.com/office/drawing/2012/chart" uri="{CE6537A1-D6FC-4f65-9D91-7224C49458BB}"/>
                <c:ext xmlns:c16="http://schemas.microsoft.com/office/drawing/2014/chart" uri="{C3380CC4-5D6E-409C-BE32-E72D297353CC}">
                  <c16:uniqueId val="{00000005-2E54-4DE0-A980-9154F52A9438}"/>
                </c:ext>
              </c:extLst>
            </c:dLbl>
            <c:dLbl>
              <c:idx val="6"/>
              <c:layout>
                <c:manualLayout>
                  <c:x val="1.2132702146222467E-2"/>
                  <c:y val="2.6711045795632184E-2"/>
                </c:manualLayout>
              </c:layout>
              <c:tx>
                <c:rich>
                  <a:bodyPr/>
                  <a:lstStyle/>
                  <a:p>
                    <a:fld id="{62FC6D04-C818-49CB-85EB-D55CB343A3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E54-4DE0-A980-9154F52A9438}"/>
                </c:ext>
              </c:extLst>
            </c:dLbl>
            <c:dLbl>
              <c:idx val="7"/>
              <c:delete val="1"/>
              <c:extLst>
                <c:ext xmlns:c15="http://schemas.microsoft.com/office/drawing/2012/chart" uri="{CE6537A1-D6FC-4f65-9D91-7224C49458BB}"/>
                <c:ext xmlns:c16="http://schemas.microsoft.com/office/drawing/2014/chart" uri="{C3380CC4-5D6E-409C-BE32-E72D297353CC}">
                  <c16:uniqueId val="{00000007-2E54-4DE0-A980-9154F52A9438}"/>
                </c:ext>
              </c:extLst>
            </c:dLbl>
            <c:dLbl>
              <c:idx val="8"/>
              <c:delete val="1"/>
              <c:extLst>
                <c:ext xmlns:c15="http://schemas.microsoft.com/office/drawing/2012/chart" uri="{CE6537A1-D6FC-4f65-9D91-7224C49458BB}"/>
                <c:ext xmlns:c16="http://schemas.microsoft.com/office/drawing/2014/chart" uri="{C3380CC4-5D6E-409C-BE32-E72D297353CC}">
                  <c16:uniqueId val="{00000008-2E54-4DE0-A980-9154F52A9438}"/>
                </c:ext>
              </c:extLst>
            </c:dLbl>
            <c:dLbl>
              <c:idx val="9"/>
              <c:layout>
                <c:manualLayout>
                  <c:x val="6.0663510731112334E-3"/>
                  <c:y val="2.1368836636505854E-2"/>
                </c:manualLayout>
              </c:layout>
              <c:tx>
                <c:rich>
                  <a:bodyPr/>
                  <a:lstStyle/>
                  <a:p>
                    <a:fld id="{15E3CC00-F869-4A63-95D5-9CFBB68C47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E54-4DE0-A980-9154F52A9438}"/>
                </c:ext>
              </c:extLst>
            </c:dLbl>
            <c:dLbl>
              <c:idx val="10"/>
              <c:delete val="1"/>
              <c:extLst>
                <c:ext xmlns:c15="http://schemas.microsoft.com/office/drawing/2012/chart" uri="{CE6537A1-D6FC-4f65-9D91-7224C49458BB}"/>
                <c:ext xmlns:c16="http://schemas.microsoft.com/office/drawing/2014/chart" uri="{C3380CC4-5D6E-409C-BE32-E72D297353CC}">
                  <c16:uniqueId val="{0000000A-2E54-4DE0-A980-9154F52A9438}"/>
                </c:ext>
              </c:extLst>
            </c:dLbl>
            <c:dLbl>
              <c:idx val="11"/>
              <c:delete val="1"/>
              <c:extLst>
                <c:ext xmlns:c15="http://schemas.microsoft.com/office/drawing/2012/chart" uri="{CE6537A1-D6FC-4f65-9D91-7224C49458BB}"/>
                <c:ext xmlns:c16="http://schemas.microsoft.com/office/drawing/2014/chart" uri="{C3380CC4-5D6E-409C-BE32-E72D297353CC}">
                  <c16:uniqueId val="{0000000B-2E54-4DE0-A980-9154F52A9438}"/>
                </c:ext>
              </c:extLst>
            </c:dLbl>
            <c:dLbl>
              <c:idx val="12"/>
              <c:delete val="1"/>
              <c:extLst>
                <c:ext xmlns:c15="http://schemas.microsoft.com/office/drawing/2012/chart" uri="{CE6537A1-D6FC-4f65-9D91-7224C49458BB}"/>
                <c:ext xmlns:c16="http://schemas.microsoft.com/office/drawing/2014/chart" uri="{C3380CC4-5D6E-409C-BE32-E72D297353CC}">
                  <c16:uniqueId val="{0000000C-2E54-4DE0-A980-9154F52A9438}"/>
                </c:ext>
              </c:extLst>
            </c:dLbl>
            <c:dLbl>
              <c:idx val="13"/>
              <c:delete val="1"/>
              <c:extLst>
                <c:ext xmlns:c15="http://schemas.microsoft.com/office/drawing/2012/chart" uri="{CE6537A1-D6FC-4f65-9D91-7224C49458BB}"/>
                <c:ext xmlns:c16="http://schemas.microsoft.com/office/drawing/2014/chart" uri="{C3380CC4-5D6E-409C-BE32-E72D297353CC}">
                  <c16:uniqueId val="{0000000D-2E54-4DE0-A980-9154F52A9438}"/>
                </c:ext>
              </c:extLst>
            </c:dLbl>
            <c:dLbl>
              <c:idx val="14"/>
              <c:delete val="1"/>
              <c:extLst>
                <c:ext xmlns:c15="http://schemas.microsoft.com/office/drawing/2012/chart" uri="{CE6537A1-D6FC-4f65-9D91-7224C49458BB}"/>
                <c:ext xmlns:c16="http://schemas.microsoft.com/office/drawing/2014/chart" uri="{C3380CC4-5D6E-409C-BE32-E72D297353CC}">
                  <c16:uniqueId val="{0000000E-2E54-4DE0-A980-9154F52A9438}"/>
                </c:ext>
              </c:extLst>
            </c:dLbl>
            <c:dLbl>
              <c:idx val="15"/>
              <c:delete val="1"/>
              <c:extLst>
                <c:ext xmlns:c15="http://schemas.microsoft.com/office/drawing/2012/chart" uri="{CE6537A1-D6FC-4f65-9D91-7224C49458BB}"/>
                <c:ext xmlns:c16="http://schemas.microsoft.com/office/drawing/2014/chart" uri="{C3380CC4-5D6E-409C-BE32-E72D297353CC}">
                  <c16:uniqueId val="{0000000F-2E54-4DE0-A980-9154F52A9438}"/>
                </c:ext>
              </c:extLst>
            </c:dLbl>
            <c:dLbl>
              <c:idx val="16"/>
              <c:delete val="1"/>
              <c:extLst>
                <c:ext xmlns:c15="http://schemas.microsoft.com/office/drawing/2012/chart" uri="{CE6537A1-D6FC-4f65-9D91-7224C49458BB}"/>
                <c:ext xmlns:c16="http://schemas.microsoft.com/office/drawing/2014/chart" uri="{C3380CC4-5D6E-409C-BE32-E72D297353CC}">
                  <c16:uniqueId val="{00000010-2E54-4DE0-A980-9154F52A9438}"/>
                </c:ext>
              </c:extLst>
            </c:dLbl>
            <c:dLbl>
              <c:idx val="17"/>
              <c:delete val="1"/>
              <c:extLst>
                <c:ext xmlns:c15="http://schemas.microsoft.com/office/drawing/2012/chart" uri="{CE6537A1-D6FC-4f65-9D91-7224C49458BB}"/>
                <c:ext xmlns:c16="http://schemas.microsoft.com/office/drawing/2014/chart" uri="{C3380CC4-5D6E-409C-BE32-E72D297353CC}">
                  <c16:uniqueId val="{00000011-2E54-4DE0-A980-9154F52A9438}"/>
                </c:ext>
              </c:extLst>
            </c:dLbl>
            <c:dLbl>
              <c:idx val="18"/>
              <c:tx>
                <c:rich>
                  <a:bodyPr/>
                  <a:lstStyle/>
                  <a:p>
                    <a:fld id="{D1458533-BEEF-4888-9912-F6E67863F5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E54-4DE0-A980-9154F52A9438}"/>
                </c:ext>
              </c:extLst>
            </c:dLbl>
            <c:dLbl>
              <c:idx val="19"/>
              <c:delete val="1"/>
              <c:extLst>
                <c:ext xmlns:c15="http://schemas.microsoft.com/office/drawing/2012/chart" uri="{CE6537A1-D6FC-4f65-9D91-7224C49458BB}"/>
                <c:ext xmlns:c16="http://schemas.microsoft.com/office/drawing/2014/chart" uri="{C3380CC4-5D6E-409C-BE32-E72D297353CC}">
                  <c16:uniqueId val="{00000013-2E54-4DE0-A980-9154F52A9438}"/>
                </c:ext>
              </c:extLst>
            </c:dLbl>
            <c:dLbl>
              <c:idx val="20"/>
              <c:delete val="1"/>
              <c:extLst>
                <c:ext xmlns:c15="http://schemas.microsoft.com/office/drawing/2012/chart" uri="{CE6537A1-D6FC-4f65-9D91-7224C49458BB}"/>
                <c:ext xmlns:c16="http://schemas.microsoft.com/office/drawing/2014/chart" uri="{C3380CC4-5D6E-409C-BE32-E72D297353CC}">
                  <c16:uniqueId val="{00000014-2E54-4DE0-A980-9154F52A9438}"/>
                </c:ext>
              </c:extLst>
            </c:dLbl>
            <c:dLbl>
              <c:idx val="21"/>
              <c:delete val="1"/>
              <c:extLst>
                <c:ext xmlns:c15="http://schemas.microsoft.com/office/drawing/2012/chart" uri="{CE6537A1-D6FC-4f65-9D91-7224C49458BB}"/>
                <c:ext xmlns:c16="http://schemas.microsoft.com/office/drawing/2014/chart" uri="{C3380CC4-5D6E-409C-BE32-E72D297353CC}">
                  <c16:uniqueId val="{00000015-2E54-4DE0-A980-9154F52A9438}"/>
                </c:ext>
              </c:extLst>
            </c:dLbl>
            <c:dLbl>
              <c:idx val="22"/>
              <c:layout>
                <c:manualLayout>
                  <c:x val="5.0552925609260255E-3"/>
                  <c:y val="-1.691699567056713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4D444A0A-8667-4F6C-AF54-EA829FEFF969}" type="CELLRANGE">
                      <a:rPr lang="en-US"/>
                      <a:pPr>
                        <a:defRPr/>
                      </a:pPr>
                      <a:t>[CELLRANGE]</a:t>
                    </a:fld>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2.5655569941246351E-2"/>
                      <c:h val="1.956145931206648E-2"/>
                    </c:manualLayout>
                  </c15:layout>
                  <c15:dlblFieldTable/>
                  <c15:showDataLabelsRange val="1"/>
                </c:ext>
                <c:ext xmlns:c16="http://schemas.microsoft.com/office/drawing/2014/chart" uri="{C3380CC4-5D6E-409C-BE32-E72D297353CC}">
                  <c16:uniqueId val="{00000016-2E54-4DE0-A980-9154F52A9438}"/>
                </c:ext>
              </c:extLst>
            </c:dLbl>
            <c:dLbl>
              <c:idx val="23"/>
              <c:delete val="1"/>
              <c:extLst>
                <c:ext xmlns:c15="http://schemas.microsoft.com/office/drawing/2012/chart" uri="{CE6537A1-D6FC-4f65-9D91-7224C49458BB}"/>
                <c:ext xmlns:c16="http://schemas.microsoft.com/office/drawing/2014/chart" uri="{C3380CC4-5D6E-409C-BE32-E72D297353CC}">
                  <c16:uniqueId val="{00000017-2E54-4DE0-A980-9154F52A9438}"/>
                </c:ext>
              </c:extLst>
            </c:dLbl>
            <c:dLbl>
              <c:idx val="24"/>
              <c:layout>
                <c:manualLayout>
                  <c:x val="-1.482868687646017E-16"/>
                  <c:y val="3.3833991341134136E-2"/>
                </c:manualLayout>
              </c:layout>
              <c:tx>
                <c:rich>
                  <a:bodyPr/>
                  <a:lstStyle/>
                  <a:p>
                    <a:fld id="{4DCA2779-82C6-4B4F-93C6-8CD829221E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2E54-4DE0-A980-9154F52A9438}"/>
                </c:ext>
              </c:extLst>
            </c:dLbl>
            <c:dLbl>
              <c:idx val="25"/>
              <c:delete val="1"/>
              <c:extLst>
                <c:ext xmlns:c15="http://schemas.microsoft.com/office/drawing/2012/chart" uri="{CE6537A1-D6FC-4f65-9D91-7224C49458BB}"/>
                <c:ext xmlns:c16="http://schemas.microsoft.com/office/drawing/2014/chart" uri="{C3380CC4-5D6E-409C-BE32-E72D297353CC}">
                  <c16:uniqueId val="{00000019-2E54-4DE0-A980-9154F52A9438}"/>
                </c:ext>
              </c:extLst>
            </c:dLbl>
            <c:dLbl>
              <c:idx val="26"/>
              <c:delete val="1"/>
              <c:extLst>
                <c:ext xmlns:c15="http://schemas.microsoft.com/office/drawing/2012/chart" uri="{CE6537A1-D6FC-4f65-9D91-7224C49458BB}"/>
                <c:ext xmlns:c16="http://schemas.microsoft.com/office/drawing/2014/chart" uri="{C3380CC4-5D6E-409C-BE32-E72D297353CC}">
                  <c16:uniqueId val="{0000001A-2E54-4DE0-A980-9154F52A9438}"/>
                </c:ext>
              </c:extLst>
            </c:dLbl>
            <c:dLbl>
              <c:idx val="27"/>
              <c:tx>
                <c:rich>
                  <a:bodyPr/>
                  <a:lstStyle/>
                  <a:p>
                    <a:fld id="{C7D11082-4A3D-4F15-8BC3-77EF719A14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E54-4DE0-A980-9154F52A9438}"/>
                </c:ext>
              </c:extLst>
            </c:dLbl>
            <c:dLbl>
              <c:idx val="28"/>
              <c:delete val="1"/>
              <c:extLst>
                <c:ext xmlns:c15="http://schemas.microsoft.com/office/drawing/2012/chart" uri="{CE6537A1-D6FC-4f65-9D91-7224C49458BB}"/>
                <c:ext xmlns:c16="http://schemas.microsoft.com/office/drawing/2014/chart" uri="{C3380CC4-5D6E-409C-BE32-E72D297353CC}">
                  <c16:uniqueId val="{0000001C-2E54-4DE0-A980-9154F52A9438}"/>
                </c:ext>
              </c:extLst>
            </c:dLbl>
            <c:dLbl>
              <c:idx val="29"/>
              <c:delete val="1"/>
              <c:extLst>
                <c:ext xmlns:c15="http://schemas.microsoft.com/office/drawing/2012/chart" uri="{CE6537A1-D6FC-4f65-9D91-7224C49458BB}"/>
                <c:ext xmlns:c16="http://schemas.microsoft.com/office/drawing/2014/chart" uri="{C3380CC4-5D6E-409C-BE32-E72D297353CC}">
                  <c16:uniqueId val="{0000001D-2E54-4DE0-A980-9154F52A9438}"/>
                </c:ext>
              </c:extLst>
            </c:dLbl>
            <c:dLbl>
              <c:idx val="30"/>
              <c:delete val="1"/>
              <c:extLst>
                <c:ext xmlns:c15="http://schemas.microsoft.com/office/drawing/2012/chart" uri="{CE6537A1-D6FC-4f65-9D91-7224C49458BB}"/>
                <c:ext xmlns:c16="http://schemas.microsoft.com/office/drawing/2014/chart" uri="{C3380CC4-5D6E-409C-BE32-E72D297353CC}">
                  <c16:uniqueId val="{0000001E-2E54-4DE0-A980-9154F52A9438}"/>
                </c:ext>
              </c:extLst>
            </c:dLbl>
            <c:dLbl>
              <c:idx val="31"/>
              <c:delete val="1"/>
              <c:extLst>
                <c:ext xmlns:c15="http://schemas.microsoft.com/office/drawing/2012/chart" uri="{CE6537A1-D6FC-4f65-9D91-7224C49458BB}"/>
                <c:ext xmlns:c16="http://schemas.microsoft.com/office/drawing/2014/chart" uri="{C3380CC4-5D6E-409C-BE32-E72D297353CC}">
                  <c16:uniqueId val="{0000001F-2E54-4DE0-A980-9154F52A9438}"/>
                </c:ext>
              </c:extLst>
            </c:dLbl>
            <c:dLbl>
              <c:idx val="32"/>
              <c:delete val="1"/>
              <c:extLst>
                <c:ext xmlns:c15="http://schemas.microsoft.com/office/drawing/2012/chart" uri="{CE6537A1-D6FC-4f65-9D91-7224C49458BB}"/>
                <c:ext xmlns:c16="http://schemas.microsoft.com/office/drawing/2014/chart" uri="{C3380CC4-5D6E-409C-BE32-E72D297353CC}">
                  <c16:uniqueId val="{00000020-2E54-4DE0-A980-9154F52A9438}"/>
                </c:ext>
              </c:extLst>
            </c:dLbl>
            <c:dLbl>
              <c:idx val="33"/>
              <c:delete val="1"/>
              <c:extLst>
                <c:ext xmlns:c15="http://schemas.microsoft.com/office/drawing/2012/chart" uri="{CE6537A1-D6FC-4f65-9D91-7224C49458BB}"/>
                <c:ext xmlns:c16="http://schemas.microsoft.com/office/drawing/2014/chart" uri="{C3380CC4-5D6E-409C-BE32-E72D297353CC}">
                  <c16:uniqueId val="{00000021-2E54-4DE0-A980-9154F52A9438}"/>
                </c:ext>
              </c:extLst>
            </c:dLbl>
            <c:dLbl>
              <c:idx val="34"/>
              <c:delete val="1"/>
              <c:extLst>
                <c:ext xmlns:c15="http://schemas.microsoft.com/office/drawing/2012/chart" uri="{CE6537A1-D6FC-4f65-9D91-7224C49458BB}"/>
                <c:ext xmlns:c16="http://schemas.microsoft.com/office/drawing/2014/chart" uri="{C3380CC4-5D6E-409C-BE32-E72D297353CC}">
                  <c16:uniqueId val="{00000022-2E54-4DE0-A980-9154F52A9438}"/>
                </c:ext>
              </c:extLst>
            </c:dLbl>
            <c:dLbl>
              <c:idx val="35"/>
              <c:delete val="1"/>
              <c:extLst>
                <c:ext xmlns:c15="http://schemas.microsoft.com/office/drawing/2012/chart" uri="{CE6537A1-D6FC-4f65-9D91-7224C49458BB}"/>
                <c:ext xmlns:c16="http://schemas.microsoft.com/office/drawing/2014/chart" uri="{C3380CC4-5D6E-409C-BE32-E72D297353CC}">
                  <c16:uniqueId val="{00000023-2E54-4DE0-A980-9154F52A9438}"/>
                </c:ext>
              </c:extLst>
            </c:dLbl>
            <c:dLbl>
              <c:idx val="36"/>
              <c:delete val="1"/>
              <c:extLst>
                <c:ext xmlns:c15="http://schemas.microsoft.com/office/drawing/2012/chart" uri="{CE6537A1-D6FC-4f65-9D91-7224C49458BB}"/>
                <c:ext xmlns:c16="http://schemas.microsoft.com/office/drawing/2014/chart" uri="{C3380CC4-5D6E-409C-BE32-E72D297353CC}">
                  <c16:uniqueId val="{00000024-2E54-4DE0-A980-9154F52A94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'Summary Table'!$E$5:$E$42</c:f>
              <c:numCache>
                <c:formatCode>_("$"* #,##0_);_("$"* \(#,##0\);_("$"* "-"??_);_(@_)</c:formatCode>
                <c:ptCount val="37"/>
                <c:pt idx="0">
                  <c:v>28232.640215837862</c:v>
                </c:pt>
                <c:pt idx="1">
                  <c:v>745.78518981928937</c:v>
                </c:pt>
                <c:pt idx="2">
                  <c:v>-421.62660889211111</c:v>
                </c:pt>
                <c:pt idx="3">
                  <c:v>4900.4649432094302</c:v>
                </c:pt>
                <c:pt idx="4">
                  <c:v>11639.609594638969</c:v>
                </c:pt>
                <c:pt idx="5">
                  <c:v>-16206.310327643529</c:v>
                </c:pt>
                <c:pt idx="6">
                  <c:v>-79757.399715518113</c:v>
                </c:pt>
                <c:pt idx="7">
                  <c:v>37375.99087476969</c:v>
                </c:pt>
                <c:pt idx="8">
                  <c:v>-1429.5266314869223</c:v>
                </c:pt>
                <c:pt idx="9">
                  <c:v>507722.4808171615</c:v>
                </c:pt>
                <c:pt idx="10">
                  <c:v>8366.9656313666492</c:v>
                </c:pt>
                <c:pt idx="11">
                  <c:v>-642.81932049754505</c:v>
                </c:pt>
                <c:pt idx="12">
                  <c:v>33256.335686265025</c:v>
                </c:pt>
                <c:pt idx="13">
                  <c:v>28781.40046420088</c:v>
                </c:pt>
                <c:pt idx="14">
                  <c:v>4475.3356486134289</c:v>
                </c:pt>
                <c:pt idx="15">
                  <c:v>218873.19476539548</c:v>
                </c:pt>
                <c:pt idx="16">
                  <c:v>4038.0066647201311</c:v>
                </c:pt>
                <c:pt idx="17">
                  <c:v>-85639.749032695778</c:v>
                </c:pt>
                <c:pt idx="18">
                  <c:v>300183.36425793916</c:v>
                </c:pt>
                <c:pt idx="19">
                  <c:v>-53724.797995895147</c:v>
                </c:pt>
                <c:pt idx="20">
                  <c:v>28719.961670455988</c:v>
                </c:pt>
                <c:pt idx="21">
                  <c:v>-1616797.5096581019</c:v>
                </c:pt>
                <c:pt idx="22">
                  <c:v>-748658.37008957099</c:v>
                </c:pt>
                <c:pt idx="23">
                  <c:v>-18126.715611636871</c:v>
                </c:pt>
                <c:pt idx="24">
                  <c:v>748029.71558709815</c:v>
                </c:pt>
                <c:pt idx="25">
                  <c:v>-0.10000000055879354</c:v>
                </c:pt>
                <c:pt idx="26">
                  <c:v>55700.50849639537</c:v>
                </c:pt>
                <c:pt idx="27">
                  <c:v>230908.37831469532</c:v>
                </c:pt>
                <c:pt idx="28">
                  <c:v>25445.269157149974</c:v>
                </c:pt>
                <c:pt idx="29">
                  <c:v>87512.933390082791</c:v>
                </c:pt>
                <c:pt idx="30">
                  <c:v>0.13333333353511989</c:v>
                </c:pt>
                <c:pt idx="31">
                  <c:v>2528.1832662636298</c:v>
                </c:pt>
                <c:pt idx="32">
                  <c:v>-4655.2602034148294</c:v>
                </c:pt>
                <c:pt idx="33">
                  <c:v>0.16666666668606922</c:v>
                </c:pt>
                <c:pt idx="34">
                  <c:v>-163032.63483350072</c:v>
                </c:pt>
                <c:pt idx="35">
                  <c:v>6318.9991316934102</c:v>
                </c:pt>
                <c:pt idx="36">
                  <c:v>4858.898037849518</c:v>
                </c:pt>
              </c:numCache>
            </c:numRef>
          </c:xVal>
          <c:yVal>
            <c:numRef>
              <c:f>'Summary Table'!$F$5:$F$43</c:f>
              <c:numCache>
                <c:formatCode>0%</c:formatCode>
                <c:ptCount val="38"/>
                <c:pt idx="0">
                  <c:v>4.5163355208848392E-2</c:v>
                </c:pt>
                <c:pt idx="1">
                  <c:v>6.1460510534472245E-3</c:v>
                </c:pt>
                <c:pt idx="2">
                  <c:v>-5.6754673853427382E-4</c:v>
                </c:pt>
                <c:pt idx="3">
                  <c:v>7.6260013832352763E-3</c:v>
                </c:pt>
                <c:pt idx="4">
                  <c:v>9.2754115617202204E-2</c:v>
                </c:pt>
                <c:pt idx="5">
                  <c:v>-5.4533433582954699E-3</c:v>
                </c:pt>
                <c:pt idx="6">
                  <c:v>-7.4436316303478967E-2</c:v>
                </c:pt>
                <c:pt idx="7">
                  <c:v>8.6789579467565367E-2</c:v>
                </c:pt>
                <c:pt idx="8">
                  <c:v>-2.6101403921554318E-2</c:v>
                </c:pt>
                <c:pt idx="9">
                  <c:v>1.9881542062490182E-2</c:v>
                </c:pt>
                <c:pt idx="10">
                  <c:v>2.2541128523117123E-2</c:v>
                </c:pt>
                <c:pt idx="11">
                  <c:v>-3.7771278737795511E-2</c:v>
                </c:pt>
                <c:pt idx="12">
                  <c:v>1.4578265683711327E-2</c:v>
                </c:pt>
                <c:pt idx="13">
                  <c:v>3.4592249047050383E-2</c:v>
                </c:pt>
                <c:pt idx="14">
                  <c:v>2.2802647157710527E-2</c:v>
                </c:pt>
                <c:pt idx="15">
                  <c:v>0.1285174523880907</c:v>
                </c:pt>
                <c:pt idx="16">
                  <c:v>9.8387915716163191E-2</c:v>
                </c:pt>
                <c:pt idx="17">
                  <c:v>-2.3357283032455285E-2</c:v>
                </c:pt>
                <c:pt idx="18">
                  <c:v>4.9964066803023024E-2</c:v>
                </c:pt>
                <c:pt idx="19">
                  <c:v>-5.7771059391384608E-3</c:v>
                </c:pt>
                <c:pt idx="20">
                  <c:v>1.8045865003464025E-2</c:v>
                </c:pt>
                <c:pt idx="21">
                  <c:v>-6.283780683829894E-2</c:v>
                </c:pt>
                <c:pt idx="22">
                  <c:v>-9.1443550930864287E-2</c:v>
                </c:pt>
                <c:pt idx="23">
                  <c:v>-1.5118713178943977E-2</c:v>
                </c:pt>
                <c:pt idx="24">
                  <c:v>3.9676681779822087E-2</c:v>
                </c:pt>
                <c:pt idx="25">
                  <c:v>-2.8709880901306956E-8</c:v>
                </c:pt>
                <c:pt idx="26">
                  <c:v>0.11115120044283962</c:v>
                </c:pt>
                <c:pt idx="27">
                  <c:v>7.0580944988218777E-2</c:v>
                </c:pt>
                <c:pt idx="28">
                  <c:v>0.12760182804407075</c:v>
                </c:pt>
                <c:pt idx="29">
                  <c:v>0.13305698471408756</c:v>
                </c:pt>
                <c:pt idx="30">
                  <c:v>6.6750342772247821E-8</c:v>
                </c:pt>
                <c:pt idx="31">
                  <c:v>5.1842372194700979E-3</c:v>
                </c:pt>
                <c:pt idx="32">
                  <c:v>-3.9089044493915825E-3</c:v>
                </c:pt>
                <c:pt idx="33">
                  <c:v>8.796577217642761E-7</c:v>
                </c:pt>
                <c:pt idx="34">
                  <c:v>-0.10427207074621184</c:v>
                </c:pt>
                <c:pt idx="35">
                  <c:v>0.11729533628691344</c:v>
                </c:pt>
                <c:pt idx="36">
                  <c:v>1.4981054553706581E-2</c:v>
                </c:pt>
                <c:pt idx="37">
                  <c:v>2.816210416829578E-2</c:v>
                </c:pt>
              </c:numCache>
            </c:numRef>
          </c:yVal>
          <c:smooth val="0"/>
          <c:extLst>
            <c:ext xmlns:c15="http://schemas.microsoft.com/office/drawing/2012/chart" uri="{02D57815-91ED-43cb-92C2-25804820EDAC}">
              <c15:datalabelsRange>
                <c15:f>'Summary Table'!$AJ$5:$AJ$43</c15:f>
                <c15:dlblRangeCache>
                  <c:ptCount val="38"/>
                  <c:pt idx="0">
                    <c:v>AASC/ 4 County</c:v>
                  </c:pt>
                  <c:pt idx="1">
                    <c:v>City of Bristol Virginia</c:v>
                  </c:pt>
                  <c:pt idx="2">
                    <c:v>District Three</c:v>
                  </c:pt>
                  <c:pt idx="3">
                    <c:v>MEOC</c:v>
                  </c:pt>
                  <c:pt idx="4">
                    <c:v>Bluefield-Graham </c:v>
                  </c:pt>
                  <c:pt idx="5">
                    <c:v>CAT</c:v>
                  </c:pt>
                  <c:pt idx="6">
                    <c:v>FXBGO!</c:v>
                  </c:pt>
                  <c:pt idx="7">
                    <c:v>City of Suffolk</c:v>
                  </c:pt>
                  <c:pt idx="8">
                    <c:v>Greensville Co.</c:v>
                  </c:pt>
                  <c:pt idx="9">
                    <c:v>HRT</c:v>
                  </c:pt>
                  <c:pt idx="10">
                    <c:v>STAR Transit</c:v>
                  </c:pt>
                  <c:pt idx="11">
                    <c:v>PONY Express</c:v>
                  </c:pt>
                  <c:pt idx="12">
                    <c:v>WATA</c:v>
                  </c:pt>
                  <c:pt idx="13">
                    <c:v>DTS</c:v>
                  </c:pt>
                  <c:pt idx="14">
                    <c:v>Farmville Area Bus</c:v>
                  </c:pt>
                  <c:pt idx="15">
                    <c:v>GLTC (Lynchburg)</c:v>
                  </c:pt>
                  <c:pt idx="16">
                    <c:v>Town of Altavista</c:v>
                  </c:pt>
                  <c:pt idx="17">
                    <c:v>Loudoun Co.</c:v>
                  </c:pt>
                  <c:pt idx="18">
                    <c:v>Arlington Co. - ART</c:v>
                  </c:pt>
                  <c:pt idx="19">
                    <c:v>Alexandria - DASH</c:v>
                  </c:pt>
                  <c:pt idx="20">
                    <c:v>City of Fairfax - CUE</c:v>
                  </c:pt>
                  <c:pt idx="21">
                    <c:v>Fairfax Connector</c:v>
                  </c:pt>
                  <c:pt idx="22">
                    <c:v>PRTC</c:v>
                  </c:pt>
                  <c:pt idx="23">
                    <c:v>PAT (Petersburg)</c:v>
                  </c:pt>
                  <c:pt idx="24">
                    <c:v>GRTC (Richmond)</c:v>
                  </c:pt>
                  <c:pt idx="25">
                    <c:v>Blacksburg Transit</c:v>
                  </c:pt>
                  <c:pt idx="26">
                    <c:v>City of Radford</c:v>
                  </c:pt>
                  <c:pt idx="27">
                    <c:v>GRTC (Valley Metro)</c:v>
                  </c:pt>
                  <c:pt idx="28">
                    <c:v>Pulaski Area Transit</c:v>
                  </c:pt>
                  <c:pt idx="29">
                    <c:v>CSPDC</c:v>
                  </c:pt>
                  <c:pt idx="30">
                    <c:v>HDPT (Harrisonburg)</c:v>
                  </c:pt>
                  <c:pt idx="31">
                    <c:v>City of Winchester</c:v>
                  </c:pt>
                  <c:pt idx="32">
                    <c:v>Bay Aging</c:v>
                  </c:pt>
                  <c:pt idx="33">
                    <c:v>Blackstone Area Bus</c:v>
                  </c:pt>
                  <c:pt idx="34">
                    <c:v>JAUNT</c:v>
                  </c:pt>
                  <c:pt idx="35">
                    <c:v>Lake Area</c:v>
                  </c:pt>
                  <c:pt idx="36">
                    <c:v>RADAR</c:v>
                  </c:pt>
                  <c:pt idx="37">
                    <c:v>VRT</c:v>
                  </c:pt>
                </c15:dlblRangeCache>
              </c15:datalabelsRange>
            </c:ext>
            <c:ext xmlns:c16="http://schemas.microsoft.com/office/drawing/2014/chart" uri="{C3380CC4-5D6E-409C-BE32-E72D297353CC}">
              <c16:uniqueId val="{00000025-2E54-4DE0-A980-9154F52A9438}"/>
            </c:ext>
          </c:extLst>
        </c:ser>
        <c:ser>
          <c:idx val="1"/>
          <c:order val="1"/>
          <c:tx>
            <c:v>Sizing + Performance with All Alternatives Presented</c:v>
          </c:tx>
          <c:spPr>
            <a:ln w="25400" cap="rnd">
              <a:noFill/>
              <a:round/>
            </a:ln>
            <a:effectLst/>
          </c:spPr>
          <c:marker>
            <c:symbol val="circle"/>
            <c:size val="5"/>
            <c:spPr>
              <a:solidFill>
                <a:schemeClr val="accent2"/>
              </a:solidFill>
              <a:ln w="9525">
                <a:solidFill>
                  <a:schemeClr val="accent2"/>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26-2E54-4DE0-A980-9154F52A9438}"/>
                </c:ext>
              </c:extLst>
            </c:dLbl>
            <c:dLbl>
              <c:idx val="1"/>
              <c:delete val="1"/>
              <c:extLst>
                <c:ext xmlns:c15="http://schemas.microsoft.com/office/drawing/2012/chart" uri="{CE6537A1-D6FC-4f65-9D91-7224C49458BB}"/>
                <c:ext xmlns:c16="http://schemas.microsoft.com/office/drawing/2014/chart" uri="{C3380CC4-5D6E-409C-BE32-E72D297353CC}">
                  <c16:uniqueId val="{00000027-2E54-4DE0-A980-9154F52A9438}"/>
                </c:ext>
              </c:extLst>
            </c:dLbl>
            <c:dLbl>
              <c:idx val="2"/>
              <c:delete val="1"/>
              <c:extLst>
                <c:ext xmlns:c15="http://schemas.microsoft.com/office/drawing/2012/chart" uri="{CE6537A1-D6FC-4f65-9D91-7224C49458BB}"/>
                <c:ext xmlns:c16="http://schemas.microsoft.com/office/drawing/2014/chart" uri="{C3380CC4-5D6E-409C-BE32-E72D297353CC}">
                  <c16:uniqueId val="{00000028-2E54-4DE0-A980-9154F52A9438}"/>
                </c:ext>
              </c:extLst>
            </c:dLbl>
            <c:dLbl>
              <c:idx val="3"/>
              <c:delete val="1"/>
              <c:extLst>
                <c:ext xmlns:c15="http://schemas.microsoft.com/office/drawing/2012/chart" uri="{CE6537A1-D6FC-4f65-9D91-7224C49458BB}"/>
                <c:ext xmlns:c16="http://schemas.microsoft.com/office/drawing/2014/chart" uri="{C3380CC4-5D6E-409C-BE32-E72D297353CC}">
                  <c16:uniqueId val="{00000029-2E54-4DE0-A980-9154F52A9438}"/>
                </c:ext>
              </c:extLst>
            </c:dLbl>
            <c:dLbl>
              <c:idx val="4"/>
              <c:delete val="1"/>
              <c:extLst>
                <c:ext xmlns:c15="http://schemas.microsoft.com/office/drawing/2012/chart" uri="{CE6537A1-D6FC-4f65-9D91-7224C49458BB}"/>
                <c:ext xmlns:c16="http://schemas.microsoft.com/office/drawing/2014/chart" uri="{C3380CC4-5D6E-409C-BE32-E72D297353CC}">
                  <c16:uniqueId val="{0000002A-2E54-4DE0-A980-9154F52A9438}"/>
                </c:ext>
              </c:extLst>
            </c:dLbl>
            <c:dLbl>
              <c:idx val="5"/>
              <c:delete val="1"/>
              <c:extLst>
                <c:ext xmlns:c15="http://schemas.microsoft.com/office/drawing/2012/chart" uri="{CE6537A1-D6FC-4f65-9D91-7224C49458BB}"/>
                <c:ext xmlns:c16="http://schemas.microsoft.com/office/drawing/2014/chart" uri="{C3380CC4-5D6E-409C-BE32-E72D297353CC}">
                  <c16:uniqueId val="{0000002B-2E54-4DE0-A980-9154F52A9438}"/>
                </c:ext>
              </c:extLst>
            </c:dLbl>
            <c:dLbl>
              <c:idx val="6"/>
              <c:delete val="1"/>
              <c:extLst>
                <c:ext xmlns:c15="http://schemas.microsoft.com/office/drawing/2012/chart" uri="{CE6537A1-D6FC-4f65-9D91-7224C49458BB}"/>
                <c:ext xmlns:c16="http://schemas.microsoft.com/office/drawing/2014/chart" uri="{C3380CC4-5D6E-409C-BE32-E72D297353CC}">
                  <c16:uniqueId val="{0000002C-2E54-4DE0-A980-9154F52A9438}"/>
                </c:ext>
              </c:extLst>
            </c:dLbl>
            <c:dLbl>
              <c:idx val="7"/>
              <c:delete val="1"/>
              <c:extLst>
                <c:ext xmlns:c15="http://schemas.microsoft.com/office/drawing/2012/chart" uri="{CE6537A1-D6FC-4f65-9D91-7224C49458BB}"/>
                <c:ext xmlns:c16="http://schemas.microsoft.com/office/drawing/2014/chart" uri="{C3380CC4-5D6E-409C-BE32-E72D297353CC}">
                  <c16:uniqueId val="{0000002D-2E54-4DE0-A980-9154F52A9438}"/>
                </c:ext>
              </c:extLst>
            </c:dLbl>
            <c:dLbl>
              <c:idx val="8"/>
              <c:delete val="1"/>
              <c:extLst>
                <c:ext xmlns:c15="http://schemas.microsoft.com/office/drawing/2012/chart" uri="{CE6537A1-D6FC-4f65-9D91-7224C49458BB}"/>
                <c:ext xmlns:c16="http://schemas.microsoft.com/office/drawing/2014/chart" uri="{C3380CC4-5D6E-409C-BE32-E72D297353CC}">
                  <c16:uniqueId val="{0000002E-2E54-4DE0-A980-9154F52A9438}"/>
                </c:ext>
              </c:extLst>
            </c:dLbl>
            <c:dLbl>
              <c:idx val="9"/>
              <c:delete val="1"/>
              <c:extLst>
                <c:ext xmlns:c15="http://schemas.microsoft.com/office/drawing/2012/chart" uri="{CE6537A1-D6FC-4f65-9D91-7224C49458BB}"/>
                <c:ext xmlns:c16="http://schemas.microsoft.com/office/drawing/2014/chart" uri="{C3380CC4-5D6E-409C-BE32-E72D297353CC}">
                  <c16:uniqueId val="{0000002F-2E54-4DE0-A980-9154F52A9438}"/>
                </c:ext>
              </c:extLst>
            </c:dLbl>
            <c:dLbl>
              <c:idx val="10"/>
              <c:delete val="1"/>
              <c:extLst>
                <c:ext xmlns:c15="http://schemas.microsoft.com/office/drawing/2012/chart" uri="{CE6537A1-D6FC-4f65-9D91-7224C49458BB}"/>
                <c:ext xmlns:c16="http://schemas.microsoft.com/office/drawing/2014/chart" uri="{C3380CC4-5D6E-409C-BE32-E72D297353CC}">
                  <c16:uniqueId val="{00000030-2E54-4DE0-A980-9154F52A9438}"/>
                </c:ext>
              </c:extLst>
            </c:dLbl>
            <c:dLbl>
              <c:idx val="11"/>
              <c:delete val="1"/>
              <c:extLst>
                <c:ext xmlns:c15="http://schemas.microsoft.com/office/drawing/2012/chart" uri="{CE6537A1-D6FC-4f65-9D91-7224C49458BB}"/>
                <c:ext xmlns:c16="http://schemas.microsoft.com/office/drawing/2014/chart" uri="{C3380CC4-5D6E-409C-BE32-E72D297353CC}">
                  <c16:uniqueId val="{00000031-2E54-4DE0-A980-9154F52A9438}"/>
                </c:ext>
              </c:extLst>
            </c:dLbl>
            <c:dLbl>
              <c:idx val="12"/>
              <c:delete val="1"/>
              <c:extLst>
                <c:ext xmlns:c15="http://schemas.microsoft.com/office/drawing/2012/chart" uri="{CE6537A1-D6FC-4f65-9D91-7224C49458BB}"/>
                <c:ext xmlns:c16="http://schemas.microsoft.com/office/drawing/2014/chart" uri="{C3380CC4-5D6E-409C-BE32-E72D297353CC}">
                  <c16:uniqueId val="{00000032-2E54-4DE0-A980-9154F52A9438}"/>
                </c:ext>
              </c:extLst>
            </c:dLbl>
            <c:dLbl>
              <c:idx val="13"/>
              <c:delete val="1"/>
              <c:extLst>
                <c:ext xmlns:c15="http://schemas.microsoft.com/office/drawing/2012/chart" uri="{CE6537A1-D6FC-4f65-9D91-7224C49458BB}"/>
                <c:ext xmlns:c16="http://schemas.microsoft.com/office/drawing/2014/chart" uri="{C3380CC4-5D6E-409C-BE32-E72D297353CC}">
                  <c16:uniqueId val="{00000033-2E54-4DE0-A980-9154F52A9438}"/>
                </c:ext>
              </c:extLst>
            </c:dLbl>
            <c:dLbl>
              <c:idx val="14"/>
              <c:delete val="1"/>
              <c:extLst>
                <c:ext xmlns:c15="http://schemas.microsoft.com/office/drawing/2012/chart" uri="{CE6537A1-D6FC-4f65-9D91-7224C49458BB}"/>
                <c:ext xmlns:c16="http://schemas.microsoft.com/office/drawing/2014/chart" uri="{C3380CC4-5D6E-409C-BE32-E72D297353CC}">
                  <c16:uniqueId val="{00000034-2E54-4DE0-A980-9154F52A9438}"/>
                </c:ext>
              </c:extLst>
            </c:dLbl>
            <c:dLbl>
              <c:idx val="15"/>
              <c:layout>
                <c:manualLayout>
                  <c:x val="1.2132702146222467E-2"/>
                  <c:y val="2.8491782182007805E-2"/>
                </c:manualLayout>
              </c:layout>
              <c:tx>
                <c:rich>
                  <a:bodyPr/>
                  <a:lstStyle/>
                  <a:p>
                    <a:fld id="{67487284-3A39-4A26-95D8-C8A89D89B9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2E54-4DE0-A980-9154F52A9438}"/>
                </c:ext>
              </c:extLst>
            </c:dLbl>
            <c:dLbl>
              <c:idx val="16"/>
              <c:delete val="1"/>
              <c:extLst>
                <c:ext xmlns:c15="http://schemas.microsoft.com/office/drawing/2012/chart" uri="{CE6537A1-D6FC-4f65-9D91-7224C49458BB}"/>
                <c:ext xmlns:c16="http://schemas.microsoft.com/office/drawing/2014/chart" uri="{C3380CC4-5D6E-409C-BE32-E72D297353CC}">
                  <c16:uniqueId val="{00000036-2E54-4DE0-A980-9154F52A9438}"/>
                </c:ext>
              </c:extLst>
            </c:dLbl>
            <c:dLbl>
              <c:idx val="17"/>
              <c:delete val="1"/>
              <c:extLst>
                <c:ext xmlns:c15="http://schemas.microsoft.com/office/drawing/2012/chart" uri="{CE6537A1-D6FC-4f65-9D91-7224C49458BB}"/>
                <c:ext xmlns:c16="http://schemas.microsoft.com/office/drawing/2014/chart" uri="{C3380CC4-5D6E-409C-BE32-E72D297353CC}">
                  <c16:uniqueId val="{00000037-2E54-4DE0-A980-9154F52A9438}"/>
                </c:ext>
              </c:extLst>
            </c:dLbl>
            <c:dLbl>
              <c:idx val="18"/>
              <c:delete val="1"/>
              <c:extLst>
                <c:ext xmlns:c15="http://schemas.microsoft.com/office/drawing/2012/chart" uri="{CE6537A1-D6FC-4f65-9D91-7224C49458BB}"/>
                <c:ext xmlns:c16="http://schemas.microsoft.com/office/drawing/2014/chart" uri="{C3380CC4-5D6E-409C-BE32-E72D297353CC}">
                  <c16:uniqueId val="{00000038-2E54-4DE0-A980-9154F52A9438}"/>
                </c:ext>
              </c:extLst>
            </c:dLbl>
            <c:dLbl>
              <c:idx val="19"/>
              <c:delete val="1"/>
              <c:extLst>
                <c:ext xmlns:c15="http://schemas.microsoft.com/office/drawing/2012/chart" uri="{CE6537A1-D6FC-4f65-9D91-7224C49458BB}"/>
                <c:ext xmlns:c16="http://schemas.microsoft.com/office/drawing/2014/chart" uri="{C3380CC4-5D6E-409C-BE32-E72D297353CC}">
                  <c16:uniqueId val="{00000039-2E54-4DE0-A980-9154F52A9438}"/>
                </c:ext>
              </c:extLst>
            </c:dLbl>
            <c:dLbl>
              <c:idx val="20"/>
              <c:delete val="1"/>
              <c:extLst>
                <c:ext xmlns:c15="http://schemas.microsoft.com/office/drawing/2012/chart" uri="{CE6537A1-D6FC-4f65-9D91-7224C49458BB}"/>
                <c:ext xmlns:c16="http://schemas.microsoft.com/office/drawing/2014/chart" uri="{C3380CC4-5D6E-409C-BE32-E72D297353CC}">
                  <c16:uniqueId val="{0000003A-2E54-4DE0-A980-9154F52A9438}"/>
                </c:ext>
              </c:extLst>
            </c:dLbl>
            <c:dLbl>
              <c:idx val="21"/>
              <c:layout>
                <c:manualLayout>
                  <c:x val="6.0663510731112334E-3"/>
                  <c:y val="-1.4245891091004033E-2"/>
                </c:manualLayout>
              </c:layout>
              <c:tx>
                <c:rich>
                  <a:bodyPr/>
                  <a:lstStyle/>
                  <a:p>
                    <a:fld id="{16EBB124-3BC4-4E84-BB93-C2BA142386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2E54-4DE0-A980-9154F52A9438}"/>
                </c:ext>
              </c:extLst>
            </c:dLbl>
            <c:dLbl>
              <c:idx val="22"/>
              <c:delete val="1"/>
              <c:extLst>
                <c:ext xmlns:c15="http://schemas.microsoft.com/office/drawing/2012/chart" uri="{CE6537A1-D6FC-4f65-9D91-7224C49458BB}"/>
                <c:ext xmlns:c16="http://schemas.microsoft.com/office/drawing/2014/chart" uri="{C3380CC4-5D6E-409C-BE32-E72D297353CC}">
                  <c16:uniqueId val="{0000003C-2E54-4DE0-A980-9154F52A9438}"/>
                </c:ext>
              </c:extLst>
            </c:dLbl>
            <c:dLbl>
              <c:idx val="23"/>
              <c:delete val="1"/>
              <c:extLst>
                <c:ext xmlns:c15="http://schemas.microsoft.com/office/drawing/2012/chart" uri="{CE6537A1-D6FC-4f65-9D91-7224C49458BB}"/>
                <c:ext xmlns:c16="http://schemas.microsoft.com/office/drawing/2014/chart" uri="{C3380CC4-5D6E-409C-BE32-E72D297353CC}">
                  <c16:uniqueId val="{0000003D-2E54-4DE0-A980-9154F52A9438}"/>
                </c:ext>
              </c:extLst>
            </c:dLbl>
            <c:dLbl>
              <c:idx val="24"/>
              <c:delete val="1"/>
              <c:extLst>
                <c:ext xmlns:c15="http://schemas.microsoft.com/office/drawing/2012/chart" uri="{CE6537A1-D6FC-4f65-9D91-7224C49458BB}"/>
                <c:ext xmlns:c16="http://schemas.microsoft.com/office/drawing/2014/chart" uri="{C3380CC4-5D6E-409C-BE32-E72D297353CC}">
                  <c16:uniqueId val="{0000003E-2E54-4DE0-A980-9154F52A9438}"/>
                </c:ext>
              </c:extLst>
            </c:dLbl>
            <c:dLbl>
              <c:idx val="25"/>
              <c:delete val="1"/>
              <c:extLst>
                <c:ext xmlns:c15="http://schemas.microsoft.com/office/drawing/2012/chart" uri="{CE6537A1-D6FC-4f65-9D91-7224C49458BB}"/>
                <c:ext xmlns:c16="http://schemas.microsoft.com/office/drawing/2014/chart" uri="{C3380CC4-5D6E-409C-BE32-E72D297353CC}">
                  <c16:uniqueId val="{0000003F-2E54-4DE0-A980-9154F52A9438}"/>
                </c:ext>
              </c:extLst>
            </c:dLbl>
            <c:dLbl>
              <c:idx val="26"/>
              <c:delete val="1"/>
              <c:extLst>
                <c:ext xmlns:c15="http://schemas.microsoft.com/office/drawing/2012/chart" uri="{CE6537A1-D6FC-4f65-9D91-7224C49458BB}"/>
                <c:ext xmlns:c16="http://schemas.microsoft.com/office/drawing/2014/chart" uri="{C3380CC4-5D6E-409C-BE32-E72D297353CC}">
                  <c16:uniqueId val="{00000040-2E54-4DE0-A980-9154F52A9438}"/>
                </c:ext>
              </c:extLst>
            </c:dLbl>
            <c:dLbl>
              <c:idx val="27"/>
              <c:delete val="1"/>
              <c:extLst>
                <c:ext xmlns:c15="http://schemas.microsoft.com/office/drawing/2012/chart" uri="{CE6537A1-D6FC-4f65-9D91-7224C49458BB}"/>
                <c:ext xmlns:c16="http://schemas.microsoft.com/office/drawing/2014/chart" uri="{C3380CC4-5D6E-409C-BE32-E72D297353CC}">
                  <c16:uniqueId val="{00000041-2E54-4DE0-A980-9154F52A9438}"/>
                </c:ext>
              </c:extLst>
            </c:dLbl>
            <c:dLbl>
              <c:idx val="28"/>
              <c:delete val="1"/>
              <c:extLst>
                <c:ext xmlns:c15="http://schemas.microsoft.com/office/drawing/2012/chart" uri="{CE6537A1-D6FC-4f65-9D91-7224C49458BB}"/>
                <c:ext xmlns:c16="http://schemas.microsoft.com/office/drawing/2014/chart" uri="{C3380CC4-5D6E-409C-BE32-E72D297353CC}">
                  <c16:uniqueId val="{00000042-2E54-4DE0-A980-9154F52A9438}"/>
                </c:ext>
              </c:extLst>
            </c:dLbl>
            <c:dLbl>
              <c:idx val="29"/>
              <c:layout>
                <c:manualLayout>
                  <c:x val="3.3364930902111782E-2"/>
                  <c:y val="3.5614727727509756E-3"/>
                </c:manualLayout>
              </c:layout>
              <c:tx>
                <c:rich>
                  <a:bodyPr/>
                  <a:lstStyle/>
                  <a:p>
                    <a:fld id="{B8FC157E-72F1-41FC-A107-C2A2BA54C0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2E54-4DE0-A980-9154F52A9438}"/>
                </c:ext>
              </c:extLst>
            </c:dLbl>
            <c:dLbl>
              <c:idx val="30"/>
              <c:delete val="1"/>
              <c:extLst>
                <c:ext xmlns:c15="http://schemas.microsoft.com/office/drawing/2012/chart" uri="{CE6537A1-D6FC-4f65-9D91-7224C49458BB}"/>
                <c:ext xmlns:c16="http://schemas.microsoft.com/office/drawing/2014/chart" uri="{C3380CC4-5D6E-409C-BE32-E72D297353CC}">
                  <c16:uniqueId val="{00000044-2E54-4DE0-A980-9154F52A9438}"/>
                </c:ext>
              </c:extLst>
            </c:dLbl>
            <c:dLbl>
              <c:idx val="31"/>
              <c:delete val="1"/>
              <c:extLst>
                <c:ext xmlns:c15="http://schemas.microsoft.com/office/drawing/2012/chart" uri="{CE6537A1-D6FC-4f65-9D91-7224C49458BB}"/>
                <c:ext xmlns:c16="http://schemas.microsoft.com/office/drawing/2014/chart" uri="{C3380CC4-5D6E-409C-BE32-E72D297353CC}">
                  <c16:uniqueId val="{00000045-2E54-4DE0-A980-9154F52A9438}"/>
                </c:ext>
              </c:extLst>
            </c:dLbl>
            <c:dLbl>
              <c:idx val="32"/>
              <c:delete val="1"/>
              <c:extLst>
                <c:ext xmlns:c15="http://schemas.microsoft.com/office/drawing/2012/chart" uri="{CE6537A1-D6FC-4f65-9D91-7224C49458BB}"/>
                <c:ext xmlns:c16="http://schemas.microsoft.com/office/drawing/2014/chart" uri="{C3380CC4-5D6E-409C-BE32-E72D297353CC}">
                  <c16:uniqueId val="{00000046-2E54-4DE0-A980-9154F52A9438}"/>
                </c:ext>
              </c:extLst>
            </c:dLbl>
            <c:dLbl>
              <c:idx val="33"/>
              <c:delete val="1"/>
              <c:extLst>
                <c:ext xmlns:c15="http://schemas.microsoft.com/office/drawing/2012/chart" uri="{CE6537A1-D6FC-4f65-9D91-7224C49458BB}"/>
                <c:ext xmlns:c16="http://schemas.microsoft.com/office/drawing/2014/chart" uri="{C3380CC4-5D6E-409C-BE32-E72D297353CC}">
                  <c16:uniqueId val="{00000047-2E54-4DE0-A980-9154F52A9438}"/>
                </c:ext>
              </c:extLst>
            </c:dLbl>
            <c:dLbl>
              <c:idx val="34"/>
              <c:delete val="1"/>
              <c:extLst>
                <c:ext xmlns:c15="http://schemas.microsoft.com/office/drawing/2012/chart" uri="{CE6537A1-D6FC-4f65-9D91-7224C49458BB}"/>
                <c:ext xmlns:c16="http://schemas.microsoft.com/office/drawing/2014/chart" uri="{C3380CC4-5D6E-409C-BE32-E72D297353CC}">
                  <c16:uniqueId val="{00000048-2E54-4DE0-A980-9154F52A9438}"/>
                </c:ext>
              </c:extLst>
            </c:dLbl>
            <c:dLbl>
              <c:idx val="35"/>
              <c:delete val="1"/>
              <c:extLst>
                <c:ext xmlns:c15="http://schemas.microsoft.com/office/drawing/2012/chart" uri="{CE6537A1-D6FC-4f65-9D91-7224C49458BB}"/>
                <c:ext xmlns:c16="http://schemas.microsoft.com/office/drawing/2014/chart" uri="{C3380CC4-5D6E-409C-BE32-E72D297353CC}">
                  <c16:uniqueId val="{00000049-2E54-4DE0-A980-9154F52A9438}"/>
                </c:ext>
              </c:extLst>
            </c:dLbl>
            <c:dLbl>
              <c:idx val="36"/>
              <c:delete val="1"/>
              <c:extLst>
                <c:ext xmlns:c15="http://schemas.microsoft.com/office/drawing/2012/chart" uri="{CE6537A1-D6FC-4f65-9D91-7224C49458BB}"/>
                <c:ext xmlns:c16="http://schemas.microsoft.com/office/drawing/2014/chart" uri="{C3380CC4-5D6E-409C-BE32-E72D297353CC}">
                  <c16:uniqueId val="{0000004A-2E54-4DE0-A980-9154F52A9438}"/>
                </c:ext>
              </c:extLst>
            </c:dLbl>
            <c:dLbl>
              <c:idx val="37"/>
              <c:delete val="1"/>
              <c:extLst>
                <c:ext xmlns:c15="http://schemas.microsoft.com/office/drawing/2012/chart" uri="{CE6537A1-D6FC-4f65-9D91-7224C49458BB}"/>
                <c:ext xmlns:c16="http://schemas.microsoft.com/office/drawing/2014/chart" uri="{C3380CC4-5D6E-409C-BE32-E72D297353CC}">
                  <c16:uniqueId val="{0000004B-2E54-4DE0-A980-9154F52A94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'Summary Table'!$Q$5:$Q$43</c:f>
              <c:numCache>
                <c:formatCode>_("$"* #,##0_);_("$"* \(#,##0\);_("$"* "-"??_);_(@_)</c:formatCode>
                <c:ptCount val="38"/>
                <c:pt idx="0">
                  <c:v>23904.066986823338</c:v>
                </c:pt>
                <c:pt idx="1">
                  <c:v>0.19999999999708962</c:v>
                </c:pt>
                <c:pt idx="2">
                  <c:v>-8678.812083032215</c:v>
                </c:pt>
                <c:pt idx="3">
                  <c:v>4900.4649432094302</c:v>
                </c:pt>
                <c:pt idx="4">
                  <c:v>11281.902016842141</c:v>
                </c:pt>
                <c:pt idx="5">
                  <c:v>-27645.865449856967</c:v>
                </c:pt>
                <c:pt idx="6">
                  <c:v>-75225.103452153387</c:v>
                </c:pt>
                <c:pt idx="7">
                  <c:v>40959.427420495136</c:v>
                </c:pt>
                <c:pt idx="8">
                  <c:v>-1841.1298963122172</c:v>
                </c:pt>
                <c:pt idx="9">
                  <c:v>328059.15649053454</c:v>
                </c:pt>
                <c:pt idx="10">
                  <c:v>8366.9656313666492</c:v>
                </c:pt>
                <c:pt idx="11">
                  <c:v>-908.4554594049132</c:v>
                </c:pt>
                <c:pt idx="12">
                  <c:v>33256.335686265025</c:v>
                </c:pt>
                <c:pt idx="13">
                  <c:v>37946.125084356871</c:v>
                </c:pt>
                <c:pt idx="14">
                  <c:v>4475.3356486134289</c:v>
                </c:pt>
                <c:pt idx="15">
                  <c:v>270458.10472239321</c:v>
                </c:pt>
                <c:pt idx="16">
                  <c:v>4038.0066647201311</c:v>
                </c:pt>
                <c:pt idx="17">
                  <c:v>-107520.77890054416</c:v>
                </c:pt>
                <c:pt idx="18">
                  <c:v>224270.65048977174</c:v>
                </c:pt>
                <c:pt idx="19">
                  <c:v>-99339.895096346736</c:v>
                </c:pt>
                <c:pt idx="20">
                  <c:v>1724.5603526365012</c:v>
                </c:pt>
                <c:pt idx="21">
                  <c:v>-1987921.1621404923</c:v>
                </c:pt>
                <c:pt idx="22">
                  <c:v>-300795.02725164592</c:v>
                </c:pt>
                <c:pt idx="23">
                  <c:v>-22725.739175541094</c:v>
                </c:pt>
                <c:pt idx="24">
                  <c:v>804550.30593625456</c:v>
                </c:pt>
                <c:pt idx="25">
                  <c:v>-0.10000000055879354</c:v>
                </c:pt>
                <c:pt idx="26">
                  <c:v>61371.39431557589</c:v>
                </c:pt>
                <c:pt idx="27">
                  <c:v>232374.92488045944</c:v>
                </c:pt>
                <c:pt idx="28">
                  <c:v>25105.775333534839</c:v>
                </c:pt>
                <c:pt idx="29">
                  <c:v>137025.42465345177</c:v>
                </c:pt>
                <c:pt idx="30">
                  <c:v>0.13333333353511989</c:v>
                </c:pt>
                <c:pt idx="31">
                  <c:v>2800.8935572593473</c:v>
                </c:pt>
                <c:pt idx="32">
                  <c:v>17969.68894439796</c:v>
                </c:pt>
                <c:pt idx="33">
                  <c:v>0.16666666668606922</c:v>
                </c:pt>
                <c:pt idx="34">
                  <c:v>-169695.36270731245</c:v>
                </c:pt>
                <c:pt idx="35">
                  <c:v>6407.9577812008793</c:v>
                </c:pt>
                <c:pt idx="36">
                  <c:v>12853.527517335024</c:v>
                </c:pt>
                <c:pt idx="37">
                  <c:v>26315.434383056127</c:v>
                </c:pt>
              </c:numCache>
            </c:numRef>
          </c:xVal>
          <c:yVal>
            <c:numRef>
              <c:f>'Summary Table'!$R$5:$R$43</c:f>
              <c:numCache>
                <c:formatCode>0%</c:formatCode>
                <c:ptCount val="38"/>
                <c:pt idx="0">
                  <c:v>3.8238997841101116E-2</c:v>
                </c:pt>
                <c:pt idx="1">
                  <c:v>1.6482094676208395E-6</c:v>
                </c:pt>
                <c:pt idx="2">
                  <c:v>-1.1682449324106076E-2</c:v>
                </c:pt>
                <c:pt idx="3">
                  <c:v>7.6260013832352763E-3</c:v>
                </c:pt>
                <c:pt idx="4">
                  <c:v>8.990360334199686E-2</c:v>
                </c:pt>
                <c:pt idx="5">
                  <c:v>-9.3026971400238037E-3</c:v>
                </c:pt>
                <c:pt idx="6">
                  <c:v>-7.0206396077340347E-2</c:v>
                </c:pt>
                <c:pt idx="7">
                  <c:v>9.5110561562575385E-2</c:v>
                </c:pt>
                <c:pt idx="8">
                  <c:v>-3.3616774977958314E-2</c:v>
                </c:pt>
                <c:pt idx="9">
                  <c:v>1.2846234242482555E-2</c:v>
                </c:pt>
                <c:pt idx="10">
                  <c:v>2.2541128523117123E-2</c:v>
                </c:pt>
                <c:pt idx="11">
                  <c:v>-5.337973406196974E-2</c:v>
                </c:pt>
                <c:pt idx="12">
                  <c:v>1.4578265683711327E-2</c:v>
                </c:pt>
                <c:pt idx="13">
                  <c:v>4.5607294576276776E-2</c:v>
                </c:pt>
                <c:pt idx="14">
                  <c:v>2.2802647157710527E-2</c:v>
                </c:pt>
                <c:pt idx="15">
                  <c:v>0.15880695959087293</c:v>
                </c:pt>
                <c:pt idx="16">
                  <c:v>9.8387915716163191E-2</c:v>
                </c:pt>
                <c:pt idx="17">
                  <c:v>-2.9325089027190512E-2</c:v>
                </c:pt>
                <c:pt idx="18">
                  <c:v>3.7328763340129113E-2</c:v>
                </c:pt>
                <c:pt idx="19">
                  <c:v>-1.0682163904987508E-2</c:v>
                </c:pt>
                <c:pt idx="20">
                  <c:v>1.0836081075281778E-3</c:v>
                </c:pt>
                <c:pt idx="21">
                  <c:v>-7.7261750621304873E-2</c:v>
                </c:pt>
                <c:pt idx="22">
                  <c:v>-3.6740075972096262E-2</c:v>
                </c:pt>
                <c:pt idx="23">
                  <c:v>-1.8954560756385717E-2</c:v>
                </c:pt>
                <c:pt idx="24">
                  <c:v>4.2674623479947028E-2</c:v>
                </c:pt>
                <c:pt idx="25">
                  <c:v>-2.8709880901306956E-8</c:v>
                </c:pt>
                <c:pt idx="26">
                  <c:v>0.12246753818178471</c:v>
                </c:pt>
                <c:pt idx="27">
                  <c:v>7.1029219075267228E-2</c:v>
                </c:pt>
                <c:pt idx="28">
                  <c:v>0.1258993491968077</c:v>
                </c:pt>
                <c:pt idx="29">
                  <c:v>0.20833708947095825</c:v>
                </c:pt>
                <c:pt idx="30">
                  <c:v>6.6750342772247821E-8</c:v>
                </c:pt>
                <c:pt idx="31">
                  <c:v>5.7434509677684754E-3</c:v>
                </c:pt>
                <c:pt idx="32">
                  <c:v>1.5088694079315826E-2</c:v>
                </c:pt>
                <c:pt idx="33">
                  <c:v>8.796577217642761E-7</c:v>
                </c:pt>
                <c:pt idx="34">
                  <c:v>-0.10853340426959114</c:v>
                </c:pt>
                <c:pt idx="35">
                  <c:v>0.1189466159424642</c:v>
                </c:pt>
                <c:pt idx="36">
                  <c:v>3.9630260903764279E-2</c:v>
                </c:pt>
                <c:pt idx="37">
                  <c:v>2.430989276872943E-2</c:v>
                </c:pt>
              </c:numCache>
            </c:numRef>
          </c:yVal>
          <c:smooth val="0"/>
          <c:extLst>
            <c:ext xmlns:c15="http://schemas.microsoft.com/office/drawing/2012/chart" uri="{02D57815-91ED-43cb-92C2-25804820EDAC}">
              <c15:datalabelsRange>
                <c15:f>'Summary Table'!$AJ$5:$AJ$43</c15:f>
                <c15:dlblRangeCache>
                  <c:ptCount val="38"/>
                  <c:pt idx="0">
                    <c:v>AASC/ 4 County</c:v>
                  </c:pt>
                  <c:pt idx="1">
                    <c:v>City of Bristol Virginia</c:v>
                  </c:pt>
                  <c:pt idx="2">
                    <c:v>District Three</c:v>
                  </c:pt>
                  <c:pt idx="3">
                    <c:v>MEOC</c:v>
                  </c:pt>
                  <c:pt idx="4">
                    <c:v>Bluefield-Graham </c:v>
                  </c:pt>
                  <c:pt idx="5">
                    <c:v>CAT</c:v>
                  </c:pt>
                  <c:pt idx="6">
                    <c:v>FXBGO!</c:v>
                  </c:pt>
                  <c:pt idx="7">
                    <c:v>City of Suffolk</c:v>
                  </c:pt>
                  <c:pt idx="8">
                    <c:v>Greensville Co.</c:v>
                  </c:pt>
                  <c:pt idx="9">
                    <c:v>HRT</c:v>
                  </c:pt>
                  <c:pt idx="10">
                    <c:v>STAR Transit</c:v>
                  </c:pt>
                  <c:pt idx="11">
                    <c:v>PONY Express</c:v>
                  </c:pt>
                  <c:pt idx="12">
                    <c:v>WATA</c:v>
                  </c:pt>
                  <c:pt idx="13">
                    <c:v>DTS</c:v>
                  </c:pt>
                  <c:pt idx="14">
                    <c:v>Farmville Area Bus</c:v>
                  </c:pt>
                  <c:pt idx="15">
                    <c:v>GLTC (Lynchburg)</c:v>
                  </c:pt>
                  <c:pt idx="16">
                    <c:v>Town of Altavista</c:v>
                  </c:pt>
                  <c:pt idx="17">
                    <c:v>Loudoun Co.</c:v>
                  </c:pt>
                  <c:pt idx="18">
                    <c:v>Arlington Co. - ART</c:v>
                  </c:pt>
                  <c:pt idx="19">
                    <c:v>Alexandria - DASH</c:v>
                  </c:pt>
                  <c:pt idx="20">
                    <c:v>City of Fairfax - CUE</c:v>
                  </c:pt>
                  <c:pt idx="21">
                    <c:v>Fairfax Connector</c:v>
                  </c:pt>
                  <c:pt idx="22">
                    <c:v>PRTC</c:v>
                  </c:pt>
                  <c:pt idx="23">
                    <c:v>PAT (Petersburg)</c:v>
                  </c:pt>
                  <c:pt idx="24">
                    <c:v>GRTC (Richmond)</c:v>
                  </c:pt>
                  <c:pt idx="25">
                    <c:v>Blacksburg Transit</c:v>
                  </c:pt>
                  <c:pt idx="26">
                    <c:v>City of Radford</c:v>
                  </c:pt>
                  <c:pt idx="27">
                    <c:v>GRTC (Valley Metro)</c:v>
                  </c:pt>
                  <c:pt idx="28">
                    <c:v>Pulaski Area Transit</c:v>
                  </c:pt>
                  <c:pt idx="29">
                    <c:v>CSPDC</c:v>
                  </c:pt>
                  <c:pt idx="30">
                    <c:v>HDPT (Harrisonburg)</c:v>
                  </c:pt>
                  <c:pt idx="31">
                    <c:v>City of Winchester</c:v>
                  </c:pt>
                  <c:pt idx="32">
                    <c:v>Bay Aging</c:v>
                  </c:pt>
                  <c:pt idx="33">
                    <c:v>Blackstone Area Bus</c:v>
                  </c:pt>
                  <c:pt idx="34">
                    <c:v>JAUNT</c:v>
                  </c:pt>
                  <c:pt idx="35">
                    <c:v>Lake Area</c:v>
                  </c:pt>
                  <c:pt idx="36">
                    <c:v>RADAR</c:v>
                  </c:pt>
                  <c:pt idx="37">
                    <c:v>VRT</c:v>
                  </c:pt>
                </c15:dlblRangeCache>
              </c15:datalabelsRange>
            </c:ext>
            <c:ext xmlns:c16="http://schemas.microsoft.com/office/drawing/2014/chart" uri="{C3380CC4-5D6E-409C-BE32-E72D297353CC}">
              <c16:uniqueId val="{0000004C-2E54-4DE0-A980-9154F52A9438}"/>
            </c:ext>
          </c:extLst>
        </c:ser>
        <c:dLbls>
          <c:showLegendKey val="0"/>
          <c:showVal val="0"/>
          <c:showCatName val="0"/>
          <c:showSerName val="0"/>
          <c:showPercent val="0"/>
          <c:showBubbleSize val="0"/>
        </c:dLbls>
        <c:axId val="1155863776"/>
        <c:axId val="1155862816"/>
      </c:scatterChart>
      <c:valAx>
        <c:axId val="115586377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quot;$&quot;#,##0.0&quot;M&quot;" sourceLinked="0"/>
        <c:majorTickMark val="none"/>
        <c:minorTickMark val="none"/>
        <c:tickLblPos val="nextTo"/>
        <c:spPr>
          <a:noFill/>
          <a:ln w="12700" cap="flat" cmpd="sng" algn="ctr">
            <a:solidFill>
              <a:schemeClr val="tx1">
                <a:alpha val="92000"/>
              </a:schemeClr>
            </a:solidFill>
            <a:round/>
          </a:ln>
          <a:effectLst/>
        </c:spPr>
        <c:txPr>
          <a:bodyPr rot="-60000000" spcFirstLastPara="1" vertOverflow="ellipsis" vert="horz" wrap="square" anchor="ctr" anchorCtr="1"/>
          <a:lstStyle/>
          <a:p>
            <a:pPr>
              <a:defRPr sz="1150" b="1" i="0" u="none" strike="noStrike" kern="1200" baseline="0">
                <a:solidFill>
                  <a:schemeClr val="tx1">
                    <a:lumMod val="65000"/>
                    <a:lumOff val="35000"/>
                  </a:schemeClr>
                </a:solidFill>
                <a:latin typeface="+mn-lt"/>
                <a:ea typeface="+mn-ea"/>
                <a:cs typeface="+mn-cs"/>
              </a:defRPr>
            </a:pPr>
            <a:endParaRPr lang="en-US"/>
          </a:p>
        </c:txPr>
        <c:crossAx val="1155862816"/>
        <c:crosses val="autoZero"/>
        <c:crossBetween val="midCat"/>
        <c:dispUnits>
          <c:builtInUnit val="millions"/>
          <c:dispUnitsLbl>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1155862816"/>
        <c:scaling>
          <c:orientation val="minMax"/>
        </c:scaling>
        <c:delete val="0"/>
        <c:axPos val="l"/>
        <c:majorGridlines>
          <c:spPr>
            <a:ln w="9525" cap="flat" cmpd="sng" algn="ctr">
              <a:solidFill>
                <a:schemeClr val="lt1">
                  <a:shade val="50000"/>
                  <a:alpha val="98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150" b="1" i="0" u="none" strike="noStrike" kern="1200" baseline="0">
                <a:solidFill>
                  <a:schemeClr val="tx1">
                    <a:lumMod val="65000"/>
                    <a:lumOff val="35000"/>
                  </a:schemeClr>
                </a:solidFill>
                <a:latin typeface="+mn-lt"/>
                <a:ea typeface="+mn-ea"/>
                <a:cs typeface="+mn-cs"/>
              </a:defRPr>
            </a:pPr>
            <a:endParaRPr lang="en-US"/>
          </a:p>
        </c:txPr>
        <c:crossAx val="1155863776"/>
        <c:crosses val="autoZero"/>
        <c:crossBetween val="midCat"/>
      </c:valAx>
      <c:spPr>
        <a:noFill/>
        <a:ln w="12700">
          <a:solidFill>
            <a:schemeClr val="tx1"/>
          </a:solidFill>
        </a:ln>
        <a:effectLst/>
      </c:spPr>
    </c:plotArea>
    <c:legend>
      <c:legendPos val="r"/>
      <c:layout>
        <c:manualLayout>
          <c:xMode val="edge"/>
          <c:yMode val="edge"/>
          <c:x val="7.4866273791247787E-2"/>
          <c:y val="0.11532449800574734"/>
          <c:w val="0.29147280415804583"/>
          <c:h val="9.065995352418247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t>FY24-26</a:t>
            </a:r>
            <a:r>
              <a:rPr lang="en-US" sz="1400" b="1" baseline="0"/>
              <a:t> Average Allocations Under Current and Revised Approaches  </a:t>
            </a:r>
          </a:p>
          <a:p>
            <a:pPr>
              <a:defRPr/>
            </a:pPr>
            <a:r>
              <a:rPr lang="en-US" baseline="0"/>
              <a:t>[Lower Two Quartiles]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84809298869899"/>
          <c:y val="0.2195420995993011"/>
          <c:w val="0.86360577220772394"/>
          <c:h val="0.3363933005780822"/>
        </c:manualLayout>
      </c:layout>
      <c:barChart>
        <c:barDir val="col"/>
        <c:grouping val="clustered"/>
        <c:varyColors val="0"/>
        <c:ser>
          <c:idx val="0"/>
          <c:order val="0"/>
          <c:spPr>
            <a:solidFill>
              <a:schemeClr val="accent1"/>
            </a:solidFill>
            <a:ln>
              <a:noFill/>
            </a:ln>
            <a:effectLst/>
          </c:spPr>
          <c:invertIfNegative val="0"/>
          <c:cat>
            <c:strLit>
              <c:ptCount val="19"/>
              <c:pt idx="0">
                <c:v>PONY Express [-4%]</c:v>
              </c:pt>
              <c:pt idx="1">
                <c:v>Town of Altavista [10%]</c:v>
              </c:pt>
              <c:pt idx="2">
                <c:v>Lake Area [12%]</c:v>
              </c:pt>
              <c:pt idx="3">
                <c:v>Greensville Co. [-3%]</c:v>
              </c:pt>
              <c:pt idx="4">
                <c:v>City of Bristol Virginia [1%]</c:v>
              </c:pt>
              <c:pt idx="5">
                <c:v>Bluefield-Graham  [9%]</c:v>
              </c:pt>
              <c:pt idx="6">
                <c:v>Blackstone Area Bus [0%]</c:v>
              </c:pt>
              <c:pt idx="7">
                <c:v>Farmville Area Bus [2%]</c:v>
              </c:pt>
              <c:pt idx="8">
                <c:v>Pulaski Area Transit [13%]</c:v>
              </c:pt>
              <c:pt idx="9">
                <c:v>RADAR [1%]</c:v>
              </c:pt>
              <c:pt idx="10">
                <c:v>STAR Transit [2%]</c:v>
              </c:pt>
              <c:pt idx="11">
                <c:v>City of Suffolk [9%]</c:v>
              </c:pt>
              <c:pt idx="12">
                <c:v>City of Winchester [1%]</c:v>
              </c:pt>
              <c:pt idx="13">
                <c:v>City of Radford [11%]</c:v>
              </c:pt>
              <c:pt idx="14">
                <c:v>AASC/ 4 County [5%]</c:v>
              </c:pt>
              <c:pt idx="15">
                <c:v>MEOC [1%]</c:v>
              </c:pt>
              <c:pt idx="16">
                <c:v>CSPDC [13%]</c:v>
              </c:pt>
              <c:pt idx="17">
                <c:v>District Three [-0%]</c:v>
              </c:pt>
              <c:pt idx="18">
                <c:v>DTS [3%]</c:v>
              </c:pt>
            </c:strLit>
          </c:cat>
          <c:val>
            <c:numLit>
              <c:formatCode>General</c:formatCode>
              <c:ptCount val="20"/>
            </c:numLit>
          </c:val>
          <c:extLst>
            <c:ext xmlns:c16="http://schemas.microsoft.com/office/drawing/2014/chart" uri="{C3380CC4-5D6E-409C-BE32-E72D297353CC}">
              <c16:uniqueId val="{00000000-1811-4A15-80BB-710B1008EC3D}"/>
            </c:ext>
          </c:extLst>
        </c:ser>
        <c:ser>
          <c:idx val="1"/>
          <c:order val="1"/>
          <c:tx>
            <c:v>Allocation Under Current Approach</c:v>
          </c:tx>
          <c:spPr>
            <a:solidFill>
              <a:schemeClr val="accent2"/>
            </a:solidFill>
            <a:ln>
              <a:noFill/>
            </a:ln>
            <a:effectLst/>
          </c:spPr>
          <c:invertIfNegative val="0"/>
          <c:cat>
            <c:strRef>
              <c:f>S6C!$I$90:$I$108</c:f>
              <c:strCache>
                <c:ptCount val="19"/>
                <c:pt idx="0">
                  <c:v>PONY Express [-4%]</c:v>
                </c:pt>
                <c:pt idx="1">
                  <c:v>Town of Altavista [10%]</c:v>
                </c:pt>
                <c:pt idx="2">
                  <c:v>Lake Area [12%]</c:v>
                </c:pt>
                <c:pt idx="3">
                  <c:v>Greensville Co. [-3%]</c:v>
                </c:pt>
                <c:pt idx="4">
                  <c:v>City of Bristol Virginia [1%]</c:v>
                </c:pt>
                <c:pt idx="5">
                  <c:v>Bluefield-Graham  [9%]</c:v>
                </c:pt>
                <c:pt idx="6">
                  <c:v>Blackstone Area Bus [0%]</c:v>
                </c:pt>
                <c:pt idx="7">
                  <c:v>Farmville Area Bus [2%]</c:v>
                </c:pt>
                <c:pt idx="8">
                  <c:v>Pulaski Area Transit [13%]</c:v>
                </c:pt>
                <c:pt idx="9">
                  <c:v>RADAR [1%]</c:v>
                </c:pt>
                <c:pt idx="10">
                  <c:v>STAR Transit [2%]</c:v>
                </c:pt>
                <c:pt idx="11">
                  <c:v>City of Suffolk [9%]</c:v>
                </c:pt>
                <c:pt idx="12">
                  <c:v>City of Winchester [1%]</c:v>
                </c:pt>
                <c:pt idx="13">
                  <c:v>City of Radford [11%]</c:v>
                </c:pt>
                <c:pt idx="14">
                  <c:v>AASC/ 4 County [5%]</c:v>
                </c:pt>
                <c:pt idx="15">
                  <c:v>MEOC [1%]</c:v>
                </c:pt>
                <c:pt idx="16">
                  <c:v>CSPDC [13%]</c:v>
                </c:pt>
                <c:pt idx="17">
                  <c:v>District Three [-0%]</c:v>
                </c:pt>
                <c:pt idx="18">
                  <c:v>DTS [3%]</c:v>
                </c:pt>
              </c:strCache>
            </c:strRef>
          </c:cat>
          <c:val>
            <c:numRef>
              <c:f>S6C!$D$90:$D$108</c:f>
              <c:numCache>
                <c:formatCode>_("$"* #,##0_);_("$"* \(#,##0\);_("$"* "-"??_);_(@_)</c:formatCode>
                <c:ptCount val="19"/>
                <c:pt idx="0">
                  <c:v>17018.733333333334</c:v>
                </c:pt>
                <c:pt idx="1">
                  <c:v>41041.693335279859</c:v>
                </c:pt>
                <c:pt idx="2">
                  <c:v>53872.552240582278</c:v>
                </c:pt>
                <c:pt idx="3">
                  <c:v>54768.189319748861</c:v>
                </c:pt>
                <c:pt idx="4">
                  <c:v>121343.8</c:v>
                </c:pt>
                <c:pt idx="5">
                  <c:v>125488.87472202133</c:v>
                </c:pt>
                <c:pt idx="6">
                  <c:v>189467.63333333333</c:v>
                </c:pt>
                <c:pt idx="7">
                  <c:v>196263.86435138655</c:v>
                </c:pt>
                <c:pt idx="8">
                  <c:v>199411.47824592108</c:v>
                </c:pt>
                <c:pt idx="9">
                  <c:v>324336.18210457283</c:v>
                </c:pt>
                <c:pt idx="10">
                  <c:v>371186.63436863339</c:v>
                </c:pt>
                <c:pt idx="11">
                  <c:v>430650.67377976741</c:v>
                </c:pt>
                <c:pt idx="12">
                  <c:v>487667.35765267425</c:v>
                </c:pt>
                <c:pt idx="13">
                  <c:v>501123.76901444077</c:v>
                </c:pt>
                <c:pt idx="14">
                  <c:v>625122.73690211866</c:v>
                </c:pt>
                <c:pt idx="15">
                  <c:v>642599.53505679057</c:v>
                </c:pt>
                <c:pt idx="16">
                  <c:v>657710.18017678906</c:v>
                </c:pt>
                <c:pt idx="17">
                  <c:v>742893.1932213885</c:v>
                </c:pt>
                <c:pt idx="18">
                  <c:v>832018.76885929203</c:v>
                </c:pt>
              </c:numCache>
            </c:numRef>
          </c:val>
          <c:extLst>
            <c:ext xmlns:c16="http://schemas.microsoft.com/office/drawing/2014/chart" uri="{C3380CC4-5D6E-409C-BE32-E72D297353CC}">
              <c16:uniqueId val="{00000001-1811-4A15-80BB-710B1008EC3D}"/>
            </c:ext>
          </c:extLst>
        </c:ser>
        <c:ser>
          <c:idx val="2"/>
          <c:order val="2"/>
          <c:spPr>
            <a:solidFill>
              <a:schemeClr val="accent3"/>
            </a:solidFill>
            <a:ln>
              <a:noFill/>
            </a:ln>
            <a:effectLst/>
          </c:spPr>
          <c:invertIfNegative val="0"/>
          <c:cat>
            <c:strLit>
              <c:ptCount val="19"/>
              <c:pt idx="0">
                <c:v>PONY Express [-4%]</c:v>
              </c:pt>
              <c:pt idx="1">
                <c:v>Town of Altavista [10%]</c:v>
              </c:pt>
              <c:pt idx="2">
                <c:v>Lake Area [12%]</c:v>
              </c:pt>
              <c:pt idx="3">
                <c:v>Greensville Co. [-3%]</c:v>
              </c:pt>
              <c:pt idx="4">
                <c:v>City of Bristol Virginia [1%]</c:v>
              </c:pt>
              <c:pt idx="5">
                <c:v>Bluefield-Graham  [9%]</c:v>
              </c:pt>
              <c:pt idx="6">
                <c:v>Blackstone Area Bus [0%]</c:v>
              </c:pt>
              <c:pt idx="7">
                <c:v>Farmville Area Bus [2%]</c:v>
              </c:pt>
              <c:pt idx="8">
                <c:v>Pulaski Area Transit [13%]</c:v>
              </c:pt>
              <c:pt idx="9">
                <c:v>RADAR [1%]</c:v>
              </c:pt>
              <c:pt idx="10">
                <c:v>STAR Transit [2%]</c:v>
              </c:pt>
              <c:pt idx="11">
                <c:v>City of Suffolk [9%]</c:v>
              </c:pt>
              <c:pt idx="12">
                <c:v>City of Winchester [1%]</c:v>
              </c:pt>
              <c:pt idx="13">
                <c:v>City of Radford [11%]</c:v>
              </c:pt>
              <c:pt idx="14">
                <c:v>AASC/ 4 County [5%]</c:v>
              </c:pt>
              <c:pt idx="15">
                <c:v>MEOC [1%]</c:v>
              </c:pt>
              <c:pt idx="16">
                <c:v>CSPDC [13%]</c:v>
              </c:pt>
              <c:pt idx="17">
                <c:v>District Three [-0%]</c:v>
              </c:pt>
              <c:pt idx="18">
                <c:v>DTS [3%]</c:v>
              </c:pt>
            </c:strLit>
          </c:cat>
          <c:val>
            <c:numLit>
              <c:formatCode>General</c:formatCode>
              <c:ptCount val="20"/>
            </c:numLit>
          </c:val>
          <c:extLst>
            <c:ext xmlns:c16="http://schemas.microsoft.com/office/drawing/2014/chart" uri="{C3380CC4-5D6E-409C-BE32-E72D297353CC}">
              <c16:uniqueId val="{00000002-1811-4A15-80BB-710B1008EC3D}"/>
            </c:ext>
          </c:extLst>
        </c:ser>
        <c:ser>
          <c:idx val="3"/>
          <c:order val="3"/>
          <c:tx>
            <c:v>Allocation Under Revised Approach</c:v>
          </c:tx>
          <c:spPr>
            <a:solidFill>
              <a:schemeClr val="accent4"/>
            </a:solidFill>
            <a:ln>
              <a:noFill/>
            </a:ln>
            <a:effectLst/>
          </c:spPr>
          <c:invertIfNegative val="0"/>
          <c:cat>
            <c:strRef>
              <c:f>S6C!$I$90:$I$108</c:f>
              <c:strCache>
                <c:ptCount val="19"/>
                <c:pt idx="0">
                  <c:v>PONY Express [-4%]</c:v>
                </c:pt>
                <c:pt idx="1">
                  <c:v>Town of Altavista [10%]</c:v>
                </c:pt>
                <c:pt idx="2">
                  <c:v>Lake Area [12%]</c:v>
                </c:pt>
                <c:pt idx="3">
                  <c:v>Greensville Co. [-3%]</c:v>
                </c:pt>
                <c:pt idx="4">
                  <c:v>City of Bristol Virginia [1%]</c:v>
                </c:pt>
                <c:pt idx="5">
                  <c:v>Bluefield-Graham  [9%]</c:v>
                </c:pt>
                <c:pt idx="6">
                  <c:v>Blackstone Area Bus [0%]</c:v>
                </c:pt>
                <c:pt idx="7">
                  <c:v>Farmville Area Bus [2%]</c:v>
                </c:pt>
                <c:pt idx="8">
                  <c:v>Pulaski Area Transit [13%]</c:v>
                </c:pt>
                <c:pt idx="9">
                  <c:v>RADAR [1%]</c:v>
                </c:pt>
                <c:pt idx="10">
                  <c:v>STAR Transit [2%]</c:v>
                </c:pt>
                <c:pt idx="11">
                  <c:v>City of Suffolk [9%]</c:v>
                </c:pt>
                <c:pt idx="12">
                  <c:v>City of Winchester [1%]</c:v>
                </c:pt>
                <c:pt idx="13">
                  <c:v>City of Radford [11%]</c:v>
                </c:pt>
                <c:pt idx="14">
                  <c:v>AASC/ 4 County [5%]</c:v>
                </c:pt>
                <c:pt idx="15">
                  <c:v>MEOC [1%]</c:v>
                </c:pt>
                <c:pt idx="16">
                  <c:v>CSPDC [13%]</c:v>
                </c:pt>
                <c:pt idx="17">
                  <c:v>District Three [-0%]</c:v>
                </c:pt>
                <c:pt idx="18">
                  <c:v>DTS [3%]</c:v>
                </c:pt>
              </c:strCache>
            </c:strRef>
          </c:cat>
          <c:val>
            <c:numRef>
              <c:f>S6C!$F$90:$F$108</c:f>
              <c:numCache>
                <c:formatCode>_("$"* #,##0.00_);_("$"* \(#,##0.00\);_("$"* "-"??_);_(@_)</c:formatCode>
                <c:ptCount val="19"/>
                <c:pt idx="0">
                  <c:v>16375.914012835789</c:v>
                </c:pt>
                <c:pt idx="1">
                  <c:v>45079.69999999999</c:v>
                </c:pt>
                <c:pt idx="2">
                  <c:v>60191.551372275688</c:v>
                </c:pt>
                <c:pt idx="3">
                  <c:v>53338.662688261938</c:v>
                </c:pt>
                <c:pt idx="4">
                  <c:v>122089.58518981929</c:v>
                </c:pt>
                <c:pt idx="5">
                  <c:v>137128.4843166603</c:v>
                </c:pt>
                <c:pt idx="6">
                  <c:v>189467.80000000002</c:v>
                </c:pt>
                <c:pt idx="7">
                  <c:v>200739.19999999998</c:v>
                </c:pt>
                <c:pt idx="8">
                  <c:v>224856.74740307106</c:v>
                </c:pt>
                <c:pt idx="9">
                  <c:v>329195.08014242235</c:v>
                </c:pt>
                <c:pt idx="10">
                  <c:v>379553.60000000003</c:v>
                </c:pt>
                <c:pt idx="11">
                  <c:v>468026.6646545371</c:v>
                </c:pt>
                <c:pt idx="12">
                  <c:v>490195.54091893788</c:v>
                </c:pt>
                <c:pt idx="13">
                  <c:v>556824.27751083614</c:v>
                </c:pt>
                <c:pt idx="14">
                  <c:v>653355.37711795652</c:v>
                </c:pt>
                <c:pt idx="15">
                  <c:v>647500</c:v>
                </c:pt>
                <c:pt idx="16">
                  <c:v>745223.11356687185</c:v>
                </c:pt>
                <c:pt idx="17">
                  <c:v>742471.56661249639</c:v>
                </c:pt>
                <c:pt idx="18">
                  <c:v>860800.16932349291</c:v>
                </c:pt>
              </c:numCache>
            </c:numRef>
          </c:val>
          <c:extLst>
            <c:ext xmlns:c16="http://schemas.microsoft.com/office/drawing/2014/chart" uri="{C3380CC4-5D6E-409C-BE32-E72D297353CC}">
              <c16:uniqueId val="{00000003-1811-4A15-80BB-710B1008EC3D}"/>
            </c:ext>
          </c:extLst>
        </c:ser>
        <c:dLbls>
          <c:showLegendKey val="0"/>
          <c:showVal val="0"/>
          <c:showCatName val="0"/>
          <c:showSerName val="0"/>
          <c:showPercent val="0"/>
          <c:showBubbleSize val="0"/>
        </c:dLbls>
        <c:gapWidth val="219"/>
        <c:overlap val="-27"/>
        <c:axId val="1773356143"/>
        <c:axId val="1773354223"/>
      </c:barChart>
      <c:catAx>
        <c:axId val="1773356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773354223"/>
        <c:crosses val="autoZero"/>
        <c:auto val="1"/>
        <c:lblAlgn val="ctr"/>
        <c:lblOffset val="100"/>
        <c:noMultiLvlLbl val="0"/>
      </c:catAx>
      <c:valAx>
        <c:axId val="1773354223"/>
        <c:scaling>
          <c:orientation val="minMax"/>
          <c:max val="9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alpha val="9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356143"/>
        <c:crosses val="autoZero"/>
        <c:crossBetween val="between"/>
        <c:majorUnit val="200000"/>
      </c:valAx>
      <c:spPr>
        <a:noFill/>
        <a:ln>
          <a:noFill/>
        </a:ln>
        <a:effectLst/>
      </c:spPr>
    </c:plotArea>
    <c:legend>
      <c:legendPos val="b"/>
      <c:layout>
        <c:manualLayout>
          <c:xMode val="edge"/>
          <c:yMode val="edge"/>
          <c:x val="4.1150446752209288E-2"/>
          <c:y val="0.24895195196863074"/>
          <c:w val="0.75057526680118325"/>
          <c:h val="0.1181117362495765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ysClr val="windowText" lastClr="000000">
                    <a:lumMod val="65000"/>
                    <a:lumOff val="35000"/>
                  </a:sysClr>
                </a:solidFill>
              </a:rPr>
              <a:t>FY24-26 Average Allocations by District  Under Current and Revised Approaches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45079113687639E-2"/>
          <c:y val="0.15222579719568433"/>
          <c:w val="0.89156188106854728"/>
          <c:h val="0.77432100144271276"/>
        </c:manualLayout>
      </c:layout>
      <c:barChart>
        <c:barDir val="col"/>
        <c:grouping val="clustered"/>
        <c:varyColors val="0"/>
        <c:ser>
          <c:idx val="0"/>
          <c:order val="0"/>
          <c:tx>
            <c:v>Allocation Under Current Approach</c:v>
          </c:tx>
          <c:spPr>
            <a:solidFill>
              <a:schemeClr val="accent1"/>
            </a:solidFill>
            <a:ln>
              <a:noFill/>
            </a:ln>
            <a:effectLst/>
          </c:spPr>
          <c:invertIfNegative val="0"/>
          <c:cat>
            <c:strRef>
              <c:f>S6C!$B$28:$B$37</c:f>
              <c:strCache>
                <c:ptCount val="10"/>
                <c:pt idx="0">
                  <c:v>Bristol</c:v>
                </c:pt>
                <c:pt idx="1">
                  <c:v>Culpeper</c:v>
                </c:pt>
                <c:pt idx="2">
                  <c:v>Fredericksburg</c:v>
                </c:pt>
                <c:pt idx="3">
                  <c:v>Hampton Roads </c:v>
                </c:pt>
                <c:pt idx="4">
                  <c:v>Lynchburg</c:v>
                </c:pt>
                <c:pt idx="5">
                  <c:v>Northern Virginia</c:v>
                </c:pt>
                <c:pt idx="6">
                  <c:v>Richmond</c:v>
                </c:pt>
                <c:pt idx="7">
                  <c:v>Salem</c:v>
                </c:pt>
                <c:pt idx="8">
                  <c:v>Staunton</c:v>
                </c:pt>
                <c:pt idx="9">
                  <c:v>XMulti</c:v>
                </c:pt>
              </c:strCache>
            </c:strRef>
          </c:cat>
          <c:val>
            <c:numRef>
              <c:f>S6C!$D$28:$D$37</c:f>
              <c:numCache>
                <c:formatCode>_("$"* #,##0_);_("$"* \(#,##0\);_("$"* "-"??_);_(@_)</c:formatCode>
                <c:ptCount val="10"/>
                <c:pt idx="0">
                  <c:v>2257448.1399023193</c:v>
                </c:pt>
                <c:pt idx="1">
                  <c:v>2971811.8341092449</c:v>
                </c:pt>
                <c:pt idx="2">
                  <c:v>1071485.0448851464</c:v>
                </c:pt>
                <c:pt idx="3">
                  <c:v>28692230.700066816</c:v>
                </c:pt>
                <c:pt idx="4">
                  <c:v>2772386.367524276</c:v>
                </c:pt>
                <c:pt idx="5">
                  <c:v>56728251.939407773</c:v>
                </c:pt>
                <c:pt idx="6">
                  <c:v>20052090.808745552</c:v>
                </c:pt>
                <c:pt idx="7">
                  <c:v>7455196.5558467098</c:v>
                </c:pt>
                <c:pt idx="8">
                  <c:v>3142870.4044961301</c:v>
                </c:pt>
                <c:pt idx="9">
                  <c:v>4404643.8716827054</c:v>
                </c:pt>
              </c:numCache>
            </c:numRef>
          </c:val>
          <c:extLst>
            <c:ext xmlns:c16="http://schemas.microsoft.com/office/drawing/2014/chart" uri="{C3380CC4-5D6E-409C-BE32-E72D297353CC}">
              <c16:uniqueId val="{00000000-FA7C-410D-82FB-D7070804A677}"/>
            </c:ext>
          </c:extLst>
        </c:ser>
        <c:ser>
          <c:idx val="1"/>
          <c:order val="1"/>
          <c:tx>
            <c:v>Allocation Under Sizing + Performance Approach</c:v>
          </c:tx>
          <c:spPr>
            <a:solidFill>
              <a:schemeClr val="accent2"/>
            </a:solidFill>
            <a:ln>
              <a:noFill/>
            </a:ln>
            <a:effectLst/>
          </c:spPr>
          <c:invertIfNegative val="0"/>
          <c:cat>
            <c:strRef>
              <c:f>S6C!$B$28:$B$37</c:f>
              <c:strCache>
                <c:ptCount val="10"/>
                <c:pt idx="0">
                  <c:v>Bristol</c:v>
                </c:pt>
                <c:pt idx="1">
                  <c:v>Culpeper</c:v>
                </c:pt>
                <c:pt idx="2">
                  <c:v>Fredericksburg</c:v>
                </c:pt>
                <c:pt idx="3">
                  <c:v>Hampton Roads </c:v>
                </c:pt>
                <c:pt idx="4">
                  <c:v>Lynchburg</c:v>
                </c:pt>
                <c:pt idx="5">
                  <c:v>Northern Virginia</c:v>
                </c:pt>
                <c:pt idx="6">
                  <c:v>Richmond</c:v>
                </c:pt>
                <c:pt idx="7">
                  <c:v>Salem</c:v>
                </c:pt>
                <c:pt idx="8">
                  <c:v>Staunton</c:v>
                </c:pt>
                <c:pt idx="9">
                  <c:v>XMulti</c:v>
                </c:pt>
              </c:strCache>
            </c:strRef>
          </c:cat>
          <c:val>
            <c:numRef>
              <c:f>S6C!$F$28:$F$37</c:f>
              <c:numCache>
                <c:formatCode>_("$"* #,##0_);_("$"* \(#,##0\);_("$"* "-"??_);_(@_)</c:formatCode>
                <c:ptCount val="10"/>
                <c:pt idx="0">
                  <c:v>2302545.0132369325</c:v>
                </c:pt>
                <c:pt idx="1">
                  <c:v>2955605.5237816013</c:v>
                </c:pt>
                <c:pt idx="2">
                  <c:v>991727.64516962832</c:v>
                </c:pt>
                <c:pt idx="3">
                  <c:v>29276880.127124388</c:v>
                </c:pt>
                <c:pt idx="4">
                  <c:v>3028554.3050672058</c:v>
                </c:pt>
                <c:pt idx="5">
                  <c:v>54932327.820781887</c:v>
                </c:pt>
                <c:pt idx="6">
                  <c:v>20781993.808721017</c:v>
                </c:pt>
                <c:pt idx="7">
                  <c:v>7767250.6118149497</c:v>
                </c:pt>
                <c:pt idx="8">
                  <c:v>3232911.6544858101</c:v>
                </c:pt>
                <c:pt idx="9">
                  <c:v>4278619.4898165548</c:v>
                </c:pt>
              </c:numCache>
            </c:numRef>
          </c:val>
          <c:extLst>
            <c:ext xmlns:c16="http://schemas.microsoft.com/office/drawing/2014/chart" uri="{C3380CC4-5D6E-409C-BE32-E72D297353CC}">
              <c16:uniqueId val="{00000001-FA7C-410D-82FB-D7070804A677}"/>
            </c:ext>
          </c:extLst>
        </c:ser>
        <c:dLbls>
          <c:showLegendKey val="0"/>
          <c:showVal val="0"/>
          <c:showCatName val="0"/>
          <c:showSerName val="0"/>
          <c:showPercent val="0"/>
          <c:showBubbleSize val="0"/>
        </c:dLbls>
        <c:gapWidth val="219"/>
        <c:overlap val="-27"/>
        <c:axId val="2100629999"/>
        <c:axId val="2100632879"/>
      </c:barChart>
      <c:catAx>
        <c:axId val="2100629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0632879"/>
        <c:crosses val="autoZero"/>
        <c:auto val="1"/>
        <c:lblAlgn val="ctr"/>
        <c:lblOffset val="100"/>
        <c:noMultiLvlLbl val="0"/>
      </c:catAx>
      <c:valAx>
        <c:axId val="2100632879"/>
        <c:scaling>
          <c:orientation val="minMax"/>
          <c:max val="65000000"/>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0629999"/>
        <c:crosses val="autoZero"/>
        <c:crossBetween val="between"/>
      </c:valAx>
      <c:spPr>
        <a:noFill/>
        <a:ln>
          <a:noFill/>
        </a:ln>
        <a:effectLst/>
      </c:spPr>
    </c:plotArea>
    <c:legend>
      <c:legendPos val="r"/>
      <c:layout>
        <c:manualLayout>
          <c:xMode val="edge"/>
          <c:yMode val="edge"/>
          <c:x val="0.21028229915283361"/>
          <c:y val="8.8085945607413355E-2"/>
          <c:w val="0.67706525526171479"/>
          <c:h val="6.69720012742656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ysClr val="windowText" lastClr="000000">
                    <a:lumMod val="65000"/>
                    <a:lumOff val="35000"/>
                  </a:sysClr>
                </a:solidFill>
              </a:rPr>
              <a:t>FY24-26 Average Allocations by District  Under Current and Revised Approaches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45079113687639E-2"/>
          <c:y val="0.15222579719568433"/>
          <c:w val="0.89156188106854728"/>
          <c:h val="0.77432100144271276"/>
        </c:manualLayout>
      </c:layout>
      <c:barChart>
        <c:barDir val="col"/>
        <c:grouping val="clustered"/>
        <c:varyColors val="0"/>
        <c:ser>
          <c:idx val="0"/>
          <c:order val="0"/>
          <c:tx>
            <c:v>Allocation Under Current Approach</c:v>
          </c:tx>
          <c:spPr>
            <a:solidFill>
              <a:schemeClr val="accent1"/>
            </a:solidFill>
            <a:ln>
              <a:noFill/>
            </a:ln>
            <a:effectLst/>
          </c:spPr>
          <c:invertIfNegative val="0"/>
          <c:cat>
            <c:strRef>
              <c:f>'S6C-A'!$B$28:$B$37</c:f>
              <c:strCache>
                <c:ptCount val="10"/>
                <c:pt idx="0">
                  <c:v>Bristol</c:v>
                </c:pt>
                <c:pt idx="1">
                  <c:v>Culpeper</c:v>
                </c:pt>
                <c:pt idx="2">
                  <c:v>Fredericksburg</c:v>
                </c:pt>
                <c:pt idx="3">
                  <c:v>Hampton Roads </c:v>
                </c:pt>
                <c:pt idx="4">
                  <c:v>Lynchburg</c:v>
                </c:pt>
                <c:pt idx="5">
                  <c:v>Northern Virginia</c:v>
                </c:pt>
                <c:pt idx="6">
                  <c:v>Richmond</c:v>
                </c:pt>
                <c:pt idx="7">
                  <c:v>Salem</c:v>
                </c:pt>
                <c:pt idx="8">
                  <c:v>Staunton</c:v>
                </c:pt>
                <c:pt idx="9">
                  <c:v>XMulti</c:v>
                </c:pt>
              </c:strCache>
            </c:strRef>
          </c:cat>
          <c:val>
            <c:numRef>
              <c:f>'S6C-A'!$D$28:$D$37</c:f>
              <c:numCache>
                <c:formatCode>_("$"* #,##0_);_("$"* \(#,##0\);_("$"* "-"??_);_(@_)</c:formatCode>
                <c:ptCount val="10"/>
                <c:pt idx="0">
                  <c:v>2257448.1399023193</c:v>
                </c:pt>
                <c:pt idx="1">
                  <c:v>2971811.8341092449</c:v>
                </c:pt>
                <c:pt idx="2">
                  <c:v>1071485.0448851464</c:v>
                </c:pt>
                <c:pt idx="3">
                  <c:v>28692230.700066816</c:v>
                </c:pt>
                <c:pt idx="4">
                  <c:v>2772386.367524276</c:v>
                </c:pt>
                <c:pt idx="5">
                  <c:v>56728251.939407773</c:v>
                </c:pt>
                <c:pt idx="6">
                  <c:v>20052090.808745552</c:v>
                </c:pt>
                <c:pt idx="7">
                  <c:v>7455196.5558467098</c:v>
                </c:pt>
                <c:pt idx="8">
                  <c:v>3142870.4044961301</c:v>
                </c:pt>
                <c:pt idx="9">
                  <c:v>4404643.8716827054</c:v>
                </c:pt>
              </c:numCache>
            </c:numRef>
          </c:val>
          <c:extLst>
            <c:ext xmlns:c16="http://schemas.microsoft.com/office/drawing/2014/chart" uri="{C3380CC4-5D6E-409C-BE32-E72D297353CC}">
              <c16:uniqueId val="{00000000-220C-49DD-9D66-62C013AC2E46}"/>
            </c:ext>
          </c:extLst>
        </c:ser>
        <c:ser>
          <c:idx val="1"/>
          <c:order val="1"/>
          <c:tx>
            <c:v>Allocation Under Sizing + Performance Approach</c:v>
          </c:tx>
          <c:spPr>
            <a:solidFill>
              <a:schemeClr val="accent2"/>
            </a:solidFill>
            <a:ln>
              <a:noFill/>
            </a:ln>
            <a:effectLst/>
          </c:spPr>
          <c:invertIfNegative val="0"/>
          <c:cat>
            <c:strRef>
              <c:f>'S6C-A'!$B$28:$B$37</c:f>
              <c:strCache>
                <c:ptCount val="10"/>
                <c:pt idx="0">
                  <c:v>Bristol</c:v>
                </c:pt>
                <c:pt idx="1">
                  <c:v>Culpeper</c:v>
                </c:pt>
                <c:pt idx="2">
                  <c:v>Fredericksburg</c:v>
                </c:pt>
                <c:pt idx="3">
                  <c:v>Hampton Roads </c:v>
                </c:pt>
                <c:pt idx="4">
                  <c:v>Lynchburg</c:v>
                </c:pt>
                <c:pt idx="5">
                  <c:v>Northern Virginia</c:v>
                </c:pt>
                <c:pt idx="6">
                  <c:v>Richmond</c:v>
                </c:pt>
                <c:pt idx="7">
                  <c:v>Salem</c:v>
                </c:pt>
                <c:pt idx="8">
                  <c:v>Staunton</c:v>
                </c:pt>
                <c:pt idx="9">
                  <c:v>XMulti</c:v>
                </c:pt>
              </c:strCache>
            </c:strRef>
          </c:cat>
          <c:val>
            <c:numRef>
              <c:f>'S6C-A'!$F$28:$F$37</c:f>
              <c:numCache>
                <c:formatCode>_("$"* #,##0_);_("$"* \(#,##0\);_("$"* "-"??_);_(@_)</c:formatCode>
                <c:ptCount val="10"/>
                <c:pt idx="0">
                  <c:v>2300213.4405471212</c:v>
                </c:pt>
                <c:pt idx="1">
                  <c:v>2961002.1015986931</c:v>
                </c:pt>
                <c:pt idx="2">
                  <c:v>981375.03751620231</c:v>
                </c:pt>
                <c:pt idx="3">
                  <c:v>29332007.228416752</c:v>
                </c:pt>
                <c:pt idx="4">
                  <c:v>3081802.8678428181</c:v>
                </c:pt>
                <c:pt idx="5">
                  <c:v>#N/A</c:v>
                </c:pt>
                <c:pt idx="6">
                  <c:v>20827302.065887939</c:v>
                </c:pt>
                <c:pt idx="7">
                  <c:v>7790549.752276212</c:v>
                </c:pt>
                <c:pt idx="8">
                  <c:v>3231821.6491960213</c:v>
                </c:pt>
                <c:pt idx="9">
                  <c:v>4273679.5271427203</c:v>
                </c:pt>
              </c:numCache>
            </c:numRef>
          </c:val>
          <c:extLst>
            <c:ext xmlns:c16="http://schemas.microsoft.com/office/drawing/2014/chart" uri="{C3380CC4-5D6E-409C-BE32-E72D297353CC}">
              <c16:uniqueId val="{00000001-220C-49DD-9D66-62C013AC2E46}"/>
            </c:ext>
          </c:extLst>
        </c:ser>
        <c:dLbls>
          <c:showLegendKey val="0"/>
          <c:showVal val="0"/>
          <c:showCatName val="0"/>
          <c:showSerName val="0"/>
          <c:showPercent val="0"/>
          <c:showBubbleSize val="0"/>
        </c:dLbls>
        <c:gapWidth val="219"/>
        <c:overlap val="-27"/>
        <c:axId val="2100629999"/>
        <c:axId val="2100632879"/>
      </c:barChart>
      <c:catAx>
        <c:axId val="2100629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0632879"/>
        <c:crosses val="autoZero"/>
        <c:auto val="1"/>
        <c:lblAlgn val="ctr"/>
        <c:lblOffset val="100"/>
        <c:noMultiLvlLbl val="0"/>
      </c:catAx>
      <c:valAx>
        <c:axId val="2100632879"/>
        <c:scaling>
          <c:orientation val="minMax"/>
          <c:max val="65000000"/>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0629999"/>
        <c:crosses val="autoZero"/>
        <c:crossBetween val="between"/>
      </c:valAx>
      <c:spPr>
        <a:noFill/>
        <a:ln>
          <a:noFill/>
        </a:ln>
        <a:effectLst/>
      </c:spPr>
    </c:plotArea>
    <c:legend>
      <c:legendPos val="r"/>
      <c:layout>
        <c:manualLayout>
          <c:xMode val="edge"/>
          <c:yMode val="edge"/>
          <c:x val="0.21028229915283361"/>
          <c:y val="8.8085945607413355E-2"/>
          <c:w val="0.67706525526171479"/>
          <c:h val="6.69720012742656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t>FY24-26</a:t>
            </a:r>
            <a:r>
              <a:rPr lang="en-US" sz="1800" b="1" baseline="0"/>
              <a:t> Average Allocations Under Current and Revised Approaches  </a:t>
            </a:r>
          </a:p>
          <a:p>
            <a:pPr>
              <a:defRPr/>
            </a:pPr>
            <a:r>
              <a:rPr lang="en-US" baseline="0"/>
              <a:t>[Lower Two Quartiles]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84809298869899"/>
          <c:y val="0.2195420995993011"/>
          <c:w val="0.86360577220772394"/>
          <c:h val="0.3363933005780822"/>
        </c:manualLayout>
      </c:layout>
      <c:barChart>
        <c:barDir val="col"/>
        <c:grouping val="clustered"/>
        <c:varyColors val="0"/>
        <c:ser>
          <c:idx val="0"/>
          <c:order val="0"/>
          <c:spPr>
            <a:solidFill>
              <a:schemeClr val="accent1"/>
            </a:solidFill>
            <a:ln>
              <a:noFill/>
            </a:ln>
            <a:effectLst/>
          </c:spPr>
          <c:invertIfNegative val="0"/>
          <c:cat>
            <c:strLit>
              <c:ptCount val="19"/>
              <c:pt idx="0">
                <c:v>PONY Express [-4%]</c:v>
              </c:pt>
              <c:pt idx="1">
                <c:v>Town of Altavista [10%]</c:v>
              </c:pt>
              <c:pt idx="2">
                <c:v>Lake Area [12%]</c:v>
              </c:pt>
              <c:pt idx="3">
                <c:v>Greensville Co. [-3%]</c:v>
              </c:pt>
              <c:pt idx="4">
                <c:v>City of Bristol Virginia [1%]</c:v>
              </c:pt>
              <c:pt idx="5">
                <c:v>Bluefield-Graham  [9%]</c:v>
              </c:pt>
              <c:pt idx="6">
                <c:v>Blackstone Area Bus [0%]</c:v>
              </c:pt>
              <c:pt idx="7">
                <c:v>Farmville Area Bus [2%]</c:v>
              </c:pt>
              <c:pt idx="8">
                <c:v>Pulaski Area Transit [13%]</c:v>
              </c:pt>
              <c:pt idx="9">
                <c:v>RADAR [1%]</c:v>
              </c:pt>
              <c:pt idx="10">
                <c:v>STAR Transit [2%]</c:v>
              </c:pt>
              <c:pt idx="11">
                <c:v>City of Suffolk [9%]</c:v>
              </c:pt>
              <c:pt idx="12">
                <c:v>City of Winchester [1%]</c:v>
              </c:pt>
              <c:pt idx="13">
                <c:v>City of Radford [11%]</c:v>
              </c:pt>
              <c:pt idx="14">
                <c:v>AASC/ 4 County [5%]</c:v>
              </c:pt>
              <c:pt idx="15">
                <c:v>MEOC [1%]</c:v>
              </c:pt>
              <c:pt idx="16">
                <c:v>CSPDC [13%]</c:v>
              </c:pt>
              <c:pt idx="17">
                <c:v>District Three [-0%]</c:v>
              </c:pt>
              <c:pt idx="18">
                <c:v>DTS [3%]</c:v>
              </c:pt>
            </c:strLit>
          </c:cat>
          <c:val>
            <c:numLit>
              <c:formatCode>General</c:formatCode>
              <c:ptCount val="20"/>
            </c:numLit>
          </c:val>
          <c:extLst>
            <c:ext xmlns:c16="http://schemas.microsoft.com/office/drawing/2014/chart" uri="{C3380CC4-5D6E-409C-BE32-E72D297353CC}">
              <c16:uniqueId val="{00000000-1492-48E5-830A-6301B6921BEF}"/>
            </c:ext>
          </c:extLst>
        </c:ser>
        <c:ser>
          <c:idx val="1"/>
          <c:order val="1"/>
          <c:tx>
            <c:v>Allocation Under Current Approach</c:v>
          </c:tx>
          <c:spPr>
            <a:solidFill>
              <a:schemeClr val="accent2"/>
            </a:solidFill>
            <a:ln>
              <a:noFill/>
            </a:ln>
            <a:effectLst/>
          </c:spPr>
          <c:invertIfNegative val="0"/>
          <c:cat>
            <c:strRef>
              <c:f>'S6C-B'!$I$90:$I$108</c:f>
              <c:strCache>
                <c:ptCount val="19"/>
                <c:pt idx="0">
                  <c:v>PONY Express [-4%]</c:v>
                </c:pt>
                <c:pt idx="1">
                  <c:v>Town of Altavista [10%]</c:v>
                </c:pt>
                <c:pt idx="2">
                  <c:v>Lake Area [12%]</c:v>
                </c:pt>
                <c:pt idx="3">
                  <c:v>Greensville Co. [-3%]</c:v>
                </c:pt>
                <c:pt idx="4">
                  <c:v>City of Bristol Virginia [1%]</c:v>
                </c:pt>
                <c:pt idx="5">
                  <c:v>Bluefield-Graham  [9%]</c:v>
                </c:pt>
                <c:pt idx="6">
                  <c:v>Blackstone Area Bus [0%]</c:v>
                </c:pt>
                <c:pt idx="7">
                  <c:v>Farmville Area Bus [2%]</c:v>
                </c:pt>
                <c:pt idx="8">
                  <c:v>Pulaski Area Transit [13%]</c:v>
                </c:pt>
                <c:pt idx="9">
                  <c:v>RADAR [1%]</c:v>
                </c:pt>
                <c:pt idx="10">
                  <c:v>STAR Transit [2%]</c:v>
                </c:pt>
                <c:pt idx="11">
                  <c:v>City of Suffolk [9%]</c:v>
                </c:pt>
                <c:pt idx="12">
                  <c:v>City of Winchester [0%]</c:v>
                </c:pt>
                <c:pt idx="13">
                  <c:v>City of Radford [11%]</c:v>
                </c:pt>
                <c:pt idx="14">
                  <c:v>AASC/ 4 County [4%]</c:v>
                </c:pt>
                <c:pt idx="15">
                  <c:v>MEOC [1%]</c:v>
                </c:pt>
                <c:pt idx="16">
                  <c:v>CSPDC [13%]</c:v>
                </c:pt>
                <c:pt idx="17">
                  <c:v>District Three [-0%]</c:v>
                </c:pt>
                <c:pt idx="18">
                  <c:v>DTS [5%]</c:v>
                </c:pt>
              </c:strCache>
            </c:strRef>
          </c:cat>
          <c:val>
            <c:numRef>
              <c:f>'S6C-B'!$D$90:$D$108</c:f>
              <c:numCache>
                <c:formatCode>_("$"* #,##0_);_("$"* \(#,##0\);_("$"* "-"??_);_(@_)</c:formatCode>
                <c:ptCount val="19"/>
                <c:pt idx="0">
                  <c:v>17018.733333333334</c:v>
                </c:pt>
                <c:pt idx="1">
                  <c:v>41041.693335279859</c:v>
                </c:pt>
                <c:pt idx="2">
                  <c:v>53872.552240582278</c:v>
                </c:pt>
                <c:pt idx="3">
                  <c:v>54768.189319748861</c:v>
                </c:pt>
                <c:pt idx="4">
                  <c:v>121343.8</c:v>
                </c:pt>
                <c:pt idx="5">
                  <c:v>125488.87472202133</c:v>
                </c:pt>
                <c:pt idx="6">
                  <c:v>189467.63333333333</c:v>
                </c:pt>
                <c:pt idx="7">
                  <c:v>196263.86435138655</c:v>
                </c:pt>
                <c:pt idx="8">
                  <c:v>199411.47824592108</c:v>
                </c:pt>
                <c:pt idx="9">
                  <c:v>324336.18210457283</c:v>
                </c:pt>
                <c:pt idx="10">
                  <c:v>371186.63436863339</c:v>
                </c:pt>
                <c:pt idx="11">
                  <c:v>430650.67377976741</c:v>
                </c:pt>
                <c:pt idx="12">
                  <c:v>487667.35765267425</c:v>
                </c:pt>
                <c:pt idx="13">
                  <c:v>501123.76901444077</c:v>
                </c:pt>
                <c:pt idx="14">
                  <c:v>625122.73690211866</c:v>
                </c:pt>
                <c:pt idx="15">
                  <c:v>642599.53505679057</c:v>
                </c:pt>
                <c:pt idx="16">
                  <c:v>657710.18017678906</c:v>
                </c:pt>
                <c:pt idx="17">
                  <c:v>742893.1932213885</c:v>
                </c:pt>
                <c:pt idx="18">
                  <c:v>832018.76885929203</c:v>
                </c:pt>
              </c:numCache>
            </c:numRef>
          </c:val>
          <c:extLst>
            <c:ext xmlns:c16="http://schemas.microsoft.com/office/drawing/2014/chart" uri="{C3380CC4-5D6E-409C-BE32-E72D297353CC}">
              <c16:uniqueId val="{00000001-1492-48E5-830A-6301B6921BEF}"/>
            </c:ext>
          </c:extLst>
        </c:ser>
        <c:ser>
          <c:idx val="2"/>
          <c:order val="2"/>
          <c:spPr>
            <a:solidFill>
              <a:schemeClr val="accent3"/>
            </a:solidFill>
            <a:ln>
              <a:noFill/>
            </a:ln>
            <a:effectLst/>
          </c:spPr>
          <c:invertIfNegative val="0"/>
          <c:cat>
            <c:strLit>
              <c:ptCount val="19"/>
              <c:pt idx="0">
                <c:v>PONY Express [-4%]</c:v>
              </c:pt>
              <c:pt idx="1">
                <c:v>Town of Altavista [10%]</c:v>
              </c:pt>
              <c:pt idx="2">
                <c:v>Lake Area [12%]</c:v>
              </c:pt>
              <c:pt idx="3">
                <c:v>Greensville Co. [-3%]</c:v>
              </c:pt>
              <c:pt idx="4">
                <c:v>City of Bristol Virginia [1%]</c:v>
              </c:pt>
              <c:pt idx="5">
                <c:v>Bluefield-Graham  [9%]</c:v>
              </c:pt>
              <c:pt idx="6">
                <c:v>Blackstone Area Bus [0%]</c:v>
              </c:pt>
              <c:pt idx="7">
                <c:v>Farmville Area Bus [2%]</c:v>
              </c:pt>
              <c:pt idx="8">
                <c:v>Pulaski Area Transit [13%]</c:v>
              </c:pt>
              <c:pt idx="9">
                <c:v>RADAR [1%]</c:v>
              </c:pt>
              <c:pt idx="10">
                <c:v>STAR Transit [2%]</c:v>
              </c:pt>
              <c:pt idx="11">
                <c:v>City of Suffolk [9%]</c:v>
              </c:pt>
              <c:pt idx="12">
                <c:v>City of Winchester [1%]</c:v>
              </c:pt>
              <c:pt idx="13">
                <c:v>City of Radford [11%]</c:v>
              </c:pt>
              <c:pt idx="14">
                <c:v>AASC/ 4 County [5%]</c:v>
              </c:pt>
              <c:pt idx="15">
                <c:v>MEOC [1%]</c:v>
              </c:pt>
              <c:pt idx="16">
                <c:v>CSPDC [13%]</c:v>
              </c:pt>
              <c:pt idx="17">
                <c:v>District Three [-0%]</c:v>
              </c:pt>
              <c:pt idx="18">
                <c:v>DTS [3%]</c:v>
              </c:pt>
            </c:strLit>
          </c:cat>
          <c:val>
            <c:numLit>
              <c:formatCode>General</c:formatCode>
              <c:ptCount val="20"/>
            </c:numLit>
          </c:val>
          <c:extLst>
            <c:ext xmlns:c16="http://schemas.microsoft.com/office/drawing/2014/chart" uri="{C3380CC4-5D6E-409C-BE32-E72D297353CC}">
              <c16:uniqueId val="{00000002-1492-48E5-830A-6301B6921BEF}"/>
            </c:ext>
          </c:extLst>
        </c:ser>
        <c:ser>
          <c:idx val="3"/>
          <c:order val="3"/>
          <c:tx>
            <c:v>Allocation Under Revised Approach</c:v>
          </c:tx>
          <c:spPr>
            <a:solidFill>
              <a:schemeClr val="accent4"/>
            </a:solidFill>
            <a:ln>
              <a:noFill/>
            </a:ln>
            <a:effectLst/>
          </c:spPr>
          <c:invertIfNegative val="0"/>
          <c:cat>
            <c:strRef>
              <c:f>'S6C-B'!$I$90:$I$108</c:f>
              <c:strCache>
                <c:ptCount val="19"/>
                <c:pt idx="0">
                  <c:v>PONY Express [-4%]</c:v>
                </c:pt>
                <c:pt idx="1">
                  <c:v>Town of Altavista [10%]</c:v>
                </c:pt>
                <c:pt idx="2">
                  <c:v>Lake Area [12%]</c:v>
                </c:pt>
                <c:pt idx="3">
                  <c:v>Greensville Co. [-3%]</c:v>
                </c:pt>
                <c:pt idx="4">
                  <c:v>City of Bristol Virginia [1%]</c:v>
                </c:pt>
                <c:pt idx="5">
                  <c:v>Bluefield-Graham  [9%]</c:v>
                </c:pt>
                <c:pt idx="6">
                  <c:v>Blackstone Area Bus [0%]</c:v>
                </c:pt>
                <c:pt idx="7">
                  <c:v>Farmville Area Bus [2%]</c:v>
                </c:pt>
                <c:pt idx="8">
                  <c:v>Pulaski Area Transit [13%]</c:v>
                </c:pt>
                <c:pt idx="9">
                  <c:v>RADAR [1%]</c:v>
                </c:pt>
                <c:pt idx="10">
                  <c:v>STAR Transit [2%]</c:v>
                </c:pt>
                <c:pt idx="11">
                  <c:v>City of Suffolk [9%]</c:v>
                </c:pt>
                <c:pt idx="12">
                  <c:v>City of Winchester [0%]</c:v>
                </c:pt>
                <c:pt idx="13">
                  <c:v>City of Radford [11%]</c:v>
                </c:pt>
                <c:pt idx="14">
                  <c:v>AASC/ 4 County [4%]</c:v>
                </c:pt>
                <c:pt idx="15">
                  <c:v>MEOC [1%]</c:v>
                </c:pt>
                <c:pt idx="16">
                  <c:v>CSPDC [13%]</c:v>
                </c:pt>
                <c:pt idx="17">
                  <c:v>District Three [-0%]</c:v>
                </c:pt>
                <c:pt idx="18">
                  <c:v>DTS [5%]</c:v>
                </c:pt>
              </c:strCache>
            </c:strRef>
          </c:cat>
          <c:val>
            <c:numRef>
              <c:f>'S6C-B'!$F$90:$F$108</c:f>
              <c:numCache>
                <c:formatCode>_("$"* #,##0.00_);_("$"* \(#,##0.00\);_("$"* "-"??_);_(@_)</c:formatCode>
                <c:ptCount val="19"/>
                <c:pt idx="0">
                  <c:v>16360.00296974282</c:v>
                </c:pt>
                <c:pt idx="1">
                  <c:v>45079.69999999999</c:v>
                </c:pt>
                <c:pt idx="2">
                  <c:v>60187.037093901657</c:v>
                </c:pt>
                <c:pt idx="3">
                  <c:v>53321.454992696963</c:v>
                </c:pt>
                <c:pt idx="4">
                  <c:v>122014.21177713049</c:v>
                </c:pt>
                <c:pt idx="5">
                  <c:v>137094.43984290899</c:v>
                </c:pt>
                <c:pt idx="6">
                  <c:v>189467.80000000002</c:v>
                </c:pt>
                <c:pt idx="7">
                  <c:v>200739.19999999998</c:v>
                </c:pt>
                <c:pt idx="8">
                  <c:v>224843.6514571541</c:v>
                </c:pt>
                <c:pt idx="9">
                  <c:v>328931.20014728681</c:v>
                </c:pt>
                <c:pt idx="10">
                  <c:v>379553.60000000003</c:v>
                </c:pt>
                <c:pt idx="11">
                  <c:v>467621.60897950083</c:v>
                </c:pt>
                <c:pt idx="12">
                  <c:v>489883.67214135331</c:v>
                </c:pt>
                <c:pt idx="13">
                  <c:v>556665.06460703246</c:v>
                </c:pt>
                <c:pt idx="14">
                  <c:v>652778.86770464212</c:v>
                </c:pt>
                <c:pt idx="15">
                  <c:v>647500</c:v>
                </c:pt>
                <c:pt idx="16">
                  <c:v>744302.61058055703</c:v>
                </c:pt>
                <c:pt idx="17">
                  <c:v>741658.74596510676</c:v>
                </c:pt>
                <c:pt idx="18">
                  <c:v>869591.48788358935</c:v>
                </c:pt>
              </c:numCache>
            </c:numRef>
          </c:val>
          <c:extLst>
            <c:ext xmlns:c16="http://schemas.microsoft.com/office/drawing/2014/chart" uri="{C3380CC4-5D6E-409C-BE32-E72D297353CC}">
              <c16:uniqueId val="{00000003-1492-48E5-830A-6301B6921BEF}"/>
            </c:ext>
          </c:extLst>
        </c:ser>
        <c:dLbls>
          <c:showLegendKey val="0"/>
          <c:showVal val="0"/>
          <c:showCatName val="0"/>
          <c:showSerName val="0"/>
          <c:showPercent val="0"/>
          <c:showBubbleSize val="0"/>
        </c:dLbls>
        <c:gapWidth val="219"/>
        <c:overlap val="-27"/>
        <c:axId val="1773356143"/>
        <c:axId val="1773354223"/>
      </c:barChart>
      <c:catAx>
        <c:axId val="1773356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773354223"/>
        <c:crosses val="autoZero"/>
        <c:auto val="1"/>
        <c:lblAlgn val="ctr"/>
        <c:lblOffset val="100"/>
        <c:noMultiLvlLbl val="0"/>
      </c:catAx>
      <c:valAx>
        <c:axId val="1773354223"/>
        <c:scaling>
          <c:orientation val="minMax"/>
          <c:max val="9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alpha val="9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3356143"/>
        <c:crosses val="autoZero"/>
        <c:crossBetween val="between"/>
        <c:majorUnit val="200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ysClr val="windowText" lastClr="000000">
                    <a:lumMod val="65000"/>
                    <a:lumOff val="35000"/>
                  </a:sysClr>
                </a:solidFill>
              </a:rPr>
              <a:t>FY24-26 Average Allocations by District  Under Current and Revised Approaches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45079113687639E-2"/>
          <c:y val="0.15222579719568433"/>
          <c:w val="0.89156188106854728"/>
          <c:h val="0.77432100144271276"/>
        </c:manualLayout>
      </c:layout>
      <c:barChart>
        <c:barDir val="col"/>
        <c:grouping val="clustered"/>
        <c:varyColors val="0"/>
        <c:ser>
          <c:idx val="0"/>
          <c:order val="0"/>
          <c:tx>
            <c:v>Allocation Under Current Approach</c:v>
          </c:tx>
          <c:spPr>
            <a:solidFill>
              <a:schemeClr val="accent1"/>
            </a:solidFill>
            <a:ln>
              <a:noFill/>
            </a:ln>
            <a:effectLst/>
          </c:spPr>
          <c:invertIfNegative val="0"/>
          <c:cat>
            <c:strRef>
              <c:f>'S6C-B'!$B$28:$B$37</c:f>
              <c:strCache>
                <c:ptCount val="10"/>
                <c:pt idx="0">
                  <c:v>Bristol</c:v>
                </c:pt>
                <c:pt idx="1">
                  <c:v>Culpeper</c:v>
                </c:pt>
                <c:pt idx="2">
                  <c:v>Fredericksburg</c:v>
                </c:pt>
                <c:pt idx="3">
                  <c:v>Hampton Roads </c:v>
                </c:pt>
                <c:pt idx="4">
                  <c:v>Lynchburg</c:v>
                </c:pt>
                <c:pt idx="5">
                  <c:v>Northern Virginia</c:v>
                </c:pt>
                <c:pt idx="6">
                  <c:v>Richmond</c:v>
                </c:pt>
                <c:pt idx="7">
                  <c:v>Salem</c:v>
                </c:pt>
                <c:pt idx="8">
                  <c:v>Staunton</c:v>
                </c:pt>
                <c:pt idx="9">
                  <c:v>XMulti</c:v>
                </c:pt>
              </c:strCache>
            </c:strRef>
          </c:cat>
          <c:val>
            <c:numRef>
              <c:f>'S6C-B'!$D$28:$D$37</c:f>
              <c:numCache>
                <c:formatCode>_("$"* #,##0_);_("$"* \(#,##0\);_("$"* "-"??_);_(@_)</c:formatCode>
                <c:ptCount val="10"/>
                <c:pt idx="0">
                  <c:v>2257448.1399023193</c:v>
                </c:pt>
                <c:pt idx="1">
                  <c:v>2971811.8341092449</c:v>
                </c:pt>
                <c:pt idx="2">
                  <c:v>1071485.0448851464</c:v>
                </c:pt>
                <c:pt idx="3">
                  <c:v>28692230.700066816</c:v>
                </c:pt>
                <c:pt idx="4">
                  <c:v>2772386.367524276</c:v>
                </c:pt>
                <c:pt idx="5">
                  <c:v>56728251.939407773</c:v>
                </c:pt>
                <c:pt idx="6">
                  <c:v>20052090.808745552</c:v>
                </c:pt>
                <c:pt idx="7">
                  <c:v>7455196.5558467098</c:v>
                </c:pt>
                <c:pt idx="8">
                  <c:v>3142870.4044961301</c:v>
                </c:pt>
                <c:pt idx="9">
                  <c:v>4404643.8716827054</c:v>
                </c:pt>
              </c:numCache>
            </c:numRef>
          </c:val>
          <c:extLst>
            <c:ext xmlns:c16="http://schemas.microsoft.com/office/drawing/2014/chart" uri="{C3380CC4-5D6E-409C-BE32-E72D297353CC}">
              <c16:uniqueId val="{00000000-C81D-4BE9-A3FE-C469652FF64A}"/>
            </c:ext>
          </c:extLst>
        </c:ser>
        <c:ser>
          <c:idx val="1"/>
          <c:order val="1"/>
          <c:tx>
            <c:v>Allocation Under Sizing + Performance Approach</c:v>
          </c:tx>
          <c:spPr>
            <a:solidFill>
              <a:schemeClr val="accent2"/>
            </a:solidFill>
            <a:ln>
              <a:noFill/>
            </a:ln>
            <a:effectLst/>
          </c:spPr>
          <c:invertIfNegative val="0"/>
          <c:cat>
            <c:strRef>
              <c:f>'S6C-B'!$B$28:$B$37</c:f>
              <c:strCache>
                <c:ptCount val="10"/>
                <c:pt idx="0">
                  <c:v>Bristol</c:v>
                </c:pt>
                <c:pt idx="1">
                  <c:v>Culpeper</c:v>
                </c:pt>
                <c:pt idx="2">
                  <c:v>Fredericksburg</c:v>
                </c:pt>
                <c:pt idx="3">
                  <c:v>Hampton Roads </c:v>
                </c:pt>
                <c:pt idx="4">
                  <c:v>Lynchburg</c:v>
                </c:pt>
                <c:pt idx="5">
                  <c:v>Northern Virginia</c:v>
                </c:pt>
                <c:pt idx="6">
                  <c:v>Richmond</c:v>
                </c:pt>
                <c:pt idx="7">
                  <c:v>Salem</c:v>
                </c:pt>
                <c:pt idx="8">
                  <c:v>Staunton</c:v>
                </c:pt>
                <c:pt idx="9">
                  <c:v>XMulti</c:v>
                </c:pt>
              </c:strCache>
            </c:strRef>
          </c:cat>
          <c:val>
            <c:numRef>
              <c:f>'S6C-B'!$F$28:$F$37</c:f>
              <c:numCache>
                <c:formatCode>_("$"* #,##0_);_("$"* \(#,##0\);_("$"* "-"??_);_(@_)</c:formatCode>
                <c:ptCount val="10"/>
                <c:pt idx="0">
                  <c:v>2302545.0132369325</c:v>
                </c:pt>
                <c:pt idx="1">
                  <c:v>2955605.5237816013</c:v>
                </c:pt>
                <c:pt idx="2">
                  <c:v>991727.64516962832</c:v>
                </c:pt>
                <c:pt idx="3">
                  <c:v>29276880.127124388</c:v>
                </c:pt>
                <c:pt idx="4">
                  <c:v>3028554.3050672058</c:v>
                </c:pt>
                <c:pt idx="5">
                  <c:v>54932327.820781887</c:v>
                </c:pt>
                <c:pt idx="6">
                  <c:v>20781993.808721017</c:v>
                </c:pt>
                <c:pt idx="7">
                  <c:v>7767250.6118149497</c:v>
                </c:pt>
                <c:pt idx="8">
                  <c:v>3232911.6544858101</c:v>
                </c:pt>
                <c:pt idx="9">
                  <c:v>4278619.4898165548</c:v>
                </c:pt>
              </c:numCache>
            </c:numRef>
          </c:val>
          <c:extLst>
            <c:ext xmlns:c16="http://schemas.microsoft.com/office/drawing/2014/chart" uri="{C3380CC4-5D6E-409C-BE32-E72D297353CC}">
              <c16:uniqueId val="{00000001-C81D-4BE9-A3FE-C469652FF64A}"/>
            </c:ext>
          </c:extLst>
        </c:ser>
        <c:dLbls>
          <c:showLegendKey val="0"/>
          <c:showVal val="0"/>
          <c:showCatName val="0"/>
          <c:showSerName val="0"/>
          <c:showPercent val="0"/>
          <c:showBubbleSize val="0"/>
        </c:dLbls>
        <c:gapWidth val="219"/>
        <c:overlap val="-27"/>
        <c:axId val="2100629999"/>
        <c:axId val="2100632879"/>
      </c:barChart>
      <c:catAx>
        <c:axId val="2100629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0632879"/>
        <c:crosses val="autoZero"/>
        <c:auto val="1"/>
        <c:lblAlgn val="ctr"/>
        <c:lblOffset val="100"/>
        <c:noMultiLvlLbl val="0"/>
      </c:catAx>
      <c:valAx>
        <c:axId val="2100632879"/>
        <c:scaling>
          <c:orientation val="minMax"/>
          <c:max val="65000000"/>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0629999"/>
        <c:crosses val="autoZero"/>
        <c:crossBetween val="between"/>
      </c:valAx>
      <c:spPr>
        <a:noFill/>
        <a:ln>
          <a:noFill/>
        </a:ln>
        <a:effectLst/>
      </c:spPr>
    </c:plotArea>
    <c:legend>
      <c:legendPos val="r"/>
      <c:layout>
        <c:manualLayout>
          <c:xMode val="edge"/>
          <c:yMode val="edge"/>
          <c:x val="0.21028229915283361"/>
          <c:y val="8.8085945607413355E-2"/>
          <c:w val="0.67706525526171479"/>
          <c:h val="6.69720012742656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ysClr val="windowText" lastClr="000000">
                    <a:lumMod val="65000"/>
                    <a:lumOff val="35000"/>
                  </a:sysClr>
                </a:solidFill>
              </a:rPr>
              <a:t>FY24-26 Average Allocations by District  Under Current and Revised Approaches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45079113687639E-2"/>
          <c:y val="0.15222579719568433"/>
          <c:w val="0.89156188106854728"/>
          <c:h val="0.77432100144271276"/>
        </c:manualLayout>
      </c:layout>
      <c:barChart>
        <c:barDir val="col"/>
        <c:grouping val="clustered"/>
        <c:varyColors val="0"/>
        <c:ser>
          <c:idx val="0"/>
          <c:order val="0"/>
          <c:tx>
            <c:v>Allocation Under Current Approach</c:v>
          </c:tx>
          <c:spPr>
            <a:solidFill>
              <a:schemeClr val="accent1"/>
            </a:solidFill>
            <a:ln>
              <a:noFill/>
            </a:ln>
            <a:effectLst/>
          </c:spPr>
          <c:invertIfNegative val="0"/>
          <c:cat>
            <c:strRef>
              <c:f>'S6C-C'!$B$28:$B$37</c:f>
              <c:strCache>
                <c:ptCount val="10"/>
                <c:pt idx="0">
                  <c:v>Bristol</c:v>
                </c:pt>
                <c:pt idx="1">
                  <c:v>Culpeper</c:v>
                </c:pt>
                <c:pt idx="2">
                  <c:v>Fredericksburg</c:v>
                </c:pt>
                <c:pt idx="3">
                  <c:v>Hampton Roads </c:v>
                </c:pt>
                <c:pt idx="4">
                  <c:v>Lynchburg</c:v>
                </c:pt>
                <c:pt idx="5">
                  <c:v>Northern Virginia</c:v>
                </c:pt>
                <c:pt idx="6">
                  <c:v>Richmond</c:v>
                </c:pt>
                <c:pt idx="7">
                  <c:v>Salem</c:v>
                </c:pt>
                <c:pt idx="8">
                  <c:v>Staunton</c:v>
                </c:pt>
                <c:pt idx="9">
                  <c:v>XMulti</c:v>
                </c:pt>
              </c:strCache>
            </c:strRef>
          </c:cat>
          <c:val>
            <c:numRef>
              <c:f>'S6C-C'!$D$28:$D$37</c:f>
              <c:numCache>
                <c:formatCode>_("$"* #,##0_);_("$"* \(#,##0\);_("$"* "-"??_);_(@_)</c:formatCode>
                <c:ptCount val="10"/>
                <c:pt idx="0">
                  <c:v>2257448.1399023193</c:v>
                </c:pt>
                <c:pt idx="1">
                  <c:v>2971811.8341092449</c:v>
                </c:pt>
                <c:pt idx="2">
                  <c:v>1071485.0448851464</c:v>
                </c:pt>
                <c:pt idx="3">
                  <c:v>28692230.700066816</c:v>
                </c:pt>
                <c:pt idx="4">
                  <c:v>2772386.367524276</c:v>
                </c:pt>
                <c:pt idx="5">
                  <c:v>56728251.939407773</c:v>
                </c:pt>
                <c:pt idx="6">
                  <c:v>20052090.808745552</c:v>
                </c:pt>
                <c:pt idx="7">
                  <c:v>7455196.5558467098</c:v>
                </c:pt>
                <c:pt idx="8">
                  <c:v>3142870.4044961301</c:v>
                </c:pt>
                <c:pt idx="9">
                  <c:v>4404643.8716827054</c:v>
                </c:pt>
              </c:numCache>
            </c:numRef>
          </c:val>
          <c:extLst>
            <c:ext xmlns:c16="http://schemas.microsoft.com/office/drawing/2014/chart" uri="{C3380CC4-5D6E-409C-BE32-E72D297353CC}">
              <c16:uniqueId val="{00000000-F114-4F09-B2B2-CC4E52791137}"/>
            </c:ext>
          </c:extLst>
        </c:ser>
        <c:ser>
          <c:idx val="1"/>
          <c:order val="1"/>
          <c:tx>
            <c:v>Allocation Under Sizing + Performance Approach</c:v>
          </c:tx>
          <c:spPr>
            <a:solidFill>
              <a:schemeClr val="accent2"/>
            </a:solidFill>
            <a:ln>
              <a:noFill/>
            </a:ln>
            <a:effectLst/>
          </c:spPr>
          <c:invertIfNegative val="0"/>
          <c:cat>
            <c:strRef>
              <c:f>'S6C-C'!$B$28:$B$37</c:f>
              <c:strCache>
                <c:ptCount val="10"/>
                <c:pt idx="0">
                  <c:v>Bristol</c:v>
                </c:pt>
                <c:pt idx="1">
                  <c:v>Culpeper</c:v>
                </c:pt>
                <c:pt idx="2">
                  <c:v>Fredericksburg</c:v>
                </c:pt>
                <c:pt idx="3">
                  <c:v>Hampton Roads </c:v>
                </c:pt>
                <c:pt idx="4">
                  <c:v>Lynchburg</c:v>
                </c:pt>
                <c:pt idx="5">
                  <c:v>Northern Virginia</c:v>
                </c:pt>
                <c:pt idx="6">
                  <c:v>Richmond</c:v>
                </c:pt>
                <c:pt idx="7">
                  <c:v>Salem</c:v>
                </c:pt>
                <c:pt idx="8">
                  <c:v>Staunton</c:v>
                </c:pt>
                <c:pt idx="9">
                  <c:v>XMulti</c:v>
                </c:pt>
              </c:strCache>
            </c:strRef>
          </c:cat>
          <c:val>
            <c:numRef>
              <c:f>'S6C-C'!$F$28:$F$37</c:f>
              <c:numCache>
                <c:formatCode>_("$"* #,##0_);_("$"* \(#,##0\);_("$"* "-"??_);_(@_)</c:formatCode>
                <c:ptCount val="10"/>
                <c:pt idx="0">
                  <c:v>2302545.0132369325</c:v>
                </c:pt>
                <c:pt idx="1">
                  <c:v>2955605.5237816013</c:v>
                </c:pt>
                <c:pt idx="2">
                  <c:v>991727.64516962832</c:v>
                </c:pt>
                <c:pt idx="3">
                  <c:v>29276880.127124388</c:v>
                </c:pt>
                <c:pt idx="4">
                  <c:v>3028554.3050672058</c:v>
                </c:pt>
                <c:pt idx="5">
                  <c:v>54932327.820781887</c:v>
                </c:pt>
                <c:pt idx="6">
                  <c:v>20781993.808721017</c:v>
                </c:pt>
                <c:pt idx="7">
                  <c:v>7767250.6118149497</c:v>
                </c:pt>
                <c:pt idx="8">
                  <c:v>3232911.6544858101</c:v>
                </c:pt>
                <c:pt idx="9">
                  <c:v>4278619.4898165548</c:v>
                </c:pt>
              </c:numCache>
            </c:numRef>
          </c:val>
          <c:extLst>
            <c:ext xmlns:c16="http://schemas.microsoft.com/office/drawing/2014/chart" uri="{C3380CC4-5D6E-409C-BE32-E72D297353CC}">
              <c16:uniqueId val="{00000001-F114-4F09-B2B2-CC4E52791137}"/>
            </c:ext>
          </c:extLst>
        </c:ser>
        <c:dLbls>
          <c:showLegendKey val="0"/>
          <c:showVal val="0"/>
          <c:showCatName val="0"/>
          <c:showSerName val="0"/>
          <c:showPercent val="0"/>
          <c:showBubbleSize val="0"/>
        </c:dLbls>
        <c:gapWidth val="219"/>
        <c:overlap val="-27"/>
        <c:axId val="2100629999"/>
        <c:axId val="2100632879"/>
      </c:barChart>
      <c:catAx>
        <c:axId val="2100629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0632879"/>
        <c:crosses val="autoZero"/>
        <c:auto val="1"/>
        <c:lblAlgn val="ctr"/>
        <c:lblOffset val="100"/>
        <c:noMultiLvlLbl val="0"/>
      </c:catAx>
      <c:valAx>
        <c:axId val="2100632879"/>
        <c:scaling>
          <c:orientation val="minMax"/>
          <c:max val="65000000"/>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0629999"/>
        <c:crosses val="autoZero"/>
        <c:crossBetween val="between"/>
      </c:valAx>
      <c:spPr>
        <a:noFill/>
        <a:ln>
          <a:noFill/>
        </a:ln>
        <a:effectLst/>
      </c:spPr>
    </c:plotArea>
    <c:legend>
      <c:legendPos val="r"/>
      <c:layout>
        <c:manualLayout>
          <c:xMode val="edge"/>
          <c:yMode val="edge"/>
          <c:x val="0.21028229915283361"/>
          <c:y val="8.8085945607413355E-2"/>
          <c:w val="0.67706525526171479"/>
          <c:h val="6.697200127426561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20</xdr:col>
      <xdr:colOff>179917</xdr:colOff>
      <xdr:row>76</xdr:row>
      <xdr:rowOff>105833</xdr:rowOff>
    </xdr:from>
    <xdr:to>
      <xdr:col>31</xdr:col>
      <xdr:colOff>661459</xdr:colOff>
      <xdr:row>115</xdr:row>
      <xdr:rowOff>19200</xdr:rowOff>
    </xdr:to>
    <xdr:graphicFrame macro="">
      <xdr:nvGraphicFramePr>
        <xdr:cNvPr id="2" name="Chart 9">
          <a:extLst>
            <a:ext uri="{FF2B5EF4-FFF2-40B4-BE49-F238E27FC236}">
              <a16:creationId xmlns:a16="http://schemas.microsoft.com/office/drawing/2014/main" id="{08740A76-9C96-467D-BE91-B79000869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1975757</xdr:colOff>
      <xdr:row>60</xdr:row>
      <xdr:rowOff>115057</xdr:rowOff>
    </xdr:from>
    <xdr:to>
      <xdr:col>15</xdr:col>
      <xdr:colOff>1180307</xdr:colOff>
      <xdr:row>102</xdr:row>
      <xdr:rowOff>95250</xdr:rowOff>
    </xdr:to>
    <xdr:graphicFrame macro="">
      <xdr:nvGraphicFramePr>
        <xdr:cNvPr id="3" name="Chart 9">
          <a:extLst>
            <a:ext uri="{FF2B5EF4-FFF2-40B4-BE49-F238E27FC236}">
              <a16:creationId xmlns:a16="http://schemas.microsoft.com/office/drawing/2014/main" id="{44736186-0D1E-44AD-8ACF-A70C65A5E6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1793082</xdr:colOff>
      <xdr:row>103</xdr:row>
      <xdr:rowOff>107156</xdr:rowOff>
    </xdr:from>
    <xdr:to>
      <xdr:col>13</xdr:col>
      <xdr:colOff>66675</xdr:colOff>
      <xdr:row>147</xdr:row>
      <xdr:rowOff>114337</xdr:rowOff>
    </xdr:to>
    <xdr:graphicFrame macro="">
      <xdr:nvGraphicFramePr>
        <xdr:cNvPr id="4" name="Chart 9">
          <a:extLst>
            <a:ext uri="{FF2B5EF4-FFF2-40B4-BE49-F238E27FC236}">
              <a16:creationId xmlns:a16="http://schemas.microsoft.com/office/drawing/2014/main" id="{001F187F-8182-497E-8EB7-26E201735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458257</xdr:colOff>
      <xdr:row>111</xdr:row>
      <xdr:rowOff>65616</xdr:rowOff>
    </xdr:from>
    <xdr:to>
      <xdr:col>9</xdr:col>
      <xdr:colOff>772582</xdr:colOff>
      <xdr:row>120</xdr:row>
      <xdr:rowOff>94191</xdr:rowOff>
    </xdr:to>
    <xdr:sp macro="" textlink="">
      <xdr:nvSpPr>
        <xdr:cNvPr id="6" name="Oval 5">
          <a:extLst>
            <a:ext uri="{FF2B5EF4-FFF2-40B4-BE49-F238E27FC236}">
              <a16:creationId xmlns:a16="http://schemas.microsoft.com/office/drawing/2014/main" id="{BC6E727A-B92F-4A12-A4FE-B3C21D9D136B}"/>
            </a:ext>
          </a:extLst>
        </xdr:cNvPr>
        <xdr:cNvSpPr/>
      </xdr:nvSpPr>
      <xdr:spPr>
        <a:xfrm rot="273026">
          <a:off x="11856507" y="20840699"/>
          <a:ext cx="314325" cy="1457325"/>
        </a:xfrm>
        <a:prstGeom prst="ellipse">
          <a:avLst/>
        </a:prstGeom>
        <a:no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905935</xdr:colOff>
      <xdr:row>116</xdr:row>
      <xdr:rowOff>38099</xdr:rowOff>
    </xdr:from>
    <xdr:to>
      <xdr:col>9</xdr:col>
      <xdr:colOff>1115485</xdr:colOff>
      <xdr:row>120</xdr:row>
      <xdr:rowOff>123824</xdr:rowOff>
    </xdr:to>
    <xdr:sp macro="" textlink="">
      <xdr:nvSpPr>
        <xdr:cNvPr id="7" name="Oval 6">
          <a:extLst>
            <a:ext uri="{FF2B5EF4-FFF2-40B4-BE49-F238E27FC236}">
              <a16:creationId xmlns:a16="http://schemas.microsoft.com/office/drawing/2014/main" id="{7BBD6671-150F-4364-A142-1C4C29FDA9B1}"/>
            </a:ext>
          </a:extLst>
        </xdr:cNvPr>
        <xdr:cNvSpPr/>
      </xdr:nvSpPr>
      <xdr:spPr>
        <a:xfrm rot="1358701">
          <a:off x="12304185" y="21606932"/>
          <a:ext cx="209550" cy="720725"/>
        </a:xfrm>
        <a:prstGeom prst="ellipse">
          <a:avLst/>
        </a:prstGeom>
        <a:no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757353</xdr:colOff>
      <xdr:row>127</xdr:row>
      <xdr:rowOff>72826</xdr:rowOff>
    </xdr:from>
    <xdr:to>
      <xdr:col>9</xdr:col>
      <xdr:colOff>1300278</xdr:colOff>
      <xdr:row>129</xdr:row>
      <xdr:rowOff>20104</xdr:rowOff>
    </xdr:to>
    <xdr:sp macro="" textlink="">
      <xdr:nvSpPr>
        <xdr:cNvPr id="8" name="Oval 7">
          <a:extLst>
            <a:ext uri="{FF2B5EF4-FFF2-40B4-BE49-F238E27FC236}">
              <a16:creationId xmlns:a16="http://schemas.microsoft.com/office/drawing/2014/main" id="{5C4076D4-F5A1-4C8E-9DB8-FA331B6F2BBD}"/>
            </a:ext>
          </a:extLst>
        </xdr:cNvPr>
        <xdr:cNvSpPr/>
      </xdr:nvSpPr>
      <xdr:spPr>
        <a:xfrm rot="19287011">
          <a:off x="12155603" y="23387909"/>
          <a:ext cx="542925" cy="264778"/>
        </a:xfrm>
        <a:prstGeom prst="ellipse">
          <a:avLst/>
        </a:prstGeom>
        <a:no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93133</xdr:colOff>
      <xdr:row>127</xdr:row>
      <xdr:rowOff>106892</xdr:rowOff>
    </xdr:from>
    <xdr:to>
      <xdr:col>11</xdr:col>
      <xdr:colOff>531283</xdr:colOff>
      <xdr:row>129</xdr:row>
      <xdr:rowOff>49742</xdr:rowOff>
    </xdr:to>
    <xdr:sp macro="" textlink="">
      <xdr:nvSpPr>
        <xdr:cNvPr id="9" name="Oval 8">
          <a:extLst>
            <a:ext uri="{FF2B5EF4-FFF2-40B4-BE49-F238E27FC236}">
              <a16:creationId xmlns:a16="http://schemas.microsoft.com/office/drawing/2014/main" id="{ACE98354-61E4-461A-902D-76D64B5D140C}"/>
            </a:ext>
          </a:extLst>
        </xdr:cNvPr>
        <xdr:cNvSpPr/>
      </xdr:nvSpPr>
      <xdr:spPr>
        <a:xfrm>
          <a:off x="13840883" y="23421975"/>
          <a:ext cx="438150" cy="260350"/>
        </a:xfrm>
        <a:prstGeom prst="ellipse">
          <a:avLst/>
        </a:prstGeom>
        <a:no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1087967</xdr:colOff>
      <xdr:row>130</xdr:row>
      <xdr:rowOff>37042</xdr:rowOff>
    </xdr:from>
    <xdr:to>
      <xdr:col>10</xdr:col>
      <xdr:colOff>576792</xdr:colOff>
      <xdr:row>131</xdr:row>
      <xdr:rowOff>132292</xdr:rowOff>
    </xdr:to>
    <xdr:sp macro="" textlink="">
      <xdr:nvSpPr>
        <xdr:cNvPr id="10" name="Oval 9">
          <a:extLst>
            <a:ext uri="{FF2B5EF4-FFF2-40B4-BE49-F238E27FC236}">
              <a16:creationId xmlns:a16="http://schemas.microsoft.com/office/drawing/2014/main" id="{7C5F9BF8-BA73-4CF7-B679-3AB9BEB851ED}"/>
            </a:ext>
          </a:extLst>
        </xdr:cNvPr>
        <xdr:cNvSpPr/>
      </xdr:nvSpPr>
      <xdr:spPr>
        <a:xfrm rot="20791416">
          <a:off x="12486217" y="23828375"/>
          <a:ext cx="843492" cy="254000"/>
        </a:xfrm>
        <a:prstGeom prst="ellipse">
          <a:avLst/>
        </a:prstGeom>
        <a:no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489714</xdr:colOff>
      <xdr:row>137</xdr:row>
      <xdr:rowOff>118832</xdr:rowOff>
    </xdr:from>
    <xdr:to>
      <xdr:col>8</xdr:col>
      <xdr:colOff>387273</xdr:colOff>
      <xdr:row>140</xdr:row>
      <xdr:rowOff>35485</xdr:rowOff>
    </xdr:to>
    <xdr:sp macro="" textlink="">
      <xdr:nvSpPr>
        <xdr:cNvPr id="11" name="Oval 10">
          <a:extLst>
            <a:ext uri="{FF2B5EF4-FFF2-40B4-BE49-F238E27FC236}">
              <a16:creationId xmlns:a16="http://schemas.microsoft.com/office/drawing/2014/main" id="{AFD506F7-7FA5-4E1C-BC10-E21FCDBBC539}"/>
            </a:ext>
          </a:extLst>
        </xdr:cNvPr>
        <xdr:cNvSpPr/>
      </xdr:nvSpPr>
      <xdr:spPr>
        <a:xfrm rot="19655982">
          <a:off x="8755297" y="25021415"/>
          <a:ext cx="2299976" cy="392903"/>
        </a:xfrm>
        <a:prstGeom prst="ellipse">
          <a:avLst/>
        </a:prstGeom>
        <a:no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956240</xdr:colOff>
      <xdr:row>138</xdr:row>
      <xdr:rowOff>33729</xdr:rowOff>
    </xdr:from>
    <xdr:to>
      <xdr:col>4</xdr:col>
      <xdr:colOff>433636</xdr:colOff>
      <xdr:row>140</xdr:row>
      <xdr:rowOff>39565</xdr:rowOff>
    </xdr:to>
    <xdr:sp macro="" textlink="">
      <xdr:nvSpPr>
        <xdr:cNvPr id="12" name="Oval 11">
          <a:extLst>
            <a:ext uri="{FF2B5EF4-FFF2-40B4-BE49-F238E27FC236}">
              <a16:creationId xmlns:a16="http://schemas.microsoft.com/office/drawing/2014/main" id="{660CCB27-45F2-425F-A47A-4E8804273B53}"/>
            </a:ext>
          </a:extLst>
        </xdr:cNvPr>
        <xdr:cNvSpPr/>
      </xdr:nvSpPr>
      <xdr:spPr>
        <a:xfrm rot="20811285">
          <a:off x="4988490" y="25071779"/>
          <a:ext cx="1826896" cy="323336"/>
        </a:xfrm>
        <a:prstGeom prst="ellipse">
          <a:avLst/>
        </a:prstGeom>
        <a:no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0.09196</cdr:x>
      <cdr:y>0.80406</cdr:y>
    </cdr:from>
    <cdr:to>
      <cdr:x>0.19237</cdr:x>
      <cdr:y>0.98425</cdr:y>
    </cdr:to>
    <cdr:sp macro="" textlink="">
      <cdr:nvSpPr>
        <cdr:cNvPr id="2" name="TextBox 1">
          <a:extLst xmlns:a="http://schemas.openxmlformats.org/drawingml/2006/main">
            <a:ext uri="{FF2B5EF4-FFF2-40B4-BE49-F238E27FC236}">
              <a16:creationId xmlns:a16="http://schemas.microsoft.com/office/drawing/2014/main" id="{C3E9672F-C085-3AF5-311F-8651E6387371}"/>
            </a:ext>
          </a:extLst>
        </cdr:cNvPr>
        <cdr:cNvSpPr txBox="1"/>
      </cdr:nvSpPr>
      <cdr:spPr>
        <a:xfrm xmlns:a="http://schemas.openxmlformats.org/drawingml/2006/main">
          <a:off x="769333" y="2653719"/>
          <a:ext cx="840045" cy="594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900" kern="1200">
              <a:solidFill>
                <a:schemeClr val="tx1">
                  <a:lumMod val="65000"/>
                  <a:lumOff val="35000"/>
                </a:schemeClr>
              </a:solidFill>
            </a:rPr>
            <a:t>+2% </a:t>
          </a:r>
        </a:p>
        <a:p xmlns:a="http://schemas.openxmlformats.org/drawingml/2006/main">
          <a:pPr algn="ctr"/>
          <a:r>
            <a:rPr lang="en-US" sz="900" kern="1200">
              <a:solidFill>
                <a:schemeClr val="tx1">
                  <a:lumMod val="65000"/>
                  <a:lumOff val="35000"/>
                </a:schemeClr>
              </a:solidFill>
            </a:rPr>
            <a:t>$45,097</a:t>
          </a:r>
        </a:p>
      </cdr:txBody>
    </cdr:sp>
  </cdr:relSizeAnchor>
  <cdr:relSizeAnchor xmlns:cdr="http://schemas.openxmlformats.org/drawingml/2006/chartDrawing">
    <cdr:from>
      <cdr:x>0.36313</cdr:x>
      <cdr:y>0.48087</cdr:y>
    </cdr:from>
    <cdr:to>
      <cdr:x>0.44354</cdr:x>
      <cdr:y>0.58493</cdr:y>
    </cdr:to>
    <cdr:sp macro="" textlink="">
      <cdr:nvSpPr>
        <cdr:cNvPr id="4" name="TextBox 1">
          <a:extLst xmlns:a="http://schemas.openxmlformats.org/drawingml/2006/main">
            <a:ext uri="{FF2B5EF4-FFF2-40B4-BE49-F238E27FC236}">
              <a16:creationId xmlns:a16="http://schemas.microsoft.com/office/drawing/2014/main" id="{88DA859A-A487-5BED-F0CE-6D2D4F8CF62B}"/>
            </a:ext>
          </a:extLst>
        </cdr:cNvPr>
        <cdr:cNvSpPr txBox="1"/>
      </cdr:nvSpPr>
      <cdr:spPr>
        <a:xfrm xmlns:a="http://schemas.openxmlformats.org/drawingml/2006/main">
          <a:off x="3037985" y="1587082"/>
          <a:ext cx="672767" cy="3434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+2%</a:t>
          </a:r>
        </a:p>
        <a:p xmlns:a="http://schemas.openxmlformats.org/drawingml/2006/main">
          <a:pPr algn="ctr"/>
          <a:r>
            <a:rPr lang="en-US" sz="900" kern="1200">
              <a:solidFill>
                <a:schemeClr val="tx1">
                  <a:lumMod val="65000"/>
                  <a:lumOff val="35000"/>
                </a:schemeClr>
              </a:solidFill>
            </a:rPr>
            <a:t>$584,649</a:t>
          </a:r>
        </a:p>
      </cdr:txBody>
    </cdr:sp>
  </cdr:relSizeAnchor>
  <cdr:relSizeAnchor xmlns:cdr="http://schemas.openxmlformats.org/drawingml/2006/chartDrawing">
    <cdr:from>
      <cdr:x>0.45162</cdr:x>
      <cdr:y>0.78994</cdr:y>
    </cdr:from>
    <cdr:to>
      <cdr:x>0.53416</cdr:x>
      <cdr:y>0.91823</cdr:y>
    </cdr:to>
    <cdr:sp macro="" textlink="">
      <cdr:nvSpPr>
        <cdr:cNvPr id="5" name="TextBox 1">
          <a:extLst xmlns:a="http://schemas.openxmlformats.org/drawingml/2006/main">
            <a:ext uri="{FF2B5EF4-FFF2-40B4-BE49-F238E27FC236}">
              <a16:creationId xmlns:a16="http://schemas.microsoft.com/office/drawing/2014/main" id="{CC5953DB-8C33-1907-8B4E-B2D98EE0B765}"/>
            </a:ext>
          </a:extLst>
        </cdr:cNvPr>
        <cdr:cNvSpPr txBox="1"/>
      </cdr:nvSpPr>
      <cdr:spPr>
        <a:xfrm xmlns:a="http://schemas.openxmlformats.org/drawingml/2006/main">
          <a:off x="3778351" y="2607121"/>
          <a:ext cx="690462" cy="4234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+9%</a:t>
          </a:r>
        </a:p>
        <a:p xmlns:a="http://schemas.openxmlformats.org/drawingml/2006/main">
          <a:pPr algn="ctr"/>
          <a:r>
            <a:rPr lang="en-US" sz="900" kern="1200">
              <a:solidFill>
                <a:schemeClr val="tx1">
                  <a:lumMod val="65000"/>
                  <a:lumOff val="35000"/>
                </a:schemeClr>
              </a:solidFill>
            </a:rPr>
            <a:t>$256,168</a:t>
          </a:r>
        </a:p>
      </cdr:txBody>
    </cdr:sp>
  </cdr:relSizeAnchor>
  <cdr:relSizeAnchor xmlns:cdr="http://schemas.openxmlformats.org/drawingml/2006/chartDrawing">
    <cdr:from>
      <cdr:x>0.52997</cdr:x>
      <cdr:y>0.15515</cdr:y>
    </cdr:from>
    <cdr:to>
      <cdr:x>0.63963</cdr:x>
      <cdr:y>0.27351</cdr:y>
    </cdr:to>
    <cdr:sp macro="" textlink="">
      <cdr:nvSpPr>
        <cdr:cNvPr id="6" name="TextBox 1">
          <a:extLst xmlns:a="http://schemas.openxmlformats.org/drawingml/2006/main">
            <a:ext uri="{FF2B5EF4-FFF2-40B4-BE49-F238E27FC236}">
              <a16:creationId xmlns:a16="http://schemas.microsoft.com/office/drawing/2014/main" id="{49863BFA-DF8D-9B5A-7F3B-36833B260C5B}"/>
            </a:ext>
          </a:extLst>
        </cdr:cNvPr>
        <cdr:cNvSpPr txBox="1"/>
      </cdr:nvSpPr>
      <cdr:spPr>
        <a:xfrm xmlns:a="http://schemas.openxmlformats.org/drawingml/2006/main">
          <a:off x="4433813" y="512074"/>
          <a:ext cx="917409" cy="3906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rgbClr val="FF0000"/>
              </a:solidFill>
            </a:rPr>
            <a:t>-3%</a:t>
          </a:r>
        </a:p>
        <a:p xmlns:a="http://schemas.openxmlformats.org/drawingml/2006/main">
          <a:pPr algn="ctr"/>
          <a:r>
            <a:rPr lang="en-US" sz="900" kern="1200">
              <a:solidFill>
                <a:srgbClr val="FF0000"/>
              </a:solidFill>
            </a:rPr>
            <a:t>($1,795,924)</a:t>
          </a:r>
        </a:p>
      </cdr:txBody>
    </cdr:sp>
  </cdr:relSizeAnchor>
  <cdr:relSizeAnchor xmlns:cdr="http://schemas.openxmlformats.org/drawingml/2006/chartDrawing">
    <cdr:from>
      <cdr:x>0.62566</cdr:x>
      <cdr:y>0.57793</cdr:y>
    </cdr:from>
    <cdr:to>
      <cdr:x>0.71955</cdr:x>
      <cdr:y>0.698</cdr:y>
    </cdr:to>
    <cdr:sp macro="" textlink="">
      <cdr:nvSpPr>
        <cdr:cNvPr id="8" name="TextBox 1">
          <a:extLst xmlns:a="http://schemas.openxmlformats.org/drawingml/2006/main">
            <a:ext uri="{FF2B5EF4-FFF2-40B4-BE49-F238E27FC236}">
              <a16:creationId xmlns:a16="http://schemas.microsoft.com/office/drawing/2014/main" id="{5C195F2B-480A-772C-B47C-320D2961F497}"/>
            </a:ext>
          </a:extLst>
        </cdr:cNvPr>
        <cdr:cNvSpPr txBox="1"/>
      </cdr:nvSpPr>
      <cdr:spPr>
        <a:xfrm xmlns:a="http://schemas.openxmlformats.org/drawingml/2006/main">
          <a:off x="5234389" y="1907405"/>
          <a:ext cx="785430" cy="3962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+4%</a:t>
          </a:r>
        </a:p>
        <a:p xmlns:a="http://schemas.openxmlformats.org/drawingml/2006/main">
          <a:pPr algn="ctr"/>
          <a:r>
            <a:rPr lang="en-US" sz="900" kern="1200">
              <a:solidFill>
                <a:schemeClr val="tx1">
                  <a:lumMod val="65000"/>
                  <a:lumOff val="35000"/>
                </a:schemeClr>
              </a:solidFill>
            </a:rPr>
            <a:t>$729,903</a:t>
          </a:r>
        </a:p>
      </cdr:txBody>
    </cdr:sp>
  </cdr:relSizeAnchor>
  <cdr:relSizeAnchor xmlns:cdr="http://schemas.openxmlformats.org/drawingml/2006/chartDrawing">
    <cdr:from>
      <cdr:x>0.72089</cdr:x>
      <cdr:y>0.72589</cdr:y>
    </cdr:from>
    <cdr:to>
      <cdr:x>0.79842</cdr:x>
      <cdr:y>0.83281</cdr:y>
    </cdr:to>
    <cdr:sp macro="" textlink="">
      <cdr:nvSpPr>
        <cdr:cNvPr id="9" name="TextBox 1">
          <a:extLst xmlns:a="http://schemas.openxmlformats.org/drawingml/2006/main">
            <a:ext uri="{FF2B5EF4-FFF2-40B4-BE49-F238E27FC236}">
              <a16:creationId xmlns:a16="http://schemas.microsoft.com/office/drawing/2014/main" id="{2CF1EA85-B6EB-5D14-6C20-851E5B3BE52E}"/>
            </a:ext>
          </a:extLst>
        </cdr:cNvPr>
        <cdr:cNvSpPr txBox="1"/>
      </cdr:nvSpPr>
      <cdr:spPr>
        <a:xfrm xmlns:a="http://schemas.openxmlformats.org/drawingml/2006/main">
          <a:off x="6031085" y="2395751"/>
          <a:ext cx="648624" cy="3528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+4% $312,054</a:t>
          </a:r>
        </a:p>
      </cdr:txBody>
    </cdr:sp>
  </cdr:relSizeAnchor>
  <cdr:relSizeAnchor xmlns:cdr="http://schemas.openxmlformats.org/drawingml/2006/chartDrawing">
    <cdr:from>
      <cdr:x>0.80458</cdr:x>
      <cdr:y>0.7883</cdr:y>
    </cdr:from>
    <cdr:to>
      <cdr:x>0.88596</cdr:x>
      <cdr:y>0.88664</cdr:y>
    </cdr:to>
    <cdr:sp macro="" textlink="">
      <cdr:nvSpPr>
        <cdr:cNvPr id="10" name="TextBox 1">
          <a:extLst xmlns:a="http://schemas.openxmlformats.org/drawingml/2006/main">
            <a:ext uri="{FF2B5EF4-FFF2-40B4-BE49-F238E27FC236}">
              <a16:creationId xmlns:a16="http://schemas.microsoft.com/office/drawing/2014/main" id="{AAA2B0E9-80E0-2530-F822-E15AF9DE7C6A}"/>
            </a:ext>
          </a:extLst>
        </cdr:cNvPr>
        <cdr:cNvSpPr txBox="1"/>
      </cdr:nvSpPr>
      <cdr:spPr>
        <a:xfrm xmlns:a="http://schemas.openxmlformats.org/drawingml/2006/main">
          <a:off x="6731214" y="2601709"/>
          <a:ext cx="680813" cy="3245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+3% $90,041</a:t>
          </a:r>
        </a:p>
      </cdr:txBody>
    </cdr:sp>
  </cdr:relSizeAnchor>
  <cdr:relSizeAnchor xmlns:cdr="http://schemas.openxmlformats.org/drawingml/2006/chartDrawing">
    <cdr:from>
      <cdr:x>0.89115</cdr:x>
      <cdr:y>0.76961</cdr:y>
    </cdr:from>
    <cdr:to>
      <cdr:x>0.97792</cdr:x>
      <cdr:y>0.8651</cdr:y>
    </cdr:to>
    <cdr:sp macro="" textlink="">
      <cdr:nvSpPr>
        <cdr:cNvPr id="11" name="TextBox 1">
          <a:extLst xmlns:a="http://schemas.openxmlformats.org/drawingml/2006/main">
            <a:ext uri="{FF2B5EF4-FFF2-40B4-BE49-F238E27FC236}">
              <a16:creationId xmlns:a16="http://schemas.microsoft.com/office/drawing/2014/main" id="{166AF0AF-9735-2B88-F573-4513F114CA81}"/>
            </a:ext>
          </a:extLst>
        </cdr:cNvPr>
        <cdr:cNvSpPr txBox="1"/>
      </cdr:nvSpPr>
      <cdr:spPr>
        <a:xfrm xmlns:a="http://schemas.openxmlformats.org/drawingml/2006/main">
          <a:off x="7455484" y="2540041"/>
          <a:ext cx="725879" cy="3151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rgbClr val="FF0000"/>
              </a:solidFill>
            </a:rPr>
            <a:t>-3%</a:t>
          </a:r>
        </a:p>
        <a:p xmlns:a="http://schemas.openxmlformats.org/drawingml/2006/main">
          <a:pPr algn="ctr"/>
          <a:r>
            <a:rPr lang="en-US" sz="900" kern="1200">
              <a:solidFill>
                <a:srgbClr val="FF0000"/>
              </a:solidFill>
            </a:rPr>
            <a:t>($126,024)</a:t>
          </a:r>
        </a:p>
      </cdr:txBody>
    </cdr:sp>
  </cdr:relSizeAnchor>
</c:userShapes>
</file>

<file path=xl/drawings/drawing11.xml><?xml version="1.0" encoding="utf-8"?>
<xdr:wsDr xmlns:xdr="http://schemas.openxmlformats.org/drawingml/2006/spreadsheetDrawing" xmlns:a="http://schemas.openxmlformats.org/drawingml/2006/main">
  <xdr:twoCellAnchor>
    <xdr:from>
      <xdr:col>12</xdr:col>
      <xdr:colOff>39687</xdr:colOff>
      <xdr:row>3</xdr:row>
      <xdr:rowOff>1585</xdr:rowOff>
    </xdr:from>
    <xdr:to>
      <xdr:col>21</xdr:col>
      <xdr:colOff>166687</xdr:colOff>
      <xdr:row>22</xdr:row>
      <xdr:rowOff>87311</xdr:rowOff>
    </xdr:to>
    <xdr:grpSp>
      <xdr:nvGrpSpPr>
        <xdr:cNvPr id="3" name="Group 2">
          <a:extLst>
            <a:ext uri="{FF2B5EF4-FFF2-40B4-BE49-F238E27FC236}">
              <a16:creationId xmlns:a16="http://schemas.microsoft.com/office/drawing/2014/main" id="{17D5A1DC-9400-4726-9F26-D0381F9CB0C8}"/>
            </a:ext>
          </a:extLst>
        </xdr:cNvPr>
        <xdr:cNvGrpSpPr/>
      </xdr:nvGrpSpPr>
      <xdr:grpSpPr>
        <a:xfrm>
          <a:off x="10636250" y="573085"/>
          <a:ext cx="8337550" cy="3430589"/>
          <a:chOff x="9310687" y="501648"/>
          <a:chExt cx="8366125" cy="3300413"/>
        </a:xfrm>
      </xdr:grpSpPr>
      <xdr:graphicFrame macro="">
        <xdr:nvGraphicFramePr>
          <xdr:cNvPr id="4" name="Chart 3">
            <a:extLst>
              <a:ext uri="{FF2B5EF4-FFF2-40B4-BE49-F238E27FC236}">
                <a16:creationId xmlns:a16="http://schemas.microsoft.com/office/drawing/2014/main" id="{31414938-53F9-2591-44AE-8627F2AED396}"/>
              </a:ext>
            </a:extLst>
          </xdr:cNvPr>
          <xdr:cNvGraphicFramePr/>
        </xdr:nvGraphicFramePr>
        <xdr:xfrm>
          <a:off x="9310687" y="501648"/>
          <a:ext cx="8366125" cy="330041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1">
            <a:extLst>
              <a:ext uri="{FF2B5EF4-FFF2-40B4-BE49-F238E27FC236}">
                <a16:creationId xmlns:a16="http://schemas.microsoft.com/office/drawing/2014/main" id="{5CEC09E9-E497-94B4-FE0F-9BFDD1234FC9}"/>
              </a:ext>
            </a:extLst>
          </xdr:cNvPr>
          <xdr:cNvSpPr txBox="1"/>
        </xdr:nvSpPr>
        <xdr:spPr>
          <a:xfrm>
            <a:off x="10890251" y="3079751"/>
            <a:ext cx="658813" cy="3016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900" kern="1200">
                <a:solidFill>
                  <a:srgbClr val="FF0000"/>
                </a:solidFill>
              </a:rPr>
              <a:t>-1% ($16,206)</a:t>
            </a:r>
          </a:p>
        </xdr:txBody>
      </xdr:sp>
      <xdr:sp macro="" textlink="">
        <xdr:nvSpPr>
          <xdr:cNvPr id="6" name="TextBox 1">
            <a:extLst>
              <a:ext uri="{FF2B5EF4-FFF2-40B4-BE49-F238E27FC236}">
                <a16:creationId xmlns:a16="http://schemas.microsoft.com/office/drawing/2014/main" id="{87BD8688-C2D3-5AB8-1DF3-3C26DDA9BBAC}"/>
              </a:ext>
            </a:extLst>
          </xdr:cNvPr>
          <xdr:cNvSpPr txBox="1"/>
        </xdr:nvSpPr>
        <xdr:spPr>
          <a:xfrm>
            <a:off x="11677650" y="3128963"/>
            <a:ext cx="633413" cy="3714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900" kern="1200">
                <a:solidFill>
                  <a:srgbClr val="FF0000"/>
                </a:solidFill>
              </a:rPr>
              <a:t>-7%</a:t>
            </a:r>
          </a:p>
          <a:p>
            <a:pPr algn="ctr"/>
            <a:r>
              <a:rPr lang="en-US" sz="900" kern="1200">
                <a:solidFill>
                  <a:srgbClr val="FF0000"/>
                </a:solidFill>
              </a:rPr>
              <a:t>($79,757)</a:t>
            </a:r>
          </a:p>
        </xdr:txBody>
      </xdr:sp>
    </xdr:grpSp>
    <xdr:clientData/>
  </xdr:twoCellAnchor>
</xdr:wsDr>
</file>

<file path=xl/drawings/drawing12.xml><?xml version="1.0" encoding="utf-8"?>
<c:userShapes xmlns:c="http://schemas.openxmlformats.org/drawingml/2006/chart">
  <cdr:relSizeAnchor xmlns:cdr="http://schemas.openxmlformats.org/drawingml/2006/chartDrawing">
    <cdr:from>
      <cdr:x>0.09196</cdr:x>
      <cdr:y>0.80406</cdr:y>
    </cdr:from>
    <cdr:to>
      <cdr:x>0.19237</cdr:x>
      <cdr:y>0.98425</cdr:y>
    </cdr:to>
    <cdr:sp macro="" textlink="">
      <cdr:nvSpPr>
        <cdr:cNvPr id="2" name="TextBox 1">
          <a:extLst xmlns:a="http://schemas.openxmlformats.org/drawingml/2006/main">
            <a:ext uri="{FF2B5EF4-FFF2-40B4-BE49-F238E27FC236}">
              <a16:creationId xmlns:a16="http://schemas.microsoft.com/office/drawing/2014/main" id="{C3E9672F-C085-3AF5-311F-8651E6387371}"/>
            </a:ext>
          </a:extLst>
        </cdr:cNvPr>
        <cdr:cNvSpPr txBox="1"/>
      </cdr:nvSpPr>
      <cdr:spPr>
        <a:xfrm xmlns:a="http://schemas.openxmlformats.org/drawingml/2006/main">
          <a:off x="769333" y="2653719"/>
          <a:ext cx="840045" cy="594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900" kern="1200">
              <a:solidFill>
                <a:schemeClr val="tx1">
                  <a:lumMod val="65000"/>
                  <a:lumOff val="35000"/>
                </a:schemeClr>
              </a:solidFill>
            </a:rPr>
            <a:t>+2% </a:t>
          </a:r>
        </a:p>
        <a:p xmlns:a="http://schemas.openxmlformats.org/drawingml/2006/main">
          <a:pPr algn="ctr"/>
          <a:r>
            <a:rPr lang="en-US" sz="900" kern="1200">
              <a:solidFill>
                <a:schemeClr val="tx1">
                  <a:lumMod val="65000"/>
                  <a:lumOff val="35000"/>
                </a:schemeClr>
              </a:solidFill>
            </a:rPr>
            <a:t>$45,097</a:t>
          </a:r>
        </a:p>
      </cdr:txBody>
    </cdr:sp>
  </cdr:relSizeAnchor>
  <cdr:relSizeAnchor xmlns:cdr="http://schemas.openxmlformats.org/drawingml/2006/chartDrawing">
    <cdr:from>
      <cdr:x>0.36313</cdr:x>
      <cdr:y>0.48087</cdr:y>
    </cdr:from>
    <cdr:to>
      <cdr:x>0.44354</cdr:x>
      <cdr:y>0.58493</cdr:y>
    </cdr:to>
    <cdr:sp macro="" textlink="">
      <cdr:nvSpPr>
        <cdr:cNvPr id="4" name="TextBox 1">
          <a:extLst xmlns:a="http://schemas.openxmlformats.org/drawingml/2006/main">
            <a:ext uri="{FF2B5EF4-FFF2-40B4-BE49-F238E27FC236}">
              <a16:creationId xmlns:a16="http://schemas.microsoft.com/office/drawing/2014/main" id="{88DA859A-A487-5BED-F0CE-6D2D4F8CF62B}"/>
            </a:ext>
          </a:extLst>
        </cdr:cNvPr>
        <cdr:cNvSpPr txBox="1"/>
      </cdr:nvSpPr>
      <cdr:spPr>
        <a:xfrm xmlns:a="http://schemas.openxmlformats.org/drawingml/2006/main">
          <a:off x="3037985" y="1587082"/>
          <a:ext cx="672767" cy="3434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+2%</a:t>
          </a:r>
        </a:p>
        <a:p xmlns:a="http://schemas.openxmlformats.org/drawingml/2006/main">
          <a:pPr algn="ctr"/>
          <a:r>
            <a:rPr lang="en-US" sz="900" kern="1200">
              <a:solidFill>
                <a:schemeClr val="tx1">
                  <a:lumMod val="65000"/>
                  <a:lumOff val="35000"/>
                </a:schemeClr>
              </a:solidFill>
            </a:rPr>
            <a:t>$584,649</a:t>
          </a:r>
        </a:p>
      </cdr:txBody>
    </cdr:sp>
  </cdr:relSizeAnchor>
  <cdr:relSizeAnchor xmlns:cdr="http://schemas.openxmlformats.org/drawingml/2006/chartDrawing">
    <cdr:from>
      <cdr:x>0.45162</cdr:x>
      <cdr:y>0.78994</cdr:y>
    </cdr:from>
    <cdr:to>
      <cdr:x>0.53416</cdr:x>
      <cdr:y>0.91823</cdr:y>
    </cdr:to>
    <cdr:sp macro="" textlink="">
      <cdr:nvSpPr>
        <cdr:cNvPr id="5" name="TextBox 1">
          <a:extLst xmlns:a="http://schemas.openxmlformats.org/drawingml/2006/main">
            <a:ext uri="{FF2B5EF4-FFF2-40B4-BE49-F238E27FC236}">
              <a16:creationId xmlns:a16="http://schemas.microsoft.com/office/drawing/2014/main" id="{CC5953DB-8C33-1907-8B4E-B2D98EE0B765}"/>
            </a:ext>
          </a:extLst>
        </cdr:cNvPr>
        <cdr:cNvSpPr txBox="1"/>
      </cdr:nvSpPr>
      <cdr:spPr>
        <a:xfrm xmlns:a="http://schemas.openxmlformats.org/drawingml/2006/main">
          <a:off x="3778351" y="2607121"/>
          <a:ext cx="690462" cy="4234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+9%</a:t>
          </a:r>
        </a:p>
        <a:p xmlns:a="http://schemas.openxmlformats.org/drawingml/2006/main">
          <a:pPr algn="ctr"/>
          <a:r>
            <a:rPr lang="en-US" sz="900" kern="1200">
              <a:solidFill>
                <a:schemeClr val="tx1">
                  <a:lumMod val="65000"/>
                  <a:lumOff val="35000"/>
                </a:schemeClr>
              </a:solidFill>
            </a:rPr>
            <a:t>$256,168</a:t>
          </a:r>
        </a:p>
      </cdr:txBody>
    </cdr:sp>
  </cdr:relSizeAnchor>
  <cdr:relSizeAnchor xmlns:cdr="http://schemas.openxmlformats.org/drawingml/2006/chartDrawing">
    <cdr:from>
      <cdr:x>0.52997</cdr:x>
      <cdr:y>0.15515</cdr:y>
    </cdr:from>
    <cdr:to>
      <cdr:x>0.63963</cdr:x>
      <cdr:y>0.27351</cdr:y>
    </cdr:to>
    <cdr:sp macro="" textlink="">
      <cdr:nvSpPr>
        <cdr:cNvPr id="6" name="TextBox 1">
          <a:extLst xmlns:a="http://schemas.openxmlformats.org/drawingml/2006/main">
            <a:ext uri="{FF2B5EF4-FFF2-40B4-BE49-F238E27FC236}">
              <a16:creationId xmlns:a16="http://schemas.microsoft.com/office/drawing/2014/main" id="{49863BFA-DF8D-9B5A-7F3B-36833B260C5B}"/>
            </a:ext>
          </a:extLst>
        </cdr:cNvPr>
        <cdr:cNvSpPr txBox="1"/>
      </cdr:nvSpPr>
      <cdr:spPr>
        <a:xfrm xmlns:a="http://schemas.openxmlformats.org/drawingml/2006/main">
          <a:off x="4433813" y="512074"/>
          <a:ext cx="917409" cy="3906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rgbClr val="FF0000"/>
              </a:solidFill>
            </a:rPr>
            <a:t>-3%</a:t>
          </a:r>
        </a:p>
        <a:p xmlns:a="http://schemas.openxmlformats.org/drawingml/2006/main">
          <a:pPr algn="ctr"/>
          <a:r>
            <a:rPr lang="en-US" sz="900" kern="1200">
              <a:solidFill>
                <a:srgbClr val="FF0000"/>
              </a:solidFill>
            </a:rPr>
            <a:t>($1,795,924)</a:t>
          </a:r>
        </a:p>
      </cdr:txBody>
    </cdr:sp>
  </cdr:relSizeAnchor>
  <cdr:relSizeAnchor xmlns:cdr="http://schemas.openxmlformats.org/drawingml/2006/chartDrawing">
    <cdr:from>
      <cdr:x>0.62566</cdr:x>
      <cdr:y>0.57793</cdr:y>
    </cdr:from>
    <cdr:to>
      <cdr:x>0.71955</cdr:x>
      <cdr:y>0.698</cdr:y>
    </cdr:to>
    <cdr:sp macro="" textlink="">
      <cdr:nvSpPr>
        <cdr:cNvPr id="8" name="TextBox 1">
          <a:extLst xmlns:a="http://schemas.openxmlformats.org/drawingml/2006/main">
            <a:ext uri="{FF2B5EF4-FFF2-40B4-BE49-F238E27FC236}">
              <a16:creationId xmlns:a16="http://schemas.microsoft.com/office/drawing/2014/main" id="{5C195F2B-480A-772C-B47C-320D2961F497}"/>
            </a:ext>
          </a:extLst>
        </cdr:cNvPr>
        <cdr:cNvSpPr txBox="1"/>
      </cdr:nvSpPr>
      <cdr:spPr>
        <a:xfrm xmlns:a="http://schemas.openxmlformats.org/drawingml/2006/main">
          <a:off x="5234389" y="1907405"/>
          <a:ext cx="785430" cy="3962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+4%</a:t>
          </a:r>
        </a:p>
        <a:p xmlns:a="http://schemas.openxmlformats.org/drawingml/2006/main">
          <a:pPr algn="ctr"/>
          <a:r>
            <a:rPr lang="en-US" sz="900" kern="1200">
              <a:solidFill>
                <a:schemeClr val="tx1">
                  <a:lumMod val="65000"/>
                  <a:lumOff val="35000"/>
                </a:schemeClr>
              </a:solidFill>
            </a:rPr>
            <a:t>$729,903</a:t>
          </a:r>
        </a:p>
      </cdr:txBody>
    </cdr:sp>
  </cdr:relSizeAnchor>
  <cdr:relSizeAnchor xmlns:cdr="http://schemas.openxmlformats.org/drawingml/2006/chartDrawing">
    <cdr:from>
      <cdr:x>0.72089</cdr:x>
      <cdr:y>0.72589</cdr:y>
    </cdr:from>
    <cdr:to>
      <cdr:x>0.79842</cdr:x>
      <cdr:y>0.83281</cdr:y>
    </cdr:to>
    <cdr:sp macro="" textlink="">
      <cdr:nvSpPr>
        <cdr:cNvPr id="9" name="TextBox 1">
          <a:extLst xmlns:a="http://schemas.openxmlformats.org/drawingml/2006/main">
            <a:ext uri="{FF2B5EF4-FFF2-40B4-BE49-F238E27FC236}">
              <a16:creationId xmlns:a16="http://schemas.microsoft.com/office/drawing/2014/main" id="{2CF1EA85-B6EB-5D14-6C20-851E5B3BE52E}"/>
            </a:ext>
          </a:extLst>
        </cdr:cNvPr>
        <cdr:cNvSpPr txBox="1"/>
      </cdr:nvSpPr>
      <cdr:spPr>
        <a:xfrm xmlns:a="http://schemas.openxmlformats.org/drawingml/2006/main">
          <a:off x="6031085" y="2395751"/>
          <a:ext cx="648624" cy="3528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+4% $312,054</a:t>
          </a:r>
        </a:p>
      </cdr:txBody>
    </cdr:sp>
  </cdr:relSizeAnchor>
  <cdr:relSizeAnchor xmlns:cdr="http://schemas.openxmlformats.org/drawingml/2006/chartDrawing">
    <cdr:from>
      <cdr:x>0.80458</cdr:x>
      <cdr:y>0.7883</cdr:y>
    </cdr:from>
    <cdr:to>
      <cdr:x>0.88596</cdr:x>
      <cdr:y>0.88664</cdr:y>
    </cdr:to>
    <cdr:sp macro="" textlink="">
      <cdr:nvSpPr>
        <cdr:cNvPr id="10" name="TextBox 1">
          <a:extLst xmlns:a="http://schemas.openxmlformats.org/drawingml/2006/main">
            <a:ext uri="{FF2B5EF4-FFF2-40B4-BE49-F238E27FC236}">
              <a16:creationId xmlns:a16="http://schemas.microsoft.com/office/drawing/2014/main" id="{AAA2B0E9-80E0-2530-F822-E15AF9DE7C6A}"/>
            </a:ext>
          </a:extLst>
        </cdr:cNvPr>
        <cdr:cNvSpPr txBox="1"/>
      </cdr:nvSpPr>
      <cdr:spPr>
        <a:xfrm xmlns:a="http://schemas.openxmlformats.org/drawingml/2006/main">
          <a:off x="6731214" y="2601709"/>
          <a:ext cx="680813" cy="3245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+3% $90,041</a:t>
          </a:r>
        </a:p>
      </cdr:txBody>
    </cdr:sp>
  </cdr:relSizeAnchor>
  <cdr:relSizeAnchor xmlns:cdr="http://schemas.openxmlformats.org/drawingml/2006/chartDrawing">
    <cdr:from>
      <cdr:x>0.89115</cdr:x>
      <cdr:y>0.76961</cdr:y>
    </cdr:from>
    <cdr:to>
      <cdr:x>0.97792</cdr:x>
      <cdr:y>0.8651</cdr:y>
    </cdr:to>
    <cdr:sp macro="" textlink="">
      <cdr:nvSpPr>
        <cdr:cNvPr id="11" name="TextBox 1">
          <a:extLst xmlns:a="http://schemas.openxmlformats.org/drawingml/2006/main">
            <a:ext uri="{FF2B5EF4-FFF2-40B4-BE49-F238E27FC236}">
              <a16:creationId xmlns:a16="http://schemas.microsoft.com/office/drawing/2014/main" id="{166AF0AF-9735-2B88-F573-4513F114CA81}"/>
            </a:ext>
          </a:extLst>
        </cdr:cNvPr>
        <cdr:cNvSpPr txBox="1"/>
      </cdr:nvSpPr>
      <cdr:spPr>
        <a:xfrm xmlns:a="http://schemas.openxmlformats.org/drawingml/2006/main">
          <a:off x="7455484" y="2540041"/>
          <a:ext cx="725879" cy="3151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rgbClr val="FF0000"/>
              </a:solidFill>
            </a:rPr>
            <a:t>-3%</a:t>
          </a:r>
        </a:p>
        <a:p xmlns:a="http://schemas.openxmlformats.org/drawingml/2006/main">
          <a:pPr algn="ctr"/>
          <a:r>
            <a:rPr lang="en-US" sz="900" kern="1200">
              <a:solidFill>
                <a:srgbClr val="FF0000"/>
              </a:solidFill>
            </a:rPr>
            <a:t>($126,024)</a:t>
          </a:r>
        </a:p>
      </cdr:txBody>
    </cdr:sp>
  </cdr:relSizeAnchor>
</c:userShapes>
</file>

<file path=xl/drawings/drawing2.xml><?xml version="1.0" encoding="utf-8"?>
<c:userShapes xmlns:c="http://schemas.openxmlformats.org/drawingml/2006/chart">
  <cdr:relSizeAnchor xmlns:cdr="http://schemas.openxmlformats.org/drawingml/2006/chartDrawing">
    <cdr:from>
      <cdr:x>0.68335</cdr:x>
      <cdr:y>0.20515</cdr:y>
    </cdr:from>
    <cdr:to>
      <cdr:x>0.71477</cdr:x>
      <cdr:y>0.30564</cdr:y>
    </cdr:to>
    <cdr:sp macro="" textlink="">
      <cdr:nvSpPr>
        <cdr:cNvPr id="2" name="Oval 1">
          <a:extLst xmlns:a="http://schemas.openxmlformats.org/drawingml/2006/main">
            <a:ext uri="{FF2B5EF4-FFF2-40B4-BE49-F238E27FC236}">
              <a16:creationId xmlns:a16="http://schemas.microsoft.com/office/drawing/2014/main" id="{CD8BCA5F-5E0A-639D-2CCE-F8B29B2E947E}"/>
            </a:ext>
          </a:extLst>
        </cdr:cNvPr>
        <cdr:cNvSpPr/>
      </cdr:nvSpPr>
      <cdr:spPr>
        <a:xfrm xmlns:a="http://schemas.openxmlformats.org/drawingml/2006/main" rot="982023">
          <a:off x="8280913" y="1469288"/>
          <a:ext cx="380753" cy="719742"/>
        </a:xfrm>
        <a:prstGeom xmlns:a="http://schemas.openxmlformats.org/drawingml/2006/main" prst="ellipse">
          <a:avLst/>
        </a:prstGeom>
        <a:noFill xmlns:a="http://schemas.openxmlformats.org/drawingml/2006/main"/>
        <a:ln xmlns:a="http://schemas.openxmlformats.org/drawingml/2006/main" w="6350"/>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dr:relSizeAnchor xmlns:cdr="http://schemas.openxmlformats.org/drawingml/2006/chartDrawing">
    <cdr:from>
      <cdr:x>0.69058</cdr:x>
      <cdr:y>0.39796</cdr:y>
    </cdr:from>
    <cdr:to>
      <cdr:x>0.71117</cdr:x>
      <cdr:y>0.44703</cdr:y>
    </cdr:to>
    <cdr:sp macro="" textlink="">
      <cdr:nvSpPr>
        <cdr:cNvPr id="3" name="Oval 2">
          <a:extLst xmlns:a="http://schemas.openxmlformats.org/drawingml/2006/main">
            <a:ext uri="{FF2B5EF4-FFF2-40B4-BE49-F238E27FC236}">
              <a16:creationId xmlns:a16="http://schemas.microsoft.com/office/drawing/2014/main" id="{BF944EFC-9A55-AB77-B208-C8917BEB5B21}"/>
            </a:ext>
          </a:extLst>
        </cdr:cNvPr>
        <cdr:cNvSpPr/>
      </cdr:nvSpPr>
      <cdr:spPr>
        <a:xfrm xmlns:a="http://schemas.openxmlformats.org/drawingml/2006/main" rot="982023">
          <a:off x="8368495" y="2850210"/>
          <a:ext cx="249452" cy="351432"/>
        </a:xfrm>
        <a:prstGeom xmlns:a="http://schemas.openxmlformats.org/drawingml/2006/main" prst="ellipse">
          <a:avLst/>
        </a:prstGeom>
        <a:noFill xmlns:a="http://schemas.openxmlformats.org/drawingml/2006/main"/>
        <a:ln xmlns:a="http://schemas.openxmlformats.org/drawingml/2006/main" w="6350"/>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0.64913</cdr:x>
      <cdr:y>0.259</cdr:y>
    </cdr:from>
    <cdr:to>
      <cdr:x>0.66318</cdr:x>
      <cdr:y>0.30185</cdr:y>
    </cdr:to>
    <cdr:sp macro="" textlink="">
      <cdr:nvSpPr>
        <cdr:cNvPr id="4" name="Oval 3">
          <a:extLst xmlns:a="http://schemas.openxmlformats.org/drawingml/2006/main">
            <a:ext uri="{FF2B5EF4-FFF2-40B4-BE49-F238E27FC236}">
              <a16:creationId xmlns:a16="http://schemas.microsoft.com/office/drawing/2014/main" id="{ED5C64BA-5E06-2B4B-7544-B170B83DD947}"/>
            </a:ext>
          </a:extLst>
        </cdr:cNvPr>
        <cdr:cNvSpPr/>
      </cdr:nvSpPr>
      <cdr:spPr>
        <a:xfrm xmlns:a="http://schemas.openxmlformats.org/drawingml/2006/main" rot="982023">
          <a:off x="7866148" y="1854973"/>
          <a:ext cx="170362" cy="306863"/>
        </a:xfrm>
        <a:prstGeom xmlns:a="http://schemas.openxmlformats.org/drawingml/2006/main" prst="ellipse">
          <a:avLst/>
        </a:prstGeom>
        <a:noFill xmlns:a="http://schemas.openxmlformats.org/drawingml/2006/main"/>
        <a:ln xmlns:a="http://schemas.openxmlformats.org/drawingml/2006/main" w="6350"/>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kern="1200"/>
        </a:p>
      </cdr:txBody>
    </cdr:sp>
  </cdr:relSizeAnchor>
  <cdr:relSizeAnchor xmlns:cdr="http://schemas.openxmlformats.org/drawingml/2006/chartDrawing">
    <cdr:from>
      <cdr:x>0.76472</cdr:x>
      <cdr:y>0.54516</cdr:y>
    </cdr:from>
    <cdr:to>
      <cdr:x>0.80166</cdr:x>
      <cdr:y>0.56777</cdr:y>
    </cdr:to>
    <cdr:sp macro="" textlink="">
      <cdr:nvSpPr>
        <cdr:cNvPr id="11" name="Oval 10">
          <a:extLst xmlns:a="http://schemas.openxmlformats.org/drawingml/2006/main">
            <a:ext uri="{FF2B5EF4-FFF2-40B4-BE49-F238E27FC236}">
              <a16:creationId xmlns:a16="http://schemas.microsoft.com/office/drawing/2014/main" id="{4B76BF55-B9A3-7D98-7368-ACD5A77D3B56}"/>
            </a:ext>
          </a:extLst>
        </cdr:cNvPr>
        <cdr:cNvSpPr/>
      </cdr:nvSpPr>
      <cdr:spPr>
        <a:xfrm xmlns:a="http://schemas.openxmlformats.org/drawingml/2006/main">
          <a:off x="9266919" y="3904493"/>
          <a:ext cx="447675" cy="161925"/>
        </a:xfrm>
        <a:prstGeom xmlns:a="http://schemas.openxmlformats.org/drawingml/2006/main" prst="ellipse">
          <a:avLst/>
        </a:prstGeom>
        <a:noFill xmlns:a="http://schemas.openxmlformats.org/drawingml/2006/main"/>
        <a:ln xmlns:a="http://schemas.openxmlformats.org/drawingml/2006/main" w="9525"/>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dr:relSizeAnchor xmlns:cdr="http://schemas.openxmlformats.org/drawingml/2006/chartDrawing">
    <cdr:from>
      <cdr:x>0.83625</cdr:x>
      <cdr:y>0.49463</cdr:y>
    </cdr:from>
    <cdr:to>
      <cdr:x>0.87319</cdr:x>
      <cdr:y>0.51724</cdr:y>
    </cdr:to>
    <cdr:sp macro="" textlink="">
      <cdr:nvSpPr>
        <cdr:cNvPr id="13" name="Oval 12">
          <a:extLst xmlns:a="http://schemas.openxmlformats.org/drawingml/2006/main">
            <a:ext uri="{FF2B5EF4-FFF2-40B4-BE49-F238E27FC236}">
              <a16:creationId xmlns:a16="http://schemas.microsoft.com/office/drawing/2014/main" id="{BB972CBA-E5C8-149A-E17F-F447EE32225C}"/>
            </a:ext>
          </a:extLst>
        </cdr:cNvPr>
        <cdr:cNvSpPr/>
      </cdr:nvSpPr>
      <cdr:spPr>
        <a:xfrm xmlns:a="http://schemas.openxmlformats.org/drawingml/2006/main">
          <a:off x="10133694" y="3542543"/>
          <a:ext cx="447675" cy="161925"/>
        </a:xfrm>
        <a:prstGeom xmlns:a="http://schemas.openxmlformats.org/drawingml/2006/main" prst="ellipse">
          <a:avLst/>
        </a:prstGeom>
        <a:noFill xmlns:a="http://schemas.openxmlformats.org/drawingml/2006/main"/>
        <a:ln xmlns:a="http://schemas.openxmlformats.org/drawingml/2006/main" w="9525"/>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dr:relSizeAnchor xmlns:cdr="http://schemas.openxmlformats.org/drawingml/2006/chartDrawing">
    <cdr:from>
      <cdr:x>0.38665</cdr:x>
      <cdr:y>0.83243</cdr:y>
    </cdr:from>
    <cdr:to>
      <cdr:x>0.43223</cdr:x>
      <cdr:y>0.85903</cdr:y>
    </cdr:to>
    <cdr:sp macro="" textlink="">
      <cdr:nvSpPr>
        <cdr:cNvPr id="15" name="Oval 14">
          <a:extLst xmlns:a="http://schemas.openxmlformats.org/drawingml/2006/main">
            <a:ext uri="{FF2B5EF4-FFF2-40B4-BE49-F238E27FC236}">
              <a16:creationId xmlns:a16="http://schemas.microsoft.com/office/drawing/2014/main" id="{7402050F-0053-4BA2-2828-18EE62E93B3A}"/>
            </a:ext>
          </a:extLst>
        </cdr:cNvPr>
        <cdr:cNvSpPr/>
      </cdr:nvSpPr>
      <cdr:spPr>
        <a:xfrm xmlns:a="http://schemas.openxmlformats.org/drawingml/2006/main">
          <a:off x="4685394" y="5961893"/>
          <a:ext cx="552450" cy="190500"/>
        </a:xfrm>
        <a:prstGeom xmlns:a="http://schemas.openxmlformats.org/drawingml/2006/main" prst="ellipse">
          <a:avLst/>
        </a:prstGeom>
        <a:noFill xmlns:a="http://schemas.openxmlformats.org/drawingml/2006/main"/>
        <a:ln xmlns:a="http://schemas.openxmlformats.org/drawingml/2006/main" w="9525"/>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dr:relSizeAnchor xmlns:cdr="http://schemas.openxmlformats.org/drawingml/2006/chartDrawing">
    <cdr:from>
      <cdr:x>0.59101</cdr:x>
      <cdr:y>0.77258</cdr:y>
    </cdr:from>
    <cdr:to>
      <cdr:x>0.61459</cdr:x>
      <cdr:y>0.83908</cdr:y>
    </cdr:to>
    <cdr:sp macro="" textlink="">
      <cdr:nvSpPr>
        <cdr:cNvPr id="20" name="Oval 19">
          <a:extLst xmlns:a="http://schemas.openxmlformats.org/drawingml/2006/main">
            <a:ext uri="{FF2B5EF4-FFF2-40B4-BE49-F238E27FC236}">
              <a16:creationId xmlns:a16="http://schemas.microsoft.com/office/drawing/2014/main" id="{5F28B4DA-4F44-7535-8EE7-FBFE45E5D654}"/>
            </a:ext>
          </a:extLst>
        </cdr:cNvPr>
        <cdr:cNvSpPr/>
      </cdr:nvSpPr>
      <cdr:spPr>
        <a:xfrm xmlns:a="http://schemas.openxmlformats.org/drawingml/2006/main">
          <a:off x="7161894" y="5533268"/>
          <a:ext cx="285750" cy="476250"/>
        </a:xfrm>
        <a:prstGeom xmlns:a="http://schemas.openxmlformats.org/drawingml/2006/main" prst="ellipse">
          <a:avLst/>
        </a:prstGeom>
        <a:noFill xmlns:a="http://schemas.openxmlformats.org/drawingml/2006/main"/>
        <a:ln xmlns:a="http://schemas.openxmlformats.org/drawingml/2006/main" w="9525"/>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dr:relSizeAnchor xmlns:cdr="http://schemas.openxmlformats.org/drawingml/2006/chartDrawing">
    <cdr:from>
      <cdr:x>0.09582</cdr:x>
      <cdr:y>0.75529</cdr:y>
    </cdr:from>
    <cdr:to>
      <cdr:x>0.18071</cdr:x>
      <cdr:y>0.79652</cdr:y>
    </cdr:to>
    <cdr:sp macro="" textlink="">
      <cdr:nvSpPr>
        <cdr:cNvPr id="21" name="Oval 20">
          <a:extLst xmlns:a="http://schemas.openxmlformats.org/drawingml/2006/main">
            <a:ext uri="{FF2B5EF4-FFF2-40B4-BE49-F238E27FC236}">
              <a16:creationId xmlns:a16="http://schemas.microsoft.com/office/drawing/2014/main" id="{8BD2AE93-92CA-6C06-25A5-3937D4D9C120}"/>
            </a:ext>
          </a:extLst>
        </cdr:cNvPr>
        <cdr:cNvSpPr/>
      </cdr:nvSpPr>
      <cdr:spPr>
        <a:xfrm xmlns:a="http://schemas.openxmlformats.org/drawingml/2006/main">
          <a:off x="1161144" y="5409443"/>
          <a:ext cx="1028700" cy="295275"/>
        </a:xfrm>
        <a:prstGeom xmlns:a="http://schemas.openxmlformats.org/drawingml/2006/main" prst="ellipse">
          <a:avLst/>
        </a:prstGeom>
        <a:noFill xmlns:a="http://schemas.openxmlformats.org/drawingml/2006/main"/>
        <a:ln xmlns:a="http://schemas.openxmlformats.org/drawingml/2006/main" w="9525"/>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kern="1200"/>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134938</xdr:colOff>
      <xdr:row>3</xdr:row>
      <xdr:rowOff>105832</xdr:rowOff>
    </xdr:from>
    <xdr:to>
      <xdr:col>11</xdr:col>
      <xdr:colOff>522287</xdr:colOff>
      <xdr:row>25</xdr:row>
      <xdr:rowOff>7937</xdr:rowOff>
    </xdr:to>
    <xdr:graphicFrame macro="">
      <xdr:nvGraphicFramePr>
        <xdr:cNvPr id="16" name="Chart 1">
          <a:extLst>
            <a:ext uri="{FF2B5EF4-FFF2-40B4-BE49-F238E27FC236}">
              <a16:creationId xmlns:a16="http://schemas.microsoft.com/office/drawing/2014/main" id="{5F7D6F00-CB22-42AC-B53C-B57737DE69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39687</xdr:colOff>
      <xdr:row>3</xdr:row>
      <xdr:rowOff>1585</xdr:rowOff>
    </xdr:from>
    <xdr:to>
      <xdr:col>21</xdr:col>
      <xdr:colOff>166687</xdr:colOff>
      <xdr:row>22</xdr:row>
      <xdr:rowOff>87311</xdr:rowOff>
    </xdr:to>
    <xdr:grpSp>
      <xdr:nvGrpSpPr>
        <xdr:cNvPr id="3" name="Group 2">
          <a:extLst>
            <a:ext uri="{FF2B5EF4-FFF2-40B4-BE49-F238E27FC236}">
              <a16:creationId xmlns:a16="http://schemas.microsoft.com/office/drawing/2014/main" id="{A74BA6AC-CF7E-4E78-A348-F618AC1C75FE}"/>
            </a:ext>
          </a:extLst>
        </xdr:cNvPr>
        <xdr:cNvGrpSpPr/>
      </xdr:nvGrpSpPr>
      <xdr:grpSpPr>
        <a:xfrm>
          <a:off x="10636250" y="573085"/>
          <a:ext cx="9091612" cy="3430589"/>
          <a:chOff x="9310687" y="501648"/>
          <a:chExt cx="8366125" cy="3300413"/>
        </a:xfrm>
      </xdr:grpSpPr>
      <xdr:graphicFrame macro="">
        <xdr:nvGraphicFramePr>
          <xdr:cNvPr id="4" name="Chart 3">
            <a:extLst>
              <a:ext uri="{FF2B5EF4-FFF2-40B4-BE49-F238E27FC236}">
                <a16:creationId xmlns:a16="http://schemas.microsoft.com/office/drawing/2014/main" id="{93BC823F-69C5-614F-D629-0F224A219DCA}"/>
              </a:ext>
            </a:extLst>
          </xdr:cNvPr>
          <xdr:cNvGraphicFramePr/>
        </xdr:nvGraphicFramePr>
        <xdr:xfrm>
          <a:off x="9310687" y="501648"/>
          <a:ext cx="8366125" cy="3300413"/>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Box 1">
            <a:extLst>
              <a:ext uri="{FF2B5EF4-FFF2-40B4-BE49-F238E27FC236}">
                <a16:creationId xmlns:a16="http://schemas.microsoft.com/office/drawing/2014/main" id="{9142A35D-31CE-2DCD-14CC-FB856160C0B5}"/>
              </a:ext>
            </a:extLst>
          </xdr:cNvPr>
          <xdr:cNvSpPr txBox="1"/>
        </xdr:nvSpPr>
        <xdr:spPr>
          <a:xfrm>
            <a:off x="10890251" y="3079751"/>
            <a:ext cx="658813" cy="3016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900" kern="1200">
                <a:solidFill>
                  <a:srgbClr val="FF0000"/>
                </a:solidFill>
              </a:rPr>
              <a:t>-1% ($16,206)</a:t>
            </a:r>
          </a:p>
        </xdr:txBody>
      </xdr:sp>
      <xdr:sp macro="" textlink="">
        <xdr:nvSpPr>
          <xdr:cNvPr id="6" name="TextBox 1">
            <a:extLst>
              <a:ext uri="{FF2B5EF4-FFF2-40B4-BE49-F238E27FC236}">
                <a16:creationId xmlns:a16="http://schemas.microsoft.com/office/drawing/2014/main" id="{82FA2AED-AED3-01B9-4121-EA6D2FF26F07}"/>
              </a:ext>
            </a:extLst>
          </xdr:cNvPr>
          <xdr:cNvSpPr txBox="1"/>
        </xdr:nvSpPr>
        <xdr:spPr>
          <a:xfrm>
            <a:off x="11677650" y="3128963"/>
            <a:ext cx="633413" cy="3714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900" kern="1200">
                <a:solidFill>
                  <a:srgbClr val="FF0000"/>
                </a:solidFill>
              </a:rPr>
              <a:t>-7%</a:t>
            </a:r>
          </a:p>
          <a:p>
            <a:pPr algn="ctr"/>
            <a:r>
              <a:rPr lang="en-US" sz="900" kern="1200">
                <a:solidFill>
                  <a:srgbClr val="FF0000"/>
                </a:solidFill>
              </a:rPr>
              <a:t>($79,757)</a:t>
            </a:r>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0.09196</cdr:x>
      <cdr:y>0.80406</cdr:y>
    </cdr:from>
    <cdr:to>
      <cdr:x>0.19237</cdr:x>
      <cdr:y>0.98425</cdr:y>
    </cdr:to>
    <cdr:sp macro="" textlink="">
      <cdr:nvSpPr>
        <cdr:cNvPr id="2" name="TextBox 1">
          <a:extLst xmlns:a="http://schemas.openxmlformats.org/drawingml/2006/main">
            <a:ext uri="{FF2B5EF4-FFF2-40B4-BE49-F238E27FC236}">
              <a16:creationId xmlns:a16="http://schemas.microsoft.com/office/drawing/2014/main" id="{C3E9672F-C085-3AF5-311F-8651E6387371}"/>
            </a:ext>
          </a:extLst>
        </cdr:cNvPr>
        <cdr:cNvSpPr txBox="1"/>
      </cdr:nvSpPr>
      <cdr:spPr>
        <a:xfrm xmlns:a="http://schemas.openxmlformats.org/drawingml/2006/main">
          <a:off x="769333" y="2653719"/>
          <a:ext cx="840045" cy="594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900" kern="1200">
              <a:solidFill>
                <a:schemeClr val="tx1">
                  <a:lumMod val="65000"/>
                  <a:lumOff val="35000"/>
                </a:schemeClr>
              </a:solidFill>
            </a:rPr>
            <a:t>+2% </a:t>
          </a:r>
        </a:p>
        <a:p xmlns:a="http://schemas.openxmlformats.org/drawingml/2006/main">
          <a:pPr algn="ctr"/>
          <a:r>
            <a:rPr lang="en-US" sz="900" kern="1200">
              <a:solidFill>
                <a:schemeClr val="tx1">
                  <a:lumMod val="65000"/>
                  <a:lumOff val="35000"/>
                </a:schemeClr>
              </a:solidFill>
            </a:rPr>
            <a:t>$45,097</a:t>
          </a:r>
        </a:p>
      </cdr:txBody>
    </cdr:sp>
  </cdr:relSizeAnchor>
  <cdr:relSizeAnchor xmlns:cdr="http://schemas.openxmlformats.org/drawingml/2006/chartDrawing">
    <cdr:from>
      <cdr:x>0.36313</cdr:x>
      <cdr:y>0.48087</cdr:y>
    </cdr:from>
    <cdr:to>
      <cdr:x>0.44354</cdr:x>
      <cdr:y>0.58493</cdr:y>
    </cdr:to>
    <cdr:sp macro="" textlink="">
      <cdr:nvSpPr>
        <cdr:cNvPr id="4" name="TextBox 1">
          <a:extLst xmlns:a="http://schemas.openxmlformats.org/drawingml/2006/main">
            <a:ext uri="{FF2B5EF4-FFF2-40B4-BE49-F238E27FC236}">
              <a16:creationId xmlns:a16="http://schemas.microsoft.com/office/drawing/2014/main" id="{88DA859A-A487-5BED-F0CE-6D2D4F8CF62B}"/>
            </a:ext>
          </a:extLst>
        </cdr:cNvPr>
        <cdr:cNvSpPr txBox="1"/>
      </cdr:nvSpPr>
      <cdr:spPr>
        <a:xfrm xmlns:a="http://schemas.openxmlformats.org/drawingml/2006/main">
          <a:off x="3037985" y="1587082"/>
          <a:ext cx="672767" cy="3434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+2%</a:t>
          </a:r>
        </a:p>
        <a:p xmlns:a="http://schemas.openxmlformats.org/drawingml/2006/main">
          <a:pPr algn="ctr"/>
          <a:r>
            <a:rPr lang="en-US" sz="900" kern="1200">
              <a:solidFill>
                <a:schemeClr val="tx1">
                  <a:lumMod val="65000"/>
                  <a:lumOff val="35000"/>
                </a:schemeClr>
              </a:solidFill>
            </a:rPr>
            <a:t>$584,649</a:t>
          </a:r>
        </a:p>
      </cdr:txBody>
    </cdr:sp>
  </cdr:relSizeAnchor>
  <cdr:relSizeAnchor xmlns:cdr="http://schemas.openxmlformats.org/drawingml/2006/chartDrawing">
    <cdr:from>
      <cdr:x>0.45162</cdr:x>
      <cdr:y>0.78994</cdr:y>
    </cdr:from>
    <cdr:to>
      <cdr:x>0.53416</cdr:x>
      <cdr:y>0.91823</cdr:y>
    </cdr:to>
    <cdr:sp macro="" textlink="">
      <cdr:nvSpPr>
        <cdr:cNvPr id="5" name="TextBox 1">
          <a:extLst xmlns:a="http://schemas.openxmlformats.org/drawingml/2006/main">
            <a:ext uri="{FF2B5EF4-FFF2-40B4-BE49-F238E27FC236}">
              <a16:creationId xmlns:a16="http://schemas.microsoft.com/office/drawing/2014/main" id="{CC5953DB-8C33-1907-8B4E-B2D98EE0B765}"/>
            </a:ext>
          </a:extLst>
        </cdr:cNvPr>
        <cdr:cNvSpPr txBox="1"/>
      </cdr:nvSpPr>
      <cdr:spPr>
        <a:xfrm xmlns:a="http://schemas.openxmlformats.org/drawingml/2006/main">
          <a:off x="3778351" y="2607121"/>
          <a:ext cx="690462" cy="4234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+9%</a:t>
          </a:r>
        </a:p>
        <a:p xmlns:a="http://schemas.openxmlformats.org/drawingml/2006/main">
          <a:pPr algn="ctr"/>
          <a:r>
            <a:rPr lang="en-US" sz="900" kern="1200">
              <a:solidFill>
                <a:schemeClr val="tx1">
                  <a:lumMod val="65000"/>
                  <a:lumOff val="35000"/>
                </a:schemeClr>
              </a:solidFill>
            </a:rPr>
            <a:t>$256,168</a:t>
          </a:r>
        </a:p>
      </cdr:txBody>
    </cdr:sp>
  </cdr:relSizeAnchor>
  <cdr:relSizeAnchor xmlns:cdr="http://schemas.openxmlformats.org/drawingml/2006/chartDrawing">
    <cdr:from>
      <cdr:x>0.52997</cdr:x>
      <cdr:y>0.15515</cdr:y>
    </cdr:from>
    <cdr:to>
      <cdr:x>0.63963</cdr:x>
      <cdr:y>0.27351</cdr:y>
    </cdr:to>
    <cdr:sp macro="" textlink="">
      <cdr:nvSpPr>
        <cdr:cNvPr id="6" name="TextBox 1">
          <a:extLst xmlns:a="http://schemas.openxmlformats.org/drawingml/2006/main">
            <a:ext uri="{FF2B5EF4-FFF2-40B4-BE49-F238E27FC236}">
              <a16:creationId xmlns:a16="http://schemas.microsoft.com/office/drawing/2014/main" id="{49863BFA-DF8D-9B5A-7F3B-36833B260C5B}"/>
            </a:ext>
          </a:extLst>
        </cdr:cNvPr>
        <cdr:cNvSpPr txBox="1"/>
      </cdr:nvSpPr>
      <cdr:spPr>
        <a:xfrm xmlns:a="http://schemas.openxmlformats.org/drawingml/2006/main">
          <a:off x="4433813" y="512074"/>
          <a:ext cx="917409" cy="3906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rgbClr val="FF0000"/>
              </a:solidFill>
            </a:rPr>
            <a:t>-3%</a:t>
          </a:r>
        </a:p>
        <a:p xmlns:a="http://schemas.openxmlformats.org/drawingml/2006/main">
          <a:pPr algn="ctr"/>
          <a:r>
            <a:rPr lang="en-US" sz="900" kern="1200">
              <a:solidFill>
                <a:srgbClr val="FF0000"/>
              </a:solidFill>
            </a:rPr>
            <a:t>($1,795,924)</a:t>
          </a:r>
        </a:p>
      </cdr:txBody>
    </cdr:sp>
  </cdr:relSizeAnchor>
  <cdr:relSizeAnchor xmlns:cdr="http://schemas.openxmlformats.org/drawingml/2006/chartDrawing">
    <cdr:from>
      <cdr:x>0.62566</cdr:x>
      <cdr:y>0.57793</cdr:y>
    </cdr:from>
    <cdr:to>
      <cdr:x>0.71955</cdr:x>
      <cdr:y>0.698</cdr:y>
    </cdr:to>
    <cdr:sp macro="" textlink="">
      <cdr:nvSpPr>
        <cdr:cNvPr id="8" name="TextBox 1">
          <a:extLst xmlns:a="http://schemas.openxmlformats.org/drawingml/2006/main">
            <a:ext uri="{FF2B5EF4-FFF2-40B4-BE49-F238E27FC236}">
              <a16:creationId xmlns:a16="http://schemas.microsoft.com/office/drawing/2014/main" id="{5C195F2B-480A-772C-B47C-320D2961F497}"/>
            </a:ext>
          </a:extLst>
        </cdr:cNvPr>
        <cdr:cNvSpPr txBox="1"/>
      </cdr:nvSpPr>
      <cdr:spPr>
        <a:xfrm xmlns:a="http://schemas.openxmlformats.org/drawingml/2006/main">
          <a:off x="5234389" y="1907405"/>
          <a:ext cx="785430" cy="3962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+4%</a:t>
          </a:r>
        </a:p>
        <a:p xmlns:a="http://schemas.openxmlformats.org/drawingml/2006/main">
          <a:pPr algn="ctr"/>
          <a:r>
            <a:rPr lang="en-US" sz="900" kern="1200">
              <a:solidFill>
                <a:schemeClr val="tx1">
                  <a:lumMod val="65000"/>
                  <a:lumOff val="35000"/>
                </a:schemeClr>
              </a:solidFill>
            </a:rPr>
            <a:t>$729,903</a:t>
          </a:r>
        </a:p>
      </cdr:txBody>
    </cdr:sp>
  </cdr:relSizeAnchor>
  <cdr:relSizeAnchor xmlns:cdr="http://schemas.openxmlformats.org/drawingml/2006/chartDrawing">
    <cdr:from>
      <cdr:x>0.72089</cdr:x>
      <cdr:y>0.72589</cdr:y>
    </cdr:from>
    <cdr:to>
      <cdr:x>0.79842</cdr:x>
      <cdr:y>0.83281</cdr:y>
    </cdr:to>
    <cdr:sp macro="" textlink="">
      <cdr:nvSpPr>
        <cdr:cNvPr id="9" name="TextBox 1">
          <a:extLst xmlns:a="http://schemas.openxmlformats.org/drawingml/2006/main">
            <a:ext uri="{FF2B5EF4-FFF2-40B4-BE49-F238E27FC236}">
              <a16:creationId xmlns:a16="http://schemas.microsoft.com/office/drawing/2014/main" id="{2CF1EA85-B6EB-5D14-6C20-851E5B3BE52E}"/>
            </a:ext>
          </a:extLst>
        </cdr:cNvPr>
        <cdr:cNvSpPr txBox="1"/>
      </cdr:nvSpPr>
      <cdr:spPr>
        <a:xfrm xmlns:a="http://schemas.openxmlformats.org/drawingml/2006/main">
          <a:off x="6031085" y="2395751"/>
          <a:ext cx="648624" cy="3528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+4% $312,054</a:t>
          </a:r>
        </a:p>
      </cdr:txBody>
    </cdr:sp>
  </cdr:relSizeAnchor>
  <cdr:relSizeAnchor xmlns:cdr="http://schemas.openxmlformats.org/drawingml/2006/chartDrawing">
    <cdr:from>
      <cdr:x>0.80458</cdr:x>
      <cdr:y>0.7883</cdr:y>
    </cdr:from>
    <cdr:to>
      <cdr:x>0.88596</cdr:x>
      <cdr:y>0.88664</cdr:y>
    </cdr:to>
    <cdr:sp macro="" textlink="">
      <cdr:nvSpPr>
        <cdr:cNvPr id="10" name="TextBox 1">
          <a:extLst xmlns:a="http://schemas.openxmlformats.org/drawingml/2006/main">
            <a:ext uri="{FF2B5EF4-FFF2-40B4-BE49-F238E27FC236}">
              <a16:creationId xmlns:a16="http://schemas.microsoft.com/office/drawing/2014/main" id="{AAA2B0E9-80E0-2530-F822-E15AF9DE7C6A}"/>
            </a:ext>
          </a:extLst>
        </cdr:cNvPr>
        <cdr:cNvSpPr txBox="1"/>
      </cdr:nvSpPr>
      <cdr:spPr>
        <a:xfrm xmlns:a="http://schemas.openxmlformats.org/drawingml/2006/main">
          <a:off x="6731214" y="2601709"/>
          <a:ext cx="680813" cy="3245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+3% $90,041</a:t>
          </a:r>
        </a:p>
      </cdr:txBody>
    </cdr:sp>
  </cdr:relSizeAnchor>
  <cdr:relSizeAnchor xmlns:cdr="http://schemas.openxmlformats.org/drawingml/2006/chartDrawing">
    <cdr:from>
      <cdr:x>0.89115</cdr:x>
      <cdr:y>0.76961</cdr:y>
    </cdr:from>
    <cdr:to>
      <cdr:x>0.97792</cdr:x>
      <cdr:y>0.8651</cdr:y>
    </cdr:to>
    <cdr:sp macro="" textlink="">
      <cdr:nvSpPr>
        <cdr:cNvPr id="11" name="TextBox 1">
          <a:extLst xmlns:a="http://schemas.openxmlformats.org/drawingml/2006/main">
            <a:ext uri="{FF2B5EF4-FFF2-40B4-BE49-F238E27FC236}">
              <a16:creationId xmlns:a16="http://schemas.microsoft.com/office/drawing/2014/main" id="{166AF0AF-9735-2B88-F573-4513F114CA81}"/>
            </a:ext>
          </a:extLst>
        </cdr:cNvPr>
        <cdr:cNvSpPr txBox="1"/>
      </cdr:nvSpPr>
      <cdr:spPr>
        <a:xfrm xmlns:a="http://schemas.openxmlformats.org/drawingml/2006/main">
          <a:off x="7455484" y="2540041"/>
          <a:ext cx="725879" cy="3151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rgbClr val="FF0000"/>
              </a:solidFill>
            </a:rPr>
            <a:t>-3%</a:t>
          </a:r>
        </a:p>
        <a:p xmlns:a="http://schemas.openxmlformats.org/drawingml/2006/main">
          <a:pPr algn="ctr"/>
          <a:r>
            <a:rPr lang="en-US" sz="900" kern="1200">
              <a:solidFill>
                <a:srgbClr val="FF0000"/>
              </a:solidFill>
            </a:rPr>
            <a:t>($126,024)</a:t>
          </a:r>
        </a:p>
      </cdr:txBody>
    </cdr:sp>
  </cdr:relSizeAnchor>
</c:userShapes>
</file>

<file path=xl/drawings/drawing5.xml><?xml version="1.0" encoding="utf-8"?>
<xdr:wsDr xmlns:xdr="http://schemas.openxmlformats.org/drawingml/2006/spreadsheetDrawing" xmlns:a="http://schemas.openxmlformats.org/drawingml/2006/main">
  <xdr:twoCellAnchor>
    <xdr:from>
      <xdr:col>12</xdr:col>
      <xdr:colOff>39687</xdr:colOff>
      <xdr:row>3</xdr:row>
      <xdr:rowOff>1585</xdr:rowOff>
    </xdr:from>
    <xdr:to>
      <xdr:col>21</xdr:col>
      <xdr:colOff>166687</xdr:colOff>
      <xdr:row>22</xdr:row>
      <xdr:rowOff>87311</xdr:rowOff>
    </xdr:to>
    <xdr:grpSp>
      <xdr:nvGrpSpPr>
        <xdr:cNvPr id="3" name="Group 2">
          <a:extLst>
            <a:ext uri="{FF2B5EF4-FFF2-40B4-BE49-F238E27FC236}">
              <a16:creationId xmlns:a16="http://schemas.microsoft.com/office/drawing/2014/main" id="{B6E56623-4E9D-4DB2-8C17-63129E3C3F54}"/>
            </a:ext>
          </a:extLst>
        </xdr:cNvPr>
        <xdr:cNvGrpSpPr/>
      </xdr:nvGrpSpPr>
      <xdr:grpSpPr>
        <a:xfrm>
          <a:off x="10636250" y="573085"/>
          <a:ext cx="8337550" cy="3430589"/>
          <a:chOff x="9310687" y="501648"/>
          <a:chExt cx="8366125" cy="3300413"/>
        </a:xfrm>
      </xdr:grpSpPr>
      <xdr:graphicFrame macro="">
        <xdr:nvGraphicFramePr>
          <xdr:cNvPr id="4" name="Chart 3">
            <a:extLst>
              <a:ext uri="{FF2B5EF4-FFF2-40B4-BE49-F238E27FC236}">
                <a16:creationId xmlns:a16="http://schemas.microsoft.com/office/drawing/2014/main" id="{43B4206F-93B3-EEDF-4681-86121B9AC09B}"/>
              </a:ext>
            </a:extLst>
          </xdr:cNvPr>
          <xdr:cNvGraphicFramePr/>
        </xdr:nvGraphicFramePr>
        <xdr:xfrm>
          <a:off x="9310687" y="501648"/>
          <a:ext cx="8366125" cy="330041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1">
            <a:extLst>
              <a:ext uri="{FF2B5EF4-FFF2-40B4-BE49-F238E27FC236}">
                <a16:creationId xmlns:a16="http://schemas.microsoft.com/office/drawing/2014/main" id="{76E14E20-4E53-A98F-5B5C-71FD282BF04D}"/>
              </a:ext>
            </a:extLst>
          </xdr:cNvPr>
          <xdr:cNvSpPr txBox="1"/>
        </xdr:nvSpPr>
        <xdr:spPr>
          <a:xfrm>
            <a:off x="10890251" y="3079751"/>
            <a:ext cx="658813" cy="3016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900" kern="1200">
                <a:solidFill>
                  <a:srgbClr val="FF0000"/>
                </a:solidFill>
              </a:rPr>
              <a:t>-1% ($16,206)</a:t>
            </a:r>
          </a:p>
        </xdr:txBody>
      </xdr:sp>
      <xdr:sp macro="" textlink="">
        <xdr:nvSpPr>
          <xdr:cNvPr id="6" name="TextBox 1">
            <a:extLst>
              <a:ext uri="{FF2B5EF4-FFF2-40B4-BE49-F238E27FC236}">
                <a16:creationId xmlns:a16="http://schemas.microsoft.com/office/drawing/2014/main" id="{B3C799E4-3FE1-47DC-6372-5E7C019B469B}"/>
              </a:ext>
            </a:extLst>
          </xdr:cNvPr>
          <xdr:cNvSpPr txBox="1"/>
        </xdr:nvSpPr>
        <xdr:spPr>
          <a:xfrm>
            <a:off x="11677650" y="3128963"/>
            <a:ext cx="633413" cy="3714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900" kern="1200">
                <a:solidFill>
                  <a:srgbClr val="FF0000"/>
                </a:solidFill>
              </a:rPr>
              <a:t>-7%</a:t>
            </a:r>
          </a:p>
          <a:p>
            <a:pPr algn="ctr"/>
            <a:r>
              <a:rPr lang="en-US" sz="900" kern="1200">
                <a:solidFill>
                  <a:srgbClr val="FF0000"/>
                </a:solidFill>
              </a:rPr>
              <a:t>($79,757)</a:t>
            </a:r>
          </a:p>
        </xdr:txBody>
      </xdr:sp>
    </xdr:grpSp>
    <xdr:clientData/>
  </xdr:twoCellAnchor>
</xdr:wsDr>
</file>

<file path=xl/drawings/drawing6.xml><?xml version="1.0" encoding="utf-8"?>
<c:userShapes xmlns:c="http://schemas.openxmlformats.org/drawingml/2006/chart">
  <cdr:relSizeAnchor xmlns:cdr="http://schemas.openxmlformats.org/drawingml/2006/chartDrawing">
    <cdr:from>
      <cdr:x>0.09196</cdr:x>
      <cdr:y>0.80406</cdr:y>
    </cdr:from>
    <cdr:to>
      <cdr:x>0.19237</cdr:x>
      <cdr:y>0.98425</cdr:y>
    </cdr:to>
    <cdr:sp macro="" textlink="">
      <cdr:nvSpPr>
        <cdr:cNvPr id="2" name="TextBox 1">
          <a:extLst xmlns:a="http://schemas.openxmlformats.org/drawingml/2006/main">
            <a:ext uri="{FF2B5EF4-FFF2-40B4-BE49-F238E27FC236}">
              <a16:creationId xmlns:a16="http://schemas.microsoft.com/office/drawing/2014/main" id="{C3E9672F-C085-3AF5-311F-8651E6387371}"/>
            </a:ext>
          </a:extLst>
        </cdr:cNvPr>
        <cdr:cNvSpPr txBox="1"/>
      </cdr:nvSpPr>
      <cdr:spPr>
        <a:xfrm xmlns:a="http://schemas.openxmlformats.org/drawingml/2006/main">
          <a:off x="769333" y="2653719"/>
          <a:ext cx="840045" cy="594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900" kern="1200">
              <a:solidFill>
                <a:schemeClr val="tx1">
                  <a:lumMod val="65000"/>
                  <a:lumOff val="35000"/>
                </a:schemeClr>
              </a:solidFill>
            </a:rPr>
            <a:t>+2% </a:t>
          </a:r>
        </a:p>
        <a:p xmlns:a="http://schemas.openxmlformats.org/drawingml/2006/main">
          <a:pPr algn="ctr"/>
          <a:r>
            <a:rPr lang="en-US" sz="900" kern="1200">
              <a:solidFill>
                <a:schemeClr val="tx1">
                  <a:lumMod val="65000"/>
                  <a:lumOff val="35000"/>
                </a:schemeClr>
              </a:solidFill>
            </a:rPr>
            <a:t>$45,097</a:t>
          </a:r>
        </a:p>
      </cdr:txBody>
    </cdr:sp>
  </cdr:relSizeAnchor>
  <cdr:relSizeAnchor xmlns:cdr="http://schemas.openxmlformats.org/drawingml/2006/chartDrawing">
    <cdr:from>
      <cdr:x>0.36313</cdr:x>
      <cdr:y>0.48087</cdr:y>
    </cdr:from>
    <cdr:to>
      <cdr:x>0.44354</cdr:x>
      <cdr:y>0.58493</cdr:y>
    </cdr:to>
    <cdr:sp macro="" textlink="">
      <cdr:nvSpPr>
        <cdr:cNvPr id="4" name="TextBox 1">
          <a:extLst xmlns:a="http://schemas.openxmlformats.org/drawingml/2006/main">
            <a:ext uri="{FF2B5EF4-FFF2-40B4-BE49-F238E27FC236}">
              <a16:creationId xmlns:a16="http://schemas.microsoft.com/office/drawing/2014/main" id="{88DA859A-A487-5BED-F0CE-6D2D4F8CF62B}"/>
            </a:ext>
          </a:extLst>
        </cdr:cNvPr>
        <cdr:cNvSpPr txBox="1"/>
      </cdr:nvSpPr>
      <cdr:spPr>
        <a:xfrm xmlns:a="http://schemas.openxmlformats.org/drawingml/2006/main">
          <a:off x="3037985" y="1587082"/>
          <a:ext cx="672767" cy="3434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+2%</a:t>
          </a:r>
        </a:p>
        <a:p xmlns:a="http://schemas.openxmlformats.org/drawingml/2006/main">
          <a:pPr algn="ctr"/>
          <a:r>
            <a:rPr lang="en-US" sz="900" kern="1200">
              <a:solidFill>
                <a:schemeClr val="tx1">
                  <a:lumMod val="65000"/>
                  <a:lumOff val="35000"/>
                </a:schemeClr>
              </a:solidFill>
            </a:rPr>
            <a:t>$584,649</a:t>
          </a:r>
        </a:p>
      </cdr:txBody>
    </cdr:sp>
  </cdr:relSizeAnchor>
  <cdr:relSizeAnchor xmlns:cdr="http://schemas.openxmlformats.org/drawingml/2006/chartDrawing">
    <cdr:from>
      <cdr:x>0.45162</cdr:x>
      <cdr:y>0.78994</cdr:y>
    </cdr:from>
    <cdr:to>
      <cdr:x>0.53416</cdr:x>
      <cdr:y>0.91823</cdr:y>
    </cdr:to>
    <cdr:sp macro="" textlink="">
      <cdr:nvSpPr>
        <cdr:cNvPr id="5" name="TextBox 1">
          <a:extLst xmlns:a="http://schemas.openxmlformats.org/drawingml/2006/main">
            <a:ext uri="{FF2B5EF4-FFF2-40B4-BE49-F238E27FC236}">
              <a16:creationId xmlns:a16="http://schemas.microsoft.com/office/drawing/2014/main" id="{CC5953DB-8C33-1907-8B4E-B2D98EE0B765}"/>
            </a:ext>
          </a:extLst>
        </cdr:cNvPr>
        <cdr:cNvSpPr txBox="1"/>
      </cdr:nvSpPr>
      <cdr:spPr>
        <a:xfrm xmlns:a="http://schemas.openxmlformats.org/drawingml/2006/main">
          <a:off x="3778351" y="2607121"/>
          <a:ext cx="690462" cy="4234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+9%</a:t>
          </a:r>
        </a:p>
        <a:p xmlns:a="http://schemas.openxmlformats.org/drawingml/2006/main">
          <a:pPr algn="ctr"/>
          <a:r>
            <a:rPr lang="en-US" sz="900" kern="1200">
              <a:solidFill>
                <a:schemeClr val="tx1">
                  <a:lumMod val="65000"/>
                  <a:lumOff val="35000"/>
                </a:schemeClr>
              </a:solidFill>
            </a:rPr>
            <a:t>$256,168</a:t>
          </a:r>
        </a:p>
      </cdr:txBody>
    </cdr:sp>
  </cdr:relSizeAnchor>
  <cdr:relSizeAnchor xmlns:cdr="http://schemas.openxmlformats.org/drawingml/2006/chartDrawing">
    <cdr:from>
      <cdr:x>0.52997</cdr:x>
      <cdr:y>0.15515</cdr:y>
    </cdr:from>
    <cdr:to>
      <cdr:x>0.63963</cdr:x>
      <cdr:y>0.27351</cdr:y>
    </cdr:to>
    <cdr:sp macro="" textlink="">
      <cdr:nvSpPr>
        <cdr:cNvPr id="6" name="TextBox 1">
          <a:extLst xmlns:a="http://schemas.openxmlformats.org/drawingml/2006/main">
            <a:ext uri="{FF2B5EF4-FFF2-40B4-BE49-F238E27FC236}">
              <a16:creationId xmlns:a16="http://schemas.microsoft.com/office/drawing/2014/main" id="{49863BFA-DF8D-9B5A-7F3B-36833B260C5B}"/>
            </a:ext>
          </a:extLst>
        </cdr:cNvPr>
        <cdr:cNvSpPr txBox="1"/>
      </cdr:nvSpPr>
      <cdr:spPr>
        <a:xfrm xmlns:a="http://schemas.openxmlformats.org/drawingml/2006/main">
          <a:off x="4433813" y="512074"/>
          <a:ext cx="917409" cy="3906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rgbClr val="FF0000"/>
              </a:solidFill>
            </a:rPr>
            <a:t>-3%</a:t>
          </a:r>
        </a:p>
        <a:p xmlns:a="http://schemas.openxmlformats.org/drawingml/2006/main">
          <a:pPr algn="ctr"/>
          <a:r>
            <a:rPr lang="en-US" sz="900" kern="1200">
              <a:solidFill>
                <a:srgbClr val="FF0000"/>
              </a:solidFill>
            </a:rPr>
            <a:t>($1,795,924)</a:t>
          </a:r>
        </a:p>
      </cdr:txBody>
    </cdr:sp>
  </cdr:relSizeAnchor>
  <cdr:relSizeAnchor xmlns:cdr="http://schemas.openxmlformats.org/drawingml/2006/chartDrawing">
    <cdr:from>
      <cdr:x>0.62566</cdr:x>
      <cdr:y>0.57793</cdr:y>
    </cdr:from>
    <cdr:to>
      <cdr:x>0.71955</cdr:x>
      <cdr:y>0.698</cdr:y>
    </cdr:to>
    <cdr:sp macro="" textlink="">
      <cdr:nvSpPr>
        <cdr:cNvPr id="8" name="TextBox 1">
          <a:extLst xmlns:a="http://schemas.openxmlformats.org/drawingml/2006/main">
            <a:ext uri="{FF2B5EF4-FFF2-40B4-BE49-F238E27FC236}">
              <a16:creationId xmlns:a16="http://schemas.microsoft.com/office/drawing/2014/main" id="{5C195F2B-480A-772C-B47C-320D2961F497}"/>
            </a:ext>
          </a:extLst>
        </cdr:cNvPr>
        <cdr:cNvSpPr txBox="1"/>
      </cdr:nvSpPr>
      <cdr:spPr>
        <a:xfrm xmlns:a="http://schemas.openxmlformats.org/drawingml/2006/main">
          <a:off x="5234389" y="1907405"/>
          <a:ext cx="785430" cy="3962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+4%</a:t>
          </a:r>
        </a:p>
        <a:p xmlns:a="http://schemas.openxmlformats.org/drawingml/2006/main">
          <a:pPr algn="ctr"/>
          <a:r>
            <a:rPr lang="en-US" sz="900" kern="1200">
              <a:solidFill>
                <a:schemeClr val="tx1">
                  <a:lumMod val="65000"/>
                  <a:lumOff val="35000"/>
                </a:schemeClr>
              </a:solidFill>
            </a:rPr>
            <a:t>$729,903</a:t>
          </a:r>
        </a:p>
      </cdr:txBody>
    </cdr:sp>
  </cdr:relSizeAnchor>
  <cdr:relSizeAnchor xmlns:cdr="http://schemas.openxmlformats.org/drawingml/2006/chartDrawing">
    <cdr:from>
      <cdr:x>0.72089</cdr:x>
      <cdr:y>0.72589</cdr:y>
    </cdr:from>
    <cdr:to>
      <cdr:x>0.79842</cdr:x>
      <cdr:y>0.83281</cdr:y>
    </cdr:to>
    <cdr:sp macro="" textlink="">
      <cdr:nvSpPr>
        <cdr:cNvPr id="9" name="TextBox 1">
          <a:extLst xmlns:a="http://schemas.openxmlformats.org/drawingml/2006/main">
            <a:ext uri="{FF2B5EF4-FFF2-40B4-BE49-F238E27FC236}">
              <a16:creationId xmlns:a16="http://schemas.microsoft.com/office/drawing/2014/main" id="{2CF1EA85-B6EB-5D14-6C20-851E5B3BE52E}"/>
            </a:ext>
          </a:extLst>
        </cdr:cNvPr>
        <cdr:cNvSpPr txBox="1"/>
      </cdr:nvSpPr>
      <cdr:spPr>
        <a:xfrm xmlns:a="http://schemas.openxmlformats.org/drawingml/2006/main">
          <a:off x="6031085" y="2395751"/>
          <a:ext cx="648624" cy="3528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+4% $312,054</a:t>
          </a:r>
        </a:p>
      </cdr:txBody>
    </cdr:sp>
  </cdr:relSizeAnchor>
  <cdr:relSizeAnchor xmlns:cdr="http://schemas.openxmlformats.org/drawingml/2006/chartDrawing">
    <cdr:from>
      <cdr:x>0.80458</cdr:x>
      <cdr:y>0.7883</cdr:y>
    </cdr:from>
    <cdr:to>
      <cdr:x>0.88596</cdr:x>
      <cdr:y>0.88664</cdr:y>
    </cdr:to>
    <cdr:sp macro="" textlink="">
      <cdr:nvSpPr>
        <cdr:cNvPr id="10" name="TextBox 1">
          <a:extLst xmlns:a="http://schemas.openxmlformats.org/drawingml/2006/main">
            <a:ext uri="{FF2B5EF4-FFF2-40B4-BE49-F238E27FC236}">
              <a16:creationId xmlns:a16="http://schemas.microsoft.com/office/drawing/2014/main" id="{AAA2B0E9-80E0-2530-F822-E15AF9DE7C6A}"/>
            </a:ext>
          </a:extLst>
        </cdr:cNvPr>
        <cdr:cNvSpPr txBox="1"/>
      </cdr:nvSpPr>
      <cdr:spPr>
        <a:xfrm xmlns:a="http://schemas.openxmlformats.org/drawingml/2006/main">
          <a:off x="6731214" y="2601709"/>
          <a:ext cx="680813" cy="3245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+3% $90,041</a:t>
          </a:r>
        </a:p>
      </cdr:txBody>
    </cdr:sp>
  </cdr:relSizeAnchor>
  <cdr:relSizeAnchor xmlns:cdr="http://schemas.openxmlformats.org/drawingml/2006/chartDrawing">
    <cdr:from>
      <cdr:x>0.89115</cdr:x>
      <cdr:y>0.76961</cdr:y>
    </cdr:from>
    <cdr:to>
      <cdr:x>0.97792</cdr:x>
      <cdr:y>0.8651</cdr:y>
    </cdr:to>
    <cdr:sp macro="" textlink="">
      <cdr:nvSpPr>
        <cdr:cNvPr id="11" name="TextBox 1">
          <a:extLst xmlns:a="http://schemas.openxmlformats.org/drawingml/2006/main">
            <a:ext uri="{FF2B5EF4-FFF2-40B4-BE49-F238E27FC236}">
              <a16:creationId xmlns:a16="http://schemas.microsoft.com/office/drawing/2014/main" id="{166AF0AF-9735-2B88-F573-4513F114CA81}"/>
            </a:ext>
          </a:extLst>
        </cdr:cNvPr>
        <cdr:cNvSpPr txBox="1"/>
      </cdr:nvSpPr>
      <cdr:spPr>
        <a:xfrm xmlns:a="http://schemas.openxmlformats.org/drawingml/2006/main">
          <a:off x="7455484" y="2540041"/>
          <a:ext cx="725879" cy="3151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rgbClr val="FF0000"/>
              </a:solidFill>
            </a:rPr>
            <a:t>-3%</a:t>
          </a:r>
        </a:p>
        <a:p xmlns:a="http://schemas.openxmlformats.org/drawingml/2006/main">
          <a:pPr algn="ctr"/>
          <a:r>
            <a:rPr lang="en-US" sz="900" kern="1200">
              <a:solidFill>
                <a:srgbClr val="FF0000"/>
              </a:solidFill>
            </a:rPr>
            <a:t>($126,024)</a:t>
          </a:r>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610583</xdr:colOff>
      <xdr:row>16</xdr:row>
      <xdr:rowOff>2594</xdr:rowOff>
    </xdr:from>
    <xdr:to>
      <xdr:col>1</xdr:col>
      <xdr:colOff>1450628</xdr:colOff>
      <xdr:row>18</xdr:row>
      <xdr:rowOff>136944</xdr:rowOff>
    </xdr:to>
    <xdr:graphicFrame macro="">
      <xdr:nvGraphicFramePr>
        <xdr:cNvPr id="2" name="Chart 1">
          <a:extLst>
            <a:ext uri="{FF2B5EF4-FFF2-40B4-BE49-F238E27FC236}">
              <a16:creationId xmlns:a16="http://schemas.microsoft.com/office/drawing/2014/main" id="{123E8CF6-FFAF-4DB5-A6C2-4371418EA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39687</xdr:colOff>
      <xdr:row>3</xdr:row>
      <xdr:rowOff>1585</xdr:rowOff>
    </xdr:from>
    <xdr:to>
      <xdr:col>21</xdr:col>
      <xdr:colOff>166687</xdr:colOff>
      <xdr:row>22</xdr:row>
      <xdr:rowOff>87311</xdr:rowOff>
    </xdr:to>
    <xdr:grpSp>
      <xdr:nvGrpSpPr>
        <xdr:cNvPr id="3" name="Group 2">
          <a:extLst>
            <a:ext uri="{FF2B5EF4-FFF2-40B4-BE49-F238E27FC236}">
              <a16:creationId xmlns:a16="http://schemas.microsoft.com/office/drawing/2014/main" id="{289C460C-71CD-4208-9096-E842B89C3379}"/>
            </a:ext>
          </a:extLst>
        </xdr:cNvPr>
        <xdr:cNvGrpSpPr/>
      </xdr:nvGrpSpPr>
      <xdr:grpSpPr>
        <a:xfrm>
          <a:off x="10636250" y="573085"/>
          <a:ext cx="8607425" cy="3430589"/>
          <a:chOff x="9310687" y="501648"/>
          <a:chExt cx="8366125" cy="3300413"/>
        </a:xfrm>
      </xdr:grpSpPr>
      <xdr:graphicFrame macro="">
        <xdr:nvGraphicFramePr>
          <xdr:cNvPr id="4" name="Chart 3">
            <a:extLst>
              <a:ext uri="{FF2B5EF4-FFF2-40B4-BE49-F238E27FC236}">
                <a16:creationId xmlns:a16="http://schemas.microsoft.com/office/drawing/2014/main" id="{F49A855E-D6B6-5230-11C0-B72E3EFED39D}"/>
              </a:ext>
            </a:extLst>
          </xdr:cNvPr>
          <xdr:cNvGraphicFramePr/>
        </xdr:nvGraphicFramePr>
        <xdr:xfrm>
          <a:off x="9310687" y="501648"/>
          <a:ext cx="8366125" cy="3300413"/>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Box 1">
            <a:extLst>
              <a:ext uri="{FF2B5EF4-FFF2-40B4-BE49-F238E27FC236}">
                <a16:creationId xmlns:a16="http://schemas.microsoft.com/office/drawing/2014/main" id="{0F8D68D5-67E8-26D6-74D3-9DBA6CD332CD}"/>
              </a:ext>
            </a:extLst>
          </xdr:cNvPr>
          <xdr:cNvSpPr txBox="1"/>
        </xdr:nvSpPr>
        <xdr:spPr>
          <a:xfrm>
            <a:off x="10890251" y="3079751"/>
            <a:ext cx="658813" cy="3016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900" kern="1200">
                <a:solidFill>
                  <a:srgbClr val="FF0000"/>
                </a:solidFill>
              </a:rPr>
              <a:t>-1% ($16,206)</a:t>
            </a:r>
          </a:p>
        </xdr:txBody>
      </xdr:sp>
      <xdr:sp macro="" textlink="">
        <xdr:nvSpPr>
          <xdr:cNvPr id="6" name="TextBox 1">
            <a:extLst>
              <a:ext uri="{FF2B5EF4-FFF2-40B4-BE49-F238E27FC236}">
                <a16:creationId xmlns:a16="http://schemas.microsoft.com/office/drawing/2014/main" id="{06D6ADE2-81A0-25AA-360F-7231FF1E2D23}"/>
              </a:ext>
            </a:extLst>
          </xdr:cNvPr>
          <xdr:cNvSpPr txBox="1"/>
        </xdr:nvSpPr>
        <xdr:spPr>
          <a:xfrm>
            <a:off x="11677650" y="3128963"/>
            <a:ext cx="633413" cy="3714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900" kern="1200">
                <a:solidFill>
                  <a:srgbClr val="FF0000"/>
                </a:solidFill>
              </a:rPr>
              <a:t>-7%</a:t>
            </a:r>
          </a:p>
          <a:p>
            <a:pPr algn="ctr"/>
            <a:r>
              <a:rPr lang="en-US" sz="900" kern="1200">
                <a:solidFill>
                  <a:srgbClr val="FF0000"/>
                </a:solidFill>
              </a:rPr>
              <a:t>($79,757)</a:t>
            </a:r>
          </a:p>
        </xdr:txBody>
      </xdr:sp>
    </xdr:grpSp>
    <xdr:clientData/>
  </xdr:twoCellAnchor>
</xdr:wsDr>
</file>

<file path=xl/drawings/drawing8.xml><?xml version="1.0" encoding="utf-8"?>
<c:userShapes xmlns:c="http://schemas.openxmlformats.org/drawingml/2006/chart">
  <cdr:relSizeAnchor xmlns:cdr="http://schemas.openxmlformats.org/drawingml/2006/chartDrawing">
    <cdr:from>
      <cdr:x>0.09196</cdr:x>
      <cdr:y>0.80406</cdr:y>
    </cdr:from>
    <cdr:to>
      <cdr:x>0.19237</cdr:x>
      <cdr:y>0.98425</cdr:y>
    </cdr:to>
    <cdr:sp macro="" textlink="">
      <cdr:nvSpPr>
        <cdr:cNvPr id="2" name="TextBox 1">
          <a:extLst xmlns:a="http://schemas.openxmlformats.org/drawingml/2006/main">
            <a:ext uri="{FF2B5EF4-FFF2-40B4-BE49-F238E27FC236}">
              <a16:creationId xmlns:a16="http://schemas.microsoft.com/office/drawing/2014/main" id="{C3E9672F-C085-3AF5-311F-8651E6387371}"/>
            </a:ext>
          </a:extLst>
        </cdr:cNvPr>
        <cdr:cNvSpPr txBox="1"/>
      </cdr:nvSpPr>
      <cdr:spPr>
        <a:xfrm xmlns:a="http://schemas.openxmlformats.org/drawingml/2006/main">
          <a:off x="769333" y="2653719"/>
          <a:ext cx="840045" cy="594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900" kern="1200">
              <a:solidFill>
                <a:schemeClr val="tx1">
                  <a:lumMod val="65000"/>
                  <a:lumOff val="35000"/>
                </a:schemeClr>
              </a:solidFill>
            </a:rPr>
            <a:t>+2% </a:t>
          </a:r>
        </a:p>
        <a:p xmlns:a="http://schemas.openxmlformats.org/drawingml/2006/main">
          <a:pPr algn="ctr"/>
          <a:r>
            <a:rPr lang="en-US" sz="900" kern="1200">
              <a:solidFill>
                <a:schemeClr val="tx1">
                  <a:lumMod val="65000"/>
                  <a:lumOff val="35000"/>
                </a:schemeClr>
              </a:solidFill>
            </a:rPr>
            <a:t>$45,097</a:t>
          </a:r>
        </a:p>
      </cdr:txBody>
    </cdr:sp>
  </cdr:relSizeAnchor>
  <cdr:relSizeAnchor xmlns:cdr="http://schemas.openxmlformats.org/drawingml/2006/chartDrawing">
    <cdr:from>
      <cdr:x>0.36313</cdr:x>
      <cdr:y>0.48087</cdr:y>
    </cdr:from>
    <cdr:to>
      <cdr:x>0.44354</cdr:x>
      <cdr:y>0.58493</cdr:y>
    </cdr:to>
    <cdr:sp macro="" textlink="">
      <cdr:nvSpPr>
        <cdr:cNvPr id="4" name="TextBox 1">
          <a:extLst xmlns:a="http://schemas.openxmlformats.org/drawingml/2006/main">
            <a:ext uri="{FF2B5EF4-FFF2-40B4-BE49-F238E27FC236}">
              <a16:creationId xmlns:a16="http://schemas.microsoft.com/office/drawing/2014/main" id="{88DA859A-A487-5BED-F0CE-6D2D4F8CF62B}"/>
            </a:ext>
          </a:extLst>
        </cdr:cNvPr>
        <cdr:cNvSpPr txBox="1"/>
      </cdr:nvSpPr>
      <cdr:spPr>
        <a:xfrm xmlns:a="http://schemas.openxmlformats.org/drawingml/2006/main">
          <a:off x="3037985" y="1587082"/>
          <a:ext cx="672767" cy="3434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+2%</a:t>
          </a:r>
        </a:p>
        <a:p xmlns:a="http://schemas.openxmlformats.org/drawingml/2006/main">
          <a:pPr algn="ctr"/>
          <a:r>
            <a:rPr lang="en-US" sz="900" kern="1200">
              <a:solidFill>
                <a:schemeClr val="tx1">
                  <a:lumMod val="65000"/>
                  <a:lumOff val="35000"/>
                </a:schemeClr>
              </a:solidFill>
            </a:rPr>
            <a:t>$584,649</a:t>
          </a:r>
        </a:p>
      </cdr:txBody>
    </cdr:sp>
  </cdr:relSizeAnchor>
  <cdr:relSizeAnchor xmlns:cdr="http://schemas.openxmlformats.org/drawingml/2006/chartDrawing">
    <cdr:from>
      <cdr:x>0.45162</cdr:x>
      <cdr:y>0.78994</cdr:y>
    </cdr:from>
    <cdr:to>
      <cdr:x>0.53416</cdr:x>
      <cdr:y>0.91823</cdr:y>
    </cdr:to>
    <cdr:sp macro="" textlink="">
      <cdr:nvSpPr>
        <cdr:cNvPr id="5" name="TextBox 1">
          <a:extLst xmlns:a="http://schemas.openxmlformats.org/drawingml/2006/main">
            <a:ext uri="{FF2B5EF4-FFF2-40B4-BE49-F238E27FC236}">
              <a16:creationId xmlns:a16="http://schemas.microsoft.com/office/drawing/2014/main" id="{CC5953DB-8C33-1907-8B4E-B2D98EE0B765}"/>
            </a:ext>
          </a:extLst>
        </cdr:cNvPr>
        <cdr:cNvSpPr txBox="1"/>
      </cdr:nvSpPr>
      <cdr:spPr>
        <a:xfrm xmlns:a="http://schemas.openxmlformats.org/drawingml/2006/main">
          <a:off x="3778351" y="2607121"/>
          <a:ext cx="690462" cy="4234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+9%</a:t>
          </a:r>
        </a:p>
        <a:p xmlns:a="http://schemas.openxmlformats.org/drawingml/2006/main">
          <a:pPr algn="ctr"/>
          <a:r>
            <a:rPr lang="en-US" sz="900" kern="1200">
              <a:solidFill>
                <a:schemeClr val="tx1">
                  <a:lumMod val="65000"/>
                  <a:lumOff val="35000"/>
                </a:schemeClr>
              </a:solidFill>
            </a:rPr>
            <a:t>$256,168</a:t>
          </a:r>
        </a:p>
      </cdr:txBody>
    </cdr:sp>
  </cdr:relSizeAnchor>
  <cdr:relSizeAnchor xmlns:cdr="http://schemas.openxmlformats.org/drawingml/2006/chartDrawing">
    <cdr:from>
      <cdr:x>0.52997</cdr:x>
      <cdr:y>0.15515</cdr:y>
    </cdr:from>
    <cdr:to>
      <cdr:x>0.63963</cdr:x>
      <cdr:y>0.27351</cdr:y>
    </cdr:to>
    <cdr:sp macro="" textlink="">
      <cdr:nvSpPr>
        <cdr:cNvPr id="6" name="TextBox 1">
          <a:extLst xmlns:a="http://schemas.openxmlformats.org/drawingml/2006/main">
            <a:ext uri="{FF2B5EF4-FFF2-40B4-BE49-F238E27FC236}">
              <a16:creationId xmlns:a16="http://schemas.microsoft.com/office/drawing/2014/main" id="{49863BFA-DF8D-9B5A-7F3B-36833B260C5B}"/>
            </a:ext>
          </a:extLst>
        </cdr:cNvPr>
        <cdr:cNvSpPr txBox="1"/>
      </cdr:nvSpPr>
      <cdr:spPr>
        <a:xfrm xmlns:a="http://schemas.openxmlformats.org/drawingml/2006/main">
          <a:off x="4433813" y="512074"/>
          <a:ext cx="917409" cy="3906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rgbClr val="FF0000"/>
              </a:solidFill>
            </a:rPr>
            <a:t>-3%</a:t>
          </a:r>
        </a:p>
        <a:p xmlns:a="http://schemas.openxmlformats.org/drawingml/2006/main">
          <a:pPr algn="ctr"/>
          <a:r>
            <a:rPr lang="en-US" sz="900" kern="1200">
              <a:solidFill>
                <a:srgbClr val="FF0000"/>
              </a:solidFill>
            </a:rPr>
            <a:t>($1,795,924)</a:t>
          </a:r>
        </a:p>
      </cdr:txBody>
    </cdr:sp>
  </cdr:relSizeAnchor>
  <cdr:relSizeAnchor xmlns:cdr="http://schemas.openxmlformats.org/drawingml/2006/chartDrawing">
    <cdr:from>
      <cdr:x>0.62566</cdr:x>
      <cdr:y>0.57793</cdr:y>
    </cdr:from>
    <cdr:to>
      <cdr:x>0.71955</cdr:x>
      <cdr:y>0.698</cdr:y>
    </cdr:to>
    <cdr:sp macro="" textlink="">
      <cdr:nvSpPr>
        <cdr:cNvPr id="8" name="TextBox 1">
          <a:extLst xmlns:a="http://schemas.openxmlformats.org/drawingml/2006/main">
            <a:ext uri="{FF2B5EF4-FFF2-40B4-BE49-F238E27FC236}">
              <a16:creationId xmlns:a16="http://schemas.microsoft.com/office/drawing/2014/main" id="{5C195F2B-480A-772C-B47C-320D2961F497}"/>
            </a:ext>
          </a:extLst>
        </cdr:cNvPr>
        <cdr:cNvSpPr txBox="1"/>
      </cdr:nvSpPr>
      <cdr:spPr>
        <a:xfrm xmlns:a="http://schemas.openxmlformats.org/drawingml/2006/main">
          <a:off x="5234389" y="1907405"/>
          <a:ext cx="785430" cy="3962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+4%</a:t>
          </a:r>
        </a:p>
        <a:p xmlns:a="http://schemas.openxmlformats.org/drawingml/2006/main">
          <a:pPr algn="ctr"/>
          <a:r>
            <a:rPr lang="en-US" sz="900" kern="1200">
              <a:solidFill>
                <a:schemeClr val="tx1">
                  <a:lumMod val="65000"/>
                  <a:lumOff val="35000"/>
                </a:schemeClr>
              </a:solidFill>
            </a:rPr>
            <a:t>$729,903</a:t>
          </a:r>
        </a:p>
      </cdr:txBody>
    </cdr:sp>
  </cdr:relSizeAnchor>
  <cdr:relSizeAnchor xmlns:cdr="http://schemas.openxmlformats.org/drawingml/2006/chartDrawing">
    <cdr:from>
      <cdr:x>0.72089</cdr:x>
      <cdr:y>0.72589</cdr:y>
    </cdr:from>
    <cdr:to>
      <cdr:x>0.79842</cdr:x>
      <cdr:y>0.83281</cdr:y>
    </cdr:to>
    <cdr:sp macro="" textlink="">
      <cdr:nvSpPr>
        <cdr:cNvPr id="9" name="TextBox 1">
          <a:extLst xmlns:a="http://schemas.openxmlformats.org/drawingml/2006/main">
            <a:ext uri="{FF2B5EF4-FFF2-40B4-BE49-F238E27FC236}">
              <a16:creationId xmlns:a16="http://schemas.microsoft.com/office/drawing/2014/main" id="{2CF1EA85-B6EB-5D14-6C20-851E5B3BE52E}"/>
            </a:ext>
          </a:extLst>
        </cdr:cNvPr>
        <cdr:cNvSpPr txBox="1"/>
      </cdr:nvSpPr>
      <cdr:spPr>
        <a:xfrm xmlns:a="http://schemas.openxmlformats.org/drawingml/2006/main">
          <a:off x="6031085" y="2395751"/>
          <a:ext cx="648624" cy="3528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+4% $312,054</a:t>
          </a:r>
        </a:p>
      </cdr:txBody>
    </cdr:sp>
  </cdr:relSizeAnchor>
  <cdr:relSizeAnchor xmlns:cdr="http://schemas.openxmlformats.org/drawingml/2006/chartDrawing">
    <cdr:from>
      <cdr:x>0.80458</cdr:x>
      <cdr:y>0.7883</cdr:y>
    </cdr:from>
    <cdr:to>
      <cdr:x>0.88596</cdr:x>
      <cdr:y>0.88664</cdr:y>
    </cdr:to>
    <cdr:sp macro="" textlink="">
      <cdr:nvSpPr>
        <cdr:cNvPr id="10" name="TextBox 1">
          <a:extLst xmlns:a="http://schemas.openxmlformats.org/drawingml/2006/main">
            <a:ext uri="{FF2B5EF4-FFF2-40B4-BE49-F238E27FC236}">
              <a16:creationId xmlns:a16="http://schemas.microsoft.com/office/drawing/2014/main" id="{AAA2B0E9-80E0-2530-F822-E15AF9DE7C6A}"/>
            </a:ext>
          </a:extLst>
        </cdr:cNvPr>
        <cdr:cNvSpPr txBox="1"/>
      </cdr:nvSpPr>
      <cdr:spPr>
        <a:xfrm xmlns:a="http://schemas.openxmlformats.org/drawingml/2006/main">
          <a:off x="6731214" y="2601709"/>
          <a:ext cx="680813" cy="3245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chemeClr val="tx1">
                  <a:lumMod val="65000"/>
                  <a:lumOff val="35000"/>
                </a:schemeClr>
              </a:solidFill>
            </a:rPr>
            <a:t>+3% $90,041</a:t>
          </a:r>
        </a:p>
      </cdr:txBody>
    </cdr:sp>
  </cdr:relSizeAnchor>
  <cdr:relSizeAnchor xmlns:cdr="http://schemas.openxmlformats.org/drawingml/2006/chartDrawing">
    <cdr:from>
      <cdr:x>0.89115</cdr:x>
      <cdr:y>0.76961</cdr:y>
    </cdr:from>
    <cdr:to>
      <cdr:x>0.97792</cdr:x>
      <cdr:y>0.8651</cdr:y>
    </cdr:to>
    <cdr:sp macro="" textlink="">
      <cdr:nvSpPr>
        <cdr:cNvPr id="11" name="TextBox 1">
          <a:extLst xmlns:a="http://schemas.openxmlformats.org/drawingml/2006/main">
            <a:ext uri="{FF2B5EF4-FFF2-40B4-BE49-F238E27FC236}">
              <a16:creationId xmlns:a16="http://schemas.microsoft.com/office/drawing/2014/main" id="{166AF0AF-9735-2B88-F573-4513F114CA81}"/>
            </a:ext>
          </a:extLst>
        </cdr:cNvPr>
        <cdr:cNvSpPr txBox="1"/>
      </cdr:nvSpPr>
      <cdr:spPr>
        <a:xfrm xmlns:a="http://schemas.openxmlformats.org/drawingml/2006/main">
          <a:off x="7455484" y="2540041"/>
          <a:ext cx="725879" cy="3151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kern="1200">
              <a:solidFill>
                <a:srgbClr val="FF0000"/>
              </a:solidFill>
            </a:rPr>
            <a:t>-3%</a:t>
          </a:r>
        </a:p>
        <a:p xmlns:a="http://schemas.openxmlformats.org/drawingml/2006/main">
          <a:pPr algn="ctr"/>
          <a:r>
            <a:rPr lang="en-US" sz="900" kern="1200">
              <a:solidFill>
                <a:srgbClr val="FF0000"/>
              </a:solidFill>
            </a:rPr>
            <a:t>($126,024)</a:t>
          </a:r>
        </a:p>
      </cdr:txBody>
    </cdr:sp>
  </cdr:relSizeAnchor>
</c:userShapes>
</file>

<file path=xl/drawings/drawing9.xml><?xml version="1.0" encoding="utf-8"?>
<xdr:wsDr xmlns:xdr="http://schemas.openxmlformats.org/drawingml/2006/spreadsheetDrawing" xmlns:a="http://schemas.openxmlformats.org/drawingml/2006/main">
  <xdr:twoCellAnchor>
    <xdr:from>
      <xdr:col>12</xdr:col>
      <xdr:colOff>39687</xdr:colOff>
      <xdr:row>3</xdr:row>
      <xdr:rowOff>1585</xdr:rowOff>
    </xdr:from>
    <xdr:to>
      <xdr:col>21</xdr:col>
      <xdr:colOff>166687</xdr:colOff>
      <xdr:row>22</xdr:row>
      <xdr:rowOff>87311</xdr:rowOff>
    </xdr:to>
    <xdr:grpSp>
      <xdr:nvGrpSpPr>
        <xdr:cNvPr id="3" name="Group 2">
          <a:extLst>
            <a:ext uri="{FF2B5EF4-FFF2-40B4-BE49-F238E27FC236}">
              <a16:creationId xmlns:a16="http://schemas.microsoft.com/office/drawing/2014/main" id="{D765D5DB-0263-4CD7-A457-10571251E377}"/>
            </a:ext>
          </a:extLst>
        </xdr:cNvPr>
        <xdr:cNvGrpSpPr/>
      </xdr:nvGrpSpPr>
      <xdr:grpSpPr>
        <a:xfrm>
          <a:off x="10636250" y="573085"/>
          <a:ext cx="8337550" cy="3430589"/>
          <a:chOff x="9310687" y="501648"/>
          <a:chExt cx="8366125" cy="3300413"/>
        </a:xfrm>
      </xdr:grpSpPr>
      <xdr:graphicFrame macro="">
        <xdr:nvGraphicFramePr>
          <xdr:cNvPr id="4" name="Chart 3">
            <a:extLst>
              <a:ext uri="{FF2B5EF4-FFF2-40B4-BE49-F238E27FC236}">
                <a16:creationId xmlns:a16="http://schemas.microsoft.com/office/drawing/2014/main" id="{29BE0ABB-719F-B2EA-4159-69EC7FDD09EA}"/>
              </a:ext>
            </a:extLst>
          </xdr:cNvPr>
          <xdr:cNvGraphicFramePr/>
        </xdr:nvGraphicFramePr>
        <xdr:xfrm>
          <a:off x="9310687" y="501648"/>
          <a:ext cx="8366125" cy="330041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1">
            <a:extLst>
              <a:ext uri="{FF2B5EF4-FFF2-40B4-BE49-F238E27FC236}">
                <a16:creationId xmlns:a16="http://schemas.microsoft.com/office/drawing/2014/main" id="{AC8D8C92-3DF0-13D4-7AD5-A88B0458CC73}"/>
              </a:ext>
            </a:extLst>
          </xdr:cNvPr>
          <xdr:cNvSpPr txBox="1"/>
        </xdr:nvSpPr>
        <xdr:spPr>
          <a:xfrm>
            <a:off x="10890251" y="3079751"/>
            <a:ext cx="658813" cy="3016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900" kern="1200">
                <a:solidFill>
                  <a:srgbClr val="FF0000"/>
                </a:solidFill>
              </a:rPr>
              <a:t>-1% ($16,206)</a:t>
            </a:r>
          </a:p>
        </xdr:txBody>
      </xdr:sp>
      <xdr:sp macro="" textlink="">
        <xdr:nvSpPr>
          <xdr:cNvPr id="6" name="TextBox 1">
            <a:extLst>
              <a:ext uri="{FF2B5EF4-FFF2-40B4-BE49-F238E27FC236}">
                <a16:creationId xmlns:a16="http://schemas.microsoft.com/office/drawing/2014/main" id="{E9C7D9F2-4F46-6EC9-7BF1-E2C85DF8CE17}"/>
              </a:ext>
            </a:extLst>
          </xdr:cNvPr>
          <xdr:cNvSpPr txBox="1"/>
        </xdr:nvSpPr>
        <xdr:spPr>
          <a:xfrm>
            <a:off x="11677650" y="3128963"/>
            <a:ext cx="633413" cy="3714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900" kern="1200">
                <a:solidFill>
                  <a:srgbClr val="FF0000"/>
                </a:solidFill>
              </a:rPr>
              <a:t>-7%</a:t>
            </a:r>
          </a:p>
          <a:p>
            <a:pPr algn="ctr"/>
            <a:r>
              <a:rPr lang="en-US" sz="900" kern="1200">
                <a:solidFill>
                  <a:srgbClr val="FF0000"/>
                </a:solidFill>
              </a:rPr>
              <a:t>($79,757)</a:t>
            </a:r>
          </a:p>
        </xdr:txBody>
      </xdr:sp>
    </xdr:grpSp>
    <xdr:clientData/>
  </xdr:twoCellAnchor>
</xdr:wsDr>
</file>

<file path=xl/persons/person.xml><?xml version="1.0" encoding="utf-8"?>
<personList xmlns="http://schemas.microsoft.com/office/spreadsheetml/2018/threadedcomments" xmlns:x="http://schemas.openxmlformats.org/spreadsheetml/2006/main">
  <person displayName="Lazar, Paige (DRPT)" id="{D39FAFA5-4011-40CE-970F-71083236C279}" userId="S::Paige.Lazar@drpt.virginia.gov::e94c36c9-bd70-40bd-834e-ecaef842054c" providerId="AD"/>
  <person displayName="Oware, Deanna (DRPT)" id="{C4C20B7D-EDB2-4350-9FFA-05E8EC4BA7D1}" userId="S::deanna.oware@drpt.virginia.gov::ba2b3b6a-5257-455a-a4bf-6f554de8950e" providerId="AD"/>
  <person displayName="Motley, Jamie (DRPT)" id="{F34D0A6A-0D57-4CBD-A459-B8C6418A68AD}" userId="S::jamie.motley@drpt.virginia.gov::f87b1775-7d2d-43e7-bffc-cf7643399880" providerId="AD"/>
  <person displayName="Stankus, Grace (DRPT)" id="{2CE748FB-0F2E-4B7A-B996-42A907ECE59D}" userId="S::Grace.Stankus@drpt.virginia.gov::fa3f1947-1c87-4ab2-be98-d27d63021bc9" providerId="AD"/>
  <person displayName="Daniel Sonenklar" id="{8CBD5F68-0FE7-487B-8546-DEE17214FBB9}" userId="S::Daniel.Sonenklar@drpt.virginia.gov::d6f481ed-ad39-4e2c-b444-88caac57196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CD11" dT="2025-01-22T14:44:16.27" personId="{8CBD5F68-0FE7-487B-8546-DEE17214FBB9}" id="{C0A955D6-31E2-4FF8-92DF-27A5509E5261}">
    <text>If agencies are above 30%, a second round of re-allocation is needed</text>
  </threadedComment>
</ThreadedComments>
</file>

<file path=xl/threadedComments/threadedComment10.xml><?xml version="1.0" encoding="utf-8"?>
<ThreadedComments xmlns="http://schemas.microsoft.com/office/spreadsheetml/2018/threadedcomments" xmlns:x="http://schemas.openxmlformats.org/spreadsheetml/2006/main">
  <threadedComment ref="CM11" dT="2023-03-25T15:20:31.72" personId="{F34D0A6A-0D57-4CBD-A459-B8C6418A68AD}" id="{D9EFE2C1-1090-4927-BDB5-5171B8624062}">
    <text>Added $2 here for rounding.</text>
  </threadedComment>
</ThreadedComments>
</file>

<file path=xl/threadedComments/threadedComment11.xml><?xml version="1.0" encoding="utf-8"?>
<ThreadedComments xmlns="http://schemas.microsoft.com/office/spreadsheetml/2018/threadedcomments" xmlns:x="http://schemas.openxmlformats.org/spreadsheetml/2006/main">
  <threadedComment ref="B8" dT="2025-02-20T16:51:54.43" personId="{2CE748FB-0F2E-4B7A-B996-42A907ECE59D}" id="{D3C0A6AD-EF96-4B83-A10A-06DF33AFC411}">
    <text>Added paratransit to CATs figures for FY21-FY24.</text>
  </threadedComment>
  <threadedComment ref="C8" dT="2025-02-24T18:44:12.58" personId="{8CBD5F68-0FE7-487B-8546-DEE17214FBB9}" id="{C4B8E800-929F-4633-B0CF-1C36CDA96229}">
    <text>Added paratransit to CATs figures for FY21-FY24.</text>
  </threadedComment>
  <threadedComment ref="D8" dT="2025-02-24T18:44:20.93" personId="{8CBD5F68-0FE7-487B-8546-DEE17214FBB9}" id="{D6EE5A92-5FFB-4764-BCFC-EB6D8E0FCE4B}">
    <text>Added paratransit to CATs figures for FY21-FY24.</text>
  </threadedComment>
  <threadedComment ref="E8" dT="2025-02-24T18:44:24.77" personId="{8CBD5F68-0FE7-487B-8546-DEE17214FBB9}" id="{1776C5B8-A91E-4669-A849-D662202DCDF8}">
    <text>Added paratransit to CATs figures for FY21-FY24.</text>
  </threadedComment>
  <threadedComment ref="D25" dT="2025-02-20T16:48:24.53" personId="{2CE748FB-0F2E-4B7A-B996-42A907ECE59D}" id="{AF8E72B6-85BA-47FA-A169-A5D6F3A08D55}">
    <text>Updated this figure.</text>
  </threadedComment>
  <threadedComment ref="D25" dT="2025-02-24T18:44:43.51" personId="{8CBD5F68-0FE7-487B-8546-DEE17214FBB9}" id="{A191279D-96C5-4736-98E9-1B0D91B36B7A}" parentId="{AF8E72B6-85BA-47FA-A169-A5D6F3A08D55}">
    <text>To reflect PRTC requested changes to FY23 reporting.</text>
  </threadedComment>
  <threadedComment ref="B37" dT="2025-02-20T16:47:28.55" personId="{2CE748FB-0F2E-4B7A-B996-42A907ECE59D}" id="{611861BC-DFC5-4EF1-9592-65280C142833}">
    <text>Removed paratransit from Jaunts figures for FY21-FY24.</text>
  </threadedComment>
  <threadedComment ref="C37" dT="2025-02-24T18:45:32.06" personId="{8CBD5F68-0FE7-487B-8546-DEE17214FBB9}" id="{AE2A6407-89DC-46B4-B3C9-75A17DCDCF50}">
    <text>Removed paratransit from Jaunts figures for FY21-FY24.</text>
  </threadedComment>
  <threadedComment ref="D37" dT="2025-02-24T18:45:37.06" personId="{8CBD5F68-0FE7-487B-8546-DEE17214FBB9}" id="{5C38DCE7-B370-4F9C-9C0D-7C1A96FC8FDD}">
    <text>Removed paratransit from Jaunts figures for FY21-FY24.</text>
  </threadedComment>
  <threadedComment ref="E37" dT="2025-02-24T18:45:40.90" personId="{8CBD5F68-0FE7-487B-8546-DEE17214FBB9}" id="{A6775D9C-BC2F-4F5C-B623-9029D6BBE191}">
    <text>Removed paratransit from Jaunts figures for FY21-FY24.</text>
  </threadedComment>
  <threadedComment ref="D40" dT="2024-01-17T20:06:32.03" personId="{8CBD5F68-0FE7-487B-8546-DEE17214FBB9}" id="{966B5034-436D-479B-8B11-103A28242822}">
    <text>Combined VRT and NSVRC (ShenGo Demo) reported figures.</text>
  </threadedComment>
</ThreadedComments>
</file>

<file path=xl/threadedComments/threadedComment12.xml><?xml version="1.0" encoding="utf-8"?>
<ThreadedComments xmlns="http://schemas.microsoft.com/office/spreadsheetml/2018/threadedcomments" xmlns:x="http://schemas.openxmlformats.org/spreadsheetml/2006/main">
  <threadedComment ref="B8" dT="2025-02-20T16:51:01.74" personId="{2CE748FB-0F2E-4B7A-B996-42A907ECE59D}" id="{BC3A0FCB-B49D-4C24-8E99-418E9C414094}">
    <text>Added paratransit to CATs figures for FY21-FY24.</text>
  </threadedComment>
  <threadedComment ref="C8" dT="2025-02-24T18:43:53.78" personId="{8CBD5F68-0FE7-487B-8546-DEE17214FBB9}" id="{426A9D0D-EE48-45EC-BFAB-AD951BF24DC6}">
    <text>Added paratransit to CATs figures for FY21-FY24.</text>
  </threadedComment>
  <threadedComment ref="D8" dT="2025-02-24T18:43:58.32" personId="{8CBD5F68-0FE7-487B-8546-DEE17214FBB9}" id="{9A2BCDA5-E535-42FB-83E1-2507C45DE599}">
    <text>Added paratransit to CATs figures for FY21-FY24.</text>
  </threadedComment>
  <threadedComment ref="E8" dT="2025-02-24T18:44:03.54" personId="{8CBD5F68-0FE7-487B-8546-DEE17214FBB9}" id="{FECDF1A0-061D-482D-963F-899A71FCE2CD}">
    <text>Added paratransit to CATs figures for FY21-FY24.</text>
  </threadedComment>
  <threadedComment ref="B20" dT="2023-02-13T19:41:10.73" personId="{8CBD5F68-0FE7-487B-8546-DEE17214FBB9}" id="{DA38D3A2-E075-4494-9ED9-1CC01B944E8F}">
    <text>Added deadhead for uni-directional commuter routes &gt;20</text>
  </threadedComment>
  <threadedComment ref="B20" dT="2023-02-13T19:41:18.56" personId="{8CBD5F68-0FE7-487B-8546-DEE17214FBB9}" id="{5D4BB677-0AB9-4356-A2D9-48E656C1D37D}" parentId="{DA38D3A2-E075-4494-9ED9-1CC01B944E8F}">
    <text>+8,535</text>
  </threadedComment>
  <threadedComment ref="C20" dT="2023-02-13T19:41:24.79" personId="{8CBD5F68-0FE7-487B-8546-DEE17214FBB9}" id="{C11FFD1D-35D3-4283-88AB-D9BAB4363029}">
    <text>Added deadhead for uni-directional commuter routes &gt;20</text>
  </threadedComment>
  <threadedComment ref="C20" dT="2023-02-13T19:41:33.57" personId="{8CBD5F68-0FE7-487B-8546-DEE17214FBB9}" id="{4E9AC30A-112E-4A31-BD00-A7D75D185E3C}" parentId="{C11FFD1D-35D3-4283-88AB-D9BAB4363029}">
    <text>+10,112</text>
  </threadedComment>
  <threadedComment ref="D20" dT="2024-02-05T15:33:06.12" personId="{D39FAFA5-4011-40CE-970F-71083236C279}" id="{A84DC465-F6AB-4985-B44B-9B821A044C11}">
    <text>Added deadhead for uni-directional commuter routes &gt; 20 mi</text>
  </threadedComment>
  <threadedComment ref="D20" dT="2024-02-05T15:33:23.77" personId="{D39FAFA5-4011-40CE-970F-71083236C279}" id="{EEC0767B-0E02-40D5-9892-B6782A7AF6AD}" parentId="{A84DC465-F6AB-4985-B44B-9B821A044C11}">
    <text>+10,206</text>
  </threadedComment>
  <threadedComment ref="E20" dT="2025-02-12T15:31:34.40" personId="{D39FAFA5-4011-40CE-970F-71083236C279}" id="{B2A28108-C86B-4878-AA3C-7E89B992098D}">
    <text>Added deadhead for uni-directional commuter routes &gt; 20 mi</text>
  </threadedComment>
  <threadedComment ref="E20" dT="2025-02-12T15:31:44.52" personId="{D39FAFA5-4011-40CE-970F-71083236C279}" id="{28A0D46B-211B-49A8-8AF5-DEB33051F281}" parentId="{B2A28108-C86B-4878-AA3C-7E89B992098D}">
    <text xml:space="preserve">+ 12,922.92 </text>
  </threadedComment>
  <threadedComment ref="B24" dT="2023-02-09T19:57:27.48" personId="{8CBD5F68-0FE7-487B-8546-DEE17214FBB9}" id="{5CA9BC78-975F-4268-B978-EF9EEFE93CE9}">
    <text>Added deadhead for uni-directional commuter routes &gt;20</text>
  </threadedComment>
  <threadedComment ref="B24" dT="2023-02-09T19:57:57.90" personId="{8CBD5F68-0FE7-487B-8546-DEE17214FBB9}" id="{7A98B461-323D-4EFB-8722-AF63A7E27F67}" parentId="{5CA9BC78-975F-4268-B978-EF9EEFE93CE9}">
    <text>+2087</text>
  </threadedComment>
  <threadedComment ref="C24" dT="2023-02-09T19:57:33.06" personId="{8CBD5F68-0FE7-487B-8546-DEE17214FBB9}" id="{95EFFAB7-E30B-484C-8CF8-8E08424798D8}">
    <text>Added deadhead for uni-directional commuter routes &gt;20</text>
  </threadedComment>
  <threadedComment ref="C24" dT="2023-02-09T19:58:09.27" personId="{8CBD5F68-0FE7-487B-8546-DEE17214FBB9}" id="{3E7DF8BF-AD79-46ED-9887-C80C96CB1F13}" parentId="{95EFFAB7-E30B-484C-8CF8-8E08424798D8}">
    <text>+2521</text>
  </threadedComment>
  <threadedComment ref="B25" dT="2023-02-10T22:08:18.19" personId="{8CBD5F68-0FE7-487B-8546-DEE17214FBB9}" id="{A91DC4E8-C119-4700-80E9-35B99862A2E7}">
    <text>Added deadhead for uni-directional communter routes &gt;20mi</text>
  </threadedComment>
  <threadedComment ref="B25" dT="2023-02-10T22:08:31.38" personId="{8CBD5F68-0FE7-487B-8546-DEE17214FBB9}" id="{616618EF-0568-47A5-ACC5-5E85EB4683AA}" parentId="{A91DC4E8-C119-4700-80E9-35B99862A2E7}">
    <text>Assumed 49% increase based on FY2022 value</text>
  </threadedComment>
  <threadedComment ref="C25" dT="2023-02-10T22:07:44.22" personId="{8CBD5F68-0FE7-487B-8546-DEE17214FBB9}" id="{97A08F79-D8AB-4D13-BECB-72525734F031}">
    <text>Added deadhead for uni-directional communter routes &gt;20mi</text>
  </threadedComment>
  <threadedComment ref="C25" dT="2023-02-10T22:08:47.36" personId="{8CBD5F68-0FE7-487B-8546-DEE17214FBB9}" id="{A54B2179-362A-42A4-BD0A-00CA021D4BEA}" parentId="{97A08F79-D8AB-4D13-BECB-72525734F031}">
    <text>+71,220</text>
  </threadedComment>
  <threadedComment ref="D25" dT="2024-02-05T15:34:55.40" personId="{D39FAFA5-4011-40CE-970F-71083236C279}" id="{06DDCDE7-C4BE-40AA-A008-7C69531FE245}">
    <text>Added deadhead for uni-directional commuter routes &gt; 20 mi</text>
  </threadedComment>
  <threadedComment ref="D25" dT="2024-02-05T15:35:04.79" personId="{D39FAFA5-4011-40CE-970F-71083236C279}" id="{05DA84CF-1E12-4045-997D-2D872A32862E}" parentId="{06DDCDE7-C4BE-40AA-A008-7C69531FE245}">
    <text>+57,989</text>
  </threadedComment>
  <threadedComment ref="E25" dT="2025-02-06T19:06:58.50" personId="{D39FAFA5-4011-40CE-970F-71083236C279}" id="{88ACFF05-F88E-4BCF-9992-A67E46334181}">
    <text>Added deadhead for uni-directional commuter routes &gt; 20 mi</text>
  </threadedComment>
  <threadedComment ref="E25" dT="2025-02-06T19:07:11.69" personId="{D39FAFA5-4011-40CE-970F-71083236C279}" id="{D7EAFBEE-24FE-4CD9-A799-0C293EBF9922}" parentId="{88ACFF05-F88E-4BCF-9992-A67E46334181}">
    <text>+ 62,202</text>
  </threadedComment>
  <threadedComment ref="D27" dT="2024-02-12T18:19:34.15" personId="{D39FAFA5-4011-40CE-970F-71083236C279}" id="{D257BB2E-05CA-4BFD-844E-2C12645D630E}">
    <text>Added deadhead for uni-directional commuter routes &gt; 20 mi</text>
  </threadedComment>
  <threadedComment ref="D27" dT="2024-02-12T18:19:46.97" personId="{D39FAFA5-4011-40CE-970F-71083236C279}" id="{FFC1F80C-FE95-486F-A890-5D8269E862B4}" parentId="{D257BB2E-05CA-4BFD-844E-2C12645D630E}">
    <text>+1,652</text>
  </threadedComment>
  <threadedComment ref="E27" dT="2025-02-06T19:07:55.89" personId="{D39FAFA5-4011-40CE-970F-71083236C279}" id="{0ECB0FFF-FC33-44A9-94D8-BB85CC23D2D2}">
    <text>Added deadhead for uni-directional commuter routes &gt; 20 mi</text>
  </threadedComment>
  <threadedComment ref="E27" dT="2025-02-06T19:08:02.15" personId="{D39FAFA5-4011-40CE-970F-71083236C279}" id="{2CA38883-E722-4A8F-A8EE-19A1D64D3007}" parentId="{0ECB0FFF-FC33-44A9-94D8-BB85CC23D2D2}">
    <text>+2,457</text>
  </threadedComment>
  <threadedComment ref="B37" dT="2025-02-20T16:47:38.35" personId="{2CE748FB-0F2E-4B7A-B996-42A907ECE59D}" id="{C0DD1713-60F3-44B5-9D1A-3B061B3099ED}">
    <text>Removed paratransit from Jaunts figures for FY21-FY24.</text>
  </threadedComment>
  <threadedComment ref="C37" dT="2025-02-24T18:45:50.03" personId="{8CBD5F68-0FE7-487B-8546-DEE17214FBB9}" id="{33FDB937-595E-4864-B42F-E2177FD779F9}">
    <text>Removed paratransit from Jaunts figures for FY21-FY24.</text>
  </threadedComment>
  <threadedComment ref="D37" dT="2025-02-24T18:45:53.28" personId="{8CBD5F68-0FE7-487B-8546-DEE17214FBB9}" id="{4C12B721-ACA3-4145-8589-B146F15AB675}">
    <text>Removed paratransit from Jaunts figures for FY21-FY24.</text>
  </threadedComment>
  <threadedComment ref="E37" dT="2025-02-24T18:45:56.56" personId="{8CBD5F68-0FE7-487B-8546-DEE17214FBB9}" id="{056B944A-46AF-41E0-904B-11DC7B62ACBB}">
    <text>Removed paratransit from Jaunts figures for FY21-FY24.</text>
  </threadedComment>
  <threadedComment ref="D40" dT="2024-01-17T20:06:14.97" personId="{8CBD5F68-0FE7-487B-8546-DEE17214FBB9}" id="{D94B4E3E-F6F1-4CF7-BC2B-FB736AF73E5C}">
    <text>Combined VRT and NSVRC (ShenGo Demo) reported figures.</text>
  </threadedComment>
</ThreadedComments>
</file>

<file path=xl/threadedComments/threadedComment13.xml><?xml version="1.0" encoding="utf-8"?>
<ThreadedComments xmlns="http://schemas.microsoft.com/office/spreadsheetml/2018/threadedcomments" xmlns:x="http://schemas.openxmlformats.org/spreadsheetml/2006/main">
  <threadedComment ref="B8" dT="2025-02-20T16:52:03.50" personId="{2CE748FB-0F2E-4B7A-B996-42A907ECE59D}" id="{1CE0CB1B-DD57-46C1-A5D8-B7583AA86927}">
    <text>Added paratransit to CATs figures for FY21-FY24.</text>
  </threadedComment>
  <threadedComment ref="C8" dT="2025-02-24T18:43:26.67" personId="{8CBD5F68-0FE7-487B-8546-DEE17214FBB9}" id="{30C49937-545E-49B0-9E47-E649ABD997A9}">
    <text>Added paratransit to CATs figures for FY21-FY24.</text>
  </threadedComment>
  <threadedComment ref="D8" dT="2025-02-24T18:43:34.26" personId="{8CBD5F68-0FE7-487B-8546-DEE17214FBB9}" id="{F8548C9B-6E02-40D4-8F08-805BE0DDF4CF}">
    <text>Added paratransit to CATs figures for FY21-FY24.</text>
  </threadedComment>
  <threadedComment ref="E8" dT="2025-02-24T18:43:40.53" personId="{8CBD5F68-0FE7-487B-8546-DEE17214FBB9}" id="{A2FC9BE2-0CCB-406B-A278-CF172E67EF50}">
    <text>Added paratransit to CATs figures for FY21-FY24.</text>
  </threadedComment>
  <threadedComment ref="B20" dT="2023-02-13T19:40:16.42" personId="{8CBD5F68-0FE7-487B-8546-DEE17214FBB9}" id="{645AC986-9E98-45D3-BCD5-83102E65039B}">
    <text>Added deadhead for uni-directional commuter routes &gt;20</text>
  </threadedComment>
  <threadedComment ref="B20" dT="2023-02-13T19:40:40.42" personId="{8CBD5F68-0FE7-487B-8546-DEE17214FBB9}" id="{735FBA4E-C0E5-4A7C-8B47-863022088F70}" parentId="{645AC986-9E98-45D3-BCD5-83102E65039B}">
    <text>+320,678.5</text>
  </threadedComment>
  <threadedComment ref="C20" dT="2023-02-13T19:40:23.85" personId="{8CBD5F68-0FE7-487B-8546-DEE17214FBB9}" id="{0AD3FAB3-B7B7-4B6D-A79D-AF1022080762}">
    <text>Added deadhead for uni-directional commuter routes &gt;20</text>
  </threadedComment>
  <threadedComment ref="C20" dT="2023-02-13T19:40:57.02" personId="{8CBD5F68-0FE7-487B-8546-DEE17214FBB9}" id="{16F23E0A-0549-4D35-98D0-147C506BFBB4}" parentId="{0AD3FAB3-B7B7-4B6D-A79D-AF1022080762}">
    <text>+427962.5</text>
  </threadedComment>
  <threadedComment ref="D20" dT="2024-02-05T15:36:08.54" personId="{D39FAFA5-4011-40CE-970F-71083236C279}" id="{22D5B128-A5B9-4371-8959-5966D456E4DC}">
    <text>Added deadhead for uni-directional commuter routes &gt; 20 mi</text>
  </threadedComment>
  <threadedComment ref="D20" dT="2024-02-05T15:36:32.01" personId="{D39FAFA5-4011-40CE-970F-71083236C279}" id="{79B2F909-4AE3-4504-BF7F-12F9922A0CE4}" parentId="{22D5B128-A5B9-4371-8959-5966D456E4DC}">
    <text>+ 501,367</text>
  </threadedComment>
  <threadedComment ref="E20" dT="2025-02-12T15:30:27.90" personId="{D39FAFA5-4011-40CE-970F-71083236C279}" id="{E78C5542-F08C-4F92-AA3E-E869EDE76A0A}">
    <text>Added deadhead for uni-directional commuter routes &gt; 20 mi</text>
  </threadedComment>
  <threadedComment ref="E20" dT="2025-02-12T15:30:39.72" personId="{D39FAFA5-4011-40CE-970F-71083236C279}" id="{973AF38E-5D29-4FF2-AF54-91D7EC5593BC}" parentId="{E78C5542-F08C-4F92-AA3E-E869EDE76A0A}">
    <text xml:space="preserve">+ 587,607 </text>
  </threadedComment>
  <threadedComment ref="B24" dT="2023-02-09T19:57:02.46" personId="{8CBD5F68-0FE7-487B-8546-DEE17214FBB9}" id="{443940F3-DAE4-41B4-8876-6FA99B59F272}">
    <text>Added deadhead for uni-directional commuter routes &gt;20</text>
  </threadedComment>
  <threadedComment ref="B24" dT="2023-02-09T19:58:39.61" personId="{8CBD5F68-0FE7-487B-8546-DEE17214FBB9}" id="{329F7D5F-8EF8-4317-91F9-FAD7188FAE2D}" parentId="{443940F3-DAE4-41B4-8876-6FA99B59F272}">
    <text>+70,604</text>
  </threadedComment>
  <threadedComment ref="C24" dT="2023-02-09T19:57:18.06" personId="{8CBD5F68-0FE7-487B-8546-DEE17214FBB9}" id="{946969BF-3E8A-4C86-87A6-7EF34778DCC8}">
    <text>Added deadhead for uni-directional commuter routes &gt;20</text>
  </threadedComment>
  <threadedComment ref="C24" dT="2023-02-09T19:58:47.69" personId="{8CBD5F68-0FE7-487B-8546-DEE17214FBB9}" id="{E56BC154-249E-4563-BE99-16C70FE43827}" parentId="{946969BF-3E8A-4C86-87A6-7EF34778DCC8}">
    <text>+85,445</text>
  </threadedComment>
  <threadedComment ref="B25" dT="2023-02-09T20:01:43.66" personId="{8CBD5F68-0FE7-487B-8546-DEE17214FBB9}" id="{2169E3F5-38CF-4412-8FB8-D3F03183EECB}">
    <text>No data provided for deadhead for unidirectional commuter service &gt;20mi</text>
  </threadedComment>
  <threadedComment ref="B25" dT="2023-02-09T20:02:04.88" personId="{8CBD5F68-0FE7-487B-8546-DEE17214FBB9}" id="{FF0DDB0B-76B3-48AD-8D3C-D522E3DC90D4}" parentId="{2169E3F5-38CF-4412-8FB8-D3F03183EECB}">
    <text>Assumed 58% increase based on FY2022 value</text>
  </threadedComment>
  <threadedComment ref="C25" dT="2023-02-09T20:00:32.50" personId="{8CBD5F68-0FE7-487B-8546-DEE17214FBB9}" id="{45CAD585-F05E-4AEF-A61B-BA98FB17C9A8}">
    <text>Added deadhead for uni-directional communter routes &gt;20mi</text>
  </threadedComment>
  <threadedComment ref="C25" dT="2023-02-09T20:00:39.23" personId="{8CBD5F68-0FE7-487B-8546-DEE17214FBB9}" id="{3D12B824-C7EE-45F1-8E55-7B0B04EEE5E0}" parentId="{45CAD585-F05E-4AEF-A61B-BA98FB17C9A8}">
    <text>+1,905,553</text>
  </threadedComment>
  <threadedComment ref="D25" dT="2024-02-05T15:36:12.74" personId="{D39FAFA5-4011-40CE-970F-71083236C279}" id="{3A28C025-D2A6-467A-9F56-F3A218B88EC7}">
    <text>Added deadhead for uni-directional commuter routes &gt; 20 mi</text>
  </threadedComment>
  <threadedComment ref="D25" dT="2024-02-05T15:37:05.02" personId="{D39FAFA5-4011-40CE-970F-71083236C279}" id="{8FB2EBEC-B880-4CDD-BDCF-9D679D129771}" parentId="{3A28C025-D2A6-467A-9F56-F3A218B88EC7}">
    <text>+1,784,701</text>
  </threadedComment>
  <threadedComment ref="E25" dT="2025-02-06T19:09:09.87" personId="{D39FAFA5-4011-40CE-970F-71083236C279}" id="{D1C42186-8ADB-4540-9487-653E8F18491D}">
    <text>Added deadhead for uni-directional commuter routes &gt; 20 mi</text>
  </threadedComment>
  <threadedComment ref="E25" dT="2025-02-06T19:09:30.69" personId="{D39FAFA5-4011-40CE-970F-71083236C279}" id="{CFEC5012-5C4F-4341-B7E6-DDE9460F199F}" parentId="{D1C42186-8ADB-4540-9487-653E8F18491D}">
    <text>+ 1,922,948</text>
  </threadedComment>
  <threadedComment ref="D27" dT="2024-02-09T21:25:51.08" personId="{D39FAFA5-4011-40CE-970F-71083236C279}" id="{EBF79C91-0D43-4748-A9CC-C056D5A401D3}">
    <text>Added deadhead for uni-directional commuter routes &gt; 20 mi</text>
  </threadedComment>
  <threadedComment ref="D27" dT="2024-02-09T21:26:05.31" personId="{D39FAFA5-4011-40CE-970F-71083236C279}" id="{CAE95946-08C7-491E-B38F-E6A9CD51BF98}" parentId="{EBF79C91-0D43-4748-A9CC-C056D5A401D3}">
    <text xml:space="preserve">+34,410 </text>
  </threadedComment>
  <threadedComment ref="E27" dT="2025-02-06T19:09:17.87" personId="{D39FAFA5-4011-40CE-970F-71083236C279}" id="{43EDCC47-1A47-43E2-9AC4-6A266E3C1868}">
    <text>Added deadhead for uni-directional commuter routes &gt; 20 mi</text>
  </threadedComment>
  <threadedComment ref="E27" dT="2025-02-06T19:10:06.59" personId="{D39FAFA5-4011-40CE-970F-71083236C279}" id="{37BA75DD-E7D5-47D0-BB37-58D3E5459A81}" parentId="{43EDCC47-1A47-43E2-9AC4-6A266E3C1868}">
    <text>+60,554</text>
  </threadedComment>
  <threadedComment ref="B37" dT="2025-02-20T16:47:47.66" personId="{2CE748FB-0F2E-4B7A-B996-42A907ECE59D}" id="{FE858648-0119-49EA-9E1A-A55B6D8901E8}">
    <text>Removed paratransit from Jaunts figures for FY21-FY24.</text>
  </threadedComment>
  <threadedComment ref="C37" dT="2025-02-24T18:46:05.78" personId="{8CBD5F68-0FE7-487B-8546-DEE17214FBB9}" id="{52B75725-39A8-40CD-AD30-0125368CE03D}">
    <text>Removed paratransit from Jaunts figures for FY21-FY24.</text>
  </threadedComment>
  <threadedComment ref="D37" dT="2025-02-24T18:46:09.50" personId="{8CBD5F68-0FE7-487B-8546-DEE17214FBB9}" id="{42C883A1-607A-4738-8381-3F94A1C7197A}">
    <text>Removed paratransit from Jaunts figures for FY21-FY24.</text>
  </threadedComment>
  <threadedComment ref="E37" dT="2025-02-24T18:46:13.07" personId="{8CBD5F68-0FE7-487B-8546-DEE17214FBB9}" id="{35A0DEB9-C3E2-4CC9-B2A1-C38F1AF4CF4D}">
    <text>Removed paratransit from Jaunts figures for FY21-FY24.</text>
  </threadedComment>
  <threadedComment ref="D40" dT="2024-01-17T20:06:07.84" personId="{8CBD5F68-0FE7-487B-8546-DEE17214FBB9}" id="{4D421D35-2CC2-4BDE-BF4D-BB2BF9921E37}">
    <text>Combined VRT and NSVRC (ShenGo Demo) reported figures.</text>
  </threadedComment>
</ThreadedComments>
</file>

<file path=xl/threadedComments/threadedComment14.xml><?xml version="1.0" encoding="utf-8"?>
<ThreadedComments xmlns="http://schemas.microsoft.com/office/spreadsheetml/2018/threadedcomments" xmlns:x="http://schemas.openxmlformats.org/spreadsheetml/2006/main">
  <threadedComment ref="B8" dT="2025-03-06T21:36:26.25" personId="{C4C20B7D-EDB2-4350-9FFA-05E8EC4BA7D1}" id="{6CE6E6C0-4CF1-4347-A15A-4B2A67982E49}">
    <text>Revised 03/06/25.  Includes Jaunt Urban amount.</text>
  </threadedComment>
  <threadedComment ref="C8" dT="2025-03-06T21:36:48.54" personId="{C4C20B7D-EDB2-4350-9FFA-05E8EC4BA7D1}" id="{9DD29948-1915-4491-AF45-220CA208A573}">
    <text>Revised 3/6/2025.  Includes Jaunt Urban.</text>
  </threadedComment>
  <threadedComment ref="D8" dT="2025-03-06T21:37:06.79" personId="{C4C20B7D-EDB2-4350-9FFA-05E8EC4BA7D1}" id="{FD56B19C-E722-4E84-B2BB-2FE5B11371A7}">
    <text>Revised 3/6/2025. Includes Jaunt Urban.</text>
  </threadedComment>
  <threadedComment ref="C37" dT="2025-03-06T21:38:03.89" personId="{C4C20B7D-EDB2-4350-9FFA-05E8EC4BA7D1}" id="{EB425D99-C48B-4B88-8974-F9CE348A7724}">
    <text>Revised 3/6/2025.  Removes JAUNT Urban.</text>
  </threadedComment>
  <threadedComment ref="D37" dT="2025-03-06T21:38:23.23" personId="{C4C20B7D-EDB2-4350-9FFA-05E8EC4BA7D1}" id="{F668413E-28A7-4A17-8246-A719DF5DDADF}">
    <text>Revised 3/6/2025.  Removes JAUNT Urban.</text>
  </threadedComment>
</ThreadedComments>
</file>

<file path=xl/threadedComments/threadedComment15.xml><?xml version="1.0" encoding="utf-8"?>
<ThreadedComments xmlns="http://schemas.microsoft.com/office/spreadsheetml/2018/threadedcomments" xmlns:x="http://schemas.openxmlformats.org/spreadsheetml/2006/main">
  <threadedComment ref="B39" dT="2023-02-13T20:02:51.63" personId="{8CBD5F68-0FE7-487B-8546-DEE17214FBB9}" id="{DDF73DDC-CAD0-4E1A-A2FE-B6A2E8FC5177}">
    <text>Carried forward figure from FY21 SYIP (and FY22 and FY23). This figure was reduced from 319,254 (with reported ridership + Green Co. ridership) based on an audit on 12/14/21.</text>
  </threadedComment>
  <threadedComment ref="E42" dT="2024-01-17T20:06:32.03" personId="{8CBD5F68-0FE7-487B-8546-DEE17214FBB9}" id="{590D0BF6-9929-4AF7-A2F3-2CB2DF9EA3A9}">
    <text>Combined VRT and NSVRC (ShenGo Demo) reported figures.</text>
  </threadedComment>
</ThreadedComments>
</file>

<file path=xl/threadedComments/threadedComment16.xml><?xml version="1.0" encoding="utf-8"?>
<ThreadedComments xmlns="http://schemas.microsoft.com/office/spreadsheetml/2018/threadedcomments" xmlns:x="http://schemas.openxmlformats.org/spreadsheetml/2006/main">
  <threadedComment ref="B21" dT="2023-02-13T14:51:12.26" personId="{8CBD5F68-0FE7-487B-8546-DEE17214FBB9}" id="{C338F3A0-D76E-450D-9CE4-6055EB27250F}">
    <text>Used values included in FY23 SYIP</text>
  </threadedComment>
  <threadedComment ref="C21" dT="2023-02-13T19:41:10.73" personId="{8CBD5F68-0FE7-487B-8546-DEE17214FBB9}" id="{DA4764CF-CB4D-4BE3-A0AE-7316CB3F2B3B}">
    <text>Added deadhead for uni-directional commuter routes &gt;20</text>
  </threadedComment>
  <threadedComment ref="C21" dT="2023-02-13T19:41:18.56" personId="{8CBD5F68-0FE7-487B-8546-DEE17214FBB9}" id="{3F866A56-0DB5-4A88-8C23-02904161CA27}" parentId="{DA4764CF-CB4D-4BE3-A0AE-7316CB3F2B3B}">
    <text>+8,535</text>
  </threadedComment>
  <threadedComment ref="D21" dT="2023-02-13T19:41:24.79" personId="{8CBD5F68-0FE7-487B-8546-DEE17214FBB9}" id="{43F5688A-B711-4660-9EA2-2AB412685CBA}">
    <text>Added deadhead for uni-directional commuter routes &gt;20</text>
  </threadedComment>
  <threadedComment ref="D21" dT="2023-02-13T19:41:33.57" personId="{8CBD5F68-0FE7-487B-8546-DEE17214FBB9}" id="{2FCD9069-9232-4CBB-BA15-DA58753AE6ED}" parentId="{43F5688A-B711-4660-9EA2-2AB412685CBA}">
    <text>+10,112</text>
  </threadedComment>
  <threadedComment ref="E21" dT="2024-02-05T15:33:06.12" personId="{D39FAFA5-4011-40CE-970F-71083236C279}" id="{248DD7C2-BD66-439A-97DE-0FBC4F576097}">
    <text>Added deadhead for uni-directional commuter routes &gt; 20 mi</text>
  </threadedComment>
  <threadedComment ref="E21" dT="2024-02-05T15:33:23.77" personId="{D39FAFA5-4011-40CE-970F-71083236C279}" id="{7DED1D00-4FD0-4678-BA4B-68DB8C4C38C4}" parentId="{248DD7C2-BD66-439A-97DE-0FBC4F576097}">
    <text>+10,206</text>
  </threadedComment>
  <threadedComment ref="H21" dT="2023-02-13T14:51:12.26" personId="{8CBD5F68-0FE7-487B-8546-DEE17214FBB9}" id="{F5763B81-BAEE-4398-86F2-40F3F3D0954B}">
    <text>Used values included in FY23 SYIP</text>
  </threadedComment>
  <threadedComment ref="I21" dT="2023-02-13T19:41:10.73" personId="{8CBD5F68-0FE7-487B-8546-DEE17214FBB9}" id="{559A0CAE-7A61-4AB9-9443-8908A0D2016A}">
    <text>Added deadhead for uni-directional commuter routes &gt;20</text>
  </threadedComment>
  <threadedComment ref="I21" dT="2023-02-13T19:41:18.56" personId="{8CBD5F68-0FE7-487B-8546-DEE17214FBB9}" id="{8190A0DD-CD00-4630-904C-F35E6FEEDAA9}" parentId="{559A0CAE-7A61-4AB9-9443-8908A0D2016A}">
    <text>+8,535</text>
  </threadedComment>
  <threadedComment ref="J21" dT="2023-02-13T19:41:24.79" personId="{8CBD5F68-0FE7-487B-8546-DEE17214FBB9}" id="{02A8ACC6-6A2F-48D7-BD3D-CECDA6FFBA89}">
    <text>Added deadhead for uni-directional commuter routes &gt;20</text>
  </threadedComment>
  <threadedComment ref="J21" dT="2023-02-13T19:41:33.57" personId="{8CBD5F68-0FE7-487B-8546-DEE17214FBB9}" id="{2C692E85-59D7-4575-BDC0-F9DB45139ADF}" parentId="{02A8ACC6-6A2F-48D7-BD3D-CECDA6FFBA89}">
    <text>+10,112</text>
  </threadedComment>
  <threadedComment ref="K21" dT="2024-02-05T15:33:06.12" personId="{D39FAFA5-4011-40CE-970F-71083236C279}" id="{58E237FE-435D-4C89-820D-F7B5EED450F6}">
    <text>Added deadhead for uni-directional commuter routes &gt; 20 mi</text>
  </threadedComment>
  <threadedComment ref="K21" dT="2024-02-05T15:33:23.77" personId="{D39FAFA5-4011-40CE-970F-71083236C279}" id="{2002C30C-44B1-474D-8065-84EB61A5B4E1}" parentId="{58E237FE-435D-4C89-820D-F7B5EED450F6}">
    <text>+10,206</text>
  </threadedComment>
  <threadedComment ref="B25" dT="2023-02-13T14:51:56.54" personId="{8CBD5F68-0FE7-487B-8546-DEE17214FBB9}" id="{353C664D-F34F-4C05-877F-DA850C49A70A}">
    <text>Used values included in FY23 SYIP</text>
  </threadedComment>
  <threadedComment ref="C25" dT="2023-02-09T19:57:27.48" personId="{8CBD5F68-0FE7-487B-8546-DEE17214FBB9}" id="{B1247563-FE22-4DB2-BB85-7DE77C57AED5}">
    <text>Added deadhead for uni-directional commuter routes &gt;20</text>
  </threadedComment>
  <threadedComment ref="C25" dT="2023-02-09T19:57:57.90" personId="{8CBD5F68-0FE7-487B-8546-DEE17214FBB9}" id="{C677E331-5F01-4094-B41B-1EEE320A32DE}" parentId="{B1247563-FE22-4DB2-BB85-7DE77C57AED5}">
    <text>+2087</text>
  </threadedComment>
  <threadedComment ref="D25" dT="2023-02-09T19:57:33.06" personId="{8CBD5F68-0FE7-487B-8546-DEE17214FBB9}" id="{82F3BCD4-8582-4BF9-8E75-2B29DC8E55F9}">
    <text>Added deadhead for uni-directional commuter routes &gt;20</text>
  </threadedComment>
  <threadedComment ref="D25" dT="2023-02-09T19:58:09.27" personId="{8CBD5F68-0FE7-487B-8546-DEE17214FBB9}" id="{E3FCC60A-63A5-4D8B-B89B-D004DB61E564}" parentId="{82F3BCD4-8582-4BF9-8E75-2B29DC8E55F9}">
    <text>+2521</text>
  </threadedComment>
  <threadedComment ref="H25" dT="2023-02-13T14:51:56.54" personId="{8CBD5F68-0FE7-487B-8546-DEE17214FBB9}" id="{709B7D15-B157-4500-BAE2-D1602F5E8659}">
    <text>Used values included in FY23 SYIP</text>
  </threadedComment>
  <threadedComment ref="I25" dT="2023-02-09T19:57:27.48" personId="{8CBD5F68-0FE7-487B-8546-DEE17214FBB9}" id="{36C71EA0-0186-4E73-935B-E03DDEEB95F7}">
    <text>Added deadhead for uni-directional commuter routes &gt;20</text>
  </threadedComment>
  <threadedComment ref="I25" dT="2023-02-09T19:57:57.90" personId="{8CBD5F68-0FE7-487B-8546-DEE17214FBB9}" id="{782F9574-D5F3-45BF-8A83-9D94539CDAA9}" parentId="{36C71EA0-0186-4E73-935B-E03DDEEB95F7}">
    <text>+2087</text>
  </threadedComment>
  <threadedComment ref="J25" dT="2023-02-09T19:57:33.06" personId="{8CBD5F68-0FE7-487B-8546-DEE17214FBB9}" id="{42ED13A3-34F4-497F-8FF5-3B27F3310A97}">
    <text>Added deadhead for uni-directional commuter routes &gt;20</text>
  </threadedComment>
  <threadedComment ref="J25" dT="2023-02-09T19:58:09.27" personId="{8CBD5F68-0FE7-487B-8546-DEE17214FBB9}" id="{C0D0FBCD-B424-431E-826D-AA997BF6D315}" parentId="{42ED13A3-34F4-497F-8FF5-3B27F3310A97}">
    <text>+2521</text>
  </threadedComment>
  <threadedComment ref="B27" dT="2023-02-13T14:50:06.01" personId="{8CBD5F68-0FE7-487B-8546-DEE17214FBB9}" id="{3E8AB3AD-85F8-4B8C-94CE-81C363421494}">
    <text>Used values included in FY23 SYIP</text>
  </threadedComment>
  <threadedComment ref="C27" dT="2023-02-10T22:08:18.19" personId="{8CBD5F68-0FE7-487B-8546-DEE17214FBB9}" id="{2CFCCAD6-64CA-43DB-A6C3-FE22D2DDFAE2}">
    <text>Added deadhead for uni-directional communter routes &gt;20mi</text>
  </threadedComment>
  <threadedComment ref="C27" dT="2023-02-10T22:08:31.38" personId="{8CBD5F68-0FE7-487B-8546-DEE17214FBB9}" id="{8A56915F-2995-422F-9B46-CC427FDB5EF8}" parentId="{2CFCCAD6-64CA-43DB-A6C3-FE22D2DDFAE2}">
    <text>Assumed 49% increase based on FY2022 value</text>
  </threadedComment>
  <threadedComment ref="D27" dT="2023-02-10T22:07:44.22" personId="{8CBD5F68-0FE7-487B-8546-DEE17214FBB9}" id="{E80CF2DA-5872-4781-9A5B-ACEF4B78A45F}">
    <text>Added deadhead for uni-directional communter routes &gt;20mi</text>
  </threadedComment>
  <threadedComment ref="D27" dT="2023-02-10T22:08:47.36" personId="{8CBD5F68-0FE7-487B-8546-DEE17214FBB9}" id="{1BFC7BDC-ABE1-462C-BD89-66A18956AE80}" parentId="{E80CF2DA-5872-4781-9A5B-ACEF4B78A45F}">
    <text>+71,220</text>
  </threadedComment>
  <threadedComment ref="E27" dT="2024-02-05T15:34:55.40" personId="{D39FAFA5-4011-40CE-970F-71083236C279}" id="{48A420ED-7CB1-4F5C-94BB-0A4F95ACEDE1}">
    <text>Added deadhead for uni-directional commuter routes &gt; 20 mi</text>
  </threadedComment>
  <threadedComment ref="E27" dT="2024-02-05T15:35:04.79" personId="{D39FAFA5-4011-40CE-970F-71083236C279}" id="{1DFA6911-966C-4C3E-A94B-6FF154BAE680}" parentId="{48A420ED-7CB1-4F5C-94BB-0A4F95ACEDE1}">
    <text>+57,989</text>
  </threadedComment>
  <threadedComment ref="H27" dT="2023-02-13T14:50:06.01" personId="{8CBD5F68-0FE7-487B-8546-DEE17214FBB9}" id="{421DB58D-5AD7-462E-A0A7-78E4812FCB70}">
    <text>Used values included in FY23 SYIP</text>
  </threadedComment>
  <threadedComment ref="I27" dT="2023-02-10T22:08:18.19" personId="{8CBD5F68-0FE7-487B-8546-DEE17214FBB9}" id="{349793A0-FD7E-492B-BCC6-FD45AD524FE8}">
    <text>Added deadhead for uni-directional communter routes &gt;20mi</text>
  </threadedComment>
  <threadedComment ref="I27" dT="2023-02-10T22:08:31.38" personId="{8CBD5F68-0FE7-487B-8546-DEE17214FBB9}" id="{567B0965-0AD6-4B4D-A088-7686B6BFB207}" parentId="{349793A0-FD7E-492B-BCC6-FD45AD524FE8}">
    <text>Assumed 49% increase based on FY2022 value</text>
  </threadedComment>
  <threadedComment ref="J27" dT="2023-02-10T22:07:44.22" personId="{8CBD5F68-0FE7-487B-8546-DEE17214FBB9}" id="{2F6080AF-A48E-451A-BC7F-B8DDFEBC4430}">
    <text>Added deadhead for uni-directional communter routes &gt;20mi</text>
  </threadedComment>
  <threadedComment ref="J27" dT="2023-02-10T22:08:47.36" personId="{8CBD5F68-0FE7-487B-8546-DEE17214FBB9}" id="{AD8111AF-7BE6-4B42-98C3-7177E648474D}" parentId="{2F6080AF-A48E-451A-BC7F-B8DDFEBC4430}">
    <text>+71,220</text>
  </threadedComment>
  <threadedComment ref="K27" dT="2024-02-05T15:34:55.40" personId="{D39FAFA5-4011-40CE-970F-71083236C279}" id="{EDEED310-AC44-48F4-8209-AC4772E84D80}">
    <text>Added deadhead for uni-directional commuter routes &gt; 20 mi</text>
  </threadedComment>
  <threadedComment ref="K27" dT="2024-02-05T15:35:04.79" personId="{D39FAFA5-4011-40CE-970F-71083236C279}" id="{C40DA222-4F96-4BF1-888E-27EBC26D5486}" parentId="{EDEED310-AC44-48F4-8209-AC4772E84D80}">
    <text>+57,989</text>
  </threadedComment>
  <threadedComment ref="E29" dT="2024-02-12T18:19:34.15" personId="{D39FAFA5-4011-40CE-970F-71083236C279}" id="{52479762-2F85-4A94-9A4B-E7F9E0443EA3}">
    <text>Added deadhead for uni-directional commuter routes &gt; 20 mi</text>
  </threadedComment>
  <threadedComment ref="E29" dT="2024-02-12T18:19:46.97" personId="{D39FAFA5-4011-40CE-970F-71083236C279}" id="{35AC08E9-CB4D-442C-A59A-35C609FD1281}" parentId="{52479762-2F85-4A94-9A4B-E7F9E0443EA3}">
    <text>+1,652</text>
  </threadedComment>
  <threadedComment ref="K29" dT="2024-02-12T18:19:34.15" personId="{D39FAFA5-4011-40CE-970F-71083236C279}" id="{E2A333C3-F233-4AE2-A885-4FA3A8F54B6D}">
    <text>Added deadhead for uni-directional commuter routes &gt; 20 mi</text>
  </threadedComment>
  <threadedComment ref="K29" dT="2024-02-12T18:19:46.97" personId="{D39FAFA5-4011-40CE-970F-71083236C279}" id="{DA483D0F-860A-45D4-BEB7-4A1A1DDCB784}" parentId="{E2A333C3-F233-4AE2-A885-4FA3A8F54B6D}">
    <text>+1,652</text>
  </threadedComment>
  <threadedComment ref="B39" dT="2023-02-13T15:11:03.81" personId="{8CBD5F68-0FE7-487B-8546-DEE17214FBB9}" id="{0E2E6E68-ED15-41C8-AB8D-73BC3FEE9ABF}">
    <text>Carried forward figure from FY21 SYIP (and FY22 and FY23). This figure was reduced from 118,760 (with reported hours + Green Co. hours) based on an audit on 12/14/21.</text>
  </threadedComment>
  <threadedComment ref="B39" dT="2023-02-13T15:13:04.34" personId="{8CBD5F68-0FE7-487B-8546-DEE17214FBB9}" id="{3FB80313-9B10-45B0-919C-308CF79C2EC1}" parentId="{0E2E6E68-ED15-41C8-AB8D-73BC3FEE9ABF}">
    <text>Note: This figure would have been significantly higher than what was provided in FY21 (and carried forward in FY22 and 23). The FY21 number was reduced based on an audit. The different this figure will make in the overall allocation is negligible, but I wanted to flag it.</text>
  </threadedComment>
  <threadedComment ref="H39" dT="2023-02-13T15:11:03.81" personId="{8CBD5F68-0FE7-487B-8546-DEE17214FBB9}" id="{CDCCEB3A-BBA8-43BB-97C1-C7E83190F159}">
    <text>Carried forward figure from FY21 SYIP (and FY22 and FY23). This figure was reduced from 118,760 (with reported hours + Green Co. hours) based on an audit on 12/14/21.</text>
  </threadedComment>
  <threadedComment ref="H39" dT="2023-02-13T15:13:04.34" personId="{8CBD5F68-0FE7-487B-8546-DEE17214FBB9}" id="{149A10A7-20E9-428C-8AA6-E235378793DF}" parentId="{CDCCEB3A-BBA8-43BB-97C1-C7E83190F159}">
    <text>Note: This figure would have been significantly higher than what was provided in FY21 (and carried forward in FY22 and 23). The FY21 number was reduced based on an audit. The different this figure will make in the overall allocation is negligible, but I wanted to flag it.</text>
  </threadedComment>
  <threadedComment ref="E42" dT="2024-01-17T20:06:14.97" personId="{8CBD5F68-0FE7-487B-8546-DEE17214FBB9}" id="{4ACB4BB1-D392-414D-BF19-5CE74C731BF9}">
    <text>Combined VRT and NSVRC (ShenGo Demo) reported figures.</text>
  </threadedComment>
  <threadedComment ref="K42" dT="2024-01-17T20:06:14.97" personId="{8CBD5F68-0FE7-487B-8546-DEE17214FBB9}" id="{D98C6E37-B726-4170-A77A-C542B4EC77D8}">
    <text>Combined VRT and NSVRC (ShenGo Demo) reported figures.</text>
  </threadedComment>
</ThreadedComments>
</file>

<file path=xl/threadedComments/threadedComment17.xml><?xml version="1.0" encoding="utf-8"?>
<ThreadedComments xmlns="http://schemas.microsoft.com/office/spreadsheetml/2018/threadedcomments" xmlns:x="http://schemas.openxmlformats.org/spreadsheetml/2006/main">
  <threadedComment ref="B21" dT="2023-02-13T15:22:52.33" personId="{8CBD5F68-0FE7-487B-8546-DEE17214FBB9}" id="{8BDC9A67-ABC6-47CB-894E-016A7AA8FB3A}">
    <text>Used values included in FY23 SYIP</text>
  </threadedComment>
  <threadedComment ref="C21" dT="2023-02-13T19:40:16.42" personId="{8CBD5F68-0FE7-487B-8546-DEE17214FBB9}" id="{BA693A15-33FE-4713-9BBE-F7D8B35516AD}">
    <text>Added deadhead for uni-directional commuter routes &gt;20</text>
  </threadedComment>
  <threadedComment ref="C21" dT="2023-02-13T19:40:40.42" personId="{8CBD5F68-0FE7-487B-8546-DEE17214FBB9}" id="{A5D02974-D907-4883-B063-3E1EA960928E}" parentId="{BA693A15-33FE-4713-9BBE-F7D8B35516AD}">
    <text>+320,678.5</text>
  </threadedComment>
  <threadedComment ref="D21" dT="2023-02-13T19:40:23.85" personId="{8CBD5F68-0FE7-487B-8546-DEE17214FBB9}" id="{EC654663-9943-4909-A0E7-E757E5E24713}">
    <text>Added deadhead for uni-directional commuter routes &gt;20</text>
  </threadedComment>
  <threadedComment ref="D21" dT="2023-02-13T19:40:57.02" personId="{8CBD5F68-0FE7-487B-8546-DEE17214FBB9}" id="{4E55760F-BAB6-4315-B16E-89E021A39E18}" parentId="{EC654663-9943-4909-A0E7-E757E5E24713}">
    <text>+427962.5</text>
  </threadedComment>
  <threadedComment ref="E21" dT="2024-02-05T15:36:08.54" personId="{D39FAFA5-4011-40CE-970F-71083236C279}" id="{288795D3-261F-4320-8C4D-0BF436915D8D}">
    <text>Added deadhead for uni-directional commuter routes &gt; 20 mi</text>
  </threadedComment>
  <threadedComment ref="E21" dT="2024-02-05T15:36:32.01" personId="{D39FAFA5-4011-40CE-970F-71083236C279}" id="{BC4FAF69-E8B4-4060-9915-84557D39683E}" parentId="{288795D3-261F-4320-8C4D-0BF436915D8D}">
    <text>+ 501,367</text>
  </threadedComment>
  <threadedComment ref="H21" dT="2023-02-13T15:22:52.33" personId="{8CBD5F68-0FE7-487B-8546-DEE17214FBB9}" id="{E2CA13A7-8007-4A22-AC09-60CAA537AAB6}">
    <text>Used values included in FY23 SYIP</text>
  </threadedComment>
  <threadedComment ref="I21" dT="2023-02-13T19:40:16.42" personId="{8CBD5F68-0FE7-487B-8546-DEE17214FBB9}" id="{B885DE63-BA40-495C-82E8-7FCF71A7D4E2}">
    <text>Added deadhead for uni-directional commuter routes &gt;20</text>
  </threadedComment>
  <threadedComment ref="I21" dT="2023-02-13T19:40:40.42" personId="{8CBD5F68-0FE7-487B-8546-DEE17214FBB9}" id="{867940C3-E10E-469E-A227-070D08CA96B7}" parentId="{B885DE63-BA40-495C-82E8-7FCF71A7D4E2}">
    <text>+320,678.5</text>
  </threadedComment>
  <threadedComment ref="J21" dT="2023-02-13T19:40:23.85" personId="{8CBD5F68-0FE7-487B-8546-DEE17214FBB9}" id="{980FE0BF-6C31-4DD2-A79E-F4DC60C9C189}">
    <text>Added deadhead for uni-directional commuter routes &gt;20</text>
  </threadedComment>
  <threadedComment ref="J21" dT="2023-02-13T19:40:57.02" personId="{8CBD5F68-0FE7-487B-8546-DEE17214FBB9}" id="{7577F3F3-EFE3-411D-BD68-6791D11A5585}" parentId="{980FE0BF-6C31-4DD2-A79E-F4DC60C9C189}">
    <text>+427962.5</text>
  </threadedComment>
  <threadedComment ref="K21" dT="2024-02-05T15:36:08.54" personId="{D39FAFA5-4011-40CE-970F-71083236C279}" id="{A79A2414-AE42-4561-961F-817C4463337A}">
    <text>Added deadhead for uni-directional commuter routes &gt; 20 mi</text>
  </threadedComment>
  <threadedComment ref="K21" dT="2024-02-05T15:36:32.01" personId="{D39FAFA5-4011-40CE-970F-71083236C279}" id="{436C69A0-6514-4551-8DF6-1D63E5907DC3}" parentId="{A79A2414-AE42-4561-961F-817C4463337A}">
    <text>+ 501,367</text>
  </threadedComment>
  <threadedComment ref="B25" dT="2023-02-13T15:20:57.24" personId="{8CBD5F68-0FE7-487B-8546-DEE17214FBB9}" id="{A4CCC30B-4307-4634-B99A-F14C78BB7A7B}">
    <text>Used values included in FY23 SYIP</text>
  </threadedComment>
  <threadedComment ref="C25" dT="2023-02-09T19:57:02.46" personId="{8CBD5F68-0FE7-487B-8546-DEE17214FBB9}" id="{884F1B4E-44C3-439C-BC13-7DF8EA930E04}">
    <text>Added deadhead for uni-directional commuter routes &gt;20</text>
  </threadedComment>
  <threadedComment ref="C25" dT="2023-02-09T19:58:39.61" personId="{8CBD5F68-0FE7-487B-8546-DEE17214FBB9}" id="{7D7A9E6D-2B26-4F12-92C5-35A6193636DC}" parentId="{884F1B4E-44C3-439C-BC13-7DF8EA930E04}">
    <text>+70,604</text>
  </threadedComment>
  <threadedComment ref="D25" dT="2023-02-09T19:57:18.06" personId="{8CBD5F68-0FE7-487B-8546-DEE17214FBB9}" id="{1BA4B36D-423A-44AC-8ECA-7F1F2C830320}">
    <text>Added deadhead for uni-directional commuter routes &gt;20</text>
  </threadedComment>
  <threadedComment ref="D25" dT="2023-02-09T19:58:47.69" personId="{8CBD5F68-0FE7-487B-8546-DEE17214FBB9}" id="{C90BBDD1-038F-4C39-83AF-2C5B8AC5FA61}" parentId="{1BA4B36D-423A-44AC-8ECA-7F1F2C830320}">
    <text>+85,445</text>
  </threadedComment>
  <threadedComment ref="H25" dT="2023-02-13T15:20:57.24" personId="{8CBD5F68-0FE7-487B-8546-DEE17214FBB9}" id="{0F7F9B3D-BD4F-4EF9-9CBB-E242011964F2}">
    <text>Used values included in FY23 SYIP</text>
  </threadedComment>
  <threadedComment ref="I25" dT="2023-02-09T19:57:02.46" personId="{8CBD5F68-0FE7-487B-8546-DEE17214FBB9}" id="{62974DA4-F589-4D19-9373-7A85344A935B}">
    <text>Added deadhead for uni-directional commuter routes &gt;20</text>
  </threadedComment>
  <threadedComment ref="I25" dT="2023-02-09T19:58:39.61" personId="{8CBD5F68-0FE7-487B-8546-DEE17214FBB9}" id="{1AB6DF6E-6751-4524-99F2-BD6238B80800}" parentId="{62974DA4-F589-4D19-9373-7A85344A935B}">
    <text>+70,604</text>
  </threadedComment>
  <threadedComment ref="J25" dT="2023-02-09T19:57:18.06" personId="{8CBD5F68-0FE7-487B-8546-DEE17214FBB9}" id="{9F26CC5A-B048-45DE-B23E-873C25109F3A}">
    <text>Added deadhead for uni-directional commuter routes &gt;20</text>
  </threadedComment>
  <threadedComment ref="J25" dT="2023-02-09T19:58:47.69" personId="{8CBD5F68-0FE7-487B-8546-DEE17214FBB9}" id="{C28658AB-A805-4104-B83C-3AFDA510ED87}" parentId="{9F26CC5A-B048-45DE-B23E-873C25109F3A}">
    <text>+85,445</text>
  </threadedComment>
  <threadedComment ref="B27" dT="2023-02-13T15:21:28.23" personId="{8CBD5F68-0FE7-487B-8546-DEE17214FBB9}" id="{F1647EA9-8789-4411-985D-484BA54717F3}">
    <text>Used values included in FY23 SYIP</text>
  </threadedComment>
  <threadedComment ref="C27" dT="2023-02-09T20:01:43.66" personId="{8CBD5F68-0FE7-487B-8546-DEE17214FBB9}" id="{46AB3256-8418-4711-A6A9-DB4A2E196832}">
    <text>No data provided for deadhead for unidirectional commuter service &gt;20mi</text>
  </threadedComment>
  <threadedComment ref="C27" dT="2023-02-09T20:02:04.88" personId="{8CBD5F68-0FE7-487B-8546-DEE17214FBB9}" id="{4473B743-6801-44C2-A50B-880409927F82}" parentId="{46AB3256-8418-4711-A6A9-DB4A2E196832}">
    <text>Assumed 58% increase based on FY2022 value</text>
  </threadedComment>
  <threadedComment ref="D27" dT="2023-02-09T20:00:32.50" personId="{8CBD5F68-0FE7-487B-8546-DEE17214FBB9}" id="{5721884B-BFE2-427E-A41F-6A68CBE7A2D9}">
    <text>Added deadhead for uni-directional communter routes &gt;20mi</text>
  </threadedComment>
  <threadedComment ref="D27" dT="2023-02-09T20:00:39.23" personId="{8CBD5F68-0FE7-487B-8546-DEE17214FBB9}" id="{FBE57DD0-1A86-4C0F-9ED3-30B91275DDFF}" parentId="{5721884B-BFE2-427E-A41F-6A68CBE7A2D9}">
    <text>+1,905,553</text>
  </threadedComment>
  <threadedComment ref="E27" dT="2024-02-05T15:36:12.74" personId="{D39FAFA5-4011-40CE-970F-71083236C279}" id="{D63F94A8-4C25-4772-9E1C-6853E24F79BC}">
    <text>Added deadhead for uni-directional commuter routes &gt; 20 mi</text>
  </threadedComment>
  <threadedComment ref="E27" dT="2024-02-05T15:37:05.02" personId="{D39FAFA5-4011-40CE-970F-71083236C279}" id="{3D5C6AE1-536F-47A1-B807-F2066E174B57}" parentId="{D63F94A8-4C25-4772-9E1C-6853E24F79BC}">
    <text>+1,784,701</text>
  </threadedComment>
  <threadedComment ref="H27" dT="2023-02-13T15:21:28.23" personId="{8CBD5F68-0FE7-487B-8546-DEE17214FBB9}" id="{DF176B19-9115-48D7-97B4-F0BC85E457BA}">
    <text>Used values included in FY23 SYIP</text>
  </threadedComment>
  <threadedComment ref="I27" dT="2023-02-09T20:01:43.66" personId="{8CBD5F68-0FE7-487B-8546-DEE17214FBB9}" id="{EF3DA2D9-36FA-4AE8-97BF-CB53B5DE81E3}">
    <text>No data provided for deadhead for unidirectional commuter service &gt;20mi</text>
  </threadedComment>
  <threadedComment ref="I27" dT="2023-02-09T20:02:04.88" personId="{8CBD5F68-0FE7-487B-8546-DEE17214FBB9}" id="{E13B027A-508E-4E47-A868-037771700EC7}" parentId="{EF3DA2D9-36FA-4AE8-97BF-CB53B5DE81E3}">
    <text>Assumed 58% increase based on FY2022 value</text>
  </threadedComment>
  <threadedComment ref="J27" dT="2023-02-09T20:00:32.50" personId="{8CBD5F68-0FE7-487B-8546-DEE17214FBB9}" id="{AFB10644-9C03-4092-A095-992EC1445155}">
    <text>Added deadhead for uni-directional communter routes &gt;20mi</text>
  </threadedComment>
  <threadedComment ref="J27" dT="2023-02-09T20:00:39.23" personId="{8CBD5F68-0FE7-487B-8546-DEE17214FBB9}" id="{B800247E-0409-4726-B63A-52AAE5DE2065}" parentId="{AFB10644-9C03-4092-A095-992EC1445155}">
    <text>+1,905,553</text>
  </threadedComment>
  <threadedComment ref="K27" dT="2024-02-05T15:36:12.74" personId="{D39FAFA5-4011-40CE-970F-71083236C279}" id="{910EE69B-E158-4B4E-97D1-5918363E1D90}">
    <text>Added deadhead for uni-directional commuter routes &gt; 20 mi</text>
  </threadedComment>
  <threadedComment ref="K27" dT="2024-02-05T15:37:05.02" personId="{D39FAFA5-4011-40CE-970F-71083236C279}" id="{BE6B944E-1E38-4A2A-873B-4D4C9943D1A6}" parentId="{910EE69B-E158-4B4E-97D1-5918363E1D90}">
    <text>+1,784,701</text>
  </threadedComment>
  <threadedComment ref="E29" dT="2024-02-09T21:25:51.08" personId="{D39FAFA5-4011-40CE-970F-71083236C279}" id="{79820376-9E92-42A2-A8AD-DCB259664E87}">
    <text>Added deadhead for uni-directional commuter routes &gt; 20 mi</text>
  </threadedComment>
  <threadedComment ref="E29" dT="2024-02-09T21:26:05.31" personId="{D39FAFA5-4011-40CE-970F-71083236C279}" id="{7AA9E5B5-B19A-4C4F-B3BA-27FABDD90E44}" parentId="{79820376-9E92-42A2-A8AD-DCB259664E87}">
    <text xml:space="preserve">+34,410 </text>
  </threadedComment>
  <threadedComment ref="K29" dT="2024-02-09T21:25:51.08" personId="{D39FAFA5-4011-40CE-970F-71083236C279}" id="{543F6C5D-189F-463B-A790-C1ED99A0DF46}">
    <text>Added deadhead for uni-directional commuter routes &gt; 20 mi</text>
  </threadedComment>
  <threadedComment ref="K29" dT="2024-02-09T21:26:05.31" personId="{D39FAFA5-4011-40CE-970F-71083236C279}" id="{285C0AEB-E9AA-45A1-944C-8BA3E5AFBC13}" parentId="{543F6C5D-189F-463B-A790-C1ED99A0DF46}">
    <text xml:space="preserve">+34,410 </text>
  </threadedComment>
  <threadedComment ref="B39" dT="2023-02-13T15:24:43.03" personId="{8CBD5F68-0FE7-487B-8546-DEE17214FBB9}" id="{1C5D3027-9699-4816-9F69-76501F0541FB}">
    <text>Carried forward figure from FY21 SYIP (and FY22 and FY23). This figure was reduced from 1,738,303 (with reported miles + Green Co. miles) based on an audit on 12/14/21.</text>
  </threadedComment>
  <threadedComment ref="B39" dT="2023-02-13T15:29:36.51" personId="{8CBD5F68-0FE7-487B-8546-DEE17214FBB9}" id="{3D7A20B1-B05C-49A4-BA90-7C0DD875DDB0}" parentId="{1C5D3027-9699-4816-9F69-76501F0541FB}">
    <text>Note: This figure would have been significantly higher than what was provided in FY21 (and carried forward in FY22 and 23). The FY21 number was reduced based on an audit. The different this figure will make in the overall allocation is negligible, but I wanted to flag it.</text>
  </threadedComment>
  <threadedComment ref="H39" dT="2023-02-13T15:24:43.03" personId="{8CBD5F68-0FE7-487B-8546-DEE17214FBB9}" id="{230C5B35-CD48-4B02-88CA-AA36BA4A2751}">
    <text>Carried forward figure from FY21 SYIP (and FY22 and FY23). This figure was reduced from 1,738,303 (with reported miles + Green Co. miles) based on an audit on 12/14/21.</text>
  </threadedComment>
  <threadedComment ref="H39" dT="2023-02-13T15:29:36.51" personId="{8CBD5F68-0FE7-487B-8546-DEE17214FBB9}" id="{520CD2BE-5DA1-4200-B897-F4643E05FA68}" parentId="{230C5B35-CD48-4B02-88CA-AA36BA4A2751}">
    <text>Note: This figure would have been significantly higher than what was provided in FY21 (and carried forward in FY22 and 23). The FY21 number was reduced based on an audit. The different this figure will make in the overall allocation is negligible, but I wanted to flag it.</text>
  </threadedComment>
  <threadedComment ref="E42" dT="2024-01-17T20:06:07.84" personId="{8CBD5F68-0FE7-487B-8546-DEE17214FBB9}" id="{5F84785E-0AED-4CF6-A555-3A2740B39A13}">
    <text>Combined VRT and NSVRC (ShenGo Demo) reported figures.</text>
  </threadedComment>
  <threadedComment ref="K42" dT="2024-01-17T20:06:07.84" personId="{8CBD5F68-0FE7-487B-8546-DEE17214FBB9}" id="{FECFF43E-291B-4797-A525-949F8EE44EA2}">
    <text>Combined VRT and NSVRC (ShenGo Demo) reported figures.</text>
  </threadedComment>
</ThreadedComments>
</file>

<file path=xl/threadedComments/threadedComment18.xml><?xml version="1.0" encoding="utf-8"?>
<ThreadedComments xmlns="http://schemas.microsoft.com/office/spreadsheetml/2018/threadedcomments" xmlns:x="http://schemas.openxmlformats.org/spreadsheetml/2006/main">
  <threadedComment ref="B39" dT="2023-02-13T19:58:34.07" personId="{8CBD5F68-0FE7-487B-8546-DEE17214FBB9}" id="{466B61DB-021C-4800-A097-92F742C9C350}">
    <text>Added Green Co. Ridership: 63,081</text>
  </threadedComment>
  <threadedComment ref="C39" dT="2023-02-13T20:02:51.63" personId="{8CBD5F68-0FE7-487B-8546-DEE17214FBB9}" id="{2687ADA5-E528-43A1-B06E-4A3044F537CA}">
    <text>Carried forward figure from FY21 SYIP (and FY22 and FY23). This figure was reduced from 319,254 (with reported ridership + Green Co. ridership) based on an audit on 12/14/21.</text>
  </threadedComment>
</ThreadedComments>
</file>

<file path=xl/threadedComments/threadedComment19.xml><?xml version="1.0" encoding="utf-8"?>
<ThreadedComments xmlns="http://schemas.microsoft.com/office/spreadsheetml/2018/threadedcomments" xmlns:x="http://schemas.openxmlformats.org/spreadsheetml/2006/main">
  <threadedComment ref="C21" dT="2023-02-13T14:51:04.68" personId="{8CBD5F68-0FE7-487B-8546-DEE17214FBB9}" id="{85804BC5-6D8A-4408-B3CD-2D9C94711D25}">
    <text>Used values included in FY23 SYIP</text>
  </threadedComment>
  <threadedComment ref="D21" dT="2023-02-13T14:51:12.26" personId="{8CBD5F68-0FE7-487B-8546-DEE17214FBB9}" id="{254F358A-4A69-42C9-A365-8A3B98980116}">
    <text>Used values included in FY23 SYIP</text>
  </threadedComment>
  <threadedComment ref="E21" dT="2023-02-13T19:41:10.73" personId="{8CBD5F68-0FE7-487B-8546-DEE17214FBB9}" id="{0EC22400-DCFE-4A06-A0DA-F42F7FF3F0BF}">
    <text>Added deadhead for uni-directional commuter routes &gt;20</text>
  </threadedComment>
  <threadedComment ref="E21" dT="2023-02-13T19:41:18.56" personId="{8CBD5F68-0FE7-487B-8546-DEE17214FBB9}" id="{8185F2AB-4D60-475B-BB6C-7D20640451AF}" parentId="{0EC22400-DCFE-4A06-A0DA-F42F7FF3F0BF}">
    <text>+8,535</text>
  </threadedComment>
  <threadedComment ref="F21" dT="2023-02-13T19:41:24.79" personId="{8CBD5F68-0FE7-487B-8546-DEE17214FBB9}" id="{B79AF707-6BB3-405C-B665-3111A3581F95}">
    <text>Added deadhead for uni-directional commuter routes &gt;20</text>
  </threadedComment>
  <threadedComment ref="F21" dT="2023-02-13T19:41:33.57" personId="{8CBD5F68-0FE7-487B-8546-DEE17214FBB9}" id="{6959C1E8-BE4F-4877-805D-C6BA3212313B}" parentId="{B79AF707-6BB3-405C-B665-3111A3581F95}">
    <text>+10,112</text>
  </threadedComment>
  <threadedComment ref="I21" dT="2023-02-13T14:51:04.68" personId="{8CBD5F68-0FE7-487B-8546-DEE17214FBB9}" id="{74404153-E9AB-406D-8EC4-EAF584ECFFF7}">
    <text>Used values included in FY23 SYIP</text>
  </threadedComment>
  <threadedComment ref="J21" dT="2023-02-13T14:51:12.26" personId="{8CBD5F68-0FE7-487B-8546-DEE17214FBB9}" id="{D1C0C6EC-73D1-4961-9D66-D9EFDF8C8C72}">
    <text>Used values included in FY23 SYIP</text>
  </threadedComment>
  <threadedComment ref="K21" dT="2023-02-13T19:41:10.73" personId="{8CBD5F68-0FE7-487B-8546-DEE17214FBB9}" id="{DB5CAD64-7C58-4EBB-B238-EF15886782EF}">
    <text>Added deadhead for uni-directional commuter routes &gt;20</text>
  </threadedComment>
  <threadedComment ref="K21" dT="2023-02-13T19:41:18.56" personId="{8CBD5F68-0FE7-487B-8546-DEE17214FBB9}" id="{50DFE793-E58E-47EA-8594-76469D87C410}" parentId="{DB5CAD64-7C58-4EBB-B238-EF15886782EF}">
    <text>+8,535</text>
  </threadedComment>
  <threadedComment ref="L21" dT="2023-02-13T19:41:24.79" personId="{8CBD5F68-0FE7-487B-8546-DEE17214FBB9}" id="{29FC62BC-EFD2-44C5-9D04-2B11BBC7852A}">
    <text>Added deadhead for uni-directional commuter routes &gt;20</text>
  </threadedComment>
  <threadedComment ref="L21" dT="2023-02-13T19:41:33.57" personId="{8CBD5F68-0FE7-487B-8546-DEE17214FBB9}" id="{A768AE59-F2A2-4934-8C31-0218A592BC86}" parentId="{29FC62BC-EFD2-44C5-9D04-2B11BBC7852A}">
    <text>+10,112</text>
  </threadedComment>
  <threadedComment ref="C25" dT="2023-02-13T14:51:50.50" personId="{8CBD5F68-0FE7-487B-8546-DEE17214FBB9}" id="{44269131-F547-4B9A-B7E9-D731B29D1F46}">
    <text>Used values included in FY23 SYIP</text>
  </threadedComment>
  <threadedComment ref="D25" dT="2023-02-13T14:51:56.54" personId="{8CBD5F68-0FE7-487B-8546-DEE17214FBB9}" id="{F46864BC-FABB-4C23-889A-1B1064212CB3}">
    <text>Used values included in FY23 SYIP</text>
  </threadedComment>
  <threadedComment ref="E25" dT="2023-02-09T19:57:27.48" personId="{8CBD5F68-0FE7-487B-8546-DEE17214FBB9}" id="{C7FA646E-4D12-4A4C-9BF3-D7E20845D399}">
    <text>Added deadhead for uni-directional commuter routes &gt;20</text>
  </threadedComment>
  <threadedComment ref="E25" dT="2023-02-09T19:57:57.90" personId="{8CBD5F68-0FE7-487B-8546-DEE17214FBB9}" id="{73762D0D-6A3F-4BCC-80BC-AB3A53C162F6}" parentId="{C7FA646E-4D12-4A4C-9BF3-D7E20845D399}">
    <text>+2087</text>
  </threadedComment>
  <threadedComment ref="F25" dT="2023-02-09T19:57:33.06" personId="{8CBD5F68-0FE7-487B-8546-DEE17214FBB9}" id="{EAD48387-ECB2-44C7-97A8-BD0DC81DC5E6}">
    <text>Added deadhead for uni-directional commuter routes &gt;20</text>
  </threadedComment>
  <threadedComment ref="F25" dT="2023-02-09T19:58:09.27" personId="{8CBD5F68-0FE7-487B-8546-DEE17214FBB9}" id="{54FBF08B-BC1C-4284-BC48-98845521F625}" parentId="{EAD48387-ECB2-44C7-97A8-BD0DC81DC5E6}">
    <text>+2521</text>
  </threadedComment>
  <threadedComment ref="I25" dT="2023-02-13T14:51:50.50" personId="{8CBD5F68-0FE7-487B-8546-DEE17214FBB9}" id="{A7546B28-8B80-4BEC-A63B-AED782742FE4}">
    <text>Used values included in FY23 SYIP</text>
  </threadedComment>
  <threadedComment ref="J25" dT="2023-02-13T14:51:56.54" personId="{8CBD5F68-0FE7-487B-8546-DEE17214FBB9}" id="{09A0D15C-3E76-4B5E-AAA4-9A26956DA6BE}">
    <text>Used values included in FY23 SYIP</text>
  </threadedComment>
  <threadedComment ref="K25" dT="2023-02-09T19:57:27.48" personId="{8CBD5F68-0FE7-487B-8546-DEE17214FBB9}" id="{F680CF8B-4B9C-472C-9EE9-39387F2A6E79}">
    <text>Added deadhead for uni-directional commuter routes &gt;20</text>
  </threadedComment>
  <threadedComment ref="K25" dT="2023-02-09T19:57:57.90" personId="{8CBD5F68-0FE7-487B-8546-DEE17214FBB9}" id="{903AA6DF-6F48-4C03-98AF-8F83C0E3093B}" parentId="{F680CF8B-4B9C-472C-9EE9-39387F2A6E79}">
    <text>+2087</text>
  </threadedComment>
  <threadedComment ref="L25" dT="2023-02-09T19:57:33.06" personId="{8CBD5F68-0FE7-487B-8546-DEE17214FBB9}" id="{F2C78647-F85B-4A9B-81CA-9426A2801D39}">
    <text>Added deadhead for uni-directional commuter routes &gt;20</text>
  </threadedComment>
  <threadedComment ref="L25" dT="2023-02-09T19:58:09.27" personId="{8CBD5F68-0FE7-487B-8546-DEE17214FBB9}" id="{1FC0D9AB-DC36-4B67-A7F3-E5E9283B2B07}" parentId="{F2C78647-F85B-4A9B-81CA-9426A2801D39}">
    <text>+2521</text>
  </threadedComment>
  <threadedComment ref="C27" dT="2023-02-13T14:47:37.64" personId="{8CBD5F68-0FE7-487B-8546-DEE17214FBB9}" id="{47194EDC-F175-4969-A64C-1F3B8C864129}">
    <text>Used values included in FY23 SYIP</text>
  </threadedComment>
  <threadedComment ref="D27" dT="2023-02-13T14:50:06.01" personId="{8CBD5F68-0FE7-487B-8546-DEE17214FBB9}" id="{6FF29E01-7EDF-441E-9763-7CE5BF14D04B}">
    <text>Used values included in FY23 SYIP</text>
  </threadedComment>
  <threadedComment ref="E27" dT="2023-02-10T22:08:18.19" personId="{8CBD5F68-0FE7-487B-8546-DEE17214FBB9}" id="{581C7D26-9EA6-40B7-95DD-7441984176B2}">
    <text>Added deadhead for uni-directional communter routes &gt;20mi</text>
  </threadedComment>
  <threadedComment ref="E27" dT="2023-02-10T22:08:31.38" personId="{8CBD5F68-0FE7-487B-8546-DEE17214FBB9}" id="{5E5ADD37-0196-4EC6-A6BC-FAADD5712546}" parentId="{581C7D26-9EA6-40B7-95DD-7441984176B2}">
    <text>Assumed 49% increase based on FY2022 value</text>
  </threadedComment>
  <threadedComment ref="F27" dT="2023-02-10T22:07:44.22" personId="{8CBD5F68-0FE7-487B-8546-DEE17214FBB9}" id="{509D3CD2-408C-48C1-881C-1871C58377F4}">
    <text>Added deadhead for uni-directional communter routes &gt;20mi</text>
  </threadedComment>
  <threadedComment ref="F27" dT="2023-02-10T22:08:47.36" personId="{8CBD5F68-0FE7-487B-8546-DEE17214FBB9}" id="{14C1579D-E777-456C-B1DA-147D7D05A056}" parentId="{509D3CD2-408C-48C1-881C-1871C58377F4}">
    <text>+71,220</text>
  </threadedComment>
  <threadedComment ref="I27" dT="2023-02-13T14:47:37.64" personId="{8CBD5F68-0FE7-487B-8546-DEE17214FBB9}" id="{E32C493D-CFDF-4D42-AD53-EEE681AE9152}">
    <text>Used values included in FY23 SYIP</text>
  </threadedComment>
  <threadedComment ref="J27" dT="2023-02-13T14:50:06.01" personId="{8CBD5F68-0FE7-487B-8546-DEE17214FBB9}" id="{DE04B27C-06A0-4147-8301-8DC81FA44C79}">
    <text>Used values included in FY23 SYIP</text>
  </threadedComment>
  <threadedComment ref="K27" dT="2023-02-10T22:08:18.19" personId="{8CBD5F68-0FE7-487B-8546-DEE17214FBB9}" id="{FA04006A-C694-4BDF-B1AD-D5578C336F77}">
    <text>Added deadhead for uni-directional communter routes &gt;20mi</text>
  </threadedComment>
  <threadedComment ref="K27" dT="2023-02-10T22:08:31.38" personId="{8CBD5F68-0FE7-487B-8546-DEE17214FBB9}" id="{69B1E50E-5A35-4F5C-B4E9-1FB06678DA14}" parentId="{FA04006A-C694-4BDF-B1AD-D5578C336F77}">
    <text>Assumed 49% increase based on FY2022 value</text>
  </threadedComment>
  <threadedComment ref="L27" dT="2023-02-10T22:07:44.22" personId="{8CBD5F68-0FE7-487B-8546-DEE17214FBB9}" id="{2D2872DC-4988-4C19-9A07-2C16D4BF0481}">
    <text>Added deadhead for uni-directional communter routes &gt;20mi</text>
  </threadedComment>
  <threadedComment ref="L27" dT="2023-02-10T22:08:47.36" personId="{8CBD5F68-0FE7-487B-8546-DEE17214FBB9}" id="{225DA90A-F227-4BE0-B437-76D77F9DE6ED}" parentId="{2D2872DC-4988-4C19-9A07-2C16D4BF0481}">
    <text>+71,220</text>
  </threadedComment>
  <threadedComment ref="C39" dT="2023-02-13T15:10:25.93" personId="{8CBD5F68-0FE7-487B-8546-DEE17214FBB9}" id="{9AD05DB1-C180-4023-8EAE-811DF64FDDB1}">
    <text>Added Green Co. hours: 21,594</text>
  </threadedComment>
  <threadedComment ref="D39" dT="2023-02-13T15:11:03.81" personId="{8CBD5F68-0FE7-487B-8546-DEE17214FBB9}" id="{61D39F08-0AA6-4E18-B404-635F44FF66EC}">
    <text>Carried forward figure from FY21 SYIP (and FY22 and FY23). This figure was reduced from 118,760 (with reported hours + Green Co. hours) based on an audit on 12/14/21.</text>
  </threadedComment>
  <threadedComment ref="D39" dT="2023-02-13T15:13:04.34" personId="{8CBD5F68-0FE7-487B-8546-DEE17214FBB9}" id="{C2710B8E-D9A3-4336-AD40-F6E3ADF8180F}" parentId="{61D39F08-0AA6-4E18-B404-635F44FF66EC}">
    <text>Note: This figure would have been significantly higher than what was provided in FY21 (and carried forward in FY22 and 23). The FY21 number was reduced based on an audit. The different this figure will make in the overall allocation is negligible, but I wanted to flag it.</text>
  </threadedComment>
  <threadedComment ref="I39" dT="2023-02-13T15:10:25.93" personId="{8CBD5F68-0FE7-487B-8546-DEE17214FBB9}" id="{62CDBEFC-EEC9-4C18-8F4C-4075BDA78102}">
    <text>Added Green Co. hours: 21,594</text>
  </threadedComment>
  <threadedComment ref="J39" dT="2023-02-13T15:11:03.81" personId="{8CBD5F68-0FE7-487B-8546-DEE17214FBB9}" id="{AB6D6468-FF54-46FC-852D-E921A4E62124}">
    <text>Carried forward figure from FY21 SYIP (and FY22 and FY23). This figure was reduced from 118,760 (with reported hours + Green Co. hours) based on an audit on 12/14/21.</text>
  </threadedComment>
  <threadedComment ref="J39" dT="2023-02-13T15:13:04.34" personId="{8CBD5F68-0FE7-487B-8546-DEE17214FBB9}" id="{C3CD4B22-93D4-4A0E-8405-42C4CEC3E472}" parentId="{AB6D6468-FF54-46FC-852D-E921A4E62124}">
    <text>Note: This figure would have been significantly higher than what was provided in FY21 (and carried forward in FY22 and 23). The FY21 number was reduced based on an audit. The different this figure will make in the overall allocation is negligible, but I wanted to flag it.</text>
  </threadedComment>
</ThreadedComments>
</file>

<file path=xl/threadedComments/threadedComment2.xml><?xml version="1.0" encoding="utf-8"?>
<ThreadedComments xmlns="http://schemas.microsoft.com/office/spreadsheetml/2018/threadedcomments" xmlns:x="http://schemas.openxmlformats.org/spreadsheetml/2006/main">
  <threadedComment ref="CD11" dT="2025-01-22T14:44:16.27" personId="{8CBD5F68-0FE7-487B-8546-DEE17214FBB9}" id="{9B9EA1EB-481C-45EB-B95C-E9DF4A8A7754}">
    <text>If agencies are above 30%, a second round of re-allocation is needed</text>
  </threadedComment>
</ThreadedComments>
</file>

<file path=xl/threadedComments/threadedComment20.xml><?xml version="1.0" encoding="utf-8"?>
<ThreadedComments xmlns="http://schemas.microsoft.com/office/spreadsheetml/2018/threadedcomments" xmlns:x="http://schemas.openxmlformats.org/spreadsheetml/2006/main">
  <threadedComment ref="C21" dT="2023-02-13T15:22:46.58" personId="{8CBD5F68-0FE7-487B-8546-DEE17214FBB9}" id="{89530683-6D80-4DAD-8E25-A67407599DCE}">
    <text>Used values included in FY23 SYIP</text>
  </threadedComment>
  <threadedComment ref="D21" dT="2023-02-13T15:22:52.33" personId="{8CBD5F68-0FE7-487B-8546-DEE17214FBB9}" id="{A167185D-D1EA-4CE9-A27A-DEDAF4F3990C}">
    <text>Used values included in FY23 SYIP</text>
  </threadedComment>
  <threadedComment ref="E21" dT="2023-02-13T19:40:16.42" personId="{8CBD5F68-0FE7-487B-8546-DEE17214FBB9}" id="{62A7159A-AC41-4415-B31E-5E6ACE38081F}">
    <text>Added deadhead for uni-directional commuter routes &gt;20</text>
  </threadedComment>
  <threadedComment ref="E21" dT="2023-02-13T19:40:40.42" personId="{8CBD5F68-0FE7-487B-8546-DEE17214FBB9}" id="{F0DCAE6F-6314-4EF0-9B6F-E636407EBFBC}" parentId="{62A7159A-AC41-4415-B31E-5E6ACE38081F}">
    <text>+320,678.5</text>
  </threadedComment>
  <threadedComment ref="F21" dT="2023-02-13T19:40:23.85" personId="{8CBD5F68-0FE7-487B-8546-DEE17214FBB9}" id="{52C9F260-1AB0-4C0E-8A0C-B92B02D8462A}">
    <text>Added deadhead for uni-directional commuter routes &gt;20</text>
  </threadedComment>
  <threadedComment ref="F21" dT="2023-02-13T19:40:57.02" personId="{8CBD5F68-0FE7-487B-8546-DEE17214FBB9}" id="{09B3E43B-5BF9-4CC4-BC02-E5D014FFC7B5}" parentId="{52C9F260-1AB0-4C0E-8A0C-B92B02D8462A}">
    <text>+427962.5</text>
  </threadedComment>
  <threadedComment ref="I21" dT="2023-02-13T15:22:46.58" personId="{8CBD5F68-0FE7-487B-8546-DEE17214FBB9}" id="{A263E7BB-226B-4491-965B-BE1692158DA0}">
    <text>Used values included in FY23 SYIP</text>
  </threadedComment>
  <threadedComment ref="J21" dT="2023-02-13T15:22:52.33" personId="{8CBD5F68-0FE7-487B-8546-DEE17214FBB9}" id="{81C01ACB-1040-40FE-AD7C-B30347A32FC2}">
    <text>Used values included in FY23 SYIP</text>
  </threadedComment>
  <threadedComment ref="K21" dT="2023-02-13T19:40:16.42" personId="{8CBD5F68-0FE7-487B-8546-DEE17214FBB9}" id="{78A0EF3F-ED78-400D-9731-76D06D047AAE}">
    <text>Added deadhead for uni-directional commuter routes &gt;20</text>
  </threadedComment>
  <threadedComment ref="K21" dT="2023-02-13T19:40:40.42" personId="{8CBD5F68-0FE7-487B-8546-DEE17214FBB9}" id="{98956884-EBDF-4F9B-9FAC-687E83623F37}" parentId="{78A0EF3F-ED78-400D-9731-76D06D047AAE}">
    <text>+320,678.5</text>
  </threadedComment>
  <threadedComment ref="L21" dT="2023-02-13T19:40:23.85" personId="{8CBD5F68-0FE7-487B-8546-DEE17214FBB9}" id="{24F71CAA-710F-4047-A6E5-862F1AD39417}">
    <text>Added deadhead for uni-directional commuter routes &gt;20</text>
  </threadedComment>
  <threadedComment ref="L21" dT="2023-02-13T19:40:57.02" personId="{8CBD5F68-0FE7-487B-8546-DEE17214FBB9}" id="{0533BB9F-7981-4991-A02B-303B53AD6CDC}" parentId="{24F71CAA-710F-4047-A6E5-862F1AD39417}">
    <text>+427962.5</text>
  </threadedComment>
  <threadedComment ref="C25" dT="2023-02-13T15:20:42.76" personId="{8CBD5F68-0FE7-487B-8546-DEE17214FBB9}" id="{17F7608D-EFEB-4874-9489-E74CE38659EE}">
    <text>Used values included in FY23 SYIP</text>
  </threadedComment>
  <threadedComment ref="D25" dT="2023-02-13T15:20:57.24" personId="{8CBD5F68-0FE7-487B-8546-DEE17214FBB9}" id="{F3B4B08D-EF71-41B3-9591-4DA823E82F5F}">
    <text>Used values included in FY23 SYIP</text>
  </threadedComment>
  <threadedComment ref="E25" dT="2023-02-09T19:57:02.46" personId="{8CBD5F68-0FE7-487B-8546-DEE17214FBB9}" id="{B502EEE3-09BB-4411-A7BC-E7A04935E1B6}">
    <text>Added deadhead for uni-directional commuter routes &gt;20</text>
  </threadedComment>
  <threadedComment ref="E25" dT="2023-02-09T19:58:39.61" personId="{8CBD5F68-0FE7-487B-8546-DEE17214FBB9}" id="{7F8B3408-633C-4C43-A5DD-FBE41E4D8BD8}" parentId="{B502EEE3-09BB-4411-A7BC-E7A04935E1B6}">
    <text>+70,604</text>
  </threadedComment>
  <threadedComment ref="F25" dT="2023-02-09T19:57:18.06" personId="{8CBD5F68-0FE7-487B-8546-DEE17214FBB9}" id="{44C5D6C4-64AC-42E4-B183-4B57A085A545}">
    <text>Added deadhead for uni-directional commuter routes &gt;20</text>
  </threadedComment>
  <threadedComment ref="F25" dT="2023-02-09T19:58:47.69" personId="{8CBD5F68-0FE7-487B-8546-DEE17214FBB9}" id="{713B2C5E-F6B4-4A1A-B7F3-A3A88740F9CC}" parentId="{44C5D6C4-64AC-42E4-B183-4B57A085A545}">
    <text>+85,445</text>
  </threadedComment>
  <threadedComment ref="I25" dT="2023-02-13T15:20:42.76" personId="{8CBD5F68-0FE7-487B-8546-DEE17214FBB9}" id="{4B551589-5B36-49DE-B39A-42C2E2DA3B1D}">
    <text>Used values included in FY23 SYIP</text>
  </threadedComment>
  <threadedComment ref="J25" dT="2023-02-13T15:20:57.24" personId="{8CBD5F68-0FE7-487B-8546-DEE17214FBB9}" id="{44A30F21-DD83-4BA0-B745-2029A980A5F6}">
    <text>Used values included in FY23 SYIP</text>
  </threadedComment>
  <threadedComment ref="K25" dT="2023-02-09T19:57:02.46" personId="{8CBD5F68-0FE7-487B-8546-DEE17214FBB9}" id="{EE3349F0-FCF2-40D4-BED8-0814DF1079A6}">
    <text>Added deadhead for uni-directional commuter routes &gt;20</text>
  </threadedComment>
  <threadedComment ref="K25" dT="2023-02-09T19:58:39.61" personId="{8CBD5F68-0FE7-487B-8546-DEE17214FBB9}" id="{02B6D5D6-484A-4810-92DA-AFAB29DD1390}" parentId="{EE3349F0-FCF2-40D4-BED8-0814DF1079A6}">
    <text>+70,604</text>
  </threadedComment>
  <threadedComment ref="L25" dT="2023-02-09T19:57:18.06" personId="{8CBD5F68-0FE7-487B-8546-DEE17214FBB9}" id="{A687FD61-0D5A-41FC-B6FF-48EC31F219FB}">
    <text>Added deadhead for uni-directional commuter routes &gt;20</text>
  </threadedComment>
  <threadedComment ref="L25" dT="2023-02-09T19:58:47.69" personId="{8CBD5F68-0FE7-487B-8546-DEE17214FBB9}" id="{397E2BB1-6B2C-459E-907E-3B129E4EE4F1}" parentId="{A687FD61-0D5A-41FC-B6FF-48EC31F219FB}">
    <text>+85,445</text>
  </threadedComment>
  <threadedComment ref="C27" dT="2023-02-13T15:21:22.01" personId="{8CBD5F68-0FE7-487B-8546-DEE17214FBB9}" id="{EF0FFB6E-9970-433C-9599-CE121A3CB2C3}">
    <text>Used values included in FY23 SYIP</text>
  </threadedComment>
  <threadedComment ref="D27" dT="2023-02-13T15:21:28.23" personId="{8CBD5F68-0FE7-487B-8546-DEE17214FBB9}" id="{809B519C-F70E-4888-B65A-AB3E941D35A4}">
    <text>Used values included in FY23 SYIP</text>
  </threadedComment>
  <threadedComment ref="E27" dT="2023-02-09T20:01:43.66" personId="{8CBD5F68-0FE7-487B-8546-DEE17214FBB9}" id="{4283F401-EE15-4C80-A322-CDF5ED306870}">
    <text>No data provided for deadhead for unidirectional commuter service &gt;20mi</text>
  </threadedComment>
  <threadedComment ref="E27" dT="2023-02-09T20:02:04.88" personId="{8CBD5F68-0FE7-487B-8546-DEE17214FBB9}" id="{10CCD263-DC5C-4BB3-8A31-7A89023042B8}" parentId="{4283F401-EE15-4C80-A322-CDF5ED306870}">
    <text>Assumed 58% increase based on FY2022 value</text>
  </threadedComment>
  <threadedComment ref="F27" dT="2023-02-09T20:00:32.50" personId="{8CBD5F68-0FE7-487B-8546-DEE17214FBB9}" id="{D21E9F33-06A9-492E-BAFA-52E49E87876A}">
    <text>Added deadhead for uni-directional communter routes &gt;20mi</text>
  </threadedComment>
  <threadedComment ref="F27" dT="2023-02-09T20:00:39.23" personId="{8CBD5F68-0FE7-487B-8546-DEE17214FBB9}" id="{EF1E7447-DE71-44D9-837B-A62215FED2D3}" parentId="{D21E9F33-06A9-492E-BAFA-52E49E87876A}">
    <text>+1,905,553</text>
  </threadedComment>
  <threadedComment ref="I27" dT="2023-02-13T15:21:22.01" personId="{8CBD5F68-0FE7-487B-8546-DEE17214FBB9}" id="{6D2C48F8-0582-45B1-B569-142E95B1E785}">
    <text>Used values included in FY23 SYIP</text>
  </threadedComment>
  <threadedComment ref="J27" dT="2023-02-13T15:21:28.23" personId="{8CBD5F68-0FE7-487B-8546-DEE17214FBB9}" id="{0440131B-BB8D-484C-A1DF-F450F9A42B58}">
    <text>Used values included in FY23 SYIP</text>
  </threadedComment>
  <threadedComment ref="K27" dT="2023-02-09T20:01:43.66" personId="{8CBD5F68-0FE7-487B-8546-DEE17214FBB9}" id="{B5316E2B-803C-4AF5-BD60-84436B6CD467}">
    <text>No data provided for deadhead for unidirectional commuter service &gt;20mi</text>
  </threadedComment>
  <threadedComment ref="K27" dT="2023-02-09T20:02:04.88" personId="{8CBD5F68-0FE7-487B-8546-DEE17214FBB9}" id="{E0FB1FB5-E468-48CC-9B83-3D177BBEC59D}" parentId="{B5316E2B-803C-4AF5-BD60-84436B6CD467}">
    <text>Assumed 58% increase based on FY2022 value</text>
  </threadedComment>
  <threadedComment ref="L27" dT="2023-02-09T20:00:32.50" personId="{8CBD5F68-0FE7-487B-8546-DEE17214FBB9}" id="{E0E99350-A296-4CA1-BB34-AC237062257A}">
    <text>Added deadhead for uni-directional communter routes &gt;20mi</text>
  </threadedComment>
  <threadedComment ref="L27" dT="2023-02-09T20:00:39.23" personId="{8CBD5F68-0FE7-487B-8546-DEE17214FBB9}" id="{BA12F065-A9E4-426F-A4A3-9A5973BC1C26}" parentId="{E0E99350-A296-4CA1-BB34-AC237062257A}">
    <text>+1,905,553</text>
  </threadedComment>
  <threadedComment ref="C39" dT="2023-02-13T15:24:21.93" personId="{8CBD5F68-0FE7-487B-8546-DEE17214FBB9}" id="{573F8C08-6991-4D92-9345-0585680F4FED}">
    <text>Added Green Co. Miles: 348,660</text>
  </threadedComment>
  <threadedComment ref="D39" dT="2023-02-13T15:24:43.03" personId="{8CBD5F68-0FE7-487B-8546-DEE17214FBB9}" id="{3484201A-CACA-45B7-8C4F-801C95163757}">
    <text>Carried forward figure from FY21 SYIP (and FY22 and FY23). This figure was reduced from 1,738,303 (with reported miles + Green Co. miles) based on an audit on 12/14/21.</text>
  </threadedComment>
  <threadedComment ref="D39" dT="2023-02-13T15:29:36.51" personId="{8CBD5F68-0FE7-487B-8546-DEE17214FBB9}" id="{C6B5407D-8F3F-42E4-A1A7-E74E44A5DF17}" parentId="{3484201A-CACA-45B7-8C4F-801C95163757}">
    <text>Note: This figure would have been significantly higher than what was provided in FY21 (and carried forward in FY22 and 23). The FY21 number was reduced based on an audit. The different this figure will make in the overall allocation is negligible, but I wanted to flag it.</text>
  </threadedComment>
  <threadedComment ref="I39" dT="2023-02-13T15:24:21.93" personId="{8CBD5F68-0FE7-487B-8546-DEE17214FBB9}" id="{87747390-A7F1-4EA2-8A8C-86F0FBCC8DAD}">
    <text>Added Green Co. Miles: 348,660</text>
  </threadedComment>
  <threadedComment ref="J39" dT="2023-02-13T15:24:43.03" personId="{8CBD5F68-0FE7-487B-8546-DEE17214FBB9}" id="{8D7D8916-D35A-4626-9F1F-26F0172EE428}">
    <text>Carried forward figure from FY21 SYIP (and FY22 and FY23). This figure was reduced from 1,738,303 (with reported miles + Green Co. miles) based on an audit on 12/14/21.</text>
  </threadedComment>
  <threadedComment ref="J39" dT="2023-02-13T15:29:36.51" personId="{8CBD5F68-0FE7-487B-8546-DEE17214FBB9}" id="{C2C35253-1B2B-4E25-8CF9-03B07A952637}" parentId="{8D7D8916-D35A-4626-9F1F-26F0172EE428}">
    <text>Note: This figure would have been significantly higher than what was provided in FY21 (and carried forward in FY22 and 23). The FY21 number was reduced based on an audit. The different this figure will make in the overall allocation is negligible, but I wanted to flag it.</text>
  </threadedComment>
</ThreadedComments>
</file>

<file path=xl/threadedComments/threadedComment3.xml><?xml version="1.0" encoding="utf-8"?>
<ThreadedComments xmlns="http://schemas.microsoft.com/office/spreadsheetml/2018/threadedcomments" xmlns:x="http://schemas.openxmlformats.org/spreadsheetml/2006/main">
  <threadedComment ref="CD11" dT="2025-01-22T14:44:16.27" personId="{8CBD5F68-0FE7-487B-8546-DEE17214FBB9}" id="{70D7CCF5-A87B-41BD-BA51-96A6F36853E3}">
    <text>If agencies are above 30%, a second round of re-allocation is needed</text>
  </threadedComment>
</ThreadedComments>
</file>

<file path=xl/threadedComments/threadedComment4.xml><?xml version="1.0" encoding="utf-8"?>
<ThreadedComments xmlns="http://schemas.microsoft.com/office/spreadsheetml/2018/threadedcomments" xmlns:x="http://schemas.openxmlformats.org/spreadsheetml/2006/main">
  <threadedComment ref="CD11" dT="2025-01-22T14:44:16.27" personId="{8CBD5F68-0FE7-487B-8546-DEE17214FBB9}" id="{8A6A12ED-7920-41BA-A248-E810AE5027C9}">
    <text>If agencies are above 30%, a second round of re-allocation is needed</text>
  </threadedComment>
</ThreadedComments>
</file>

<file path=xl/threadedComments/threadedComment5.xml><?xml version="1.0" encoding="utf-8"?>
<ThreadedComments xmlns="http://schemas.microsoft.com/office/spreadsheetml/2018/threadedcomments" xmlns:x="http://schemas.openxmlformats.org/spreadsheetml/2006/main">
  <threadedComment ref="CD11" dT="2025-01-22T14:44:16.27" personId="{8CBD5F68-0FE7-487B-8546-DEE17214FBB9}" id="{A241CCCC-9D64-4ACC-959B-54EC6B54B8B7}">
    <text>If agencies are above 30%, a second round of re-allocation is needed</text>
  </threadedComment>
</ThreadedComments>
</file>

<file path=xl/threadedComments/threadedComment6.xml><?xml version="1.0" encoding="utf-8"?>
<ThreadedComments xmlns="http://schemas.microsoft.com/office/spreadsheetml/2018/threadedcomments" xmlns:x="http://schemas.openxmlformats.org/spreadsheetml/2006/main">
  <threadedComment ref="CM11" dT="2023-03-25T15:20:31.72" personId="{F34D0A6A-0D57-4CBD-A459-B8C6418A68AD}" id="{E6DF085A-C952-4E14-B467-A47C269597A4}">
    <text>Added $2 here for rounding.</text>
  </threadedComment>
</ThreadedComments>
</file>

<file path=xl/threadedComments/threadedComment7.xml><?xml version="1.0" encoding="utf-8"?>
<ThreadedComments xmlns="http://schemas.microsoft.com/office/spreadsheetml/2018/threadedcomments" xmlns:x="http://schemas.openxmlformats.org/spreadsheetml/2006/main">
  <threadedComment ref="CM11" dT="2023-03-25T15:20:31.72" personId="{F34D0A6A-0D57-4CBD-A459-B8C6418A68AD}" id="{33D837A2-B02F-4EB6-8848-23CF4CA3CF4D}">
    <text>Added $2 here for rounding.</text>
  </threadedComment>
</ThreadedComments>
</file>

<file path=xl/threadedComments/threadedComment8.xml><?xml version="1.0" encoding="utf-8"?>
<ThreadedComments xmlns="http://schemas.microsoft.com/office/spreadsheetml/2018/threadedcomments" xmlns:x="http://schemas.openxmlformats.org/spreadsheetml/2006/main">
  <threadedComment ref="CM11" dT="2023-03-25T15:20:31.72" personId="{F34D0A6A-0D57-4CBD-A459-B8C6418A68AD}" id="{B152AAB7-C3DE-446F-B3DC-D338C0B790EB}">
    <text>Added $2 here for rounding.</text>
  </threadedComment>
</ThreadedComments>
</file>

<file path=xl/threadedComments/threadedComment9.xml><?xml version="1.0" encoding="utf-8"?>
<ThreadedComments xmlns="http://schemas.microsoft.com/office/spreadsheetml/2018/threadedcomments" xmlns:x="http://schemas.openxmlformats.org/spreadsheetml/2006/main">
  <threadedComment ref="CM11" dT="2023-03-25T15:20:31.72" personId="{F34D0A6A-0D57-4CBD-A459-B8C6418A68AD}" id="{16ACBE37-DD3F-4D15-8823-C666B31A717F}">
    <text>Added $2 here for rounding.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microsoft.com/office/2017/10/relationships/threadedComment" Target="../threadedComments/threadedComment3.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 Id="rId4" Type="http://schemas.microsoft.com/office/2017/10/relationships/threadedComment" Target="../threadedComments/threadedComment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 Id="rId4" Type="http://schemas.microsoft.com/office/2017/10/relationships/threadedComment" Target="../threadedComments/threadedComment7.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3.bin"/><Relationship Id="rId4" Type="http://schemas.microsoft.com/office/2017/10/relationships/threadedComment" Target="../threadedComments/threadedComment8.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 Id="rId4" Type="http://schemas.microsoft.com/office/2017/10/relationships/threadedComment" Target="../threadedComments/threadedComment9.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5.bin"/><Relationship Id="rId4" Type="http://schemas.microsoft.com/office/2017/10/relationships/threadedComment" Target="../threadedComments/threadedComment10.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6.bin"/><Relationship Id="rId4" Type="http://schemas.microsoft.com/office/2017/10/relationships/threadedComment" Target="../threadedComments/threadedComment1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7.bin"/><Relationship Id="rId4" Type="http://schemas.microsoft.com/office/2017/10/relationships/threadedComment" Target="../threadedComments/threadedComment1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8.bin"/><Relationship Id="rId4" Type="http://schemas.microsoft.com/office/2017/10/relationships/threadedComment" Target="../threadedComments/threadedComment1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 Id="rId4" Type="http://schemas.microsoft.com/office/2017/10/relationships/threadedComment" Target="../threadedComments/threadedComment1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 Id="rId4" Type="http://schemas.microsoft.com/office/2017/10/relationships/threadedComment" Target="../threadedComments/threadedComment15.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 Id="rId4" Type="http://schemas.microsoft.com/office/2017/10/relationships/threadedComment" Target="../threadedComments/threadedComment16.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 Id="rId4" Type="http://schemas.microsoft.com/office/2017/10/relationships/threadedComment" Target="../threadedComments/threadedComment17.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 Id="rId4" Type="http://schemas.microsoft.com/office/2017/10/relationships/threadedComment" Target="../threadedComments/threadedComment1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 Id="rId4" Type="http://schemas.microsoft.com/office/2017/10/relationships/threadedComment" Target="../threadedComments/threadedComment19.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 Id="rId4" Type="http://schemas.microsoft.com/office/2017/10/relationships/threadedComment" Target="../threadedComments/threadedComment20.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A9D73-E78A-4D56-89A1-0158A72D0C6B}">
  <sheetPr>
    <tabColor rgb="FF7030A0"/>
  </sheetPr>
  <dimension ref="A1:AK73"/>
  <sheetViews>
    <sheetView tabSelected="1" zoomScale="80" zoomScaleNormal="80" workbookViewId="0"/>
  </sheetViews>
  <sheetFormatPr defaultColWidth="8.7109375" defaultRowHeight="12.75"/>
  <cols>
    <col min="1" max="1" width="16.42578125" style="572" customWidth="1"/>
    <col min="2" max="2" width="41.28515625" style="572" customWidth="1"/>
    <col min="3" max="3" width="18.140625" style="572" customWidth="1"/>
    <col min="4" max="4" width="15.42578125" style="572" customWidth="1"/>
    <col min="5" max="5" width="15.85546875" style="572" customWidth="1"/>
    <col min="6" max="6" width="11.28515625" style="572" customWidth="1"/>
    <col min="7" max="7" width="20.5703125" style="572" customWidth="1"/>
    <col min="8" max="8" width="13.85546875" style="572" customWidth="1"/>
    <col min="9" max="9" width="10.42578125" style="572" customWidth="1"/>
    <col min="10" max="10" width="19.42578125" style="572" customWidth="1"/>
    <col min="11" max="11" width="14.28515625" style="572" customWidth="1"/>
    <col min="12" max="12" width="8.7109375" style="572" customWidth="1"/>
    <col min="13" max="13" width="20.5703125" style="572" customWidth="1"/>
    <col min="14" max="14" width="12.7109375" style="572" customWidth="1"/>
    <col min="15" max="15" width="10.85546875" style="572" customWidth="1"/>
    <col min="16" max="16" width="18.28515625" style="572" customWidth="1"/>
    <col min="17" max="17" width="12.85546875" style="572" customWidth="1"/>
    <col min="18" max="18" width="8.7109375" style="572" customWidth="1"/>
    <col min="19" max="19" width="21.140625" style="572" customWidth="1"/>
    <col min="20" max="20" width="42.42578125" style="572" customWidth="1"/>
    <col min="21" max="23" width="17.5703125" style="572" customWidth="1"/>
    <col min="24" max="24" width="10.5703125" style="572" bestFit="1" customWidth="1"/>
    <col min="25" max="25" width="10.85546875" style="572" customWidth="1"/>
    <col min="26" max="26" width="17.5703125" style="572" customWidth="1"/>
    <col min="27" max="27" width="10.5703125" style="572" bestFit="1" customWidth="1"/>
    <col min="28" max="28" width="10.85546875" style="572" customWidth="1"/>
    <col min="29" max="29" width="17.5703125" style="572" customWidth="1"/>
    <col min="30" max="30" width="10.5703125" style="572" bestFit="1" customWidth="1"/>
    <col min="31" max="31" width="10.85546875" style="572" customWidth="1"/>
    <col min="32" max="32" width="17.5703125" style="572" customWidth="1"/>
    <col min="33" max="33" width="11.28515625" style="572" bestFit="1" customWidth="1"/>
    <col min="34" max="34" width="10.85546875" style="572" customWidth="1"/>
    <col min="35" max="16384" width="8.7109375" style="572"/>
  </cols>
  <sheetData>
    <row r="1" spans="1:37" ht="18">
      <c r="A1" s="1138" t="s">
        <v>434</v>
      </c>
    </row>
    <row r="2" spans="1:37" ht="23.45" customHeight="1">
      <c r="A2" s="571"/>
      <c r="C2" s="573" t="s">
        <v>432</v>
      </c>
      <c r="D2" s="574"/>
      <c r="E2" s="574"/>
      <c r="F2" s="574"/>
      <c r="G2" s="574"/>
      <c r="H2" s="574"/>
      <c r="I2" s="574"/>
      <c r="J2" s="574"/>
      <c r="K2" s="574"/>
      <c r="L2" s="574"/>
      <c r="M2" s="574"/>
      <c r="N2" s="575"/>
      <c r="O2" s="575"/>
      <c r="P2" s="575"/>
      <c r="Q2" s="575"/>
      <c r="R2" s="575"/>
      <c r="T2" s="573" t="s">
        <v>433</v>
      </c>
      <c r="U2" s="575"/>
      <c r="V2" s="575"/>
      <c r="W2" s="575"/>
      <c r="X2" s="575"/>
      <c r="Y2" s="575"/>
      <c r="Z2" s="575"/>
      <c r="AA2" s="575"/>
      <c r="AB2" s="575"/>
      <c r="AC2" s="575"/>
      <c r="AD2" s="575"/>
      <c r="AE2" s="575"/>
      <c r="AF2" s="575"/>
      <c r="AG2" s="575"/>
      <c r="AH2" s="575"/>
    </row>
    <row r="3" spans="1:37" ht="65.099999999999994" customHeight="1">
      <c r="A3" s="571"/>
      <c r="B3" s="576" t="s">
        <v>199</v>
      </c>
      <c r="C3" s="577" t="s">
        <v>200</v>
      </c>
      <c r="D3" s="578" t="s">
        <v>201</v>
      </c>
      <c r="E3" s="578"/>
      <c r="F3" s="579"/>
      <c r="G3" s="578" t="s">
        <v>421</v>
      </c>
      <c r="H3" s="578"/>
      <c r="I3" s="579"/>
      <c r="J3" s="578" t="s">
        <v>420</v>
      </c>
      <c r="K3" s="578"/>
      <c r="L3" s="579"/>
      <c r="M3" s="578" t="s">
        <v>418</v>
      </c>
      <c r="N3" s="578"/>
      <c r="O3" s="579"/>
      <c r="P3" s="578" t="s">
        <v>422</v>
      </c>
      <c r="Q3" s="578"/>
      <c r="R3" s="579"/>
      <c r="T3" s="578" t="s">
        <v>201</v>
      </c>
      <c r="U3" s="580"/>
      <c r="V3" s="579"/>
      <c r="W3" s="578" t="s">
        <v>421</v>
      </c>
      <c r="X3" s="580"/>
      <c r="Y3" s="579"/>
      <c r="Z3" s="578" t="s">
        <v>420</v>
      </c>
      <c r="AA3" s="580"/>
      <c r="AB3" s="579"/>
      <c r="AC3" s="578" t="s">
        <v>419</v>
      </c>
      <c r="AD3" s="580"/>
      <c r="AE3" s="579"/>
      <c r="AF3" s="578" t="s">
        <v>422</v>
      </c>
      <c r="AG3" s="580"/>
      <c r="AH3" s="579"/>
    </row>
    <row r="4" spans="1:37" ht="18.600000000000001" customHeight="1">
      <c r="A4" s="571"/>
      <c r="B4" s="576"/>
      <c r="C4" s="581"/>
      <c r="D4" s="582" t="s">
        <v>202</v>
      </c>
      <c r="E4" s="583" t="s">
        <v>203</v>
      </c>
      <c r="F4" s="583" t="s">
        <v>204</v>
      </c>
      <c r="G4" s="582" t="s">
        <v>202</v>
      </c>
      <c r="H4" s="583" t="s">
        <v>203</v>
      </c>
      <c r="I4" s="583" t="s">
        <v>204</v>
      </c>
      <c r="J4" s="582" t="s">
        <v>202</v>
      </c>
      <c r="K4" s="583" t="s">
        <v>203</v>
      </c>
      <c r="L4" s="583" t="s">
        <v>204</v>
      </c>
      <c r="M4" s="582" t="s">
        <v>202</v>
      </c>
      <c r="N4" s="583" t="s">
        <v>203</v>
      </c>
      <c r="O4" s="583" t="s">
        <v>204</v>
      </c>
      <c r="P4" s="582" t="s">
        <v>202</v>
      </c>
      <c r="Q4" s="583" t="s">
        <v>203</v>
      </c>
      <c r="R4" s="583" t="s">
        <v>204</v>
      </c>
      <c r="T4" s="582" t="s">
        <v>202</v>
      </c>
      <c r="U4" s="583" t="s">
        <v>203</v>
      </c>
      <c r="V4" s="583" t="s">
        <v>204</v>
      </c>
      <c r="W4" s="582" t="s">
        <v>202</v>
      </c>
      <c r="X4" s="583" t="s">
        <v>203</v>
      </c>
      <c r="Y4" s="583" t="s">
        <v>204</v>
      </c>
      <c r="Z4" s="582" t="s">
        <v>202</v>
      </c>
      <c r="AA4" s="583" t="s">
        <v>203</v>
      </c>
      <c r="AB4" s="583" t="s">
        <v>204</v>
      </c>
      <c r="AC4" s="582" t="s">
        <v>202</v>
      </c>
      <c r="AD4" s="583" t="s">
        <v>203</v>
      </c>
      <c r="AE4" s="583" t="s">
        <v>204</v>
      </c>
      <c r="AF4" s="582" t="s">
        <v>202</v>
      </c>
      <c r="AG4" s="583" t="s">
        <v>203</v>
      </c>
      <c r="AH4" s="583" t="s">
        <v>204</v>
      </c>
    </row>
    <row r="5" spans="1:37" ht="15">
      <c r="A5" s="584" t="s">
        <v>82</v>
      </c>
      <c r="B5" s="585" t="s">
        <v>83</v>
      </c>
      <c r="C5" s="586">
        <f>VLOOKUP(B5,S6C!$B$42:$F$80, 3, FALSE)</f>
        <v>625122.73690211866</v>
      </c>
      <c r="D5" s="587">
        <f>VLOOKUP($B5,S6C!$B$42:$F$80, 5, FALSE)</f>
        <v>653355.37711795652</v>
      </c>
      <c r="E5" s="588">
        <f>D5-$C5</f>
        <v>28232.640215837862</v>
      </c>
      <c r="F5" s="589">
        <f>E5/$C5</f>
        <v>4.5163355208848392E-2</v>
      </c>
      <c r="G5" s="587">
        <f>VLOOKUP($B5,'S6C-A'!$B$42:$F$80, 5, FALSE)</f>
        <v>654088.21210374485</v>
      </c>
      <c r="H5" s="588">
        <f>G5-$C5</f>
        <v>28965.475201626192</v>
      </c>
      <c r="I5" s="589">
        <f>H5/$C5</f>
        <v>4.6335660969825818E-2</v>
      </c>
      <c r="J5" s="587">
        <f>VLOOKUP($B5,'S6C-B'!$B$42:$F$80, 5, FALSE)</f>
        <v>652778.86770464212</v>
      </c>
      <c r="K5" s="588">
        <f>J5-$C5</f>
        <v>27656.130802523461</v>
      </c>
      <c r="L5" s="589">
        <f>K5/$C5</f>
        <v>4.4241121254966993E-2</v>
      </c>
      <c r="M5" s="587">
        <f>VLOOKUP($B5,'S6C-C'!$B$42:$F$80, 5, FALSE)</f>
        <v>648782.54856320331</v>
      </c>
      <c r="N5" s="588">
        <f>M5-$C5</f>
        <v>23659.811661084648</v>
      </c>
      <c r="O5" s="589">
        <f>N5/$C5</f>
        <v>3.7848266051454291E-2</v>
      </c>
      <c r="P5" s="587">
        <f>VLOOKUP($B5,'S6C-D'!$B$42:$F$80, 5, FALSE)</f>
        <v>649026.803888942</v>
      </c>
      <c r="Q5" s="588">
        <f>P5-$C5</f>
        <v>23904.066986823338</v>
      </c>
      <c r="R5" s="589">
        <f>Q5/$C5</f>
        <v>3.8238997841101116E-2</v>
      </c>
      <c r="T5" s="587">
        <f>VLOOKUP($B5,S6C!$B$42:$F$80, 5, FALSE)</f>
        <v>653355.37711795652</v>
      </c>
      <c r="U5" s="588">
        <f t="shared" ref="U5:U43" si="0">T5-$D5</f>
        <v>0</v>
      </c>
      <c r="V5" s="589">
        <f t="shared" ref="V5:V43" si="1">U5/$D5</f>
        <v>0</v>
      </c>
      <c r="W5" s="587">
        <f>VLOOKUP($B5,'S6C-A'!$B$42:$F$80, 5, FALSE)</f>
        <v>654088.21210374485</v>
      </c>
      <c r="X5" s="588">
        <f t="shared" ref="X5:X43" si="2">W5-$D5</f>
        <v>732.8349857883295</v>
      </c>
      <c r="Y5" s="589">
        <f t="shared" ref="Y5:Y43" si="3">X5/$D5</f>
        <v>1.1216483577757771E-3</v>
      </c>
      <c r="Z5" s="587">
        <f>VLOOKUP($B5,'S6C-B'!$B$42:$F$80, 5, FALSE)</f>
        <v>652778.86770464212</v>
      </c>
      <c r="AA5" s="588">
        <f t="shared" ref="AA5:AA43" si="4">Z5-$D5</f>
        <v>-576.50941331440117</v>
      </c>
      <c r="AB5" s="589">
        <f t="shared" ref="AB5:AB43" si="5">AA5/$D5</f>
        <v>-8.8238259529976805E-4</v>
      </c>
      <c r="AC5" s="587">
        <f>VLOOKUP($B5,'S6C-C'!$B$42:$F$80, 5, FALSE)</f>
        <v>648782.54856320331</v>
      </c>
      <c r="AD5" s="588">
        <f t="shared" ref="AD5:AD43" si="6">AC5-$D5</f>
        <v>-4572.8285547532141</v>
      </c>
      <c r="AE5" s="589">
        <f t="shared" ref="AE5:AE43" si="7">AD5/$D5</f>
        <v>-6.9989912303540089E-3</v>
      </c>
      <c r="AF5" s="587">
        <f>VLOOKUP($B5,'S6C-D'!$B$42:$F$80, 5, FALSE)</f>
        <v>649026.803888942</v>
      </c>
      <c r="AG5" s="588">
        <f t="shared" ref="AG5:AG43" si="8">AF5-$D5</f>
        <v>-4328.5732290145243</v>
      </c>
      <c r="AH5" s="589">
        <f t="shared" ref="AH5:AH43" si="9">AG5/$D5</f>
        <v>-6.6251436516960747E-3</v>
      </c>
      <c r="AI5" s="590"/>
      <c r="AJ5" s="590" t="str">
        <f>VLOOKUP('Summary Table'!B5, 'S6C-D'!$B$90:$H$127,7,FALSE)</f>
        <v>AASC/ 4 County</v>
      </c>
      <c r="AK5" s="590"/>
    </row>
    <row r="6" spans="1:37" ht="15">
      <c r="A6" s="584" t="s">
        <v>82</v>
      </c>
      <c r="B6" s="585" t="s">
        <v>84</v>
      </c>
      <c r="C6" s="586">
        <f>VLOOKUP(B6,S6C!$B$42:$F$80, 3, FALSE)</f>
        <v>121343.8</v>
      </c>
      <c r="D6" s="587">
        <f>VLOOKUP($B6,S6C!$B$42:$F$80, 5, FALSE)</f>
        <v>122089.58518981929</v>
      </c>
      <c r="E6" s="588">
        <f t="shared" ref="E6:E43" si="10">D6-$C6</f>
        <v>745.78518981928937</v>
      </c>
      <c r="F6" s="589">
        <f t="shared" ref="F6:F43" si="11">E6/$C6</f>
        <v>6.1460510534472245E-3</v>
      </c>
      <c r="G6" s="587">
        <f>VLOOKUP($B6,'S6C-A'!$B$42:$F$80, 5, FALSE)</f>
        <v>121413.25932109046</v>
      </c>
      <c r="H6" s="588">
        <f t="shared" ref="H6:H43" si="12">G6-$C6</f>
        <v>69.459321090456797</v>
      </c>
      <c r="I6" s="589">
        <f t="shared" ref="I6:I43" si="13">H6/$C6</f>
        <v>5.7241755318736352E-4</v>
      </c>
      <c r="J6" s="587">
        <f>VLOOKUP($B6,'S6C-B'!$B$42:$F$80, 5, FALSE)</f>
        <v>122014.21177713049</v>
      </c>
      <c r="K6" s="588">
        <f t="shared" ref="K6:K43" si="14">J6-$C6</f>
        <v>670.41177713048819</v>
      </c>
      <c r="L6" s="589">
        <f t="shared" ref="L6:L43" si="15">K6/$C6</f>
        <v>5.5248951914353113E-3</v>
      </c>
      <c r="M6" s="587">
        <f>VLOOKUP($B6,'S6C-C'!$B$42:$F$80, 5, FALSE)</f>
        <v>121344</v>
      </c>
      <c r="N6" s="588">
        <f t="shared" ref="N6:N43" si="16">M6-$C6</f>
        <v>0.19999999999708962</v>
      </c>
      <c r="O6" s="589">
        <f t="shared" ref="O6:O43" si="17">N6/$C6</f>
        <v>1.6482094676208395E-6</v>
      </c>
      <c r="P6" s="587">
        <f>VLOOKUP($B6,'S6C-D'!$B$42:$F$80, 5, FALSE)</f>
        <v>121344</v>
      </c>
      <c r="Q6" s="588">
        <f t="shared" ref="Q6:Q43" si="18">P6-$C6</f>
        <v>0.19999999999708962</v>
      </c>
      <c r="R6" s="589">
        <f t="shared" ref="R6:R43" si="19">Q6/$C6</f>
        <v>1.6482094676208395E-6</v>
      </c>
      <c r="T6" s="587">
        <f>VLOOKUP($B6,S6C!$B$42:$F$80, 5, FALSE)</f>
        <v>122089.58518981929</v>
      </c>
      <c r="U6" s="588">
        <f t="shared" si="0"/>
        <v>0</v>
      </c>
      <c r="V6" s="589">
        <f t="shared" si="1"/>
        <v>0</v>
      </c>
      <c r="W6" s="587">
        <f>VLOOKUP($B6,'S6C-A'!$B$42:$F$80, 5, FALSE)</f>
        <v>121413.25932109046</v>
      </c>
      <c r="X6" s="588">
        <f t="shared" si="2"/>
        <v>-676.32586872883257</v>
      </c>
      <c r="Y6" s="589">
        <f t="shared" si="3"/>
        <v>-5.5395869162575342E-3</v>
      </c>
      <c r="Z6" s="587">
        <f>VLOOKUP($B6,'S6C-B'!$B$42:$F$80, 5, FALSE)</f>
        <v>122014.21177713049</v>
      </c>
      <c r="AA6" s="588">
        <f t="shared" si="4"/>
        <v>-75.373412688801182</v>
      </c>
      <c r="AB6" s="589">
        <f t="shared" si="5"/>
        <v>-6.1736152655129473E-4</v>
      </c>
      <c r="AC6" s="587">
        <f>VLOOKUP($B6,'S6C-C'!$B$42:$F$80, 5, FALSE)</f>
        <v>121344</v>
      </c>
      <c r="AD6" s="588">
        <f t="shared" si="6"/>
        <v>-745.58518981929228</v>
      </c>
      <c r="AE6" s="589">
        <f t="shared" si="7"/>
        <v>-6.1068697109592975E-3</v>
      </c>
      <c r="AF6" s="587">
        <f>VLOOKUP($B6,'S6C-D'!$B$42:$F$80, 5, FALSE)</f>
        <v>121344</v>
      </c>
      <c r="AG6" s="588">
        <f t="shared" si="8"/>
        <v>-745.58518981929228</v>
      </c>
      <c r="AH6" s="589">
        <f t="shared" si="9"/>
        <v>-6.1068697109592975E-3</v>
      </c>
      <c r="AI6" s="591"/>
      <c r="AJ6" s="590" t="str">
        <f>VLOOKUP('Summary Table'!B6, 'S6C-D'!$B$90:$H$127,7,FALSE)</f>
        <v>City of Bristol Virginia</v>
      </c>
      <c r="AK6" s="592"/>
    </row>
    <row r="7" spans="1:37" ht="15">
      <c r="A7" s="584" t="s">
        <v>82</v>
      </c>
      <c r="B7" s="585" t="s">
        <v>85</v>
      </c>
      <c r="C7" s="586">
        <f>VLOOKUP(B7,S6C!$B$42:$F$80, 3, FALSE)</f>
        <v>742893.1932213885</v>
      </c>
      <c r="D7" s="587">
        <f>VLOOKUP($B7,S6C!$B$42:$F$80, 5, FALSE)</f>
        <v>742471.56661249639</v>
      </c>
      <c r="E7" s="588">
        <f t="shared" si="10"/>
        <v>-421.62660889211111</v>
      </c>
      <c r="F7" s="589">
        <f t="shared" si="11"/>
        <v>-5.6754673853427382E-4</v>
      </c>
      <c r="G7" s="587">
        <f>VLOOKUP($B7,'S6C-A'!$B$42:$F$80, 5, FALSE)</f>
        <v>740034.56536466628</v>
      </c>
      <c r="H7" s="588">
        <f t="shared" si="12"/>
        <v>-2858.627856722218</v>
      </c>
      <c r="I7" s="589">
        <f t="shared" si="13"/>
        <v>-3.8479661448053174E-3</v>
      </c>
      <c r="J7" s="587">
        <f>VLOOKUP($B7,'S6C-B'!$B$42:$F$80, 5, FALSE)</f>
        <v>741658.74596510676</v>
      </c>
      <c r="K7" s="588">
        <f t="shared" si="14"/>
        <v>-1234.4472562817391</v>
      </c>
      <c r="L7" s="589">
        <f t="shared" si="15"/>
        <v>-1.6616752819188414E-3</v>
      </c>
      <c r="M7" s="587">
        <f>VLOOKUP($B7,'S6C-C'!$B$42:$F$80, 5, FALSE)</f>
        <v>737238.34569833556</v>
      </c>
      <c r="N7" s="588">
        <f t="shared" si="16"/>
        <v>-5654.8475230529439</v>
      </c>
      <c r="O7" s="589">
        <f t="shared" si="17"/>
        <v>-7.6119253408851078E-3</v>
      </c>
      <c r="P7" s="587">
        <f>VLOOKUP($B7,'S6C-D'!$B$42:$F$80, 5, FALSE)</f>
        <v>734214.38113835629</v>
      </c>
      <c r="Q7" s="588">
        <f t="shared" si="18"/>
        <v>-8678.812083032215</v>
      </c>
      <c r="R7" s="589">
        <f t="shared" si="19"/>
        <v>-1.1682449324106076E-2</v>
      </c>
      <c r="T7" s="587">
        <f>VLOOKUP($B7,S6C!$B$42:$F$80, 5, FALSE)</f>
        <v>742471.56661249639</v>
      </c>
      <c r="U7" s="588">
        <f t="shared" si="0"/>
        <v>0</v>
      </c>
      <c r="V7" s="589">
        <f t="shared" si="1"/>
        <v>0</v>
      </c>
      <c r="W7" s="587">
        <f>VLOOKUP($B7,'S6C-A'!$B$42:$F$80, 5, FALSE)</f>
        <v>740034.56536466628</v>
      </c>
      <c r="X7" s="588">
        <f t="shared" si="2"/>
        <v>-2437.0012478301069</v>
      </c>
      <c r="Y7" s="589">
        <f t="shared" si="3"/>
        <v>-3.282282254859738E-3</v>
      </c>
      <c r="Z7" s="587">
        <f>VLOOKUP($B7,'S6C-B'!$B$42:$F$80, 5, FALSE)</f>
        <v>741658.74596510676</v>
      </c>
      <c r="AA7" s="588">
        <f t="shared" si="4"/>
        <v>-812.82064738962799</v>
      </c>
      <c r="AB7" s="589">
        <f t="shared" si="5"/>
        <v>-1.094749865100016E-3</v>
      </c>
      <c r="AC7" s="587">
        <f>VLOOKUP($B7,'S6C-C'!$B$42:$F$80, 5, FALSE)</f>
        <v>737238.34569833556</v>
      </c>
      <c r="AD7" s="588">
        <f t="shared" si="6"/>
        <v>-5233.2209141608328</v>
      </c>
      <c r="AE7" s="589">
        <f t="shared" si="7"/>
        <v>-7.0483788867999912E-3</v>
      </c>
      <c r="AF7" s="587">
        <f>VLOOKUP($B7,'S6C-D'!$B$42:$F$80, 5, FALSE)</f>
        <v>734214.38113835629</v>
      </c>
      <c r="AG7" s="588">
        <f t="shared" si="8"/>
        <v>-8257.1854741401039</v>
      </c>
      <c r="AH7" s="589">
        <f t="shared" si="9"/>
        <v>-1.1121214394529958E-2</v>
      </c>
      <c r="AI7" s="591"/>
      <c r="AJ7" s="590" t="str">
        <f>VLOOKUP('Summary Table'!B7, 'S6C-D'!$B$90:$H$127,7,FALSE)</f>
        <v>District Three</v>
      </c>
      <c r="AK7" s="592"/>
    </row>
    <row r="8" spans="1:37" ht="15">
      <c r="A8" s="584" t="s">
        <v>82</v>
      </c>
      <c r="B8" s="585" t="s">
        <v>86</v>
      </c>
      <c r="C8" s="586">
        <f>VLOOKUP(B8,S6C!$B$42:$F$80, 3, FALSE)</f>
        <v>642599.53505679057</v>
      </c>
      <c r="D8" s="587">
        <f>VLOOKUP($B8,S6C!$B$42:$F$80, 5, FALSE)</f>
        <v>647500</v>
      </c>
      <c r="E8" s="588">
        <f t="shared" si="10"/>
        <v>4900.4649432094302</v>
      </c>
      <c r="F8" s="589">
        <f t="shared" si="11"/>
        <v>7.6260013832352763E-3</v>
      </c>
      <c r="G8" s="587">
        <f>VLOOKUP($B8,'S6C-A'!$B$42:$F$80, 5, FALSE)</f>
        <v>647500</v>
      </c>
      <c r="H8" s="588">
        <f t="shared" si="12"/>
        <v>4900.4649432094302</v>
      </c>
      <c r="I8" s="589">
        <f t="shared" si="13"/>
        <v>7.6260013832352763E-3</v>
      </c>
      <c r="J8" s="587">
        <f>VLOOKUP($B8,'S6C-B'!$B$42:$F$80, 5, FALSE)</f>
        <v>647500</v>
      </c>
      <c r="K8" s="588">
        <f t="shared" si="14"/>
        <v>4900.4649432094302</v>
      </c>
      <c r="L8" s="589">
        <f t="shared" si="15"/>
        <v>7.6260013832352763E-3</v>
      </c>
      <c r="M8" s="587">
        <f>VLOOKUP($B8,'S6C-C'!$B$42:$F$80, 5, FALSE)</f>
        <v>647500</v>
      </c>
      <c r="N8" s="588">
        <f t="shared" si="16"/>
        <v>4900.4649432094302</v>
      </c>
      <c r="O8" s="589">
        <f t="shared" si="17"/>
        <v>7.6260013832352763E-3</v>
      </c>
      <c r="P8" s="587">
        <f>VLOOKUP($B8,'S6C-D'!$B$42:$F$80, 5, FALSE)</f>
        <v>647500</v>
      </c>
      <c r="Q8" s="588">
        <f t="shared" si="18"/>
        <v>4900.4649432094302</v>
      </c>
      <c r="R8" s="589">
        <f t="shared" si="19"/>
        <v>7.6260013832352763E-3</v>
      </c>
      <c r="T8" s="587">
        <f>VLOOKUP($B8,S6C!$B$42:$F$80, 5, FALSE)</f>
        <v>647500</v>
      </c>
      <c r="U8" s="588">
        <f t="shared" si="0"/>
        <v>0</v>
      </c>
      <c r="V8" s="589">
        <f t="shared" si="1"/>
        <v>0</v>
      </c>
      <c r="W8" s="587">
        <f>VLOOKUP($B8,'S6C-A'!$B$42:$F$80, 5, FALSE)</f>
        <v>647500</v>
      </c>
      <c r="X8" s="588">
        <f t="shared" si="2"/>
        <v>0</v>
      </c>
      <c r="Y8" s="589">
        <f t="shared" si="3"/>
        <v>0</v>
      </c>
      <c r="Z8" s="587">
        <f>VLOOKUP($B8,'S6C-B'!$B$42:$F$80, 5, FALSE)</f>
        <v>647500</v>
      </c>
      <c r="AA8" s="588">
        <f t="shared" si="4"/>
        <v>0</v>
      </c>
      <c r="AB8" s="589">
        <f t="shared" si="5"/>
        <v>0</v>
      </c>
      <c r="AC8" s="587">
        <f>VLOOKUP($B8,'S6C-C'!$B$42:$F$80, 5, FALSE)</f>
        <v>647500</v>
      </c>
      <c r="AD8" s="588">
        <f t="shared" si="6"/>
        <v>0</v>
      </c>
      <c r="AE8" s="589">
        <f t="shared" si="7"/>
        <v>0</v>
      </c>
      <c r="AF8" s="587">
        <f>VLOOKUP($B8,'S6C-D'!$B$42:$F$80, 5, FALSE)</f>
        <v>647500</v>
      </c>
      <c r="AG8" s="588">
        <f t="shared" si="8"/>
        <v>0</v>
      </c>
      <c r="AH8" s="589">
        <f t="shared" si="9"/>
        <v>0</v>
      </c>
      <c r="AI8" s="591"/>
      <c r="AJ8" s="590" t="str">
        <f>VLOOKUP('Summary Table'!B8, 'S6C-D'!$B$90:$H$127,7,FALSE)</f>
        <v>MEOC</v>
      </c>
      <c r="AK8" s="592"/>
    </row>
    <row r="9" spans="1:37" ht="15">
      <c r="A9" s="584" t="s">
        <v>82</v>
      </c>
      <c r="B9" s="585" t="s">
        <v>87</v>
      </c>
      <c r="C9" s="586">
        <f>VLOOKUP(B9,S6C!$B$42:$F$80, 3, FALSE)</f>
        <v>125488.87472202133</v>
      </c>
      <c r="D9" s="587">
        <f>VLOOKUP($B9,S6C!$B$42:$F$80, 5, FALSE)</f>
        <v>137128.4843166603</v>
      </c>
      <c r="E9" s="588">
        <f t="shared" si="10"/>
        <v>11639.609594638969</v>
      </c>
      <c r="F9" s="589">
        <f t="shared" si="11"/>
        <v>9.2754115617202204E-2</v>
      </c>
      <c r="G9" s="587">
        <f>VLOOKUP($B9,'S6C-A'!$B$42:$F$80, 5, FALSE)</f>
        <v>137177.4037576197</v>
      </c>
      <c r="H9" s="588">
        <f t="shared" si="12"/>
        <v>11688.529035598374</v>
      </c>
      <c r="I9" s="589">
        <f t="shared" si="13"/>
        <v>9.3143946517094886E-2</v>
      </c>
      <c r="J9" s="587">
        <f>VLOOKUP($B9,'S6C-B'!$B$42:$F$80, 5, FALSE)</f>
        <v>137094.43984290899</v>
      </c>
      <c r="K9" s="588">
        <f t="shared" si="14"/>
        <v>11605.565120887666</v>
      </c>
      <c r="L9" s="589">
        <f t="shared" si="15"/>
        <v>9.2482820860382384E-2</v>
      </c>
      <c r="M9" s="587">
        <f>VLOOKUP($B9,'S6C-C'!$B$42:$F$80, 5, FALSE)</f>
        <v>136762.04649188151</v>
      </c>
      <c r="N9" s="588">
        <f t="shared" si="16"/>
        <v>11273.171769860186</v>
      </c>
      <c r="O9" s="589">
        <f t="shared" si="17"/>
        <v>8.983403345381917E-2</v>
      </c>
      <c r="P9" s="587">
        <f>VLOOKUP($B9,'S6C-D'!$B$42:$F$80, 5, FALSE)</f>
        <v>136770.77673886347</v>
      </c>
      <c r="Q9" s="588">
        <f t="shared" si="18"/>
        <v>11281.902016842141</v>
      </c>
      <c r="R9" s="589">
        <f t="shared" si="19"/>
        <v>8.990360334199686E-2</v>
      </c>
      <c r="T9" s="587">
        <f>VLOOKUP($B9,S6C!$B$42:$F$80, 5, FALSE)</f>
        <v>137128.4843166603</v>
      </c>
      <c r="U9" s="588">
        <f t="shared" si="0"/>
        <v>0</v>
      </c>
      <c r="V9" s="589">
        <f t="shared" si="1"/>
        <v>0</v>
      </c>
      <c r="W9" s="587">
        <f>VLOOKUP($B9,'S6C-A'!$B$42:$F$80, 5, FALSE)</f>
        <v>137177.4037576197</v>
      </c>
      <c r="X9" s="588">
        <f t="shared" si="2"/>
        <v>48.91944095940562</v>
      </c>
      <c r="Y9" s="589">
        <f t="shared" si="3"/>
        <v>3.5674164418269004E-4</v>
      </c>
      <c r="Z9" s="587">
        <f>VLOOKUP($B9,'S6C-B'!$B$42:$F$80, 5, FALSE)</f>
        <v>137094.43984290899</v>
      </c>
      <c r="AA9" s="588">
        <f t="shared" si="4"/>
        <v>-34.044473751302576</v>
      </c>
      <c r="AB9" s="589">
        <f t="shared" si="5"/>
        <v>-2.4826697327658256E-4</v>
      </c>
      <c r="AC9" s="587">
        <f>VLOOKUP($B9,'S6C-C'!$B$42:$F$80, 5, FALSE)</f>
        <v>136762.04649188151</v>
      </c>
      <c r="AD9" s="588">
        <f t="shared" si="6"/>
        <v>-366.43782477878267</v>
      </c>
      <c r="AE9" s="589">
        <f t="shared" si="7"/>
        <v>-2.672222526230188E-3</v>
      </c>
      <c r="AF9" s="587">
        <f>VLOOKUP($B9,'S6C-D'!$B$42:$F$80, 5, FALSE)</f>
        <v>136770.77673886347</v>
      </c>
      <c r="AG9" s="588">
        <f t="shared" si="8"/>
        <v>-357.70757779682754</v>
      </c>
      <c r="AH9" s="589">
        <f t="shared" si="9"/>
        <v>-2.6085578031388493E-3</v>
      </c>
      <c r="AI9" s="591"/>
      <c r="AJ9" s="590" t="str">
        <f>VLOOKUP('Summary Table'!B9, 'S6C-D'!$B$90:$H$127,7,FALSE)</f>
        <v xml:space="preserve">Bluefield-Graham </v>
      </c>
      <c r="AK9" s="592"/>
    </row>
    <row r="10" spans="1:37" ht="15">
      <c r="A10" s="584" t="s">
        <v>88</v>
      </c>
      <c r="B10" s="585" t="s">
        <v>89</v>
      </c>
      <c r="C10" s="586">
        <f>VLOOKUP(B10,S6C!$B$42:$F$80, 3, FALSE)</f>
        <v>2971811.8341092449</v>
      </c>
      <c r="D10" s="587">
        <f>VLOOKUP($B10,S6C!$B$42:$F$80, 5, FALSE)</f>
        <v>2955605.5237816013</v>
      </c>
      <c r="E10" s="588">
        <f t="shared" si="10"/>
        <v>-16206.310327643529</v>
      </c>
      <c r="F10" s="589">
        <f t="shared" si="11"/>
        <v>-5.4533433582954699E-3</v>
      </c>
      <c r="G10" s="587">
        <f>VLOOKUP($B10,'S6C-A'!$B$42:$F$80, 5, FALSE)</f>
        <v>2961002.1015986931</v>
      </c>
      <c r="H10" s="588">
        <f t="shared" si="12"/>
        <v>-10809.73251055181</v>
      </c>
      <c r="I10" s="589">
        <f t="shared" si="13"/>
        <v>-3.6374215845303886E-3</v>
      </c>
      <c r="J10" s="587">
        <f>VLOOKUP($B10,'S6C-B'!$B$42:$F$80, 5, FALSE)</f>
        <v>2953080.3451393601</v>
      </c>
      <c r="K10" s="588">
        <f t="shared" si="14"/>
        <v>-18731.488969884813</v>
      </c>
      <c r="L10" s="589">
        <f t="shared" si="15"/>
        <v>-6.3030534958143777E-3</v>
      </c>
      <c r="M10" s="587">
        <f>VLOOKUP($B10,'S6C-C'!$B$42:$F$80, 5, FALSE)</f>
        <v>2941313.4815364797</v>
      </c>
      <c r="N10" s="588">
        <f t="shared" si="16"/>
        <v>-30498.352572765201</v>
      </c>
      <c r="O10" s="589">
        <f t="shared" si="17"/>
        <v>-1.0262544964226046E-2</v>
      </c>
      <c r="P10" s="587">
        <f>VLOOKUP($B10,'S6C-D'!$B$42:$F$80, 5, FALSE)</f>
        <v>2944165.9686593879</v>
      </c>
      <c r="Q10" s="588">
        <f t="shared" si="18"/>
        <v>-27645.865449856967</v>
      </c>
      <c r="R10" s="589">
        <f t="shared" si="19"/>
        <v>-9.3026971400238037E-3</v>
      </c>
      <c r="T10" s="587">
        <f>VLOOKUP($B10,S6C!$B$42:$F$80, 5, FALSE)</f>
        <v>2955605.5237816013</v>
      </c>
      <c r="U10" s="588">
        <f t="shared" si="0"/>
        <v>0</v>
      </c>
      <c r="V10" s="589">
        <f t="shared" si="1"/>
        <v>0</v>
      </c>
      <c r="W10" s="587">
        <f>VLOOKUP($B10,'S6C-A'!$B$42:$F$80, 5, FALSE)</f>
        <v>2961002.1015986931</v>
      </c>
      <c r="X10" s="588">
        <f t="shared" si="2"/>
        <v>5396.5778170917183</v>
      </c>
      <c r="Y10" s="589">
        <f t="shared" si="3"/>
        <v>1.8258789184379964E-3</v>
      </c>
      <c r="Z10" s="587">
        <f>VLOOKUP($B10,'S6C-B'!$B$42:$F$80, 5, FALSE)</f>
        <v>2953080.3451393601</v>
      </c>
      <c r="AA10" s="588">
        <f t="shared" si="4"/>
        <v>-2525.1786422412843</v>
      </c>
      <c r="AB10" s="589">
        <f t="shared" si="5"/>
        <v>-8.5436930670314899E-4</v>
      </c>
      <c r="AC10" s="587">
        <f>VLOOKUP($B10,'S6C-C'!$B$42:$F$80, 5, FALSE)</f>
        <v>2941313.4815364797</v>
      </c>
      <c r="AD10" s="588">
        <f t="shared" si="6"/>
        <v>-14292.042245121673</v>
      </c>
      <c r="AE10" s="589">
        <f t="shared" si="7"/>
        <v>-4.8355716384084532E-3</v>
      </c>
      <c r="AF10" s="587">
        <f>VLOOKUP($B10,'S6C-D'!$B$42:$F$80, 5, FALSE)</f>
        <v>2944165.9686593879</v>
      </c>
      <c r="AG10" s="588">
        <f t="shared" si="8"/>
        <v>-11439.555122213438</v>
      </c>
      <c r="AH10" s="589">
        <f t="shared" si="9"/>
        <v>-3.8704607330605129E-3</v>
      </c>
      <c r="AI10" s="591"/>
      <c r="AJ10" s="590" t="str">
        <f>VLOOKUP('Summary Table'!B10, 'S6C-D'!$B$90:$H$127,7,FALSE)</f>
        <v>CAT</v>
      </c>
      <c r="AK10" s="592"/>
    </row>
    <row r="11" spans="1:37" ht="15">
      <c r="A11" s="584" t="s">
        <v>90</v>
      </c>
      <c r="B11" s="585" t="s">
        <v>91</v>
      </c>
      <c r="C11" s="586">
        <f>VLOOKUP(B11,S6C!$B$42:$F$80, 3, FALSE)</f>
        <v>1071485.0448851464</v>
      </c>
      <c r="D11" s="587">
        <f>VLOOKUP($B11,S6C!$B$42:$F$80, 5, FALSE)</f>
        <v>991727.64516962832</v>
      </c>
      <c r="E11" s="588">
        <f t="shared" si="10"/>
        <v>-79757.399715518113</v>
      </c>
      <c r="F11" s="589">
        <f t="shared" si="11"/>
        <v>-7.4436316303478967E-2</v>
      </c>
      <c r="G11" s="587">
        <f>VLOOKUP($B11,'S6C-A'!$B$42:$F$80, 5, FALSE)</f>
        <v>981375.03751620231</v>
      </c>
      <c r="H11" s="588">
        <f t="shared" si="12"/>
        <v>-90110.00736894412</v>
      </c>
      <c r="I11" s="589">
        <f t="shared" si="13"/>
        <v>-8.4098240847218828E-2</v>
      </c>
      <c r="J11" s="587">
        <f>VLOOKUP($B11,'S6C-B'!$B$42:$F$80, 5, FALSE)</f>
        <v>990586.19445907464</v>
      </c>
      <c r="K11" s="588">
        <f t="shared" si="14"/>
        <v>-80898.850426071789</v>
      </c>
      <c r="L11" s="589">
        <f t="shared" si="15"/>
        <v>-7.5501614149680846E-2</v>
      </c>
      <c r="M11" s="587">
        <f>VLOOKUP($B11,'S6C-C'!$B$42:$F$80, 5, FALSE)</f>
        <v>1007619.4542913459</v>
      </c>
      <c r="N11" s="588">
        <f t="shared" si="16"/>
        <v>-63865.590593800531</v>
      </c>
      <c r="O11" s="589">
        <f t="shared" si="17"/>
        <v>-5.9604742874079353E-2</v>
      </c>
      <c r="P11" s="587">
        <f>VLOOKUP($B11,'S6C-D'!$B$42:$F$80, 5, FALSE)</f>
        <v>996259.94143299304</v>
      </c>
      <c r="Q11" s="588">
        <f t="shared" si="18"/>
        <v>-75225.103452153387</v>
      </c>
      <c r="R11" s="589">
        <f t="shared" si="19"/>
        <v>-7.0206396077340347E-2</v>
      </c>
      <c r="T11" s="587">
        <f>VLOOKUP($B11,S6C!$B$42:$F$80, 5, FALSE)</f>
        <v>991727.64516962832</v>
      </c>
      <c r="U11" s="588">
        <f t="shared" si="0"/>
        <v>0</v>
      </c>
      <c r="V11" s="589">
        <f t="shared" si="1"/>
        <v>0</v>
      </c>
      <c r="W11" s="587">
        <f>VLOOKUP($B11,'S6C-A'!$B$42:$F$80, 5, FALSE)</f>
        <v>981375.03751620231</v>
      </c>
      <c r="X11" s="588">
        <f t="shared" si="2"/>
        <v>-10352.607653426006</v>
      </c>
      <c r="Y11" s="589">
        <f t="shared" si="3"/>
        <v>-1.0438962454913983E-2</v>
      </c>
      <c r="Z11" s="587">
        <f>VLOOKUP($B11,'S6C-B'!$B$42:$F$80, 5, FALSE)</f>
        <v>990586.19445907464</v>
      </c>
      <c r="AA11" s="588">
        <f t="shared" si="4"/>
        <v>-1141.4507105536759</v>
      </c>
      <c r="AB11" s="589">
        <f t="shared" si="5"/>
        <v>-1.150971958998318E-3</v>
      </c>
      <c r="AC11" s="587">
        <f>VLOOKUP($B11,'S6C-C'!$B$42:$F$80, 5, FALSE)</f>
        <v>1007619.4542913459</v>
      </c>
      <c r="AD11" s="588">
        <f t="shared" si="6"/>
        <v>15891.809121717582</v>
      </c>
      <c r="AE11" s="589">
        <f t="shared" si="7"/>
        <v>1.6024368382913632E-2</v>
      </c>
      <c r="AF11" s="587">
        <f>VLOOKUP($B11,'S6C-D'!$B$42:$F$80, 5, FALSE)</f>
        <v>996259.94143299304</v>
      </c>
      <c r="AG11" s="588">
        <f t="shared" si="8"/>
        <v>4532.2962633647257</v>
      </c>
      <c r="AH11" s="589">
        <f t="shared" si="9"/>
        <v>4.5701017667905252E-3</v>
      </c>
      <c r="AI11" s="591"/>
      <c r="AJ11" s="590" t="str">
        <f>VLOOKUP('Summary Table'!B11, 'S6C-D'!$B$90:$H$127,7,FALSE)</f>
        <v>FXBGO!</v>
      </c>
      <c r="AK11" s="592"/>
    </row>
    <row r="12" spans="1:37" ht="15">
      <c r="A12" s="584" t="s">
        <v>205</v>
      </c>
      <c r="B12" s="585" t="s">
        <v>93</v>
      </c>
      <c r="C12" s="586">
        <f>VLOOKUP(B12,S6C!$B$42:$F$80, 3, FALSE)</f>
        <v>430650.67377976741</v>
      </c>
      <c r="D12" s="587">
        <f>VLOOKUP($B12,S6C!$B$42:$F$80, 5, FALSE)</f>
        <v>468026.6646545371</v>
      </c>
      <c r="E12" s="588">
        <f t="shared" si="10"/>
        <v>37375.99087476969</v>
      </c>
      <c r="F12" s="589">
        <f t="shared" si="11"/>
        <v>8.6789579467565367E-2</v>
      </c>
      <c r="G12" s="587">
        <f>VLOOKUP($B12,'S6C-A'!$B$42:$F$80, 5, FALSE)</f>
        <v>475664.490380592</v>
      </c>
      <c r="H12" s="588">
        <f t="shared" si="12"/>
        <v>45013.81660082459</v>
      </c>
      <c r="I12" s="589">
        <f t="shared" si="13"/>
        <v>0.10452512753723085</v>
      </c>
      <c r="J12" s="587">
        <f>VLOOKUP($B12,'S6C-B'!$B$42:$F$80, 5, FALSE)</f>
        <v>467621.60897950083</v>
      </c>
      <c r="K12" s="588">
        <f t="shared" si="14"/>
        <v>36970.935199733416</v>
      </c>
      <c r="L12" s="589">
        <f t="shared" si="15"/>
        <v>8.5849012786266221E-2</v>
      </c>
      <c r="M12" s="587">
        <f>VLOOKUP($B12,'S6C-C'!$B$42:$F$80, 5, FALSE)</f>
        <v>464492.95841110352</v>
      </c>
      <c r="N12" s="588">
        <f t="shared" si="16"/>
        <v>33842.284631336108</v>
      </c>
      <c r="O12" s="589">
        <f t="shared" si="17"/>
        <v>7.8584074498958947E-2</v>
      </c>
      <c r="P12" s="587">
        <f>VLOOKUP($B12,'S6C-D'!$B$42:$F$80, 5, FALSE)</f>
        <v>471610.10120026255</v>
      </c>
      <c r="Q12" s="588">
        <f t="shared" si="18"/>
        <v>40959.427420495136</v>
      </c>
      <c r="R12" s="589">
        <f t="shared" si="19"/>
        <v>9.5110561562575385E-2</v>
      </c>
      <c r="T12" s="587">
        <f>VLOOKUP($B12,S6C!$B$42:$F$80, 5, FALSE)</f>
        <v>468026.6646545371</v>
      </c>
      <c r="U12" s="588">
        <f t="shared" si="0"/>
        <v>0</v>
      </c>
      <c r="V12" s="589">
        <f t="shared" si="1"/>
        <v>0</v>
      </c>
      <c r="W12" s="587">
        <f>VLOOKUP($B12,'S6C-A'!$B$42:$F$80, 5, FALSE)</f>
        <v>475664.490380592</v>
      </c>
      <c r="X12" s="588">
        <f t="shared" si="2"/>
        <v>7637.8257260548999</v>
      </c>
      <c r="Y12" s="589">
        <f t="shared" si="3"/>
        <v>1.6319210640899234E-2</v>
      </c>
      <c r="Z12" s="587">
        <f>VLOOKUP($B12,'S6C-B'!$B$42:$F$80, 5, FALSE)</f>
        <v>467621.60897950083</v>
      </c>
      <c r="AA12" s="588">
        <f t="shared" si="4"/>
        <v>-405.0556750362739</v>
      </c>
      <c r="AB12" s="589">
        <f t="shared" si="5"/>
        <v>-8.6545426922471662E-4</v>
      </c>
      <c r="AC12" s="587">
        <f>VLOOKUP($B12,'S6C-C'!$B$42:$F$80, 5, FALSE)</f>
        <v>464492.95841110352</v>
      </c>
      <c r="AD12" s="588">
        <f t="shared" si="6"/>
        <v>-3533.7062434335821</v>
      </c>
      <c r="AE12" s="589">
        <f t="shared" si="7"/>
        <v>-7.5502241865683115E-3</v>
      </c>
      <c r="AF12" s="587">
        <f>VLOOKUP($B12,'S6C-D'!$B$42:$F$80, 5, FALSE)</f>
        <v>471610.10120026255</v>
      </c>
      <c r="AG12" s="588">
        <f t="shared" si="8"/>
        <v>3583.4365457254462</v>
      </c>
      <c r="AH12" s="589">
        <f t="shared" si="9"/>
        <v>7.6564794622769536E-3</v>
      </c>
      <c r="AI12" s="591"/>
      <c r="AJ12" s="590" t="str">
        <f>VLOOKUP('Summary Table'!B12, 'S6C-D'!$B$90:$H$127,7,FALSE)</f>
        <v>City of Suffolk</v>
      </c>
      <c r="AK12" s="592"/>
    </row>
    <row r="13" spans="1:37" ht="15">
      <c r="A13" s="584" t="s">
        <v>205</v>
      </c>
      <c r="B13" s="585" t="s">
        <v>94</v>
      </c>
      <c r="C13" s="586">
        <f>VLOOKUP(B13,S6C!$B$42:$F$80, 3, FALSE)</f>
        <v>54768.189319748861</v>
      </c>
      <c r="D13" s="587">
        <f>VLOOKUP($B13,S6C!$B$42:$F$80, 5, FALSE)</f>
        <v>53338.662688261938</v>
      </c>
      <c r="E13" s="588">
        <f t="shared" si="10"/>
        <v>-1429.5266314869223</v>
      </c>
      <c r="F13" s="589">
        <f t="shared" si="11"/>
        <v>-2.6101403921554318E-2</v>
      </c>
      <c r="G13" s="587">
        <f>VLOOKUP($B13,'S6C-A'!$B$42:$F$80, 5, FALSE)</f>
        <v>53095.669813017332</v>
      </c>
      <c r="H13" s="588">
        <f t="shared" si="12"/>
        <v>-1672.519506731529</v>
      </c>
      <c r="I13" s="589">
        <f t="shared" si="13"/>
        <v>-3.0538155953394559E-2</v>
      </c>
      <c r="J13" s="587">
        <f>VLOOKUP($B13,'S6C-B'!$B$42:$F$80, 5, FALSE)</f>
        <v>53321.454992696963</v>
      </c>
      <c r="K13" s="588">
        <f t="shared" si="14"/>
        <v>-1446.7343270518977</v>
      </c>
      <c r="L13" s="589">
        <f t="shared" si="15"/>
        <v>-2.6415595348707646E-2</v>
      </c>
      <c r="M13" s="587">
        <f>VLOOKUP($B13,'S6C-C'!$B$42:$F$80, 5, FALSE)</f>
        <v>53182.888491980964</v>
      </c>
      <c r="N13" s="588">
        <f t="shared" si="16"/>
        <v>-1585.3008277678964</v>
      </c>
      <c r="O13" s="589">
        <f t="shared" si="17"/>
        <v>-2.8945649791570757E-2</v>
      </c>
      <c r="P13" s="587">
        <f>VLOOKUP($B13,'S6C-D'!$B$42:$F$80, 5, FALSE)</f>
        <v>52927.059423436644</v>
      </c>
      <c r="Q13" s="588">
        <f t="shared" si="18"/>
        <v>-1841.1298963122172</v>
      </c>
      <c r="R13" s="589">
        <f t="shared" si="19"/>
        <v>-3.3616774977958314E-2</v>
      </c>
      <c r="T13" s="587">
        <f>VLOOKUP($B13,S6C!$B$42:$F$80, 5, FALSE)</f>
        <v>53338.662688261938</v>
      </c>
      <c r="U13" s="588">
        <f t="shared" si="0"/>
        <v>0</v>
      </c>
      <c r="V13" s="589">
        <f t="shared" si="1"/>
        <v>0</v>
      </c>
      <c r="W13" s="587">
        <f>VLOOKUP($B13,'S6C-A'!$B$42:$F$80, 5, FALSE)</f>
        <v>53095.669813017332</v>
      </c>
      <c r="X13" s="588">
        <f t="shared" si="2"/>
        <v>-242.99287524460669</v>
      </c>
      <c r="Y13" s="589">
        <f t="shared" si="3"/>
        <v>-4.5556611845478708E-3</v>
      </c>
      <c r="Z13" s="587">
        <f>VLOOKUP($B13,'S6C-B'!$B$42:$F$80, 5, FALSE)</f>
        <v>53321.454992696963</v>
      </c>
      <c r="AA13" s="588">
        <f t="shared" si="4"/>
        <v>-17.207695564975438</v>
      </c>
      <c r="AB13" s="589">
        <f t="shared" si="5"/>
        <v>-3.22612054703094E-4</v>
      </c>
      <c r="AC13" s="587">
        <f>VLOOKUP($B13,'S6C-C'!$B$42:$F$80, 5, FALSE)</f>
        <v>53182.888491980964</v>
      </c>
      <c r="AD13" s="588">
        <f t="shared" si="6"/>
        <v>-155.77419628097414</v>
      </c>
      <c r="AE13" s="589">
        <f t="shared" si="7"/>
        <v>-2.9204743506862398E-3</v>
      </c>
      <c r="AF13" s="587">
        <f>VLOOKUP($B13,'S6C-D'!$B$42:$F$80, 5, FALSE)</f>
        <v>52927.059423436644</v>
      </c>
      <c r="AG13" s="588">
        <f t="shared" si="8"/>
        <v>-411.6032648252949</v>
      </c>
      <c r="AH13" s="589">
        <f t="shared" si="9"/>
        <v>-7.7167901120977125E-3</v>
      </c>
      <c r="AI13" s="591"/>
      <c r="AJ13" s="590" t="str">
        <f>VLOOKUP('Summary Table'!B13, 'S6C-D'!$B$90:$H$127,7,FALSE)</f>
        <v>Greensville Co.</v>
      </c>
      <c r="AK13" s="592"/>
    </row>
    <row r="14" spans="1:37" ht="15">
      <c r="A14" s="584" t="s">
        <v>205</v>
      </c>
      <c r="B14" s="585" t="s">
        <v>95</v>
      </c>
      <c r="C14" s="586">
        <f>VLOOKUP(B14,S6C!$B$42:$F$80, 3, FALSE)</f>
        <v>25537379.304951597</v>
      </c>
      <c r="D14" s="587">
        <f>VLOOKUP($B14,S6C!$B$42:$F$80, 5, FALSE)</f>
        <v>26045101.785768759</v>
      </c>
      <c r="E14" s="588">
        <f t="shared" si="10"/>
        <v>507722.4808171615</v>
      </c>
      <c r="F14" s="589">
        <f t="shared" si="11"/>
        <v>1.9881542062490182E-2</v>
      </c>
      <c r="G14" s="587">
        <f>VLOOKUP($B14,'S6C-A'!$B$42:$F$80, 5, FALSE)</f>
        <v>26093007.105386794</v>
      </c>
      <c r="H14" s="588">
        <f t="shared" si="12"/>
        <v>555627.80043519661</v>
      </c>
      <c r="I14" s="589">
        <f t="shared" si="13"/>
        <v>2.1757432264299045E-2</v>
      </c>
      <c r="J14" s="587">
        <f>VLOOKUP($B14,'S6C-B'!$B$42:$F$80, 5, FALSE)</f>
        <v>26005534.338112682</v>
      </c>
      <c r="K14" s="588">
        <f t="shared" si="14"/>
        <v>468155.0331610851</v>
      </c>
      <c r="L14" s="589">
        <f t="shared" si="15"/>
        <v>1.8332148634778341E-2</v>
      </c>
      <c r="M14" s="587">
        <f>VLOOKUP($B14,'S6C-C'!$B$42:$F$80, 5, FALSE)</f>
        <v>25850744.202855319</v>
      </c>
      <c r="N14" s="588">
        <f t="shared" si="16"/>
        <v>313364.89790372178</v>
      </c>
      <c r="O14" s="589">
        <f t="shared" si="17"/>
        <v>1.2270832263628616E-2</v>
      </c>
      <c r="P14" s="587">
        <f>VLOOKUP($B14,'S6C-D'!$B$42:$F$80, 5, FALSE)</f>
        <v>25865438.461442132</v>
      </c>
      <c r="Q14" s="588">
        <f t="shared" si="18"/>
        <v>328059.15649053454</v>
      </c>
      <c r="R14" s="589">
        <f t="shared" si="19"/>
        <v>1.2846234242482555E-2</v>
      </c>
      <c r="T14" s="587">
        <f>VLOOKUP($B14,S6C!$B$42:$F$80, 5, FALSE)</f>
        <v>26045101.785768759</v>
      </c>
      <c r="U14" s="588">
        <f t="shared" si="0"/>
        <v>0</v>
      </c>
      <c r="V14" s="589">
        <f t="shared" si="1"/>
        <v>0</v>
      </c>
      <c r="W14" s="587">
        <f>VLOOKUP($B14,'S6C-A'!$B$42:$F$80, 5, FALSE)</f>
        <v>26093007.105386794</v>
      </c>
      <c r="X14" s="588">
        <f t="shared" si="2"/>
        <v>47905.319618035108</v>
      </c>
      <c r="Y14" s="589">
        <f t="shared" si="3"/>
        <v>1.8393216510373147E-3</v>
      </c>
      <c r="Z14" s="587">
        <f>VLOOKUP($B14,'S6C-B'!$B$42:$F$80, 5, FALSE)</f>
        <v>26005534.338112682</v>
      </c>
      <c r="AA14" s="588">
        <f t="shared" si="4"/>
        <v>-39567.447656076401</v>
      </c>
      <c r="AB14" s="589">
        <f t="shared" si="5"/>
        <v>-1.5191895958608368E-3</v>
      </c>
      <c r="AC14" s="587">
        <f>VLOOKUP($B14,'S6C-C'!$B$42:$F$80, 5, FALSE)</f>
        <v>25850744.202855319</v>
      </c>
      <c r="AD14" s="588">
        <f t="shared" si="6"/>
        <v>-194357.58291343972</v>
      </c>
      <c r="AE14" s="589">
        <f t="shared" si="7"/>
        <v>-7.4623468363497888E-3</v>
      </c>
      <c r="AF14" s="587">
        <f>VLOOKUP($B14,'S6C-D'!$B$42:$F$80, 5, FALSE)</f>
        <v>25865438.461442132</v>
      </c>
      <c r="AG14" s="588">
        <f t="shared" si="8"/>
        <v>-179663.32432662696</v>
      </c>
      <c r="AH14" s="589">
        <f t="shared" si="9"/>
        <v>-6.8981617274690918E-3</v>
      </c>
      <c r="AI14" s="591"/>
      <c r="AJ14" s="590" t="str">
        <f>VLOOKUP('Summary Table'!B14, 'S6C-D'!$B$90:$H$127,7,FALSE)</f>
        <v>HRT</v>
      </c>
      <c r="AK14" s="592"/>
    </row>
    <row r="15" spans="1:37" ht="15">
      <c r="A15" s="584" t="s">
        <v>205</v>
      </c>
      <c r="B15" s="585" t="s">
        <v>96</v>
      </c>
      <c r="C15" s="586">
        <f>VLOOKUP(B15,S6C!$B$42:$F$80, 3, FALSE)</f>
        <v>371186.63436863339</v>
      </c>
      <c r="D15" s="587">
        <f>VLOOKUP($B15,S6C!$B$42:$F$80, 5, FALSE)</f>
        <v>379553.60000000003</v>
      </c>
      <c r="E15" s="588">
        <f t="shared" si="10"/>
        <v>8366.9656313666492</v>
      </c>
      <c r="F15" s="589">
        <f t="shared" si="11"/>
        <v>2.2541128523117123E-2</v>
      </c>
      <c r="G15" s="587">
        <f>VLOOKUP($B15,'S6C-A'!$B$42:$F$80, 5, FALSE)</f>
        <v>379553.60000000003</v>
      </c>
      <c r="H15" s="588">
        <f t="shared" si="12"/>
        <v>8366.9656313666492</v>
      </c>
      <c r="I15" s="589">
        <f t="shared" si="13"/>
        <v>2.2541128523117123E-2</v>
      </c>
      <c r="J15" s="587">
        <f>VLOOKUP($B15,'S6C-B'!$B$42:$F$80, 5, FALSE)</f>
        <v>379553.60000000003</v>
      </c>
      <c r="K15" s="588">
        <f t="shared" si="14"/>
        <v>8366.9656313666492</v>
      </c>
      <c r="L15" s="589">
        <f t="shared" si="15"/>
        <v>2.2541128523117123E-2</v>
      </c>
      <c r="M15" s="587">
        <f>VLOOKUP($B15,'S6C-C'!$B$42:$F$80, 5, FALSE)</f>
        <v>379553.60000000003</v>
      </c>
      <c r="N15" s="588">
        <f t="shared" si="16"/>
        <v>8366.9656313666492</v>
      </c>
      <c r="O15" s="589">
        <f t="shared" si="17"/>
        <v>2.2541128523117123E-2</v>
      </c>
      <c r="P15" s="587">
        <f>VLOOKUP($B15,'S6C-D'!$B$42:$F$80, 5, FALSE)</f>
        <v>379553.60000000003</v>
      </c>
      <c r="Q15" s="588">
        <f t="shared" si="18"/>
        <v>8366.9656313666492</v>
      </c>
      <c r="R15" s="589">
        <f t="shared" si="19"/>
        <v>2.2541128523117123E-2</v>
      </c>
      <c r="T15" s="587">
        <f>VLOOKUP($B15,S6C!$B$42:$F$80, 5, FALSE)</f>
        <v>379553.60000000003</v>
      </c>
      <c r="U15" s="588">
        <f t="shared" si="0"/>
        <v>0</v>
      </c>
      <c r="V15" s="589">
        <f t="shared" si="1"/>
        <v>0</v>
      </c>
      <c r="W15" s="587">
        <f>VLOOKUP($B15,'S6C-A'!$B$42:$F$80, 5, FALSE)</f>
        <v>379553.60000000003</v>
      </c>
      <c r="X15" s="588">
        <f t="shared" si="2"/>
        <v>0</v>
      </c>
      <c r="Y15" s="589">
        <f t="shared" si="3"/>
        <v>0</v>
      </c>
      <c r="Z15" s="587">
        <f>VLOOKUP($B15,'S6C-B'!$B$42:$F$80, 5, FALSE)</f>
        <v>379553.60000000003</v>
      </c>
      <c r="AA15" s="588">
        <f t="shared" si="4"/>
        <v>0</v>
      </c>
      <c r="AB15" s="589">
        <f t="shared" si="5"/>
        <v>0</v>
      </c>
      <c r="AC15" s="587">
        <f>VLOOKUP($B15,'S6C-C'!$B$42:$F$80, 5, FALSE)</f>
        <v>379553.60000000003</v>
      </c>
      <c r="AD15" s="588">
        <f t="shared" si="6"/>
        <v>0</v>
      </c>
      <c r="AE15" s="589">
        <f t="shared" si="7"/>
        <v>0</v>
      </c>
      <c r="AF15" s="587">
        <f>VLOOKUP($B15,'S6C-D'!$B$42:$F$80, 5, FALSE)</f>
        <v>379553.60000000003</v>
      </c>
      <c r="AG15" s="588">
        <f t="shared" si="8"/>
        <v>0</v>
      </c>
      <c r="AH15" s="589">
        <f t="shared" si="9"/>
        <v>0</v>
      </c>
      <c r="AI15" s="591"/>
      <c r="AJ15" s="590" t="str">
        <f>VLOOKUP('Summary Table'!B15, 'S6C-D'!$B$90:$H$127,7,FALSE)</f>
        <v>STAR Transit</v>
      </c>
      <c r="AK15" s="592"/>
    </row>
    <row r="16" spans="1:37" ht="15">
      <c r="A16" s="584" t="s">
        <v>205</v>
      </c>
      <c r="B16" s="585" t="s">
        <v>97</v>
      </c>
      <c r="C16" s="586">
        <f>VLOOKUP(B16,S6C!$B$42:$F$80, 3, FALSE)</f>
        <v>17018.733333333334</v>
      </c>
      <c r="D16" s="587">
        <f>VLOOKUP($B16,S6C!$B$42:$F$80, 5, FALSE)</f>
        <v>16375.914012835789</v>
      </c>
      <c r="E16" s="588">
        <f t="shared" si="10"/>
        <v>-642.81932049754505</v>
      </c>
      <c r="F16" s="589">
        <f t="shared" si="11"/>
        <v>-3.7771278737795511E-2</v>
      </c>
      <c r="G16" s="587">
        <f>VLOOKUP($B16,'S6C-A'!$B$42:$F$80, 5, FALSE)</f>
        <v>16202.862836346592</v>
      </c>
      <c r="H16" s="588">
        <f t="shared" si="12"/>
        <v>-815.87049698674127</v>
      </c>
      <c r="I16" s="589">
        <f t="shared" si="13"/>
        <v>-4.7939554666430795E-2</v>
      </c>
      <c r="J16" s="587">
        <f>VLOOKUP($B16,'S6C-B'!$B$42:$F$80, 5, FALSE)</f>
        <v>16360.00296974282</v>
      </c>
      <c r="K16" s="588">
        <f t="shared" si="14"/>
        <v>-658.73036359051366</v>
      </c>
      <c r="L16" s="589">
        <f t="shared" si="15"/>
        <v>-3.8706192211162227E-2</v>
      </c>
      <c r="M16" s="587">
        <f>VLOOKUP($B16,'S6C-C'!$B$42:$F$80, 5, FALSE)</f>
        <v>16291.397016506244</v>
      </c>
      <c r="N16" s="588">
        <f t="shared" si="16"/>
        <v>-727.33631682708983</v>
      </c>
      <c r="O16" s="589">
        <f t="shared" si="17"/>
        <v>-4.2737394292588743E-2</v>
      </c>
      <c r="P16" s="587">
        <f>VLOOKUP($B16,'S6C-D'!$B$42:$F$80, 5, FALSE)</f>
        <v>16110.27787392842</v>
      </c>
      <c r="Q16" s="588">
        <f t="shared" si="18"/>
        <v>-908.4554594049132</v>
      </c>
      <c r="R16" s="589">
        <f t="shared" si="19"/>
        <v>-5.337973406196974E-2</v>
      </c>
      <c r="T16" s="587">
        <f>VLOOKUP($B16,S6C!$B$42:$F$80, 5, FALSE)</f>
        <v>16375.914012835789</v>
      </c>
      <c r="U16" s="588">
        <f t="shared" si="0"/>
        <v>0</v>
      </c>
      <c r="V16" s="589">
        <f t="shared" si="1"/>
        <v>0</v>
      </c>
      <c r="W16" s="587">
        <f>VLOOKUP($B16,'S6C-A'!$B$42:$F$80, 5, FALSE)</f>
        <v>16202.862836346592</v>
      </c>
      <c r="X16" s="588">
        <f t="shared" si="2"/>
        <v>-173.05117648919622</v>
      </c>
      <c r="Y16" s="589">
        <f t="shared" si="3"/>
        <v>-1.0567420930126711E-2</v>
      </c>
      <c r="Z16" s="587">
        <f>VLOOKUP($B16,'S6C-B'!$B$42:$F$80, 5, FALSE)</f>
        <v>16360.00296974282</v>
      </c>
      <c r="AA16" s="588">
        <f t="shared" si="4"/>
        <v>-15.911043092968612</v>
      </c>
      <c r="AB16" s="589">
        <f t="shared" si="5"/>
        <v>-9.7161252071164997E-4</v>
      </c>
      <c r="AC16" s="587">
        <f>VLOOKUP($B16,'S6C-C'!$B$42:$F$80, 5, FALSE)</f>
        <v>16291.397016506244</v>
      </c>
      <c r="AD16" s="588">
        <f t="shared" si="6"/>
        <v>-84.516996329544781</v>
      </c>
      <c r="AE16" s="589">
        <f t="shared" si="7"/>
        <v>-5.1610552096999635E-3</v>
      </c>
      <c r="AF16" s="587">
        <f>VLOOKUP($B16,'S6C-D'!$B$42:$F$80, 5, FALSE)</f>
        <v>16110.27787392842</v>
      </c>
      <c r="AG16" s="588">
        <f t="shared" si="8"/>
        <v>-265.63613890736815</v>
      </c>
      <c r="AH16" s="589">
        <f t="shared" si="9"/>
        <v>-1.6221148859181658E-2</v>
      </c>
      <c r="AI16" s="591"/>
      <c r="AJ16" s="590" t="str">
        <f>VLOOKUP('Summary Table'!B16, 'S6C-D'!$B$90:$H$127,7,FALSE)</f>
        <v>PONY Express</v>
      </c>
      <c r="AK16" s="592"/>
    </row>
    <row r="17" spans="1:37" ht="15">
      <c r="A17" s="584" t="s">
        <v>205</v>
      </c>
      <c r="B17" s="585" t="s">
        <v>98</v>
      </c>
      <c r="C17" s="586">
        <f>VLOOKUP(B17,S6C!$B$42:$F$80, 3, FALSE)</f>
        <v>2281227.164313735</v>
      </c>
      <c r="D17" s="587">
        <f>VLOOKUP($B17,S6C!$B$42:$F$80, 5, FALSE)</f>
        <v>2314483.5</v>
      </c>
      <c r="E17" s="588">
        <f t="shared" si="10"/>
        <v>33256.335686265025</v>
      </c>
      <c r="F17" s="589">
        <f t="shared" si="11"/>
        <v>1.4578265683711327E-2</v>
      </c>
      <c r="G17" s="587">
        <f>VLOOKUP($B17,'S6C-A'!$B$42:$F$80, 5, FALSE)</f>
        <v>2314483.5</v>
      </c>
      <c r="H17" s="588">
        <f t="shared" si="12"/>
        <v>33256.335686265025</v>
      </c>
      <c r="I17" s="589">
        <f t="shared" si="13"/>
        <v>1.4578265683711327E-2</v>
      </c>
      <c r="J17" s="587">
        <f>VLOOKUP($B17,'S6C-B'!$B$42:$F$80, 5, FALSE)</f>
        <v>2314483.5</v>
      </c>
      <c r="K17" s="588">
        <f t="shared" si="14"/>
        <v>33256.335686265025</v>
      </c>
      <c r="L17" s="589">
        <f t="shared" si="15"/>
        <v>1.4578265683711327E-2</v>
      </c>
      <c r="M17" s="587">
        <f>VLOOKUP($B17,'S6C-C'!$B$42:$F$80, 5, FALSE)</f>
        <v>2314483.5</v>
      </c>
      <c r="N17" s="588">
        <f t="shared" si="16"/>
        <v>33256.335686265025</v>
      </c>
      <c r="O17" s="589">
        <f t="shared" si="17"/>
        <v>1.4578265683711327E-2</v>
      </c>
      <c r="P17" s="587">
        <f>VLOOKUP($B17,'S6C-D'!$B$42:$F$80, 5, FALSE)</f>
        <v>2314483.5</v>
      </c>
      <c r="Q17" s="588">
        <f t="shared" si="18"/>
        <v>33256.335686265025</v>
      </c>
      <c r="R17" s="589">
        <f t="shared" si="19"/>
        <v>1.4578265683711327E-2</v>
      </c>
      <c r="T17" s="587">
        <f>VLOOKUP($B17,S6C!$B$42:$F$80, 5, FALSE)</f>
        <v>2314483.5</v>
      </c>
      <c r="U17" s="588">
        <f t="shared" si="0"/>
        <v>0</v>
      </c>
      <c r="V17" s="589">
        <f t="shared" si="1"/>
        <v>0</v>
      </c>
      <c r="W17" s="587">
        <f>VLOOKUP($B17,'S6C-A'!$B$42:$F$80, 5, FALSE)</f>
        <v>2314483.5</v>
      </c>
      <c r="X17" s="588">
        <f t="shared" si="2"/>
        <v>0</v>
      </c>
      <c r="Y17" s="589">
        <f t="shared" si="3"/>
        <v>0</v>
      </c>
      <c r="Z17" s="587">
        <f>VLOOKUP($B17,'S6C-B'!$B$42:$F$80, 5, FALSE)</f>
        <v>2314483.5</v>
      </c>
      <c r="AA17" s="588">
        <f t="shared" si="4"/>
        <v>0</v>
      </c>
      <c r="AB17" s="589">
        <f t="shared" si="5"/>
        <v>0</v>
      </c>
      <c r="AC17" s="587">
        <f>VLOOKUP($B17,'S6C-C'!$B$42:$F$80, 5, FALSE)</f>
        <v>2314483.5</v>
      </c>
      <c r="AD17" s="588">
        <f t="shared" si="6"/>
        <v>0</v>
      </c>
      <c r="AE17" s="589">
        <f t="shared" si="7"/>
        <v>0</v>
      </c>
      <c r="AF17" s="587">
        <f>VLOOKUP($B17,'S6C-D'!$B$42:$F$80, 5, FALSE)</f>
        <v>2314483.5</v>
      </c>
      <c r="AG17" s="588">
        <f t="shared" si="8"/>
        <v>0</v>
      </c>
      <c r="AH17" s="589">
        <f t="shared" si="9"/>
        <v>0</v>
      </c>
      <c r="AI17" s="591"/>
      <c r="AJ17" s="590" t="str">
        <f>VLOOKUP('Summary Table'!B17, 'S6C-D'!$B$90:$H$127,7,FALSE)</f>
        <v>WATA</v>
      </c>
      <c r="AK17" s="592"/>
    </row>
    <row r="18" spans="1:37" ht="14.45" customHeight="1">
      <c r="A18" s="584" t="s">
        <v>99</v>
      </c>
      <c r="B18" s="585" t="s">
        <v>100</v>
      </c>
      <c r="C18" s="586">
        <f>VLOOKUP(B18,S6C!$B$42:$F$80, 3, FALSE)</f>
        <v>832018.76885929203</v>
      </c>
      <c r="D18" s="587">
        <f>VLOOKUP($B18,S6C!$B$42:$F$80, 5, FALSE)</f>
        <v>860800.16932349291</v>
      </c>
      <c r="E18" s="588">
        <f t="shared" si="10"/>
        <v>28781.40046420088</v>
      </c>
      <c r="F18" s="589">
        <f t="shared" si="11"/>
        <v>3.4592249047050383E-2</v>
      </c>
      <c r="G18" s="587">
        <f>VLOOKUP($B18,'S6C-A'!$B$42:$F$80, 5, FALSE)</f>
        <v>870733.3458347976</v>
      </c>
      <c r="H18" s="588">
        <f t="shared" si="12"/>
        <v>38714.576975505566</v>
      </c>
      <c r="I18" s="589">
        <f t="shared" si="13"/>
        <v>4.6530893802532516E-2</v>
      </c>
      <c r="J18" s="587">
        <f>VLOOKUP($B18,'S6C-B'!$B$42:$F$80, 5, FALSE)</f>
        <v>869591.48788358935</v>
      </c>
      <c r="K18" s="588">
        <f t="shared" si="14"/>
        <v>37572.719024297316</v>
      </c>
      <c r="L18" s="589">
        <f t="shared" si="15"/>
        <v>4.5158499339876645E-2</v>
      </c>
      <c r="M18" s="587">
        <f>VLOOKUP($B18,'S6C-C'!$B$42:$F$80, 5, FALSE)</f>
        <v>871205.9674730046</v>
      </c>
      <c r="N18" s="588">
        <f t="shared" si="16"/>
        <v>39187.198613712564</v>
      </c>
      <c r="O18" s="589">
        <f t="shared" si="17"/>
        <v>4.7098935841842479E-2</v>
      </c>
      <c r="P18" s="587">
        <f>VLOOKUP($B18,'S6C-D'!$B$42:$F$80, 5, FALSE)</f>
        <v>869964.8939436489</v>
      </c>
      <c r="Q18" s="588">
        <f t="shared" si="18"/>
        <v>37946.125084356871</v>
      </c>
      <c r="R18" s="589">
        <f t="shared" si="19"/>
        <v>4.5607294576276776E-2</v>
      </c>
      <c r="T18" s="587">
        <f>VLOOKUP($B18,S6C!$B$42:$F$80, 5, FALSE)</f>
        <v>860800.16932349291</v>
      </c>
      <c r="U18" s="588">
        <f t="shared" si="0"/>
        <v>0</v>
      </c>
      <c r="V18" s="589">
        <f t="shared" si="1"/>
        <v>0</v>
      </c>
      <c r="W18" s="587">
        <f>VLOOKUP($B18,'S6C-A'!$B$42:$F$80, 5, FALSE)</f>
        <v>870733.3458347976</v>
      </c>
      <c r="X18" s="588">
        <f t="shared" si="2"/>
        <v>9933.1765113046858</v>
      </c>
      <c r="Y18" s="589">
        <f t="shared" si="3"/>
        <v>1.1539468584341959E-2</v>
      </c>
      <c r="Z18" s="587">
        <f>VLOOKUP($B18,'S6C-B'!$B$42:$F$80, 5, FALSE)</f>
        <v>869591.48788358935</v>
      </c>
      <c r="AA18" s="588">
        <f t="shared" si="4"/>
        <v>8791.3185600964352</v>
      </c>
      <c r="AB18" s="589">
        <f t="shared" si="5"/>
        <v>1.0212961002325983E-2</v>
      </c>
      <c r="AC18" s="587">
        <f>VLOOKUP($B18,'S6C-C'!$B$42:$F$80, 5, FALSE)</f>
        <v>871205.9674730046</v>
      </c>
      <c r="AD18" s="588">
        <f t="shared" si="6"/>
        <v>10405.798149511684</v>
      </c>
      <c r="AE18" s="589">
        <f t="shared" si="7"/>
        <v>1.2088517777232376E-2</v>
      </c>
      <c r="AF18" s="587">
        <f>VLOOKUP($B18,'S6C-D'!$B$42:$F$80, 5, FALSE)</f>
        <v>869964.8939436489</v>
      </c>
      <c r="AG18" s="588">
        <f t="shared" si="8"/>
        <v>9164.7246201559901</v>
      </c>
      <c r="AH18" s="589">
        <f t="shared" si="9"/>
        <v>1.064675048491056E-2</v>
      </c>
      <c r="AI18" s="591"/>
      <c r="AJ18" s="590" t="str">
        <f>VLOOKUP('Summary Table'!B18, 'S6C-D'!$B$90:$H$127,7,FALSE)</f>
        <v>DTS</v>
      </c>
      <c r="AK18" s="592"/>
    </row>
    <row r="19" spans="1:37" ht="15">
      <c r="A19" s="584" t="s">
        <v>99</v>
      </c>
      <c r="B19" s="585" t="s">
        <v>101</v>
      </c>
      <c r="C19" s="586">
        <f>VLOOKUP(B19,S6C!$B$42:$F$80, 3, FALSE)</f>
        <v>196263.86435138655</v>
      </c>
      <c r="D19" s="587">
        <f>VLOOKUP($B19,S6C!$B$42:$F$80, 5, FALSE)</f>
        <v>200739.19999999998</v>
      </c>
      <c r="E19" s="588">
        <f t="shared" si="10"/>
        <v>4475.3356486134289</v>
      </c>
      <c r="F19" s="589">
        <f t="shared" si="11"/>
        <v>2.2802647157710527E-2</v>
      </c>
      <c r="G19" s="587">
        <f>VLOOKUP($B19,'S6C-A'!$B$42:$F$80, 5, FALSE)</f>
        <v>200739.19999999998</v>
      </c>
      <c r="H19" s="588">
        <f t="shared" si="12"/>
        <v>4475.3356486134289</v>
      </c>
      <c r="I19" s="589">
        <f t="shared" si="13"/>
        <v>2.2802647157710527E-2</v>
      </c>
      <c r="J19" s="587">
        <f>VLOOKUP($B19,'S6C-B'!$B$42:$F$80, 5, FALSE)</f>
        <v>200739.19999999998</v>
      </c>
      <c r="K19" s="588">
        <f t="shared" si="14"/>
        <v>4475.3356486134289</v>
      </c>
      <c r="L19" s="589">
        <f t="shared" si="15"/>
        <v>2.2802647157710527E-2</v>
      </c>
      <c r="M19" s="587">
        <f>VLOOKUP($B19,'S6C-C'!$B$42:$F$80, 5, FALSE)</f>
        <v>200739.19999999998</v>
      </c>
      <c r="N19" s="588">
        <f t="shared" si="16"/>
        <v>4475.3356486134289</v>
      </c>
      <c r="O19" s="589">
        <f t="shared" si="17"/>
        <v>2.2802647157710527E-2</v>
      </c>
      <c r="P19" s="587">
        <f>VLOOKUP($B19,'S6C-D'!$B$42:$F$80, 5, FALSE)</f>
        <v>200739.19999999998</v>
      </c>
      <c r="Q19" s="588">
        <f t="shared" si="18"/>
        <v>4475.3356486134289</v>
      </c>
      <c r="R19" s="589">
        <f t="shared" si="19"/>
        <v>2.2802647157710527E-2</v>
      </c>
      <c r="T19" s="587">
        <f>VLOOKUP($B19,S6C!$B$42:$F$80, 5, FALSE)</f>
        <v>200739.19999999998</v>
      </c>
      <c r="U19" s="588">
        <f t="shared" si="0"/>
        <v>0</v>
      </c>
      <c r="V19" s="589">
        <f t="shared" si="1"/>
        <v>0</v>
      </c>
      <c r="W19" s="587">
        <f>VLOOKUP($B19,'S6C-A'!$B$42:$F$80, 5, FALSE)</f>
        <v>200739.19999999998</v>
      </c>
      <c r="X19" s="588">
        <f t="shared" si="2"/>
        <v>0</v>
      </c>
      <c r="Y19" s="589">
        <f t="shared" si="3"/>
        <v>0</v>
      </c>
      <c r="Z19" s="587">
        <f>VLOOKUP($B19,'S6C-B'!$B$42:$F$80, 5, FALSE)</f>
        <v>200739.19999999998</v>
      </c>
      <c r="AA19" s="588">
        <f t="shared" si="4"/>
        <v>0</v>
      </c>
      <c r="AB19" s="589">
        <f t="shared" si="5"/>
        <v>0</v>
      </c>
      <c r="AC19" s="587">
        <f>VLOOKUP($B19,'S6C-C'!$B$42:$F$80, 5, FALSE)</f>
        <v>200739.19999999998</v>
      </c>
      <c r="AD19" s="588">
        <f t="shared" si="6"/>
        <v>0</v>
      </c>
      <c r="AE19" s="589">
        <f t="shared" si="7"/>
        <v>0</v>
      </c>
      <c r="AF19" s="587">
        <f>VLOOKUP($B19,'S6C-D'!$B$42:$F$80, 5, FALSE)</f>
        <v>200739.19999999998</v>
      </c>
      <c r="AG19" s="588">
        <f t="shared" si="8"/>
        <v>0</v>
      </c>
      <c r="AH19" s="589">
        <f t="shared" si="9"/>
        <v>0</v>
      </c>
      <c r="AI19" s="591"/>
      <c r="AJ19" s="590" t="str">
        <f>VLOOKUP('Summary Table'!B19, 'S6C-D'!$B$90:$H$127,7,FALSE)</f>
        <v>Farmville Area Bus</v>
      </c>
      <c r="AK19" s="592"/>
    </row>
    <row r="20" spans="1:37" ht="15">
      <c r="A20" s="584" t="s">
        <v>99</v>
      </c>
      <c r="B20" s="585" t="s">
        <v>102</v>
      </c>
      <c r="C20" s="586">
        <f>VLOOKUP(B20,S6C!$B$42:$F$80, 3, FALSE)</f>
        <v>1703062.0409783174</v>
      </c>
      <c r="D20" s="587">
        <f>VLOOKUP($B20,S6C!$B$42:$F$80, 5, FALSE)</f>
        <v>1921935.2357437129</v>
      </c>
      <c r="E20" s="588">
        <f t="shared" si="10"/>
        <v>218873.19476539548</v>
      </c>
      <c r="F20" s="589">
        <f t="shared" si="11"/>
        <v>0.1285174523880907</v>
      </c>
      <c r="G20" s="587">
        <f>VLOOKUP($B20,'S6C-A'!$B$42:$F$80, 5, FALSE)</f>
        <v>1965250.6220080212</v>
      </c>
      <c r="H20" s="588">
        <f t="shared" si="12"/>
        <v>262188.58102970384</v>
      </c>
      <c r="I20" s="589">
        <f t="shared" si="13"/>
        <v>0.15395127994226834</v>
      </c>
      <c r="J20" s="587">
        <f>VLOOKUP($B20,'S6C-B'!$B$42:$F$80, 5, FALSE)</f>
        <v>1919260.7322229024</v>
      </c>
      <c r="K20" s="588">
        <f t="shared" si="14"/>
        <v>216198.69124458497</v>
      </c>
      <c r="L20" s="589">
        <f t="shared" si="15"/>
        <v>0.12694704364404158</v>
      </c>
      <c r="M20" s="587">
        <f>VLOOKUP($B20,'S6C-C'!$B$42:$F$80, 5, FALSE)</f>
        <v>1933505.9157191899</v>
      </c>
      <c r="N20" s="588">
        <f t="shared" si="16"/>
        <v>230443.87474087253</v>
      </c>
      <c r="O20" s="589">
        <f t="shared" si="17"/>
        <v>0.13531149728902123</v>
      </c>
      <c r="P20" s="587">
        <f>VLOOKUP($B20,'S6C-D'!$B$42:$F$80, 5, FALSE)</f>
        <v>1973520.1457007106</v>
      </c>
      <c r="Q20" s="588">
        <f t="shared" si="18"/>
        <v>270458.10472239321</v>
      </c>
      <c r="R20" s="589">
        <f t="shared" si="19"/>
        <v>0.15880695959087293</v>
      </c>
      <c r="T20" s="587">
        <f>VLOOKUP($B20,S6C!$B$42:$F$80, 5, FALSE)</f>
        <v>1921935.2357437129</v>
      </c>
      <c r="U20" s="588">
        <f t="shared" si="0"/>
        <v>0</v>
      </c>
      <c r="V20" s="589">
        <f t="shared" si="1"/>
        <v>0</v>
      </c>
      <c r="W20" s="587">
        <f>VLOOKUP($B20,'S6C-A'!$B$42:$F$80, 5, FALSE)</f>
        <v>1965250.6220080212</v>
      </c>
      <c r="X20" s="588">
        <f t="shared" si="2"/>
        <v>43315.386264308356</v>
      </c>
      <c r="Y20" s="589">
        <f t="shared" si="3"/>
        <v>2.253738079137043E-2</v>
      </c>
      <c r="Z20" s="587">
        <f>VLOOKUP($B20,'S6C-B'!$B$42:$F$80, 5, FALSE)</f>
        <v>1919260.7322229024</v>
      </c>
      <c r="AA20" s="588">
        <f t="shared" si="4"/>
        <v>-2674.503520810511</v>
      </c>
      <c r="AB20" s="589">
        <f t="shared" si="5"/>
        <v>-1.3915679732962407E-3</v>
      </c>
      <c r="AC20" s="587">
        <f>VLOOKUP($B20,'S6C-C'!$B$42:$F$80, 5, FALSE)</f>
        <v>1933505.9157191899</v>
      </c>
      <c r="AD20" s="588">
        <f t="shared" si="6"/>
        <v>11570.679975477047</v>
      </c>
      <c r="AE20" s="589">
        <f t="shared" si="7"/>
        <v>6.0203277198358105E-3</v>
      </c>
      <c r="AF20" s="587">
        <f>VLOOKUP($B20,'S6C-D'!$B$42:$F$80, 5, FALSE)</f>
        <v>1973520.1457007106</v>
      </c>
      <c r="AG20" s="588">
        <f t="shared" si="8"/>
        <v>51584.909956997726</v>
      </c>
      <c r="AH20" s="589">
        <f t="shared" si="9"/>
        <v>2.6840087531376369E-2</v>
      </c>
      <c r="AI20" s="591"/>
      <c r="AJ20" s="590" t="str">
        <f>VLOOKUP('Summary Table'!B20, 'S6C-D'!$B$90:$H$127,7,FALSE)</f>
        <v>GLTC (Lynchburg)</v>
      </c>
      <c r="AK20" s="592"/>
    </row>
    <row r="21" spans="1:37" ht="15">
      <c r="A21" s="584" t="s">
        <v>99</v>
      </c>
      <c r="B21" s="585" t="s">
        <v>103</v>
      </c>
      <c r="C21" s="586">
        <f>VLOOKUP(B21,S6C!$B$42:$F$80, 3, FALSE)</f>
        <v>41041.693335279859</v>
      </c>
      <c r="D21" s="587">
        <f>VLOOKUP($B21,S6C!$B$42:$F$80, 5, FALSE)</f>
        <v>45079.69999999999</v>
      </c>
      <c r="E21" s="588">
        <f t="shared" si="10"/>
        <v>4038.0066647201311</v>
      </c>
      <c r="F21" s="589">
        <f t="shared" si="11"/>
        <v>9.8387915716163191E-2</v>
      </c>
      <c r="G21" s="587">
        <f>VLOOKUP($B21,'S6C-A'!$B$42:$F$80, 5, FALSE)</f>
        <v>45079.69999999999</v>
      </c>
      <c r="H21" s="588">
        <f t="shared" si="12"/>
        <v>4038.0066647201311</v>
      </c>
      <c r="I21" s="589">
        <f t="shared" si="13"/>
        <v>9.8387915716163191E-2</v>
      </c>
      <c r="J21" s="587">
        <f>VLOOKUP($B21,'S6C-B'!$B$42:$F$80, 5, FALSE)</f>
        <v>45079.69999999999</v>
      </c>
      <c r="K21" s="588">
        <f t="shared" si="14"/>
        <v>4038.0066647201311</v>
      </c>
      <c r="L21" s="589">
        <f t="shared" si="15"/>
        <v>9.8387915716163191E-2</v>
      </c>
      <c r="M21" s="587">
        <f>VLOOKUP($B21,'S6C-C'!$B$42:$F$80, 5, FALSE)</f>
        <v>45079.69999999999</v>
      </c>
      <c r="N21" s="588">
        <f t="shared" si="16"/>
        <v>4038.0066647201311</v>
      </c>
      <c r="O21" s="589">
        <f t="shared" si="17"/>
        <v>9.8387915716163191E-2</v>
      </c>
      <c r="P21" s="587">
        <f>VLOOKUP($B21,'S6C-D'!$B$42:$F$80, 5, FALSE)</f>
        <v>45079.69999999999</v>
      </c>
      <c r="Q21" s="588">
        <f t="shared" si="18"/>
        <v>4038.0066647201311</v>
      </c>
      <c r="R21" s="589">
        <f t="shared" si="19"/>
        <v>9.8387915716163191E-2</v>
      </c>
      <c r="T21" s="587">
        <f>VLOOKUP($B21,S6C!$B$42:$F$80, 5, FALSE)</f>
        <v>45079.69999999999</v>
      </c>
      <c r="U21" s="588">
        <f t="shared" si="0"/>
        <v>0</v>
      </c>
      <c r="V21" s="589">
        <f t="shared" si="1"/>
        <v>0</v>
      </c>
      <c r="W21" s="587">
        <f>VLOOKUP($B21,'S6C-A'!$B$42:$F$80, 5, FALSE)</f>
        <v>45079.69999999999</v>
      </c>
      <c r="X21" s="588">
        <f t="shared" si="2"/>
        <v>0</v>
      </c>
      <c r="Y21" s="589">
        <f t="shared" si="3"/>
        <v>0</v>
      </c>
      <c r="Z21" s="587">
        <f>VLOOKUP($B21,'S6C-B'!$B$42:$F$80, 5, FALSE)</f>
        <v>45079.69999999999</v>
      </c>
      <c r="AA21" s="588">
        <f t="shared" si="4"/>
        <v>0</v>
      </c>
      <c r="AB21" s="589">
        <f t="shared" si="5"/>
        <v>0</v>
      </c>
      <c r="AC21" s="587">
        <f>VLOOKUP($B21,'S6C-C'!$B$42:$F$80, 5, FALSE)</f>
        <v>45079.69999999999</v>
      </c>
      <c r="AD21" s="588">
        <f t="shared" si="6"/>
        <v>0</v>
      </c>
      <c r="AE21" s="589">
        <f t="shared" si="7"/>
        <v>0</v>
      </c>
      <c r="AF21" s="587">
        <f>VLOOKUP($B21,'S6C-D'!$B$42:$F$80, 5, FALSE)</f>
        <v>45079.69999999999</v>
      </c>
      <c r="AG21" s="588">
        <f t="shared" si="8"/>
        <v>0</v>
      </c>
      <c r="AH21" s="589">
        <f t="shared" si="9"/>
        <v>0</v>
      </c>
      <c r="AI21" s="591"/>
      <c r="AJ21" s="590" t="str">
        <f>VLOOKUP('Summary Table'!B21, 'S6C-D'!$B$90:$H$127,7,FALSE)</f>
        <v>Town of Altavista</v>
      </c>
      <c r="AK21" s="592"/>
    </row>
    <row r="22" spans="1:37" ht="15">
      <c r="A22" s="584" t="s">
        <v>206</v>
      </c>
      <c r="B22" s="585" t="s">
        <v>105</v>
      </c>
      <c r="C22" s="586">
        <f>VLOOKUP(B22,S6C!$B$42:$F$80, 3, FALSE)</f>
        <v>3666511.5935658314</v>
      </c>
      <c r="D22" s="587">
        <f>VLOOKUP($B22,S6C!$B$42:$F$80, 5, FALSE)</f>
        <v>3580871.8445331356</v>
      </c>
      <c r="E22" s="588">
        <f t="shared" si="10"/>
        <v>-85639.749032695778</v>
      </c>
      <c r="F22" s="589">
        <f t="shared" si="11"/>
        <v>-2.3357283032455285E-2</v>
      </c>
      <c r="G22" s="587">
        <f>VLOOKUP($B22,'S6C-A'!$B$42:$F$80, 5, FALSE)</f>
        <v>3587582.9305635407</v>
      </c>
      <c r="H22" s="588">
        <f t="shared" si="12"/>
        <v>-78928.663002290763</v>
      </c>
      <c r="I22" s="589">
        <f t="shared" si="13"/>
        <v>-2.1526909430969351E-2</v>
      </c>
      <c r="J22" s="587">
        <f>VLOOKUP($B22,'S6C-B'!$B$42:$F$80, 5, FALSE)</f>
        <v>3588946.7368603423</v>
      </c>
      <c r="K22" s="588">
        <f t="shared" si="14"/>
        <v>-77564.856705489103</v>
      </c>
      <c r="L22" s="589">
        <f t="shared" si="15"/>
        <v>-2.1154946527812319E-2</v>
      </c>
      <c r="M22" s="587">
        <f>VLOOKUP($B22,'S6C-C'!$B$42:$F$80, 5, FALSE)</f>
        <v>3544484.4265535921</v>
      </c>
      <c r="N22" s="588">
        <f t="shared" si="16"/>
        <v>-122027.16701223934</v>
      </c>
      <c r="O22" s="589">
        <f t="shared" si="17"/>
        <v>-3.32815440230377E-2</v>
      </c>
      <c r="P22" s="587">
        <f>VLOOKUP($B22,'S6C-D'!$B$42:$F$80, 5, FALSE)</f>
        <v>3558990.8146652873</v>
      </c>
      <c r="Q22" s="588">
        <f t="shared" si="18"/>
        <v>-107520.77890054416</v>
      </c>
      <c r="R22" s="589">
        <f t="shared" si="19"/>
        <v>-2.9325089027190512E-2</v>
      </c>
      <c r="T22" s="587">
        <f>VLOOKUP($B22,S6C!$B$42:$F$80, 5, FALSE)</f>
        <v>3580871.8445331356</v>
      </c>
      <c r="U22" s="588">
        <f t="shared" si="0"/>
        <v>0</v>
      </c>
      <c r="V22" s="589">
        <f t="shared" si="1"/>
        <v>0</v>
      </c>
      <c r="W22" s="587">
        <f>VLOOKUP($B22,'S6C-A'!$B$42:$F$80, 5, FALSE)</f>
        <v>3587582.9305635407</v>
      </c>
      <c r="X22" s="588">
        <f t="shared" si="2"/>
        <v>6711.0860304050148</v>
      </c>
      <c r="Y22" s="589">
        <f t="shared" si="3"/>
        <v>1.8741486212780084E-3</v>
      </c>
      <c r="Z22" s="587">
        <f>VLOOKUP($B22,'S6C-B'!$B$42:$F$80, 5, FALSE)</f>
        <v>3588946.7368603423</v>
      </c>
      <c r="AA22" s="588">
        <f t="shared" si="4"/>
        <v>8074.892327206675</v>
      </c>
      <c r="AB22" s="589">
        <f t="shared" si="5"/>
        <v>2.2550073495465899E-3</v>
      </c>
      <c r="AC22" s="587">
        <f>VLOOKUP($B22,'S6C-C'!$B$42:$F$80, 5, FALSE)</f>
        <v>3544484.4265535921</v>
      </c>
      <c r="AD22" s="588">
        <f t="shared" si="6"/>
        <v>-36387.417979543563</v>
      </c>
      <c r="AE22" s="589">
        <f t="shared" si="7"/>
        <v>-1.0161608557730347E-2</v>
      </c>
      <c r="AF22" s="587">
        <f>VLOOKUP($B22,'S6C-D'!$B$42:$F$80, 5, FALSE)</f>
        <v>3558990.8146652873</v>
      </c>
      <c r="AG22" s="588">
        <f t="shared" si="8"/>
        <v>-21881.029867848381</v>
      </c>
      <c r="AH22" s="589">
        <f t="shared" si="9"/>
        <v>-6.1105314062701874E-3</v>
      </c>
      <c r="AI22" s="591"/>
      <c r="AJ22" s="590" t="str">
        <f>VLOOKUP('Summary Table'!B22, 'S6C-D'!$B$90:$H$127,7,FALSE)</f>
        <v>Loudoun Co.</v>
      </c>
      <c r="AK22" s="592"/>
    </row>
    <row r="23" spans="1:37" ht="15">
      <c r="A23" s="584" t="s">
        <v>206</v>
      </c>
      <c r="B23" s="585" t="s">
        <v>106</v>
      </c>
      <c r="C23" s="586">
        <f>VLOOKUP(B23,S6C!$B$42:$F$80, 3, FALSE)</f>
        <v>6007985.0073328475</v>
      </c>
      <c r="D23" s="587">
        <f>VLOOKUP($B23,S6C!$B$42:$F$80, 5, FALSE)</f>
        <v>6308168.3715907866</v>
      </c>
      <c r="E23" s="588">
        <f t="shared" si="10"/>
        <v>300183.36425793916</v>
      </c>
      <c r="F23" s="589">
        <f t="shared" si="11"/>
        <v>4.9964066803023024E-2</v>
      </c>
      <c r="G23" s="587">
        <f>VLOOKUP($B23,'S6C-A'!$B$42:$F$80, 5, FALSE)</f>
        <v>6297870.9830061262</v>
      </c>
      <c r="H23" s="588">
        <f t="shared" si="12"/>
        <v>289885.97567327879</v>
      </c>
      <c r="I23" s="589">
        <f t="shared" si="13"/>
        <v>4.8250116356726595E-2</v>
      </c>
      <c r="J23" s="587">
        <f>VLOOKUP($B23,'S6C-B'!$B$42:$F$80, 5, FALSE)</f>
        <v>6295391.2203154787</v>
      </c>
      <c r="K23" s="588">
        <f t="shared" si="14"/>
        <v>287406.21298263129</v>
      </c>
      <c r="L23" s="589">
        <f t="shared" si="15"/>
        <v>4.7837371869578094E-2</v>
      </c>
      <c r="M23" s="587">
        <f>VLOOKUP($B23,'S6C-C'!$B$42:$F$80, 5, FALSE)</f>
        <v>6252724.4686427424</v>
      </c>
      <c r="N23" s="588">
        <f t="shared" si="16"/>
        <v>244739.46130989492</v>
      </c>
      <c r="O23" s="589">
        <f t="shared" si="17"/>
        <v>4.0735697744116582E-2</v>
      </c>
      <c r="P23" s="587">
        <f>VLOOKUP($B23,'S6C-D'!$B$42:$F$80, 5, FALSE)</f>
        <v>6232255.6578226192</v>
      </c>
      <c r="Q23" s="588">
        <f t="shared" si="18"/>
        <v>224270.65048977174</v>
      </c>
      <c r="R23" s="589">
        <f t="shared" si="19"/>
        <v>3.7328763340129113E-2</v>
      </c>
      <c r="T23" s="587">
        <f>VLOOKUP($B23,S6C!$B$42:$F$80, 5, FALSE)</f>
        <v>6308168.3715907866</v>
      </c>
      <c r="U23" s="588">
        <f t="shared" si="0"/>
        <v>0</v>
      </c>
      <c r="V23" s="589">
        <f t="shared" si="1"/>
        <v>0</v>
      </c>
      <c r="W23" s="587">
        <f>VLOOKUP($B23,'S6C-A'!$B$42:$F$80, 5, FALSE)</f>
        <v>6297870.9830061262</v>
      </c>
      <c r="X23" s="588">
        <f t="shared" si="2"/>
        <v>-10297.388584660366</v>
      </c>
      <c r="Y23" s="589">
        <f t="shared" si="3"/>
        <v>-1.6323896221659636E-3</v>
      </c>
      <c r="Z23" s="587">
        <f>VLOOKUP($B23,'S6C-B'!$B$42:$F$80, 5, FALSE)</f>
        <v>6295391.2203154787</v>
      </c>
      <c r="AA23" s="588">
        <f t="shared" si="4"/>
        <v>-12777.151275307871</v>
      </c>
      <c r="AB23" s="589">
        <f t="shared" si="5"/>
        <v>-2.0254930627486953E-3</v>
      </c>
      <c r="AC23" s="587">
        <f>VLOOKUP($B23,'S6C-C'!$B$42:$F$80, 5, FALSE)</f>
        <v>6252724.4686427424</v>
      </c>
      <c r="AD23" s="588">
        <f t="shared" si="6"/>
        <v>-55443.90294804424</v>
      </c>
      <c r="AE23" s="589">
        <f t="shared" si="7"/>
        <v>-8.7892236988694177E-3</v>
      </c>
      <c r="AF23" s="587">
        <f>VLOOKUP($B23,'S6C-D'!$B$42:$F$80, 5, FALSE)</f>
        <v>6232255.6578226192</v>
      </c>
      <c r="AG23" s="588">
        <f t="shared" si="8"/>
        <v>-75912.713768167421</v>
      </c>
      <c r="AH23" s="589">
        <f t="shared" si="9"/>
        <v>-1.2034034175442252E-2</v>
      </c>
      <c r="AI23" s="591"/>
      <c r="AJ23" s="590" t="str">
        <f>VLOOKUP('Summary Table'!B23, 'S6C-D'!$B$90:$H$127,7,FALSE)</f>
        <v>Arlington Co. - ART</v>
      </c>
      <c r="AK23" s="592"/>
    </row>
    <row r="24" spans="1:37" ht="15">
      <c r="A24" s="584" t="s">
        <v>206</v>
      </c>
      <c r="B24" s="585" t="s">
        <v>107</v>
      </c>
      <c r="C24" s="586">
        <f>VLOOKUP(B24,S6C!$B$42:$F$80, 3, FALSE)</f>
        <v>9299604.085831793</v>
      </c>
      <c r="D24" s="587">
        <f>VLOOKUP($B24,S6C!$B$42:$F$80, 5, FALSE)</f>
        <v>9245879.2878358979</v>
      </c>
      <c r="E24" s="588">
        <f t="shared" si="10"/>
        <v>-53724.797995895147</v>
      </c>
      <c r="F24" s="589">
        <f t="shared" si="11"/>
        <v>-5.7771059391384608E-3</v>
      </c>
      <c r="G24" s="587">
        <f>VLOOKUP($B24,'S6C-A'!$B$42:$F$80, 5, FALSE)</f>
        <v>9220635.8266544472</v>
      </c>
      <c r="H24" s="588">
        <f t="shared" si="12"/>
        <v>-78968.259177345783</v>
      </c>
      <c r="I24" s="589">
        <f t="shared" si="13"/>
        <v>-8.4915721624812101E-3</v>
      </c>
      <c r="J24" s="587">
        <f>VLOOKUP($B24,'S6C-B'!$B$42:$F$80, 5, FALSE)</f>
        <v>9242433.7196768392</v>
      </c>
      <c r="K24" s="588">
        <f t="shared" si="14"/>
        <v>-57170.366154953837</v>
      </c>
      <c r="L24" s="589">
        <f t="shared" si="15"/>
        <v>-6.1476129120436951E-3</v>
      </c>
      <c r="M24" s="587">
        <f>VLOOKUP($B24,'S6C-C'!$B$42:$F$80, 5, FALSE)</f>
        <v>9228699.62403691</v>
      </c>
      <c r="N24" s="588">
        <f t="shared" si="16"/>
        <v>-70904.461794883013</v>
      </c>
      <c r="O24" s="589">
        <f t="shared" si="17"/>
        <v>-7.6244602609381986E-3</v>
      </c>
      <c r="P24" s="587">
        <f>VLOOKUP($B24,'S6C-D'!$B$42:$F$80, 5, FALSE)</f>
        <v>9200264.1907354463</v>
      </c>
      <c r="Q24" s="588">
        <f t="shared" si="18"/>
        <v>-99339.895096346736</v>
      </c>
      <c r="R24" s="589">
        <f t="shared" si="19"/>
        <v>-1.0682163904987508E-2</v>
      </c>
      <c r="T24" s="587">
        <f>VLOOKUP($B24,S6C!$B$42:$F$80, 5, FALSE)</f>
        <v>9245879.2878358979</v>
      </c>
      <c r="U24" s="588">
        <f t="shared" si="0"/>
        <v>0</v>
      </c>
      <c r="V24" s="589">
        <f t="shared" si="1"/>
        <v>0</v>
      </c>
      <c r="W24" s="587">
        <f>VLOOKUP($B24,'S6C-A'!$B$42:$F$80, 5, FALSE)</f>
        <v>9220635.8266544472</v>
      </c>
      <c r="X24" s="588">
        <f t="shared" si="2"/>
        <v>-25243.461181450635</v>
      </c>
      <c r="Y24" s="589">
        <f t="shared" si="3"/>
        <v>-2.7302391038850726E-3</v>
      </c>
      <c r="Z24" s="587">
        <f>VLOOKUP($B24,'S6C-B'!$B$42:$F$80, 5, FALSE)</f>
        <v>9242433.7196768392</v>
      </c>
      <c r="AA24" s="588">
        <f t="shared" si="4"/>
        <v>-3445.5681590586901</v>
      </c>
      <c r="AB24" s="589">
        <f t="shared" si="5"/>
        <v>-3.7265986844450398E-4</v>
      </c>
      <c r="AC24" s="587">
        <f>VLOOKUP($B24,'S6C-C'!$B$42:$F$80, 5, FALSE)</f>
        <v>9228699.62403691</v>
      </c>
      <c r="AD24" s="588">
        <f t="shared" si="6"/>
        <v>-17179.663798987865</v>
      </c>
      <c r="AE24" s="589">
        <f t="shared" si="7"/>
        <v>-1.8580886970468937E-3</v>
      </c>
      <c r="AF24" s="587">
        <f>VLOOKUP($B24,'S6C-D'!$B$42:$F$80, 5, FALSE)</f>
        <v>9200264.1907354463</v>
      </c>
      <c r="AG24" s="588">
        <f t="shared" si="8"/>
        <v>-45615.097100451589</v>
      </c>
      <c r="AH24" s="589">
        <f t="shared" si="9"/>
        <v>-4.9335596626773953E-3</v>
      </c>
      <c r="AI24" s="591"/>
      <c r="AJ24" s="590" t="str">
        <f>VLOOKUP('Summary Table'!B24, 'S6C-D'!$B$90:$H$127,7,FALSE)</f>
        <v>Alexandria - DASH</v>
      </c>
      <c r="AK24" s="592"/>
    </row>
    <row r="25" spans="1:37" ht="15">
      <c r="A25" s="584" t="s">
        <v>206</v>
      </c>
      <c r="B25" s="585" t="s">
        <v>108</v>
      </c>
      <c r="C25" s="586">
        <f>VLOOKUP(B25,S6C!$B$42:$F$80, 3, FALSE)</f>
        <v>1591498.2</v>
      </c>
      <c r="D25" s="587">
        <f>VLOOKUP($B25,S6C!$B$42:$F$80, 5, FALSE)</f>
        <v>1620218.1616704559</v>
      </c>
      <c r="E25" s="588">
        <f t="shared" si="10"/>
        <v>28719.961670455988</v>
      </c>
      <c r="F25" s="589">
        <f t="shared" si="11"/>
        <v>1.8045865003464025E-2</v>
      </c>
      <c r="G25" s="587">
        <f>VLOOKUP($B25,'S6C-A'!$B$42:$F$80, 5, FALSE)</f>
        <v>1597733.2856046746</v>
      </c>
      <c r="H25" s="588">
        <f t="shared" si="12"/>
        <v>6235.0856046746485</v>
      </c>
      <c r="I25" s="589">
        <f t="shared" si="13"/>
        <v>3.9177459356690746E-3</v>
      </c>
      <c r="J25" s="587">
        <f>VLOOKUP($B25,'S6C-B'!$B$42:$F$80, 5, FALSE)</f>
        <v>1617706.4646408809</v>
      </c>
      <c r="K25" s="588">
        <f t="shared" si="14"/>
        <v>26208.264640880981</v>
      </c>
      <c r="L25" s="589">
        <f t="shared" si="15"/>
        <v>1.6467668415132974E-2</v>
      </c>
      <c r="M25" s="587">
        <f>VLOOKUP($B25,'S6C-C'!$B$42:$F$80, 5, FALSE)</f>
        <v>1618479.611078874</v>
      </c>
      <c r="N25" s="588">
        <f t="shared" si="16"/>
        <v>26981.411078874022</v>
      </c>
      <c r="O25" s="589">
        <f t="shared" si="17"/>
        <v>1.6953466286593364E-2</v>
      </c>
      <c r="P25" s="587">
        <f>VLOOKUP($B25,'S6C-D'!$B$42:$F$80, 5, FALSE)</f>
        <v>1593222.7603526365</v>
      </c>
      <c r="Q25" s="588">
        <f t="shared" si="18"/>
        <v>1724.5603526365012</v>
      </c>
      <c r="R25" s="589">
        <f t="shared" si="19"/>
        <v>1.0836081075281778E-3</v>
      </c>
      <c r="T25" s="587">
        <f>VLOOKUP($B25,S6C!$B$42:$F$80, 5, FALSE)</f>
        <v>1620218.1616704559</v>
      </c>
      <c r="U25" s="588">
        <f t="shared" si="0"/>
        <v>0</v>
      </c>
      <c r="V25" s="589">
        <f t="shared" si="1"/>
        <v>0</v>
      </c>
      <c r="W25" s="587">
        <f>VLOOKUP($B25,'S6C-A'!$B$42:$F$80, 5, FALSE)</f>
        <v>1597733.2856046746</v>
      </c>
      <c r="X25" s="588">
        <f t="shared" si="2"/>
        <v>-22484.87606578134</v>
      </c>
      <c r="Y25" s="589">
        <f t="shared" si="3"/>
        <v>-1.3877684251236439E-2</v>
      </c>
      <c r="Z25" s="587">
        <f>VLOOKUP($B25,'S6C-B'!$B$42:$F$80, 5, FALSE)</f>
        <v>1617706.4646408809</v>
      </c>
      <c r="AA25" s="588">
        <f t="shared" si="4"/>
        <v>-2511.697029575007</v>
      </c>
      <c r="AB25" s="589">
        <f t="shared" si="5"/>
        <v>-1.5502215004091981E-3</v>
      </c>
      <c r="AC25" s="587">
        <f>VLOOKUP($B25,'S6C-C'!$B$42:$F$80, 5, FALSE)</f>
        <v>1618479.611078874</v>
      </c>
      <c r="AD25" s="588">
        <f t="shared" si="6"/>
        <v>-1738.5505915819667</v>
      </c>
      <c r="AE25" s="589">
        <f t="shared" si="7"/>
        <v>-1.073034874383527E-3</v>
      </c>
      <c r="AF25" s="587">
        <f>VLOOKUP($B25,'S6C-D'!$B$42:$F$80, 5, FALSE)</f>
        <v>1593222.7603526365</v>
      </c>
      <c r="AG25" s="588">
        <f t="shared" si="8"/>
        <v>-26995.401317819487</v>
      </c>
      <c r="AH25" s="589">
        <f t="shared" si="9"/>
        <v>-1.6661584196776959E-2</v>
      </c>
      <c r="AI25" s="591"/>
      <c r="AJ25" s="590" t="str">
        <f>VLOOKUP('Summary Table'!B25, 'S6C-D'!$B$90:$H$127,7,FALSE)</f>
        <v>City of Fairfax - CUE</v>
      </c>
      <c r="AK25" s="592"/>
    </row>
    <row r="26" spans="1:37" ht="15">
      <c r="A26" s="584" t="s">
        <v>206</v>
      </c>
      <c r="B26" s="585" t="s">
        <v>109</v>
      </c>
      <c r="C26" s="586">
        <f>VLOOKUP(B26,S6C!$B$42:$F$80, 3, FALSE)</f>
        <v>25729693.491986766</v>
      </c>
      <c r="D26" s="587">
        <f>VLOOKUP($B26,S6C!$B$42:$F$80, 5, FALSE)</f>
        <v>24112895.982328665</v>
      </c>
      <c r="E26" s="588">
        <f t="shared" si="10"/>
        <v>-1616797.5096581019</v>
      </c>
      <c r="F26" s="589">
        <f t="shared" si="11"/>
        <v>-6.283780683829894E-2</v>
      </c>
      <c r="G26" s="587">
        <f>VLOOKUP($B26,'S6C-A'!$B$42:$F$80, 5, FALSE)</f>
        <v>23933565.857229989</v>
      </c>
      <c r="H26" s="588">
        <f t="shared" si="12"/>
        <v>-1796127.6347567774</v>
      </c>
      <c r="I26" s="589">
        <f t="shared" si="13"/>
        <v>-6.9807579919914778E-2</v>
      </c>
      <c r="J26" s="587">
        <f>VLOOKUP($B26,'S6C-B'!$B$42:$F$80, 5, FALSE)</f>
        <v>24079697.93119495</v>
      </c>
      <c r="K26" s="588">
        <f t="shared" si="14"/>
        <v>-1649995.5607918166</v>
      </c>
      <c r="L26" s="589">
        <f t="shared" si="15"/>
        <v>-6.4128069046204911E-2</v>
      </c>
      <c r="M26" s="587">
        <f>VLOOKUP($B26,'S6C-C'!$B$42:$F$80, 5, FALSE)</f>
        <v>23935371.790917862</v>
      </c>
      <c r="N26" s="588">
        <f t="shared" si="16"/>
        <v>-1794321.7010689043</v>
      </c>
      <c r="O26" s="589">
        <f t="shared" si="17"/>
        <v>-6.9737391221847481E-2</v>
      </c>
      <c r="P26" s="587">
        <f>VLOOKUP($B26,'S6C-D'!$B$42:$F$80, 5, FALSE)</f>
        <v>23741772.329846274</v>
      </c>
      <c r="Q26" s="588">
        <f t="shared" si="18"/>
        <v>-1987921.1621404923</v>
      </c>
      <c r="R26" s="589">
        <f t="shared" si="19"/>
        <v>-7.7261750621304873E-2</v>
      </c>
      <c r="T26" s="587">
        <f>VLOOKUP($B26,S6C!$B$42:$F$80, 5, FALSE)</f>
        <v>24112895.982328665</v>
      </c>
      <c r="U26" s="588">
        <f t="shared" si="0"/>
        <v>0</v>
      </c>
      <c r="V26" s="589">
        <f t="shared" si="1"/>
        <v>0</v>
      </c>
      <c r="W26" s="587">
        <f>VLOOKUP($B26,'S6C-A'!$B$42:$F$80, 5, FALSE)</f>
        <v>23933565.857229989</v>
      </c>
      <c r="X26" s="588">
        <f t="shared" si="2"/>
        <v>-179330.12509867549</v>
      </c>
      <c r="Y26" s="589">
        <f t="shared" si="3"/>
        <v>-7.4371044120996104E-3</v>
      </c>
      <c r="Z26" s="587">
        <f>VLOOKUP($B26,'S6C-B'!$B$42:$F$80, 5, FALSE)</f>
        <v>24079697.93119495</v>
      </c>
      <c r="AA26" s="588">
        <f t="shared" si="4"/>
        <v>-33198.051133714616</v>
      </c>
      <c r="AB26" s="589">
        <f t="shared" si="5"/>
        <v>-1.3767757783239344E-3</v>
      </c>
      <c r="AC26" s="587">
        <f>VLOOKUP($B26,'S6C-C'!$B$42:$F$80, 5, FALSE)</f>
        <v>23935371.790917862</v>
      </c>
      <c r="AD26" s="588">
        <f t="shared" si="6"/>
        <v>-177524.1914108023</v>
      </c>
      <c r="AE26" s="589">
        <f t="shared" si="7"/>
        <v>-7.3622094808065515E-3</v>
      </c>
      <c r="AF26" s="587">
        <f>VLOOKUP($B26,'S6C-D'!$B$42:$F$80, 5, FALSE)</f>
        <v>23741772.329846274</v>
      </c>
      <c r="AG26" s="588">
        <f t="shared" si="8"/>
        <v>-371123.6524823904</v>
      </c>
      <c r="AH26" s="589">
        <f t="shared" si="9"/>
        <v>-1.5391085863530099E-2</v>
      </c>
      <c r="AI26" s="591"/>
      <c r="AJ26" s="590" t="str">
        <f>VLOOKUP('Summary Table'!B26, 'S6C-D'!$B$90:$H$127,7,FALSE)</f>
        <v>Fairfax Connector</v>
      </c>
      <c r="AK26" s="592"/>
    </row>
    <row r="27" spans="1:37" ht="15" hidden="1">
      <c r="A27" s="584" t="s">
        <v>206</v>
      </c>
      <c r="B27" s="585" t="s">
        <v>110</v>
      </c>
      <c r="C27" s="593">
        <f>VLOOKUP(B27,S6C!$B$42:$F$80, 3, FALSE)</f>
        <v>2245850</v>
      </c>
      <c r="D27" s="594">
        <f>VLOOKUP($B27,S6C!$B$42:$F$80, 5, FALSE)</f>
        <v>2625842.9822219783</v>
      </c>
      <c r="E27" s="588"/>
      <c r="F27" s="589"/>
      <c r="G27" s="594">
        <f>VLOOKUP($B27,'S6C-A'!$B$42:$F$80, 5, FALSE)</f>
        <v>2736218.7866948112</v>
      </c>
      <c r="H27" s="588"/>
      <c r="I27" s="589"/>
      <c r="J27" s="594">
        <f>VLOOKUP($B27,'S6C-B'!$B$42:$F$80, 5, FALSE)</f>
        <v>2620490.3091972522</v>
      </c>
      <c r="K27" s="588"/>
      <c r="L27" s="589"/>
      <c r="M27" s="594">
        <f>VLOOKUP($B27,'S6C-C'!$B$42:$F$80, 5, FALSE)</f>
        <v>2623953.6350179198</v>
      </c>
      <c r="N27" s="588"/>
      <c r="O27" s="589"/>
      <c r="P27" s="594">
        <f>VLOOKUP($B27,'S6C-D'!$B$42:$F$80, 5, FALSE)</f>
        <v>2727730.835505418</v>
      </c>
      <c r="Q27" s="588"/>
      <c r="R27" s="589"/>
      <c r="T27" s="594">
        <f>VLOOKUP($B27,S6C!$B$42:$F$80, 5, FALSE)</f>
        <v>2625842.9822219783</v>
      </c>
      <c r="U27" s="595">
        <f t="shared" si="0"/>
        <v>0</v>
      </c>
      <c r="V27" s="596">
        <f t="shared" si="1"/>
        <v>0</v>
      </c>
      <c r="W27" s="594">
        <f>VLOOKUP($B27,'S6C-A'!$B$42:$F$80, 5, FALSE)</f>
        <v>2736218.7866948112</v>
      </c>
      <c r="X27" s="595">
        <f t="shared" si="2"/>
        <v>110375.80447283294</v>
      </c>
      <c r="Y27" s="596">
        <f t="shared" si="3"/>
        <v>4.2034426742239311E-2</v>
      </c>
      <c r="Z27" s="594">
        <f>VLOOKUP($B27,'S6C-B'!$B$42:$F$80, 5, FALSE)</f>
        <v>2620490.3091972522</v>
      </c>
      <c r="AA27" s="595">
        <f t="shared" si="4"/>
        <v>-5352.6730247261003</v>
      </c>
      <c r="AB27" s="596">
        <f t="shared" si="5"/>
        <v>-2.0384589105159247E-3</v>
      </c>
      <c r="AC27" s="594">
        <f>VLOOKUP($B27,'S6C-C'!$B$42:$F$80, 5, FALSE)</f>
        <v>2623953.6350179198</v>
      </c>
      <c r="AD27" s="595">
        <f t="shared" si="6"/>
        <v>-1889.3472040584311</v>
      </c>
      <c r="AE27" s="596">
        <f t="shared" si="7"/>
        <v>-7.195202519153193E-4</v>
      </c>
      <c r="AF27" s="594">
        <f>VLOOKUP($B27,'S6C-D'!$B$42:$F$80, 5, FALSE)</f>
        <v>2727730.835505418</v>
      </c>
      <c r="AG27" s="595">
        <f t="shared" si="8"/>
        <v>101887.85328343976</v>
      </c>
      <c r="AH27" s="596">
        <f t="shared" si="9"/>
        <v>3.880195958907743E-2</v>
      </c>
      <c r="AI27" s="591"/>
      <c r="AJ27" s="590" t="e">
        <f>VLOOKUP('Summary Table'!B27, 'S6C-D'!$B$90:$H$127,7,FALSE)</f>
        <v>#N/A</v>
      </c>
      <c r="AK27" s="592"/>
    </row>
    <row r="28" spans="1:37" ht="15">
      <c r="A28" s="584" t="s">
        <v>206</v>
      </c>
      <c r="B28" s="585" t="s">
        <v>111</v>
      </c>
      <c r="C28" s="586">
        <f>VLOOKUP(B28,S6C!$B$42:$F$80, 3, FALSE)</f>
        <v>8187109.5606905362</v>
      </c>
      <c r="D28" s="587">
        <f>VLOOKUP($B28,S6C!$B$42:$F$80, 5, FALSE)</f>
        <v>7438451.1906009652</v>
      </c>
      <c r="E28" s="588">
        <f t="shared" si="10"/>
        <v>-748658.37008957099</v>
      </c>
      <c r="F28" s="589">
        <f t="shared" si="11"/>
        <v>-9.1443550930864287E-2</v>
      </c>
      <c r="G28" s="587">
        <f>VLOOKUP($B28,'S6C-A'!$B$42:$F$80, 5, FALSE)</f>
        <v>7395054.6598219089</v>
      </c>
      <c r="H28" s="588">
        <f t="shared" si="12"/>
        <v>-792054.90086862724</v>
      </c>
      <c r="I28" s="589">
        <f t="shared" si="13"/>
        <v>-9.6744143338643909E-2</v>
      </c>
      <c r="J28" s="587">
        <f>VLOOKUP($B28,'S6C-B'!$B$42:$F$80, 5, FALSE)</f>
        <v>7538434.8759400351</v>
      </c>
      <c r="K28" s="588">
        <f t="shared" si="14"/>
        <v>-648674.68475050107</v>
      </c>
      <c r="L28" s="589">
        <f t="shared" si="15"/>
        <v>-7.9231220730822741E-2</v>
      </c>
      <c r="M28" s="587">
        <f>VLOOKUP($B28,'S6C-C'!$B$42:$F$80, 5, FALSE)</f>
        <v>7837949.0877956115</v>
      </c>
      <c r="N28" s="588">
        <f t="shared" si="16"/>
        <v>-349160.47289492469</v>
      </c>
      <c r="O28" s="589">
        <f t="shared" si="17"/>
        <v>-4.2647587687280809E-2</v>
      </c>
      <c r="P28" s="587">
        <f>VLOOKUP($B28,'S6C-D'!$B$42:$F$80, 5, FALSE)</f>
        <v>7886314.5334388902</v>
      </c>
      <c r="Q28" s="588">
        <f t="shared" si="18"/>
        <v>-300795.02725164592</v>
      </c>
      <c r="R28" s="589">
        <f t="shared" si="19"/>
        <v>-3.6740075972096262E-2</v>
      </c>
      <c r="T28" s="587">
        <f>VLOOKUP($B28,S6C!$B$42:$F$80, 5, FALSE)</f>
        <v>7438451.1906009652</v>
      </c>
      <c r="U28" s="588">
        <f t="shared" si="0"/>
        <v>0</v>
      </c>
      <c r="V28" s="589">
        <f t="shared" si="1"/>
        <v>0</v>
      </c>
      <c r="W28" s="587">
        <f>VLOOKUP($B28,'S6C-A'!$B$42:$F$80, 5, FALSE)</f>
        <v>7395054.6598219089</v>
      </c>
      <c r="X28" s="588">
        <f t="shared" si="2"/>
        <v>-43396.530779056251</v>
      </c>
      <c r="Y28" s="589">
        <f t="shared" si="3"/>
        <v>-5.8340815402393156E-3</v>
      </c>
      <c r="Z28" s="587">
        <f>VLOOKUP($B28,'S6C-B'!$B$42:$F$80, 5, FALSE)</f>
        <v>7538434.8759400351</v>
      </c>
      <c r="AA28" s="588">
        <f t="shared" si="4"/>
        <v>99983.685339069925</v>
      </c>
      <c r="AB28" s="589">
        <f t="shared" si="5"/>
        <v>1.3441465538606576E-2</v>
      </c>
      <c r="AC28" s="587">
        <f>VLOOKUP($B28,'S6C-C'!$B$42:$F$80, 5, FALSE)</f>
        <v>7837949.0877956115</v>
      </c>
      <c r="AD28" s="588">
        <f t="shared" si="6"/>
        <v>399497.8971946463</v>
      </c>
      <c r="AE28" s="589">
        <f t="shared" si="7"/>
        <v>5.3707134315735178E-2</v>
      </c>
      <c r="AF28" s="587">
        <f>VLOOKUP($B28,'S6C-D'!$B$42:$F$80, 5, FALSE)</f>
        <v>7886314.5334388902</v>
      </c>
      <c r="AG28" s="588">
        <f t="shared" si="8"/>
        <v>447863.34283792507</v>
      </c>
      <c r="AH28" s="589">
        <f t="shared" si="9"/>
        <v>6.0209219817673014E-2</v>
      </c>
      <c r="AI28" s="591"/>
      <c r="AJ28" s="590" t="str">
        <f>VLOOKUP('Summary Table'!B28, 'S6C-D'!$B$90:$H$127,7,FALSE)</f>
        <v>PRTC</v>
      </c>
      <c r="AK28" s="592"/>
    </row>
    <row r="29" spans="1:37" ht="15">
      <c r="A29" s="584" t="s">
        <v>112</v>
      </c>
      <c r="B29" s="585" t="s">
        <v>113</v>
      </c>
      <c r="C29" s="586">
        <f>VLOOKUP(B29,S6C!$B$42:$F$80, 3, FALSE)</f>
        <v>1198958.8926709832</v>
      </c>
      <c r="D29" s="587">
        <f>VLOOKUP($B29,S6C!$B$42:$F$80, 5, FALSE)</f>
        <v>1180832.1770593463</v>
      </c>
      <c r="E29" s="588">
        <f t="shared" si="10"/>
        <v>-18126.715611636871</v>
      </c>
      <c r="F29" s="589">
        <f t="shared" si="11"/>
        <v>-1.5118713178943977E-2</v>
      </c>
      <c r="G29" s="587">
        <f>VLOOKUP($B29,'S6C-A'!$B$42:$F$80, 5, FALSE)</f>
        <v>1179807.8029546009</v>
      </c>
      <c r="H29" s="588">
        <f t="shared" si="12"/>
        <v>-19151.089716382325</v>
      </c>
      <c r="I29" s="589">
        <f t="shared" si="13"/>
        <v>-1.5973099522802191E-2</v>
      </c>
      <c r="J29" s="587">
        <f>VLOOKUP($B29,'S6C-B'!$B$42:$F$80, 5, FALSE)</f>
        <v>1179958.6022367617</v>
      </c>
      <c r="K29" s="588">
        <f t="shared" si="14"/>
        <v>-19000.290434221504</v>
      </c>
      <c r="L29" s="589">
        <f t="shared" si="15"/>
        <v>-1.5847324333108342E-2</v>
      </c>
      <c r="M29" s="587">
        <f>VLOOKUP($B29,'S6C-C'!$B$42:$F$80, 5, FALSE)</f>
        <v>1178082.8896040267</v>
      </c>
      <c r="N29" s="588">
        <f t="shared" si="16"/>
        <v>-20876.003066956531</v>
      </c>
      <c r="O29" s="589">
        <f t="shared" si="17"/>
        <v>-1.7411775495029667E-2</v>
      </c>
      <c r="P29" s="587">
        <f>VLOOKUP($B29,'S6C-D'!$B$42:$F$80, 5, FALSE)</f>
        <v>1176233.1534954421</v>
      </c>
      <c r="Q29" s="588">
        <f t="shared" si="18"/>
        <v>-22725.739175541094</v>
      </c>
      <c r="R29" s="589">
        <f t="shared" si="19"/>
        <v>-1.8954560756385717E-2</v>
      </c>
      <c r="T29" s="587">
        <f>VLOOKUP($B29,S6C!$B$42:$F$80, 5, FALSE)</f>
        <v>1180832.1770593463</v>
      </c>
      <c r="U29" s="588">
        <f t="shared" si="0"/>
        <v>0</v>
      </c>
      <c r="V29" s="589">
        <f t="shared" si="1"/>
        <v>0</v>
      </c>
      <c r="W29" s="587">
        <f>VLOOKUP($B29,'S6C-A'!$B$42:$F$80, 5, FALSE)</f>
        <v>1179807.8029546009</v>
      </c>
      <c r="X29" s="588">
        <f t="shared" si="2"/>
        <v>-1024.3741047454532</v>
      </c>
      <c r="Y29" s="589">
        <f t="shared" si="3"/>
        <v>-8.675018555951581E-4</v>
      </c>
      <c r="Z29" s="587">
        <f>VLOOKUP($B29,'S6C-B'!$B$42:$F$80, 5, FALSE)</f>
        <v>1179958.6022367617</v>
      </c>
      <c r="AA29" s="588">
        <f t="shared" si="4"/>
        <v>-873.57482258463278</v>
      </c>
      <c r="AB29" s="589">
        <f t="shared" si="5"/>
        <v>-7.3979591643591241E-4</v>
      </c>
      <c r="AC29" s="587">
        <f>VLOOKUP($B29,'S6C-C'!$B$42:$F$80, 5, FALSE)</f>
        <v>1178082.8896040267</v>
      </c>
      <c r="AD29" s="588">
        <f t="shared" si="6"/>
        <v>-2749.2874553196598</v>
      </c>
      <c r="AE29" s="589">
        <f t="shared" si="7"/>
        <v>-2.3282626513161878E-3</v>
      </c>
      <c r="AF29" s="587">
        <f>VLOOKUP($B29,'S6C-D'!$B$42:$F$80, 5, FALSE)</f>
        <v>1176233.1534954421</v>
      </c>
      <c r="AG29" s="588">
        <f t="shared" si="8"/>
        <v>-4599.0235639042221</v>
      </c>
      <c r="AH29" s="589">
        <f t="shared" si="9"/>
        <v>-3.8947308967793178E-3</v>
      </c>
      <c r="AI29" s="591"/>
      <c r="AJ29" s="590" t="str">
        <f>VLOOKUP('Summary Table'!B29, 'S6C-D'!$B$90:$H$127,7,FALSE)</f>
        <v>PAT (Petersburg)</v>
      </c>
      <c r="AK29" s="592"/>
    </row>
    <row r="30" spans="1:37" ht="15">
      <c r="A30" s="584" t="s">
        <v>112</v>
      </c>
      <c r="B30" s="585" t="s">
        <v>114</v>
      </c>
      <c r="C30" s="586">
        <f>VLOOKUP(B30,S6C!$B$42:$F$80, 3, FALSE)</f>
        <v>18853131.91607457</v>
      </c>
      <c r="D30" s="587">
        <f>VLOOKUP($B30,S6C!$B$42:$F$80, 5, FALSE)</f>
        <v>19601161.631661668</v>
      </c>
      <c r="E30" s="588">
        <f t="shared" si="10"/>
        <v>748029.71558709815</v>
      </c>
      <c r="F30" s="589">
        <f t="shared" si="11"/>
        <v>3.9676681779822087E-2</v>
      </c>
      <c r="G30" s="587">
        <f>VLOOKUP($B30,'S6C-A'!$B$42:$F$80, 5, FALSE)</f>
        <v>19647494.26293334</v>
      </c>
      <c r="H30" s="588">
        <f t="shared" si="12"/>
        <v>794362.34685876966</v>
      </c>
      <c r="I30" s="589">
        <f t="shared" si="13"/>
        <v>4.213423798204477E-2</v>
      </c>
      <c r="J30" s="587">
        <f>VLOOKUP($B30,'S6C-B'!$B$42:$F$80, 5, FALSE)</f>
        <v>19596748.981238451</v>
      </c>
      <c r="K30" s="588">
        <f t="shared" si="14"/>
        <v>743617.06516388059</v>
      </c>
      <c r="L30" s="589">
        <f t="shared" si="15"/>
        <v>3.9442627807099638E-2</v>
      </c>
      <c r="M30" s="587">
        <f>VLOOKUP($B30,'S6C-C'!$B$42:$F$80, 5, FALSE)</f>
        <v>19617599.199400354</v>
      </c>
      <c r="N30" s="588">
        <f t="shared" si="16"/>
        <v>764467.28332578391</v>
      </c>
      <c r="O30" s="589">
        <f t="shared" si="17"/>
        <v>4.0548556427061504E-2</v>
      </c>
      <c r="P30" s="587">
        <f>VLOOKUP($B30,'S6C-D'!$B$42:$F$80, 5, FALSE)</f>
        <v>19657682.222010825</v>
      </c>
      <c r="Q30" s="588">
        <f t="shared" si="18"/>
        <v>804550.30593625456</v>
      </c>
      <c r="R30" s="589">
        <f t="shared" si="19"/>
        <v>4.2674623479947028E-2</v>
      </c>
      <c r="T30" s="587">
        <f>VLOOKUP($B30,S6C!$B$42:$F$80, 5, FALSE)</f>
        <v>19601161.631661668</v>
      </c>
      <c r="U30" s="588">
        <f t="shared" si="0"/>
        <v>0</v>
      </c>
      <c r="V30" s="589">
        <f t="shared" si="1"/>
        <v>0</v>
      </c>
      <c r="W30" s="587">
        <f>VLOOKUP($B30,'S6C-A'!$B$42:$F$80, 5, FALSE)</f>
        <v>19647494.26293334</v>
      </c>
      <c r="X30" s="588">
        <f t="shared" si="2"/>
        <v>46332.631271671504</v>
      </c>
      <c r="Y30" s="589">
        <f t="shared" si="3"/>
        <v>2.3637696654075142E-3</v>
      </c>
      <c r="Z30" s="587">
        <f>VLOOKUP($B30,'S6C-B'!$B$42:$F$80, 5, FALSE)</f>
        <v>19596748.981238451</v>
      </c>
      <c r="AA30" s="588">
        <f t="shared" si="4"/>
        <v>-4412.6504232175648</v>
      </c>
      <c r="AB30" s="589">
        <f t="shared" si="5"/>
        <v>-2.2512188339337145E-4</v>
      </c>
      <c r="AC30" s="587">
        <f>VLOOKUP($B30,'S6C-C'!$B$42:$F$80, 5, FALSE)</f>
        <v>19617599.199400354</v>
      </c>
      <c r="AD30" s="588">
        <f t="shared" si="6"/>
        <v>16437.567738685757</v>
      </c>
      <c r="AE30" s="589">
        <f t="shared" si="7"/>
        <v>8.3860171389711039E-4</v>
      </c>
      <c r="AF30" s="587">
        <f>VLOOKUP($B30,'S6C-D'!$B$42:$F$80, 5, FALSE)</f>
        <v>19657682.222010825</v>
      </c>
      <c r="AG30" s="588">
        <f t="shared" si="8"/>
        <v>56520.59034915641</v>
      </c>
      <c r="AH30" s="589">
        <f t="shared" si="9"/>
        <v>2.883532691136986E-3</v>
      </c>
      <c r="AI30" s="591"/>
      <c r="AJ30" s="590" t="str">
        <f>VLOOKUP('Summary Table'!B30, 'S6C-D'!$B$90:$H$127,7,FALSE)</f>
        <v>GRTC (Richmond)</v>
      </c>
      <c r="AK30" s="592"/>
    </row>
    <row r="31" spans="1:37" ht="15">
      <c r="A31" s="584" t="s">
        <v>115</v>
      </c>
      <c r="B31" s="585" t="s">
        <v>116</v>
      </c>
      <c r="C31" s="586">
        <f>VLOOKUP(B31,S6C!$B$42:$F$80, 3, FALSE)</f>
        <v>3483121.4</v>
      </c>
      <c r="D31" s="587">
        <f>VLOOKUP($B31,S6C!$B$42:$F$80, 5, FALSE)</f>
        <v>3483121.2999999993</v>
      </c>
      <c r="E31" s="588">
        <f t="shared" si="10"/>
        <v>-0.10000000055879354</v>
      </c>
      <c r="F31" s="589">
        <f t="shared" si="11"/>
        <v>-2.8709880901306956E-8</v>
      </c>
      <c r="G31" s="587">
        <f>VLOOKUP($B31,'S6C-A'!$B$42:$F$80, 5, FALSE)</f>
        <v>3483121.2999999993</v>
      </c>
      <c r="H31" s="588">
        <f t="shared" si="12"/>
        <v>-0.10000000055879354</v>
      </c>
      <c r="I31" s="589">
        <f t="shared" si="13"/>
        <v>-2.8709880901306956E-8</v>
      </c>
      <c r="J31" s="587">
        <f>VLOOKUP($B31,'S6C-B'!$B$42:$F$80, 5, FALSE)</f>
        <v>3483121.2999999993</v>
      </c>
      <c r="K31" s="588">
        <f t="shared" si="14"/>
        <v>-0.10000000055879354</v>
      </c>
      <c r="L31" s="589">
        <f t="shared" si="15"/>
        <v>-2.8709880901306956E-8</v>
      </c>
      <c r="M31" s="587">
        <f>VLOOKUP($B31,'S6C-C'!$B$42:$F$80, 5, FALSE)</f>
        <v>3483121.2999999993</v>
      </c>
      <c r="N31" s="588">
        <f t="shared" si="16"/>
        <v>-0.10000000055879354</v>
      </c>
      <c r="O31" s="589">
        <f t="shared" si="17"/>
        <v>-2.8709880901306956E-8</v>
      </c>
      <c r="P31" s="587">
        <f>VLOOKUP($B31,'S6C-D'!$B$42:$F$80, 5, FALSE)</f>
        <v>3483121.2999999993</v>
      </c>
      <c r="Q31" s="588">
        <f t="shared" si="18"/>
        <v>-0.10000000055879354</v>
      </c>
      <c r="R31" s="589">
        <f t="shared" si="19"/>
        <v>-2.8709880901306956E-8</v>
      </c>
      <c r="T31" s="587">
        <f>VLOOKUP($B31,S6C!$B$42:$F$80, 5, FALSE)</f>
        <v>3483121.2999999993</v>
      </c>
      <c r="U31" s="588">
        <f t="shared" si="0"/>
        <v>0</v>
      </c>
      <c r="V31" s="589">
        <f t="shared" si="1"/>
        <v>0</v>
      </c>
      <c r="W31" s="587">
        <f>VLOOKUP($B31,'S6C-A'!$B$42:$F$80, 5, FALSE)</f>
        <v>3483121.2999999993</v>
      </c>
      <c r="X31" s="588">
        <f t="shared" si="2"/>
        <v>0</v>
      </c>
      <c r="Y31" s="589">
        <f t="shared" si="3"/>
        <v>0</v>
      </c>
      <c r="Z31" s="587">
        <f>VLOOKUP($B31,'S6C-B'!$B$42:$F$80, 5, FALSE)</f>
        <v>3483121.2999999993</v>
      </c>
      <c r="AA31" s="588">
        <f t="shared" si="4"/>
        <v>0</v>
      </c>
      <c r="AB31" s="589">
        <f t="shared" si="5"/>
        <v>0</v>
      </c>
      <c r="AC31" s="587">
        <f>VLOOKUP($B31,'S6C-C'!$B$42:$F$80, 5, FALSE)</f>
        <v>3483121.2999999993</v>
      </c>
      <c r="AD31" s="588">
        <f t="shared" si="6"/>
        <v>0</v>
      </c>
      <c r="AE31" s="589">
        <f t="shared" si="7"/>
        <v>0</v>
      </c>
      <c r="AF31" s="587">
        <f>VLOOKUP($B31,'S6C-D'!$B$42:$F$80, 5, FALSE)</f>
        <v>3483121.2999999993</v>
      </c>
      <c r="AG31" s="588">
        <f t="shared" si="8"/>
        <v>0</v>
      </c>
      <c r="AH31" s="589">
        <f t="shared" si="9"/>
        <v>0</v>
      </c>
      <c r="AI31" s="591"/>
      <c r="AJ31" s="590" t="str">
        <f>VLOOKUP('Summary Table'!B31, 'S6C-D'!$B$90:$H$127,7,FALSE)</f>
        <v>Blacksburg Transit</v>
      </c>
      <c r="AK31" s="592"/>
    </row>
    <row r="32" spans="1:37" ht="15">
      <c r="A32" s="584" t="s">
        <v>115</v>
      </c>
      <c r="B32" s="585" t="s">
        <v>117</v>
      </c>
      <c r="C32" s="586">
        <f>VLOOKUP(B32,S6C!$B$42:$F$80, 3, FALSE)</f>
        <v>501123.76901444077</v>
      </c>
      <c r="D32" s="587">
        <f>VLOOKUP($B32,S6C!$B$42:$F$80, 5, FALSE)</f>
        <v>556824.27751083614</v>
      </c>
      <c r="E32" s="588">
        <f t="shared" si="10"/>
        <v>55700.50849639537</v>
      </c>
      <c r="F32" s="589">
        <f t="shared" si="11"/>
        <v>0.11115120044283962</v>
      </c>
      <c r="G32" s="587">
        <f>VLOOKUP($B32,'S6C-A'!$B$42:$F$80, 5, FALSE)</f>
        <v>562208.86523780937</v>
      </c>
      <c r="H32" s="588">
        <f t="shared" si="12"/>
        <v>61085.0962233686</v>
      </c>
      <c r="I32" s="589">
        <f t="shared" si="13"/>
        <v>0.12189622604312814</v>
      </c>
      <c r="J32" s="587">
        <f>VLOOKUP($B32,'S6C-B'!$B$42:$F$80, 5, FALSE)</f>
        <v>556665.06460703246</v>
      </c>
      <c r="K32" s="588">
        <f t="shared" si="14"/>
        <v>55541.29559259169</v>
      </c>
      <c r="L32" s="589">
        <f t="shared" si="15"/>
        <v>0.11083348870444652</v>
      </c>
      <c r="M32" s="587">
        <f>VLOOKUP($B32,'S6C-C'!$B$42:$F$80, 5, FALSE)</f>
        <v>558918.09577236359</v>
      </c>
      <c r="N32" s="588">
        <f t="shared" si="16"/>
        <v>57794.326757922827</v>
      </c>
      <c r="O32" s="589">
        <f t="shared" si="17"/>
        <v>0.11532944619966207</v>
      </c>
      <c r="P32" s="587">
        <f>VLOOKUP($B32,'S6C-D'!$B$42:$F$80, 5, FALSE)</f>
        <v>562495.16333001666</v>
      </c>
      <c r="Q32" s="588">
        <f t="shared" si="18"/>
        <v>61371.39431557589</v>
      </c>
      <c r="R32" s="589">
        <f t="shared" si="19"/>
        <v>0.12246753818178471</v>
      </c>
      <c r="T32" s="587">
        <f>VLOOKUP($B32,S6C!$B$42:$F$80, 5, FALSE)</f>
        <v>556824.27751083614</v>
      </c>
      <c r="U32" s="588">
        <f t="shared" si="0"/>
        <v>0</v>
      </c>
      <c r="V32" s="589">
        <f t="shared" si="1"/>
        <v>0</v>
      </c>
      <c r="W32" s="587">
        <f>VLOOKUP($B32,'S6C-A'!$B$42:$F$80, 5, FALSE)</f>
        <v>562208.86523780937</v>
      </c>
      <c r="X32" s="588">
        <f t="shared" si="2"/>
        <v>5384.58772697323</v>
      </c>
      <c r="Y32" s="589">
        <f t="shared" si="3"/>
        <v>9.6701741365227065E-3</v>
      </c>
      <c r="Z32" s="587">
        <f>VLOOKUP($B32,'S6C-B'!$B$42:$F$80, 5, FALSE)</f>
        <v>556665.06460703246</v>
      </c>
      <c r="AA32" s="588">
        <f t="shared" si="4"/>
        <v>-159.21290380368009</v>
      </c>
      <c r="AB32" s="589">
        <f t="shared" si="5"/>
        <v>-2.8593024807647993E-4</v>
      </c>
      <c r="AC32" s="587">
        <f>VLOOKUP($B32,'S6C-C'!$B$42:$F$80, 5, FALSE)</f>
        <v>558918.09577236359</v>
      </c>
      <c r="AD32" s="588">
        <f t="shared" si="6"/>
        <v>2093.8182615274563</v>
      </c>
      <c r="AE32" s="589">
        <f t="shared" si="7"/>
        <v>3.760285508540366E-3</v>
      </c>
      <c r="AF32" s="587">
        <f>VLOOKUP($B32,'S6C-D'!$B$42:$F$80, 5, FALSE)</f>
        <v>562495.16333001666</v>
      </c>
      <c r="AG32" s="588">
        <f t="shared" si="8"/>
        <v>5670.8858191805193</v>
      </c>
      <c r="AH32" s="589">
        <f t="shared" si="9"/>
        <v>1.0184336510130272E-2</v>
      </c>
      <c r="AI32" s="591"/>
      <c r="AJ32" s="590" t="str">
        <f>VLOOKUP('Summary Table'!B32, 'S6C-D'!$B$90:$H$127,7,FALSE)</f>
        <v>City of Radford</v>
      </c>
      <c r="AK32" s="592"/>
    </row>
    <row r="33" spans="1:37" ht="15">
      <c r="A33" s="584" t="s">
        <v>115</v>
      </c>
      <c r="B33" s="585" t="s">
        <v>118</v>
      </c>
      <c r="C33" s="586">
        <f>VLOOKUP(B33,S6C!$B$42:$F$80, 3, FALSE)</f>
        <v>3271539.9085863479</v>
      </c>
      <c r="D33" s="587">
        <f>VLOOKUP($B33,S6C!$B$42:$F$80, 5, FALSE)</f>
        <v>3502448.2869010433</v>
      </c>
      <c r="E33" s="588">
        <f t="shared" si="10"/>
        <v>230908.37831469532</v>
      </c>
      <c r="F33" s="589">
        <f t="shared" si="11"/>
        <v>7.0580944988218777E-2</v>
      </c>
      <c r="G33" s="587">
        <f>VLOOKUP($B33,'S6C-A'!$B$42:$F$80, 5, FALSE)</f>
        <v>3520276.2838918851</v>
      </c>
      <c r="H33" s="588">
        <f t="shared" si="12"/>
        <v>248736.37530553713</v>
      </c>
      <c r="I33" s="589">
        <f t="shared" si="13"/>
        <v>7.6030365594108751E-2</v>
      </c>
      <c r="J33" s="587">
        <f>VLOOKUP($B33,'S6C-B'!$B$42:$F$80, 5, FALSE)</f>
        <v>3500132.9198045493</v>
      </c>
      <c r="K33" s="588">
        <f t="shared" si="14"/>
        <v>228593.01121820137</v>
      </c>
      <c r="L33" s="589">
        <f t="shared" si="15"/>
        <v>6.9873214940232159E-2</v>
      </c>
      <c r="M33" s="587">
        <f>VLOOKUP($B33,'S6C-C'!$B$42:$F$80, 5, FALSE)</f>
        <v>3488648.1659845058</v>
      </c>
      <c r="N33" s="588">
        <f t="shared" si="16"/>
        <v>217108.25739815785</v>
      </c>
      <c r="O33" s="589">
        <f t="shared" si="17"/>
        <v>6.6362710975447534E-2</v>
      </c>
      <c r="P33" s="587">
        <f>VLOOKUP($B33,'S6C-D'!$B$42:$F$80, 5, FALSE)</f>
        <v>3503914.8334668074</v>
      </c>
      <c r="Q33" s="588">
        <f t="shared" si="18"/>
        <v>232374.92488045944</v>
      </c>
      <c r="R33" s="589">
        <f t="shared" si="19"/>
        <v>7.1029219075267228E-2</v>
      </c>
      <c r="T33" s="587">
        <f>VLOOKUP($B33,S6C!$B$42:$F$80, 5, FALSE)</f>
        <v>3502448.2869010433</v>
      </c>
      <c r="U33" s="588">
        <f t="shared" si="0"/>
        <v>0</v>
      </c>
      <c r="V33" s="589">
        <f t="shared" si="1"/>
        <v>0</v>
      </c>
      <c r="W33" s="587">
        <f>VLOOKUP($B33,'S6C-A'!$B$42:$F$80, 5, FALSE)</f>
        <v>3520276.2838918851</v>
      </c>
      <c r="X33" s="588">
        <f t="shared" si="2"/>
        <v>17827.996990841813</v>
      </c>
      <c r="Y33" s="589">
        <f t="shared" si="3"/>
        <v>5.0901528103976593E-3</v>
      </c>
      <c r="Z33" s="587">
        <f>VLOOKUP($B33,'S6C-B'!$B$42:$F$80, 5, FALSE)</f>
        <v>3500132.9198045493</v>
      </c>
      <c r="AA33" s="588">
        <f t="shared" si="4"/>
        <v>-2315.367096493952</v>
      </c>
      <c r="AB33" s="589">
        <f t="shared" si="5"/>
        <v>-6.610710299858795E-4</v>
      </c>
      <c r="AC33" s="587">
        <f>VLOOKUP($B33,'S6C-C'!$B$42:$F$80, 5, FALSE)</f>
        <v>3488648.1659845058</v>
      </c>
      <c r="AD33" s="588">
        <f t="shared" si="6"/>
        <v>-13800.120916537475</v>
      </c>
      <c r="AE33" s="589">
        <f t="shared" si="7"/>
        <v>-3.9401355240987115E-3</v>
      </c>
      <c r="AF33" s="587">
        <f>VLOOKUP($B33,'S6C-D'!$B$42:$F$80, 5, FALSE)</f>
        <v>3503914.8334668074</v>
      </c>
      <c r="AG33" s="588">
        <f t="shared" si="8"/>
        <v>1466.546565764118</v>
      </c>
      <c r="AH33" s="589">
        <f t="shared" si="9"/>
        <v>4.1872040516598586E-4</v>
      </c>
      <c r="AI33" s="591"/>
      <c r="AJ33" s="590" t="str">
        <f>VLOOKUP('Summary Table'!B33, 'S6C-D'!$B$90:$H$127,7,FALSE)</f>
        <v>GRTC (Valley Metro)</v>
      </c>
      <c r="AK33" s="592"/>
    </row>
    <row r="34" spans="1:37" ht="15">
      <c r="A34" s="584" t="s">
        <v>115</v>
      </c>
      <c r="B34" s="585" t="s">
        <v>119</v>
      </c>
      <c r="C34" s="586">
        <f>VLOOKUP(B34,S6C!$B$42:$F$80, 3, FALSE)</f>
        <v>199411.47824592108</v>
      </c>
      <c r="D34" s="587">
        <f>VLOOKUP($B34,S6C!$B$42:$F$80, 5, FALSE)</f>
        <v>224856.74740307106</v>
      </c>
      <c r="E34" s="588">
        <f t="shared" si="10"/>
        <v>25445.269157149974</v>
      </c>
      <c r="F34" s="589">
        <f t="shared" si="11"/>
        <v>0.12760182804407075</v>
      </c>
      <c r="G34" s="587">
        <f>VLOOKUP($B34,'S6C-A'!$B$42:$F$80, 5, FALSE)</f>
        <v>224943.30314651885</v>
      </c>
      <c r="H34" s="588">
        <f t="shared" si="12"/>
        <v>25531.82490059777</v>
      </c>
      <c r="I34" s="589">
        <f t="shared" si="13"/>
        <v>0.1280358840182261</v>
      </c>
      <c r="J34" s="587">
        <f>VLOOKUP($B34,'S6C-B'!$B$42:$F$80, 5, FALSE)</f>
        <v>224843.6514571541</v>
      </c>
      <c r="K34" s="588">
        <f t="shared" si="14"/>
        <v>25432.173211233021</v>
      </c>
      <c r="L34" s="589">
        <f t="shared" si="15"/>
        <v>0.12753615506460061</v>
      </c>
      <c r="M34" s="587">
        <f>VLOOKUP($B34,'S6C-C'!$B$42:$F$80, 5, FALSE)</f>
        <v>224446.21926888311</v>
      </c>
      <c r="N34" s="588">
        <f t="shared" si="16"/>
        <v>25034.741022962029</v>
      </c>
      <c r="O34" s="589">
        <f t="shared" si="17"/>
        <v>0.12554312942852933</v>
      </c>
      <c r="P34" s="587">
        <f>VLOOKUP($B34,'S6C-D'!$B$42:$F$80, 5, FALSE)</f>
        <v>224517.25357945592</v>
      </c>
      <c r="Q34" s="588">
        <f t="shared" si="18"/>
        <v>25105.775333534839</v>
      </c>
      <c r="R34" s="589">
        <f t="shared" si="19"/>
        <v>0.1258993491968077</v>
      </c>
      <c r="T34" s="587">
        <f>VLOOKUP($B34,S6C!$B$42:$F$80, 5, FALSE)</f>
        <v>224856.74740307106</v>
      </c>
      <c r="U34" s="588">
        <f t="shared" si="0"/>
        <v>0</v>
      </c>
      <c r="V34" s="589">
        <f t="shared" si="1"/>
        <v>0</v>
      </c>
      <c r="W34" s="587">
        <f>VLOOKUP($B34,'S6C-A'!$B$42:$F$80, 5, FALSE)</f>
        <v>224943.30314651885</v>
      </c>
      <c r="X34" s="588">
        <f t="shared" si="2"/>
        <v>86.555743447795976</v>
      </c>
      <c r="Y34" s="589">
        <f t="shared" si="3"/>
        <v>3.8493727427551421E-4</v>
      </c>
      <c r="Z34" s="587">
        <f>VLOOKUP($B34,'S6C-B'!$B$42:$F$80, 5, FALSE)</f>
        <v>224843.6514571541</v>
      </c>
      <c r="AA34" s="588">
        <f t="shared" si="4"/>
        <v>-13.095945916953497</v>
      </c>
      <c r="AB34" s="589">
        <f t="shared" si="5"/>
        <v>-5.8241285032368273E-5</v>
      </c>
      <c r="AC34" s="587">
        <f>VLOOKUP($B34,'S6C-C'!$B$42:$F$80, 5, FALSE)</f>
        <v>224446.21926888311</v>
      </c>
      <c r="AD34" s="588">
        <f t="shared" si="6"/>
        <v>-410.5281341879454</v>
      </c>
      <c r="AE34" s="589">
        <f t="shared" si="7"/>
        <v>-1.8257318889881731E-3</v>
      </c>
      <c r="AF34" s="587">
        <f>VLOOKUP($B34,'S6C-D'!$B$42:$F$80, 5, FALSE)</f>
        <v>224517.25357945592</v>
      </c>
      <c r="AG34" s="588">
        <f t="shared" si="8"/>
        <v>-339.49382361513563</v>
      </c>
      <c r="AH34" s="589">
        <f t="shared" si="9"/>
        <v>-1.5098227095074438E-3</v>
      </c>
      <c r="AI34" s="591"/>
      <c r="AJ34" s="590" t="str">
        <f>VLOOKUP('Summary Table'!B34, 'S6C-D'!$B$90:$H$127,7,FALSE)</f>
        <v>Pulaski Area Transit</v>
      </c>
      <c r="AK34" s="592"/>
    </row>
    <row r="35" spans="1:37" ht="15">
      <c r="A35" s="584" t="s">
        <v>120</v>
      </c>
      <c r="B35" s="585" t="s">
        <v>121</v>
      </c>
      <c r="C35" s="586">
        <f>VLOOKUP(B35,S6C!$B$42:$F$80, 3, FALSE)</f>
        <v>657710.18017678906</v>
      </c>
      <c r="D35" s="587">
        <f>VLOOKUP($B35,S6C!$B$42:$F$80, 5, FALSE)</f>
        <v>745223.11356687185</v>
      </c>
      <c r="E35" s="588">
        <f t="shared" si="10"/>
        <v>87512.933390082791</v>
      </c>
      <c r="F35" s="589">
        <f t="shared" si="11"/>
        <v>0.13305698471408756</v>
      </c>
      <c r="G35" s="587">
        <f>VLOOKUP($B35,'S6C-A'!$B$42:$F$80, 5, FALSE)</f>
        <v>741870.81526439602</v>
      </c>
      <c r="H35" s="588">
        <f t="shared" si="12"/>
        <v>84160.635087606963</v>
      </c>
      <c r="I35" s="589">
        <f t="shared" si="13"/>
        <v>0.12796006147416636</v>
      </c>
      <c r="J35" s="587">
        <f>VLOOKUP($B35,'S6C-B'!$B$42:$F$80, 5, FALSE)</f>
        <v>744302.61058055703</v>
      </c>
      <c r="K35" s="588">
        <f t="shared" si="14"/>
        <v>86592.430403767969</v>
      </c>
      <c r="L35" s="589">
        <f t="shared" si="15"/>
        <v>0.13165742756253579</v>
      </c>
      <c r="M35" s="587">
        <f>VLOOKUP($B35,'S6C-C'!$B$42:$F$80, 5, FALSE)</f>
        <v>794578.29203594523</v>
      </c>
      <c r="N35" s="588">
        <f t="shared" si="16"/>
        <v>136868.11185915617</v>
      </c>
      <c r="O35" s="589">
        <f t="shared" si="17"/>
        <v>0.20809790692667512</v>
      </c>
      <c r="P35" s="587">
        <f>VLOOKUP($B35,'S6C-D'!$B$42:$F$80, 5, FALSE)</f>
        <v>794735.60483024083</v>
      </c>
      <c r="Q35" s="588">
        <f t="shared" si="18"/>
        <v>137025.42465345177</v>
      </c>
      <c r="R35" s="589">
        <f t="shared" si="19"/>
        <v>0.20833708947095825</v>
      </c>
      <c r="T35" s="587">
        <f>VLOOKUP($B35,S6C!$B$42:$F$80, 5, FALSE)</f>
        <v>745223.11356687185</v>
      </c>
      <c r="U35" s="588">
        <f t="shared" si="0"/>
        <v>0</v>
      </c>
      <c r="V35" s="589">
        <f t="shared" si="1"/>
        <v>0</v>
      </c>
      <c r="W35" s="587">
        <f>VLOOKUP($B35,'S6C-A'!$B$42:$F$80, 5, FALSE)</f>
        <v>741870.81526439602</v>
      </c>
      <c r="X35" s="588">
        <f t="shared" si="2"/>
        <v>-3352.2983024758287</v>
      </c>
      <c r="Y35" s="589">
        <f t="shared" si="3"/>
        <v>-4.4983820837637151E-3</v>
      </c>
      <c r="Z35" s="587">
        <f>VLOOKUP($B35,'S6C-B'!$B$42:$F$80, 5, FALSE)</f>
        <v>744302.61058055703</v>
      </c>
      <c r="AA35" s="588">
        <f t="shared" si="4"/>
        <v>-920.50298631482292</v>
      </c>
      <c r="AB35" s="589">
        <f t="shared" si="5"/>
        <v>-1.2352045576109502E-3</v>
      </c>
      <c r="AC35" s="587">
        <f>VLOOKUP($B35,'S6C-C'!$B$42:$F$80, 5, FALSE)</f>
        <v>794578.29203594523</v>
      </c>
      <c r="AD35" s="588">
        <f t="shared" si="6"/>
        <v>49355.178469073377</v>
      </c>
      <c r="AE35" s="589">
        <f t="shared" si="7"/>
        <v>6.6228727438208401E-2</v>
      </c>
      <c r="AF35" s="587">
        <f>VLOOKUP($B35,'S6C-D'!$B$42:$F$80, 5, FALSE)</f>
        <v>794735.60483024083</v>
      </c>
      <c r="AG35" s="588">
        <f t="shared" si="8"/>
        <v>49512.491263368982</v>
      </c>
      <c r="AH35" s="589">
        <f t="shared" si="9"/>
        <v>6.6439822332383991E-2</v>
      </c>
      <c r="AI35" s="591"/>
      <c r="AJ35" s="590" t="str">
        <f>VLOOKUP('Summary Table'!B35, 'S6C-D'!$B$90:$H$127,7,FALSE)</f>
        <v>CSPDC</v>
      </c>
      <c r="AK35" s="592"/>
    </row>
    <row r="36" spans="1:37" ht="15">
      <c r="A36" s="584" t="s">
        <v>120</v>
      </c>
      <c r="B36" s="585" t="s">
        <v>122</v>
      </c>
      <c r="C36" s="586">
        <f>VLOOKUP(B36,S6C!$B$42:$F$80, 3, FALSE)</f>
        <v>1997492.8666666665</v>
      </c>
      <c r="D36" s="587">
        <f>VLOOKUP($B36,S6C!$B$42:$F$80, 5, FALSE)</f>
        <v>1997493</v>
      </c>
      <c r="E36" s="588">
        <f t="shared" si="10"/>
        <v>0.13333333353511989</v>
      </c>
      <c r="F36" s="589">
        <f t="shared" si="11"/>
        <v>6.6750342772247821E-8</v>
      </c>
      <c r="G36" s="587">
        <f>VLOOKUP($B36,'S6C-A'!$B$42:$F$80, 5, FALSE)</f>
        <v>1997493</v>
      </c>
      <c r="H36" s="588">
        <f t="shared" si="12"/>
        <v>0.13333333353511989</v>
      </c>
      <c r="I36" s="589">
        <f t="shared" si="13"/>
        <v>6.6750342772247821E-8</v>
      </c>
      <c r="J36" s="587">
        <f>VLOOKUP($B36,'S6C-B'!$B$42:$F$80, 5, FALSE)</f>
        <v>1997493</v>
      </c>
      <c r="K36" s="588">
        <f t="shared" si="14"/>
        <v>0.13333333353511989</v>
      </c>
      <c r="L36" s="589">
        <f t="shared" si="15"/>
        <v>6.6750342772247821E-8</v>
      </c>
      <c r="M36" s="587">
        <f>VLOOKUP($B36,'S6C-C'!$B$42:$F$80, 5, FALSE)</f>
        <v>1997493</v>
      </c>
      <c r="N36" s="588">
        <f t="shared" si="16"/>
        <v>0.13333333353511989</v>
      </c>
      <c r="O36" s="589">
        <f t="shared" si="17"/>
        <v>6.6750342772247821E-8</v>
      </c>
      <c r="P36" s="587">
        <f>VLOOKUP($B36,'S6C-D'!$B$42:$F$80, 5, FALSE)</f>
        <v>1997493</v>
      </c>
      <c r="Q36" s="588">
        <f t="shared" si="18"/>
        <v>0.13333333353511989</v>
      </c>
      <c r="R36" s="589">
        <f t="shared" si="19"/>
        <v>6.6750342772247821E-8</v>
      </c>
      <c r="T36" s="587">
        <f>VLOOKUP($B36,S6C!$B$42:$F$80, 5, FALSE)</f>
        <v>1997493</v>
      </c>
      <c r="U36" s="588">
        <f t="shared" si="0"/>
        <v>0</v>
      </c>
      <c r="V36" s="589">
        <f t="shared" si="1"/>
        <v>0</v>
      </c>
      <c r="W36" s="587">
        <f>VLOOKUP($B36,'S6C-A'!$B$42:$F$80, 5, FALSE)</f>
        <v>1997493</v>
      </c>
      <c r="X36" s="588">
        <f t="shared" si="2"/>
        <v>0</v>
      </c>
      <c r="Y36" s="589">
        <f t="shared" si="3"/>
        <v>0</v>
      </c>
      <c r="Z36" s="587">
        <f>VLOOKUP($B36,'S6C-B'!$B$42:$F$80, 5, FALSE)</f>
        <v>1997493</v>
      </c>
      <c r="AA36" s="588">
        <f t="shared" si="4"/>
        <v>0</v>
      </c>
      <c r="AB36" s="589">
        <f t="shared" si="5"/>
        <v>0</v>
      </c>
      <c r="AC36" s="587">
        <f>VLOOKUP($B36,'S6C-C'!$B$42:$F$80, 5, FALSE)</f>
        <v>1997493</v>
      </c>
      <c r="AD36" s="588">
        <f t="shared" si="6"/>
        <v>0</v>
      </c>
      <c r="AE36" s="589">
        <f t="shared" si="7"/>
        <v>0</v>
      </c>
      <c r="AF36" s="587">
        <f>VLOOKUP($B36,'S6C-D'!$B$42:$F$80, 5, FALSE)</f>
        <v>1997493</v>
      </c>
      <c r="AG36" s="588">
        <f t="shared" si="8"/>
        <v>0</v>
      </c>
      <c r="AH36" s="589">
        <f t="shared" si="9"/>
        <v>0</v>
      </c>
      <c r="AI36" s="591"/>
      <c r="AJ36" s="590" t="str">
        <f>VLOOKUP('Summary Table'!B36, 'S6C-D'!$B$90:$H$127,7,FALSE)</f>
        <v>HDPT (Harrisonburg)</v>
      </c>
      <c r="AK36" s="592"/>
    </row>
    <row r="37" spans="1:37" ht="15">
      <c r="A37" s="584" t="s">
        <v>120</v>
      </c>
      <c r="B37" s="585" t="s">
        <v>123</v>
      </c>
      <c r="C37" s="586">
        <f>VLOOKUP(B37,S6C!$B$42:$F$80, 3, FALSE)</f>
        <v>487667.35765267425</v>
      </c>
      <c r="D37" s="587">
        <f>VLOOKUP($B37,S6C!$B$42:$F$80, 5, FALSE)</f>
        <v>490195.54091893788</v>
      </c>
      <c r="E37" s="588">
        <f t="shared" si="10"/>
        <v>2528.1832662636298</v>
      </c>
      <c r="F37" s="589">
        <f t="shared" si="11"/>
        <v>5.1842372194700979E-3</v>
      </c>
      <c r="G37" s="587">
        <f>VLOOKUP($B37,'S6C-A'!$B$42:$F$80, 5, FALSE)</f>
        <v>492457.83393162536</v>
      </c>
      <c r="H37" s="588">
        <f t="shared" si="12"/>
        <v>4790.4762789511005</v>
      </c>
      <c r="I37" s="589">
        <f t="shared" si="13"/>
        <v>9.823245709963976E-3</v>
      </c>
      <c r="J37" s="587">
        <f>VLOOKUP($B37,'S6C-B'!$B$42:$F$80, 5, FALSE)</f>
        <v>489883.67214135331</v>
      </c>
      <c r="K37" s="588">
        <f t="shared" si="14"/>
        <v>2216.3144886790542</v>
      </c>
      <c r="L37" s="589">
        <f t="shared" si="15"/>
        <v>4.5447259364395564E-3</v>
      </c>
      <c r="M37" s="587">
        <f>VLOOKUP($B37,'S6C-C'!$B$42:$F$80, 5, FALSE)</f>
        <v>488552.43305993848</v>
      </c>
      <c r="N37" s="588">
        <f t="shared" si="16"/>
        <v>885.07540726423031</v>
      </c>
      <c r="O37" s="589">
        <f t="shared" si="17"/>
        <v>1.8149162402922147E-3</v>
      </c>
      <c r="P37" s="587">
        <f>VLOOKUP($B37,'S6C-D'!$B$42:$F$80, 5, FALSE)</f>
        <v>490468.2512099336</v>
      </c>
      <c r="Q37" s="588">
        <f t="shared" si="18"/>
        <v>2800.8935572593473</v>
      </c>
      <c r="R37" s="589">
        <f t="shared" si="19"/>
        <v>5.7434509677684754E-3</v>
      </c>
      <c r="T37" s="587">
        <f>VLOOKUP($B37,S6C!$B$42:$F$80, 5, FALSE)</f>
        <v>490195.54091893788</v>
      </c>
      <c r="U37" s="588">
        <f t="shared" si="0"/>
        <v>0</v>
      </c>
      <c r="V37" s="589">
        <f t="shared" si="1"/>
        <v>0</v>
      </c>
      <c r="W37" s="587">
        <f>VLOOKUP($B37,'S6C-A'!$B$42:$F$80, 5, FALSE)</f>
        <v>492457.83393162536</v>
      </c>
      <c r="X37" s="588">
        <f t="shared" si="2"/>
        <v>2262.2930126874708</v>
      </c>
      <c r="Y37" s="589">
        <f t="shared" si="3"/>
        <v>4.6150828064378075E-3</v>
      </c>
      <c r="Z37" s="587">
        <f>VLOOKUP($B37,'S6C-B'!$B$42:$F$80, 5, FALSE)</f>
        <v>489883.67214135331</v>
      </c>
      <c r="AA37" s="588">
        <f t="shared" si="4"/>
        <v>-311.86877758457558</v>
      </c>
      <c r="AB37" s="589">
        <f t="shared" si="5"/>
        <v>-6.3621300389623159E-4</v>
      </c>
      <c r="AC37" s="587">
        <f>VLOOKUP($B37,'S6C-C'!$B$42:$F$80, 5, FALSE)</f>
        <v>488552.43305993848</v>
      </c>
      <c r="AD37" s="588">
        <f t="shared" si="6"/>
        <v>-1643.1078589993995</v>
      </c>
      <c r="AE37" s="589">
        <f t="shared" si="7"/>
        <v>-3.3519437078500785E-3</v>
      </c>
      <c r="AF37" s="587">
        <f>VLOOKUP($B37,'S6C-D'!$B$42:$F$80, 5, FALSE)</f>
        <v>490468.2512099336</v>
      </c>
      <c r="AG37" s="588">
        <f t="shared" si="8"/>
        <v>272.71029099571751</v>
      </c>
      <c r="AH37" s="589">
        <f t="shared" si="9"/>
        <v>5.5632960366078644E-4</v>
      </c>
      <c r="AI37" s="591"/>
      <c r="AJ37" s="590" t="str">
        <f>VLOOKUP('Summary Table'!B37, 'S6C-D'!$B$90:$H$127,7,FALSE)</f>
        <v>City of Winchester</v>
      </c>
      <c r="AK37" s="592"/>
    </row>
    <row r="38" spans="1:37" ht="15">
      <c r="A38" s="584" t="s">
        <v>124</v>
      </c>
      <c r="B38" s="585" t="s">
        <v>125</v>
      </c>
      <c r="C38" s="586">
        <f>VLOOKUP(B38,S6C!$B$42:$F$80, 3, FALSE)</f>
        <v>1190937.3236635181</v>
      </c>
      <c r="D38" s="587">
        <f>VLOOKUP($B38,S6C!$B$42:$F$80, 5, FALSE)</f>
        <v>1186282.0634601032</v>
      </c>
      <c r="E38" s="588">
        <f t="shared" si="10"/>
        <v>-4655.2602034148294</v>
      </c>
      <c r="F38" s="589">
        <f t="shared" si="11"/>
        <v>-3.9089044493915825E-3</v>
      </c>
      <c r="G38" s="587">
        <f>VLOOKUP($B38,'S6C-A'!$B$42:$F$80, 5, FALSE)</f>
        <v>1185711.7233186872</v>
      </c>
      <c r="H38" s="588">
        <f t="shared" si="12"/>
        <v>-5225.6003448308911</v>
      </c>
      <c r="I38" s="589">
        <f t="shared" si="13"/>
        <v>-4.3878046652833834E-3</v>
      </c>
      <c r="J38" s="587">
        <f>VLOOKUP($B38,'S6C-B'!$B$42:$F$80, 5, FALSE)</f>
        <v>1185624.7139767034</v>
      </c>
      <c r="K38" s="588">
        <f t="shared" si="14"/>
        <v>-5312.6096868147142</v>
      </c>
      <c r="L38" s="589">
        <f t="shared" si="15"/>
        <v>-4.460864212796907E-3</v>
      </c>
      <c r="M38" s="587">
        <f>VLOOKUP($B38,'S6C-C'!$B$42:$F$80, 5, FALSE)</f>
        <v>1209928.0052214533</v>
      </c>
      <c r="N38" s="588">
        <f t="shared" si="16"/>
        <v>18990.681557935197</v>
      </c>
      <c r="O38" s="589">
        <f t="shared" si="17"/>
        <v>1.5945995797257199E-2</v>
      </c>
      <c r="P38" s="587">
        <f>VLOOKUP($B38,'S6C-D'!$B$42:$F$80, 5, FALSE)</f>
        <v>1208907.012607916</v>
      </c>
      <c r="Q38" s="588">
        <f t="shared" si="18"/>
        <v>17969.68894439796</v>
      </c>
      <c r="R38" s="589">
        <f t="shared" si="19"/>
        <v>1.5088694079315826E-2</v>
      </c>
      <c r="T38" s="587">
        <f>VLOOKUP($B38,S6C!$B$42:$F$80, 5, FALSE)</f>
        <v>1186282.0634601032</v>
      </c>
      <c r="U38" s="588">
        <f t="shared" si="0"/>
        <v>0</v>
      </c>
      <c r="V38" s="589">
        <f t="shared" si="1"/>
        <v>0</v>
      </c>
      <c r="W38" s="587">
        <f>VLOOKUP($B38,'S6C-A'!$B$42:$F$80, 5, FALSE)</f>
        <v>1185711.7233186872</v>
      </c>
      <c r="X38" s="588">
        <f t="shared" si="2"/>
        <v>-570.34014141606167</v>
      </c>
      <c r="Y38" s="589">
        <f t="shared" si="3"/>
        <v>-4.8077953716379633E-4</v>
      </c>
      <c r="Z38" s="587">
        <f>VLOOKUP($B38,'S6C-B'!$B$42:$F$80, 5, FALSE)</f>
        <v>1185624.7139767034</v>
      </c>
      <c r="AA38" s="588">
        <f t="shared" si="4"/>
        <v>-657.34948339988478</v>
      </c>
      <c r="AB38" s="589">
        <f t="shared" si="5"/>
        <v>-5.5412578816420126E-4</v>
      </c>
      <c r="AC38" s="587">
        <f>VLOOKUP($B38,'S6C-C'!$B$42:$F$80, 5, FALSE)</f>
        <v>1209928.0052214533</v>
      </c>
      <c r="AD38" s="588">
        <f t="shared" si="6"/>
        <v>23645.941761350026</v>
      </c>
      <c r="AE38" s="589">
        <f t="shared" si="7"/>
        <v>1.9932815718700515E-2</v>
      </c>
      <c r="AF38" s="587">
        <f>VLOOKUP($B38,'S6C-D'!$B$42:$F$80, 5, FALSE)</f>
        <v>1208907.012607916</v>
      </c>
      <c r="AG38" s="588">
        <f t="shared" si="8"/>
        <v>22624.949147812789</v>
      </c>
      <c r="AH38" s="589">
        <f t="shared" si="9"/>
        <v>1.9072149739684324E-2</v>
      </c>
      <c r="AI38" s="591"/>
      <c r="AJ38" s="590" t="str">
        <f>VLOOKUP('Summary Table'!B38, 'S6C-D'!$B$90:$H$127,7,FALSE)</f>
        <v>Bay Aging</v>
      </c>
      <c r="AK38" s="592"/>
    </row>
    <row r="39" spans="1:37" ht="15">
      <c r="A39" s="584" t="s">
        <v>124</v>
      </c>
      <c r="B39" s="585" t="s">
        <v>126</v>
      </c>
      <c r="C39" s="586">
        <f>VLOOKUP(B39,S6C!$B$42:$F$80, 3, FALSE)</f>
        <v>189467.63333333333</v>
      </c>
      <c r="D39" s="587">
        <f>VLOOKUP($B39,S6C!$B$42:$F$80, 5, FALSE)</f>
        <v>189467.80000000002</v>
      </c>
      <c r="E39" s="588">
        <f t="shared" si="10"/>
        <v>0.16666666668606922</v>
      </c>
      <c r="F39" s="589">
        <f t="shared" si="11"/>
        <v>8.796577217642761E-7</v>
      </c>
      <c r="G39" s="587">
        <f>VLOOKUP($B39,'S6C-A'!$B$42:$F$80, 5, FALSE)</f>
        <v>189467.80000000002</v>
      </c>
      <c r="H39" s="588">
        <f t="shared" si="12"/>
        <v>0.16666666668606922</v>
      </c>
      <c r="I39" s="589">
        <f t="shared" si="13"/>
        <v>8.796577217642761E-7</v>
      </c>
      <c r="J39" s="587">
        <f>VLOOKUP($B39,'S6C-B'!$B$42:$F$80, 5, FALSE)</f>
        <v>189467.80000000002</v>
      </c>
      <c r="K39" s="588">
        <f t="shared" si="14"/>
        <v>0.16666666668606922</v>
      </c>
      <c r="L39" s="589">
        <f t="shared" si="15"/>
        <v>8.796577217642761E-7</v>
      </c>
      <c r="M39" s="587">
        <f>VLOOKUP($B39,'S6C-C'!$B$42:$F$80, 5, FALSE)</f>
        <v>189467.80000000002</v>
      </c>
      <c r="N39" s="588">
        <f t="shared" si="16"/>
        <v>0.16666666668606922</v>
      </c>
      <c r="O39" s="589">
        <f t="shared" si="17"/>
        <v>8.796577217642761E-7</v>
      </c>
      <c r="P39" s="587">
        <f>VLOOKUP($B39,'S6C-D'!$B$42:$F$80, 5, FALSE)</f>
        <v>189467.80000000002</v>
      </c>
      <c r="Q39" s="588">
        <f t="shared" si="18"/>
        <v>0.16666666668606922</v>
      </c>
      <c r="R39" s="589">
        <f t="shared" si="19"/>
        <v>8.796577217642761E-7</v>
      </c>
      <c r="T39" s="587">
        <f>VLOOKUP($B39,S6C!$B$42:$F$80, 5, FALSE)</f>
        <v>189467.80000000002</v>
      </c>
      <c r="U39" s="588">
        <f t="shared" si="0"/>
        <v>0</v>
      </c>
      <c r="V39" s="589">
        <f t="shared" si="1"/>
        <v>0</v>
      </c>
      <c r="W39" s="587">
        <f>VLOOKUP($B39,'S6C-A'!$B$42:$F$80, 5, FALSE)</f>
        <v>189467.80000000002</v>
      </c>
      <c r="X39" s="588">
        <f t="shared" si="2"/>
        <v>0</v>
      </c>
      <c r="Y39" s="589">
        <f t="shared" si="3"/>
        <v>0</v>
      </c>
      <c r="Z39" s="587">
        <f>VLOOKUP($B39,'S6C-B'!$B$42:$F$80, 5, FALSE)</f>
        <v>189467.80000000002</v>
      </c>
      <c r="AA39" s="588">
        <f t="shared" si="4"/>
        <v>0</v>
      </c>
      <c r="AB39" s="589">
        <f t="shared" si="5"/>
        <v>0</v>
      </c>
      <c r="AC39" s="587">
        <f>VLOOKUP($B39,'S6C-C'!$B$42:$F$80, 5, FALSE)</f>
        <v>189467.80000000002</v>
      </c>
      <c r="AD39" s="588">
        <f t="shared" si="6"/>
        <v>0</v>
      </c>
      <c r="AE39" s="589">
        <f t="shared" si="7"/>
        <v>0</v>
      </c>
      <c r="AF39" s="587">
        <f>VLOOKUP($B39,'S6C-D'!$B$42:$F$80, 5, FALSE)</f>
        <v>189467.80000000002</v>
      </c>
      <c r="AG39" s="588">
        <f t="shared" si="8"/>
        <v>0</v>
      </c>
      <c r="AH39" s="589">
        <f t="shared" si="9"/>
        <v>0</v>
      </c>
      <c r="AI39" s="591"/>
      <c r="AJ39" s="590" t="str">
        <f>VLOOKUP('Summary Table'!B39, 'S6C-D'!$B$90:$H$127,7,FALSE)</f>
        <v>Blackstone Area Bus</v>
      </c>
      <c r="AK39" s="592"/>
    </row>
    <row r="40" spans="1:37" ht="15">
      <c r="A40" s="584" t="s">
        <v>124</v>
      </c>
      <c r="B40" s="585" t="s">
        <v>127</v>
      </c>
      <c r="C40" s="586">
        <f>VLOOKUP(B40,S6C!$B$42:$F$80, 3, FALSE)</f>
        <v>1563531.1897689884</v>
      </c>
      <c r="D40" s="587">
        <f>VLOOKUP($B40,S6C!$B$42:$F$80, 5, FALSE)</f>
        <v>1400498.5549354877</v>
      </c>
      <c r="E40" s="588">
        <f t="shared" si="10"/>
        <v>-163032.63483350072</v>
      </c>
      <c r="F40" s="589">
        <f t="shared" si="11"/>
        <v>-0.10427207074621184</v>
      </c>
      <c r="G40" s="587">
        <f>VLOOKUP($B40,'S6C-A'!$B$42:$F$80, 5, FALSE)</f>
        <v>1395960.2252711218</v>
      </c>
      <c r="H40" s="588">
        <f t="shared" si="12"/>
        <v>-167570.96449786657</v>
      </c>
      <c r="I40" s="589">
        <f t="shared" si="13"/>
        <v>-0.10717468611715074</v>
      </c>
      <c r="J40" s="587">
        <f>VLOOKUP($B40,'S6C-B'!$B$42:$F$80, 5, FALSE)</f>
        <v>1399645.3826540259</v>
      </c>
      <c r="K40" s="588">
        <f t="shared" si="14"/>
        <v>-163885.80711496249</v>
      </c>
      <c r="L40" s="589">
        <f t="shared" si="15"/>
        <v>-0.10481774088509012</v>
      </c>
      <c r="M40" s="587">
        <f>VLOOKUP($B40,'S6C-C'!$B$42:$F$80, 5, FALSE)</f>
        <v>1398949.4624909705</v>
      </c>
      <c r="N40" s="588">
        <f t="shared" si="16"/>
        <v>-164581.7272780179</v>
      </c>
      <c r="O40" s="589">
        <f t="shared" si="17"/>
        <v>-0.1052628360437983</v>
      </c>
      <c r="P40" s="587">
        <f>VLOOKUP($B40,'S6C-D'!$B$42:$F$80, 5, FALSE)</f>
        <v>1393835.827061676</v>
      </c>
      <c r="Q40" s="588">
        <f t="shared" si="18"/>
        <v>-169695.36270731245</v>
      </c>
      <c r="R40" s="589">
        <f t="shared" si="19"/>
        <v>-0.10853340426959114</v>
      </c>
      <c r="T40" s="587">
        <f>VLOOKUP($B40,S6C!$B$42:$F$80, 5, FALSE)</f>
        <v>1400498.5549354877</v>
      </c>
      <c r="U40" s="588">
        <f t="shared" si="0"/>
        <v>0</v>
      </c>
      <c r="V40" s="589">
        <f t="shared" si="1"/>
        <v>0</v>
      </c>
      <c r="W40" s="587">
        <f>VLOOKUP($B40,'S6C-A'!$B$42:$F$80, 5, FALSE)</f>
        <v>1395960.2252711218</v>
      </c>
      <c r="X40" s="588">
        <f t="shared" si="2"/>
        <v>-4538.3296643658541</v>
      </c>
      <c r="Y40" s="589">
        <f t="shared" si="3"/>
        <v>-3.2405100657707619E-3</v>
      </c>
      <c r="Z40" s="587">
        <f>VLOOKUP($B40,'S6C-B'!$B$42:$F$80, 5, FALSE)</f>
        <v>1399645.3826540259</v>
      </c>
      <c r="AA40" s="588">
        <f t="shared" si="4"/>
        <v>-853.17228146176785</v>
      </c>
      <c r="AB40" s="589">
        <f t="shared" si="5"/>
        <v>-6.0919183276206105E-4</v>
      </c>
      <c r="AC40" s="587">
        <f>VLOOKUP($B40,'S6C-C'!$B$42:$F$80, 5, FALSE)</f>
        <v>1398949.4624909705</v>
      </c>
      <c r="AD40" s="588">
        <f t="shared" si="6"/>
        <v>-1549.092444517184</v>
      </c>
      <c r="AE40" s="589">
        <f t="shared" si="7"/>
        <v>-1.1061007089639883E-3</v>
      </c>
      <c r="AF40" s="587">
        <f>VLOOKUP($B40,'S6C-D'!$B$42:$F$80, 5, FALSE)</f>
        <v>1393835.827061676</v>
      </c>
      <c r="AG40" s="588">
        <f t="shared" si="8"/>
        <v>-6662.7278738117311</v>
      </c>
      <c r="AH40" s="589">
        <f t="shared" si="9"/>
        <v>-4.7573971785487791E-3</v>
      </c>
      <c r="AI40" s="591"/>
      <c r="AJ40" s="590" t="str">
        <f>VLOOKUP('Summary Table'!B40, 'S6C-D'!$B$90:$H$127,7,FALSE)</f>
        <v>JAUNT</v>
      </c>
      <c r="AK40" s="592"/>
    </row>
    <row r="41" spans="1:37" ht="15">
      <c r="A41" s="584" t="s">
        <v>124</v>
      </c>
      <c r="B41" s="585" t="s">
        <v>128</v>
      </c>
      <c r="C41" s="586">
        <f>VLOOKUP(B41,S6C!$B$42:$F$80, 3, FALSE)</f>
        <v>53872.552240582278</v>
      </c>
      <c r="D41" s="587">
        <f>VLOOKUP($B41,S6C!$B$42:$F$80, 5, FALSE)</f>
        <v>60191.551372275688</v>
      </c>
      <c r="E41" s="588">
        <f t="shared" si="10"/>
        <v>6318.9991316934102</v>
      </c>
      <c r="F41" s="589">
        <f t="shared" si="11"/>
        <v>0.11729533628691344</v>
      </c>
      <c r="G41" s="587">
        <f>VLOOKUP($B41,'S6C-A'!$B$42:$F$80, 5, FALSE)</f>
        <v>60543.893655531341</v>
      </c>
      <c r="H41" s="588">
        <f t="shared" si="12"/>
        <v>6671.3414149490636</v>
      </c>
      <c r="I41" s="589">
        <f t="shared" si="13"/>
        <v>0.1238356294158184</v>
      </c>
      <c r="J41" s="587">
        <f>VLOOKUP($B41,'S6C-B'!$B$42:$F$80, 5, FALSE)</f>
        <v>60187.037093901657</v>
      </c>
      <c r="K41" s="588">
        <f t="shared" si="14"/>
        <v>6314.4848533193799</v>
      </c>
      <c r="L41" s="589">
        <f t="shared" si="15"/>
        <v>0.11721154076978496</v>
      </c>
      <c r="M41" s="587">
        <f>VLOOKUP($B41,'S6C-C'!$B$42:$F$80, 5, FALSE)</f>
        <v>59940.904496674244</v>
      </c>
      <c r="N41" s="588">
        <f t="shared" si="16"/>
        <v>6068.3522560919664</v>
      </c>
      <c r="O41" s="589">
        <f t="shared" si="17"/>
        <v>0.11264274669950883</v>
      </c>
      <c r="P41" s="587">
        <f>VLOOKUP($B41,'S6C-D'!$B$42:$F$80, 5, FALSE)</f>
        <v>60280.510021783157</v>
      </c>
      <c r="Q41" s="588">
        <f t="shared" si="18"/>
        <v>6407.9577812008793</v>
      </c>
      <c r="R41" s="589">
        <f t="shared" si="19"/>
        <v>0.1189466159424642</v>
      </c>
      <c r="T41" s="587">
        <f>VLOOKUP($B41,S6C!$B$42:$F$80, 5, FALSE)</f>
        <v>60191.551372275688</v>
      </c>
      <c r="U41" s="588">
        <f t="shared" si="0"/>
        <v>0</v>
      </c>
      <c r="V41" s="589">
        <f t="shared" si="1"/>
        <v>0</v>
      </c>
      <c r="W41" s="587">
        <f>VLOOKUP($B41,'S6C-A'!$B$42:$F$80, 5, FALSE)</f>
        <v>60543.893655531341</v>
      </c>
      <c r="X41" s="588">
        <f t="shared" si="2"/>
        <v>352.34228325565346</v>
      </c>
      <c r="Y41" s="589">
        <f t="shared" si="3"/>
        <v>5.8536833695557941E-3</v>
      </c>
      <c r="Z41" s="587">
        <f>VLOOKUP($B41,'S6C-B'!$B$42:$F$80, 5, FALSE)</f>
        <v>60187.037093901657</v>
      </c>
      <c r="AA41" s="588">
        <f t="shared" si="4"/>
        <v>-4.5142783740302548</v>
      </c>
      <c r="AB41" s="589">
        <f t="shared" si="5"/>
        <v>-7.4998538351505887E-5</v>
      </c>
      <c r="AC41" s="587">
        <f>VLOOKUP($B41,'S6C-C'!$B$42:$F$80, 5, FALSE)</f>
        <v>59940.904496674244</v>
      </c>
      <c r="AD41" s="588">
        <f t="shared" si="6"/>
        <v>-250.64687560144375</v>
      </c>
      <c r="AE41" s="589">
        <f t="shared" si="7"/>
        <v>-4.1641537705388344E-3</v>
      </c>
      <c r="AF41" s="587">
        <f>VLOOKUP($B41,'S6C-D'!$B$42:$F$80, 5, FALSE)</f>
        <v>60280.510021783157</v>
      </c>
      <c r="AG41" s="588">
        <f t="shared" si="8"/>
        <v>88.95864950746909</v>
      </c>
      <c r="AH41" s="589">
        <f t="shared" si="9"/>
        <v>1.4779258463911858E-3</v>
      </c>
      <c r="AI41" s="591"/>
      <c r="AJ41" s="590" t="str">
        <f>VLOOKUP('Summary Table'!B41, 'S6C-D'!$B$90:$H$127,7,FALSE)</f>
        <v>Lake Area</v>
      </c>
      <c r="AK41" s="592"/>
    </row>
    <row r="42" spans="1:37" ht="15">
      <c r="A42" s="584" t="s">
        <v>124</v>
      </c>
      <c r="B42" s="585" t="s">
        <v>129</v>
      </c>
      <c r="C42" s="586">
        <f>VLOOKUP(B42,S6C!$B$42:$F$80, 3, FALSE)</f>
        <v>324336.18210457283</v>
      </c>
      <c r="D42" s="587">
        <f>VLOOKUP($B42,S6C!$B$42:$F$80, 5, FALSE)</f>
        <v>329195.08014242235</v>
      </c>
      <c r="E42" s="588">
        <f t="shared" si="10"/>
        <v>4858.898037849518</v>
      </c>
      <c r="F42" s="589">
        <f t="shared" si="11"/>
        <v>1.4981054553706581E-2</v>
      </c>
      <c r="G42" s="587">
        <f>VLOOKUP($B42,'S6C-A'!$B$42:$F$80, 5, FALSE)</f>
        <v>328020.71306301787</v>
      </c>
      <c r="H42" s="588">
        <f t="shared" si="12"/>
        <v>3684.5309584450442</v>
      </c>
      <c r="I42" s="589">
        <f t="shared" si="13"/>
        <v>1.1360221775247616E-2</v>
      </c>
      <c r="J42" s="587">
        <f>VLOOKUP($B42,'S6C-B'!$B$42:$F$80, 5, FALSE)</f>
        <v>328931.20014728681</v>
      </c>
      <c r="K42" s="588">
        <f t="shared" si="14"/>
        <v>4595.0180427139858</v>
      </c>
      <c r="L42" s="589">
        <f t="shared" si="15"/>
        <v>1.4167454315141612E-2</v>
      </c>
      <c r="M42" s="587">
        <f>VLOOKUP($B42,'S6C-C'!$B$42:$F$80, 5, FALSE)</f>
        <v>338620.63678907655</v>
      </c>
      <c r="N42" s="588">
        <f t="shared" si="16"/>
        <v>14284.454684503726</v>
      </c>
      <c r="O42" s="589">
        <f t="shared" si="17"/>
        <v>4.4042125031545559E-2</v>
      </c>
      <c r="P42" s="587">
        <f>VLOOKUP($B42,'S6C-D'!$B$42:$F$80, 5, FALSE)</f>
        <v>337189.70962190785</v>
      </c>
      <c r="Q42" s="588">
        <f t="shared" si="18"/>
        <v>12853.527517335024</v>
      </c>
      <c r="R42" s="589">
        <f t="shared" si="19"/>
        <v>3.9630260903764279E-2</v>
      </c>
      <c r="T42" s="587">
        <f>VLOOKUP($B42,S6C!$B$42:$F$80, 5, FALSE)</f>
        <v>329195.08014242235</v>
      </c>
      <c r="U42" s="588">
        <f t="shared" si="0"/>
        <v>0</v>
      </c>
      <c r="V42" s="589">
        <f t="shared" si="1"/>
        <v>0</v>
      </c>
      <c r="W42" s="587">
        <f>VLOOKUP($B42,'S6C-A'!$B$42:$F$80, 5, FALSE)</f>
        <v>328020.71306301787</v>
      </c>
      <c r="X42" s="588">
        <f t="shared" si="2"/>
        <v>-1174.3670794044738</v>
      </c>
      <c r="Y42" s="589">
        <f t="shared" si="3"/>
        <v>-3.5673895214241897E-3</v>
      </c>
      <c r="Z42" s="587">
        <f>VLOOKUP($B42,'S6C-B'!$B$42:$F$80, 5, FALSE)</f>
        <v>328931.20014728681</v>
      </c>
      <c r="AA42" s="588">
        <f t="shared" si="4"/>
        <v>-263.87999513553223</v>
      </c>
      <c r="AB42" s="589">
        <f t="shared" si="5"/>
        <v>-8.0159155179769905E-4</v>
      </c>
      <c r="AC42" s="587">
        <f>VLOOKUP($B42,'S6C-C'!$B$42:$F$80, 5, FALSE)</f>
        <v>338620.63678907655</v>
      </c>
      <c r="AD42" s="588">
        <f t="shared" si="6"/>
        <v>9425.5566466542077</v>
      </c>
      <c r="AE42" s="589">
        <f t="shared" si="7"/>
        <v>2.8632130961909735E-2</v>
      </c>
      <c r="AF42" s="587">
        <f>VLOOKUP($B42,'S6C-D'!$B$42:$F$80, 5, FALSE)</f>
        <v>337189.70962190785</v>
      </c>
      <c r="AG42" s="588">
        <f t="shared" si="8"/>
        <v>7994.6294794855057</v>
      </c>
      <c r="AH42" s="589">
        <f t="shared" si="9"/>
        <v>2.428538566258865E-2</v>
      </c>
      <c r="AI42" s="591"/>
      <c r="AJ42" s="590" t="str">
        <f>VLOOKUP('Summary Table'!B42, 'S6C-D'!$B$90:$H$127,7,FALSE)</f>
        <v>RADAR</v>
      </c>
      <c r="AK42" s="592"/>
    </row>
    <row r="43" spans="1:37" ht="15.75" thickBot="1">
      <c r="A43" s="597" t="s">
        <v>124</v>
      </c>
      <c r="B43" s="598" t="s">
        <v>130</v>
      </c>
      <c r="C43" s="599">
        <f>VLOOKUP(B43,S6C!$B$42:$F$80, 3, FALSE)</f>
        <v>1082498.9905717103</v>
      </c>
      <c r="D43" s="600">
        <f>VLOOKUP($B43,S6C!$B$42:$F$80, 5, FALSE)</f>
        <v>1112984.4399062658</v>
      </c>
      <c r="E43" s="601">
        <f t="shared" si="10"/>
        <v>30485.449334555538</v>
      </c>
      <c r="F43" s="602">
        <f t="shared" si="11"/>
        <v>2.816210416829578E-2</v>
      </c>
      <c r="G43" s="600">
        <f>VLOOKUP($B43,'S6C-A'!$B$42:$F$80, 5, FALSE)</f>
        <v>1113975.1718343617</v>
      </c>
      <c r="H43" s="601">
        <f t="shared" si="12"/>
        <v>31476.181262651458</v>
      </c>
      <c r="I43" s="602">
        <f t="shared" si="13"/>
        <v>2.907733082136885E-2</v>
      </c>
      <c r="J43" s="600">
        <f>VLOOKUP($B43,'S6C-B'!$B$42:$F$80, 5, FALSE)</f>
        <v>1112050.3761870814</v>
      </c>
      <c r="K43" s="601">
        <f t="shared" si="14"/>
        <v>29551.385615371168</v>
      </c>
      <c r="L43" s="602">
        <f t="shared" si="15"/>
        <v>2.7299226948714214E-2</v>
      </c>
      <c r="M43" s="600">
        <f>VLOOKUP($B43,'S6C-C'!$B$42:$F$80, 5, FALSE)</f>
        <v>1108567.7452839427</v>
      </c>
      <c r="N43" s="601">
        <f t="shared" si="16"/>
        <v>26068.754712232389</v>
      </c>
      <c r="O43" s="602">
        <f t="shared" si="17"/>
        <v>2.4082012952699804E-2</v>
      </c>
      <c r="P43" s="600">
        <f>VLOOKUP($B43,'S6C-D'!$B$42:$F$80, 5, FALSE)</f>
        <v>1108814.4249547664</v>
      </c>
      <c r="Q43" s="601">
        <f t="shared" si="18"/>
        <v>26315.434383056127</v>
      </c>
      <c r="R43" s="602">
        <f t="shared" si="19"/>
        <v>2.430989276872943E-2</v>
      </c>
      <c r="T43" s="600">
        <f>VLOOKUP($B43,S6C!$B$42:$F$80, 5, FALSE)</f>
        <v>1112984.4399062658</v>
      </c>
      <c r="U43" s="601">
        <f t="shared" si="0"/>
        <v>0</v>
      </c>
      <c r="V43" s="602">
        <f t="shared" si="1"/>
        <v>0</v>
      </c>
      <c r="W43" s="600">
        <f>VLOOKUP($B43,'S6C-A'!$B$42:$F$80, 5, FALSE)</f>
        <v>1113975.1718343617</v>
      </c>
      <c r="X43" s="601">
        <f t="shared" si="2"/>
        <v>990.73192809592001</v>
      </c>
      <c r="Y43" s="602">
        <f t="shared" si="3"/>
        <v>8.9015793264761022E-4</v>
      </c>
      <c r="Z43" s="600">
        <f>VLOOKUP($B43,'S6C-B'!$B$42:$F$80, 5, FALSE)</f>
        <v>1112050.3761870814</v>
      </c>
      <c r="AA43" s="601">
        <f t="shared" si="4"/>
        <v>-934.06371918437071</v>
      </c>
      <c r="AB43" s="602">
        <f t="shared" si="5"/>
        <v>-8.3924238802748799E-4</v>
      </c>
      <c r="AC43" s="600">
        <f>VLOOKUP($B43,'S6C-C'!$B$42:$F$80, 5, FALSE)</f>
        <v>1108567.7452839427</v>
      </c>
      <c r="AD43" s="601">
        <f t="shared" si="6"/>
        <v>-4416.6946223231498</v>
      </c>
      <c r="AE43" s="602">
        <f t="shared" si="7"/>
        <v>-3.9683345642236639E-3</v>
      </c>
      <c r="AF43" s="600">
        <f>VLOOKUP($B43,'S6C-D'!$B$42:$F$80, 5, FALSE)</f>
        <v>1108814.4249547664</v>
      </c>
      <c r="AG43" s="601">
        <f t="shared" si="8"/>
        <v>-4170.0149514994118</v>
      </c>
      <c r="AH43" s="602">
        <f t="shared" si="9"/>
        <v>-3.7466965412837265E-3</v>
      </c>
      <c r="AI43" s="591"/>
      <c r="AJ43" s="590" t="str">
        <f>VLOOKUP('Summary Table'!B43, 'S6C-D'!$B$90:$H$127,7,FALSE)</f>
        <v>VRT</v>
      </c>
      <c r="AK43" s="592"/>
    </row>
    <row r="44" spans="1:37" ht="13.5" thickTop="1">
      <c r="C44" s="603">
        <f>SUM(C5:C43)</f>
        <v>129548415.6666667</v>
      </c>
      <c r="D44" s="603">
        <f>SUM(D5:D43)</f>
        <v>129548415.99999997</v>
      </c>
      <c r="E44" s="603"/>
      <c r="F44" s="604"/>
      <c r="G44" s="603">
        <f t="shared" ref="G44" si="20">SUM(G5:G43)</f>
        <v>129548415.99999999</v>
      </c>
      <c r="H44" s="603"/>
      <c r="J44" s="603">
        <f>SUM(J5:J43)</f>
        <v>129548416</v>
      </c>
      <c r="K44" s="603"/>
      <c r="M44" s="603">
        <f>SUM(M5:M43)</f>
        <v>129548416.00000004</v>
      </c>
      <c r="P44" s="603">
        <f>SUM(P5:P43)</f>
        <v>129548416</v>
      </c>
      <c r="T44" s="603">
        <f>SUM(T5:T43)</f>
        <v>129548415.99999997</v>
      </c>
      <c r="U44" s="603"/>
      <c r="V44" s="604"/>
      <c r="W44" s="603">
        <f>SUM(W5:W43)</f>
        <v>129548415.99999999</v>
      </c>
      <c r="X44" s="603"/>
      <c r="Y44" s="604"/>
      <c r="Z44" s="603">
        <f>SUM(Z5:Z43)</f>
        <v>129548416</v>
      </c>
      <c r="AA44" s="603"/>
      <c r="AB44" s="604"/>
      <c r="AC44" s="603">
        <f>SUM(AC5:AC43)</f>
        <v>129548416.00000004</v>
      </c>
      <c r="AD44" s="603"/>
      <c r="AE44" s="604"/>
      <c r="AF44" s="603">
        <f>SUM(AF5:AF43)</f>
        <v>129548416</v>
      </c>
      <c r="AG44" s="603"/>
      <c r="AH44" s="604"/>
    </row>
    <row r="46" spans="1:37" ht="14.25">
      <c r="A46" s="605" t="s">
        <v>207</v>
      </c>
      <c r="E46" s="606" t="s">
        <v>208</v>
      </c>
      <c r="F46" s="607"/>
      <c r="G46" s="607"/>
      <c r="H46" s="607" t="s">
        <v>208</v>
      </c>
      <c r="I46" s="607"/>
      <c r="J46" s="607"/>
      <c r="K46" s="607" t="s">
        <v>208</v>
      </c>
      <c r="L46" s="607"/>
      <c r="M46" s="607"/>
      <c r="N46" s="607" t="s">
        <v>208</v>
      </c>
      <c r="O46" s="607"/>
      <c r="P46" s="607"/>
      <c r="Q46" s="607" t="s">
        <v>208</v>
      </c>
      <c r="R46" s="607"/>
    </row>
    <row r="47" spans="1:37" ht="14.25">
      <c r="A47" s="605"/>
      <c r="E47" s="607" t="s">
        <v>209</v>
      </c>
      <c r="F47" s="607"/>
      <c r="G47" s="607"/>
      <c r="H47" s="607" t="s">
        <v>210</v>
      </c>
      <c r="I47" s="607"/>
      <c r="J47" s="607"/>
      <c r="K47" s="607" t="s">
        <v>211</v>
      </c>
      <c r="L47" s="607"/>
      <c r="M47" s="607"/>
      <c r="N47" s="607" t="s">
        <v>212</v>
      </c>
      <c r="O47" s="607"/>
      <c r="P47" s="607"/>
      <c r="Q47" s="607" t="s">
        <v>213</v>
      </c>
      <c r="R47" s="607"/>
    </row>
    <row r="48" spans="1:37" ht="14.25">
      <c r="A48" s="605"/>
      <c r="E48" s="607"/>
      <c r="F48" s="607"/>
      <c r="G48" s="607"/>
      <c r="H48" s="607" t="s">
        <v>423</v>
      </c>
      <c r="I48" s="607"/>
      <c r="J48" s="607"/>
      <c r="K48" s="607" t="s">
        <v>424</v>
      </c>
      <c r="L48" s="607"/>
      <c r="M48" s="607"/>
      <c r="N48" s="607" t="s">
        <v>425</v>
      </c>
      <c r="O48" s="607"/>
      <c r="P48" s="607"/>
      <c r="Q48" s="607" t="s">
        <v>426</v>
      </c>
      <c r="R48" s="607"/>
    </row>
    <row r="49" spans="1:34" ht="15">
      <c r="A49" s="608" t="s">
        <v>82</v>
      </c>
      <c r="B49" s="609"/>
      <c r="C49" s="610">
        <f>SUMIF($A$5:$A$43,$A49,C$5:C$43)</f>
        <v>2257448.1399023193</v>
      </c>
      <c r="D49" s="610">
        <f t="shared" ref="D49" si="21">SUMIF($A$5:$A$43,$A49,D$5:D$43)</f>
        <v>2302545.0132369325</v>
      </c>
      <c r="E49" s="609">
        <f t="shared" ref="E49:E58" si="22">D49-$C49</f>
        <v>45096.873334613163</v>
      </c>
      <c r="F49" s="611">
        <f t="shared" ref="F49:F58" si="23">E49/$C49</f>
        <v>1.9976925510485712E-2</v>
      </c>
      <c r="G49" s="610">
        <f t="shared" ref="G49:G58" si="24">SUMIF($A$5:$A$43,$A49,G$5:G$43)</f>
        <v>2300213.4405471212</v>
      </c>
      <c r="H49" s="609">
        <f t="shared" ref="H49:H58" si="25">G49-$C49</f>
        <v>42765.30064480193</v>
      </c>
      <c r="I49" s="611">
        <f t="shared" ref="I49:I58" si="26">H49/$C49</f>
        <v>1.894408996108872E-2</v>
      </c>
      <c r="J49" s="610">
        <f t="shared" ref="J49:J58" si="27">SUMIF($A$5:$A$43,$A49,J$5:J$43)</f>
        <v>2301046.2652897886</v>
      </c>
      <c r="K49" s="609">
        <f t="shared" ref="K49:K58" si="28">J49-$C49</f>
        <v>43598.125387469307</v>
      </c>
      <c r="L49" s="611">
        <f t="shared" ref="L49:L58" si="29">K49/$C49</f>
        <v>1.931301305081401E-2</v>
      </c>
      <c r="M49" s="610">
        <f t="shared" ref="M49:M58" si="30">SUMIF($A$5:$A$43,$A49,M$5:M$43)</f>
        <v>2291626.9407534203</v>
      </c>
      <c r="N49" s="609">
        <f t="shared" ref="N49:N58" si="31">M49-$C49</f>
        <v>34178.800851101056</v>
      </c>
      <c r="O49" s="611">
        <f t="shared" ref="O49:O58" si="32">N49/$C49</f>
        <v>1.5140458931021106E-2</v>
      </c>
      <c r="P49" s="610">
        <f t="shared" ref="P49:P58" si="33">SUMIF($A$5:$A$43,$A49,P$5:P$43)</f>
        <v>2288855.961766162</v>
      </c>
      <c r="Q49" s="609">
        <f t="shared" ref="Q49:Q58" si="34">P49-$C49</f>
        <v>31407.821863842662</v>
      </c>
      <c r="R49" s="611">
        <f t="shared" ref="R49:R58" si="35">Q49/$C49</f>
        <v>1.3912976031955132E-2</v>
      </c>
      <c r="T49" s="610">
        <f t="shared" ref="T49:T58" si="36">SUMIF($A$5:$A$43,$A49,T$5:T$43)</f>
        <v>2302545.0132369325</v>
      </c>
      <c r="U49" s="609">
        <f t="shared" ref="U49:U58" si="37">T49-$D49</f>
        <v>0</v>
      </c>
      <c r="V49" s="611">
        <f t="shared" ref="V49:V58" si="38">U49/$D49</f>
        <v>0</v>
      </c>
      <c r="W49" s="610">
        <f t="shared" ref="W49:W58" si="39">SUMIF($A$5:$A$43,$A49,W$5:W$43)</f>
        <v>2300213.4405471212</v>
      </c>
      <c r="X49" s="609">
        <f t="shared" ref="X49:X58" si="40">W49-$D49</f>
        <v>-2331.5726898112334</v>
      </c>
      <c r="Y49" s="611">
        <f t="shared" ref="Y49:Y58" si="41">X49/$D49</f>
        <v>-1.0126067791975514E-3</v>
      </c>
      <c r="Z49" s="610">
        <f t="shared" ref="Z49:Z58" si="42">SUMIF($A$5:$A$43,$A49,Z$5:Z$43)</f>
        <v>2301046.2652897886</v>
      </c>
      <c r="AA49" s="609">
        <f t="shared" ref="AA49:AA58" si="43">Z49-$D49</f>
        <v>-1498.7479471438564</v>
      </c>
      <c r="AB49" s="611">
        <f t="shared" ref="AB49:AB58" si="44">AA49/$D49</f>
        <v>-6.5090929320721813E-4</v>
      </c>
      <c r="AC49" s="610">
        <f t="shared" ref="AC49:AC58" si="45">SUMIF($A$5:$A$43,$A49,AC$5:AC$43)</f>
        <v>2291626.9407534203</v>
      </c>
      <c r="AD49" s="609">
        <f t="shared" ref="AD49:AD58" si="46">AC49-$D49</f>
        <v>-10918.072483512107</v>
      </c>
      <c r="AE49" s="611">
        <f t="shared" ref="AE49:AE58" si="47">AD49/$D49</f>
        <v>-4.7417411693348012E-3</v>
      </c>
      <c r="AF49" s="610">
        <f t="shared" ref="AF49:AF58" si="48">SUMIF($A$5:$A$43,$A49,AF$5:AF$43)</f>
        <v>2288855.961766162</v>
      </c>
      <c r="AG49" s="609">
        <f t="shared" ref="AG49:AG58" si="49">AF49-$D49</f>
        <v>-13689.051470770501</v>
      </c>
      <c r="AH49" s="611">
        <f t="shared" ref="AH49:AH58" si="50">AG49/$D49</f>
        <v>-5.945183000581754E-3</v>
      </c>
    </row>
    <row r="50" spans="1:34" ht="15">
      <c r="A50" s="608" t="s">
        <v>88</v>
      </c>
      <c r="B50" s="609"/>
      <c r="C50" s="610">
        <f t="shared" ref="C50:D58" si="51">SUMIF($A$5:$A$43,$A50,C$5:C$43)</f>
        <v>2971811.8341092449</v>
      </c>
      <c r="D50" s="610">
        <f t="shared" si="51"/>
        <v>2955605.5237816013</v>
      </c>
      <c r="E50" s="609">
        <f t="shared" si="22"/>
        <v>-16206.310327643529</v>
      </c>
      <c r="F50" s="611">
        <f t="shared" si="23"/>
        <v>-5.4533433582954699E-3</v>
      </c>
      <c r="G50" s="610">
        <f t="shared" si="24"/>
        <v>2961002.1015986931</v>
      </c>
      <c r="H50" s="609">
        <f t="shared" si="25"/>
        <v>-10809.73251055181</v>
      </c>
      <c r="I50" s="611">
        <f t="shared" si="26"/>
        <v>-3.6374215845303886E-3</v>
      </c>
      <c r="J50" s="610">
        <f t="shared" si="27"/>
        <v>2953080.3451393601</v>
      </c>
      <c r="K50" s="609">
        <f t="shared" si="28"/>
        <v>-18731.488969884813</v>
      </c>
      <c r="L50" s="611">
        <f t="shared" si="29"/>
        <v>-6.3030534958143777E-3</v>
      </c>
      <c r="M50" s="610">
        <f t="shared" si="30"/>
        <v>2941313.4815364797</v>
      </c>
      <c r="N50" s="609">
        <f t="shared" si="31"/>
        <v>-30498.352572765201</v>
      </c>
      <c r="O50" s="611">
        <f t="shared" si="32"/>
        <v>-1.0262544964226046E-2</v>
      </c>
      <c r="P50" s="610">
        <f t="shared" si="33"/>
        <v>2944165.9686593879</v>
      </c>
      <c r="Q50" s="609">
        <f t="shared" si="34"/>
        <v>-27645.865449856967</v>
      </c>
      <c r="R50" s="611">
        <f t="shared" si="35"/>
        <v>-9.3026971400238037E-3</v>
      </c>
      <c r="T50" s="610">
        <f t="shared" si="36"/>
        <v>2955605.5237816013</v>
      </c>
      <c r="U50" s="609">
        <f t="shared" si="37"/>
        <v>0</v>
      </c>
      <c r="V50" s="611">
        <f t="shared" si="38"/>
        <v>0</v>
      </c>
      <c r="W50" s="610">
        <f t="shared" si="39"/>
        <v>2961002.1015986931</v>
      </c>
      <c r="X50" s="609">
        <f t="shared" si="40"/>
        <v>5396.5778170917183</v>
      </c>
      <c r="Y50" s="611">
        <f t="shared" si="41"/>
        <v>1.8258789184379964E-3</v>
      </c>
      <c r="Z50" s="610">
        <f t="shared" si="42"/>
        <v>2953080.3451393601</v>
      </c>
      <c r="AA50" s="609">
        <f t="shared" si="43"/>
        <v>-2525.1786422412843</v>
      </c>
      <c r="AB50" s="611">
        <f t="shared" si="44"/>
        <v>-8.5436930670314899E-4</v>
      </c>
      <c r="AC50" s="610">
        <f t="shared" si="45"/>
        <v>2941313.4815364797</v>
      </c>
      <c r="AD50" s="609">
        <f t="shared" si="46"/>
        <v>-14292.042245121673</v>
      </c>
      <c r="AE50" s="611">
        <f t="shared" si="47"/>
        <v>-4.8355716384084532E-3</v>
      </c>
      <c r="AF50" s="610">
        <f t="shared" si="48"/>
        <v>2944165.9686593879</v>
      </c>
      <c r="AG50" s="609">
        <f t="shared" si="49"/>
        <v>-11439.555122213438</v>
      </c>
      <c r="AH50" s="611">
        <f t="shared" si="50"/>
        <v>-3.8704607330605129E-3</v>
      </c>
    </row>
    <row r="51" spans="1:34" ht="15">
      <c r="A51" s="608" t="s">
        <v>90</v>
      </c>
      <c r="B51" s="609"/>
      <c r="C51" s="610">
        <f t="shared" si="51"/>
        <v>1071485.0448851464</v>
      </c>
      <c r="D51" s="610">
        <f t="shared" si="51"/>
        <v>991727.64516962832</v>
      </c>
      <c r="E51" s="609">
        <f t="shared" si="22"/>
        <v>-79757.399715518113</v>
      </c>
      <c r="F51" s="611">
        <f t="shared" si="23"/>
        <v>-7.4436316303478967E-2</v>
      </c>
      <c r="G51" s="610">
        <f t="shared" si="24"/>
        <v>981375.03751620231</v>
      </c>
      <c r="H51" s="609">
        <f t="shared" si="25"/>
        <v>-90110.00736894412</v>
      </c>
      <c r="I51" s="611">
        <f t="shared" si="26"/>
        <v>-8.4098240847218828E-2</v>
      </c>
      <c r="J51" s="610">
        <f t="shared" si="27"/>
        <v>990586.19445907464</v>
      </c>
      <c r="K51" s="609">
        <f t="shared" si="28"/>
        <v>-80898.850426071789</v>
      </c>
      <c r="L51" s="611">
        <f t="shared" si="29"/>
        <v>-7.5501614149680846E-2</v>
      </c>
      <c r="M51" s="610">
        <f t="shared" si="30"/>
        <v>1007619.4542913459</v>
      </c>
      <c r="N51" s="609">
        <f t="shared" si="31"/>
        <v>-63865.590593800531</v>
      </c>
      <c r="O51" s="611">
        <f t="shared" si="32"/>
        <v>-5.9604742874079353E-2</v>
      </c>
      <c r="P51" s="610">
        <f t="shared" si="33"/>
        <v>996259.94143299304</v>
      </c>
      <c r="Q51" s="609">
        <f t="shared" si="34"/>
        <v>-75225.103452153387</v>
      </c>
      <c r="R51" s="611">
        <f t="shared" si="35"/>
        <v>-7.0206396077340347E-2</v>
      </c>
      <c r="T51" s="610">
        <f t="shared" si="36"/>
        <v>991727.64516962832</v>
      </c>
      <c r="U51" s="609">
        <f t="shared" si="37"/>
        <v>0</v>
      </c>
      <c r="V51" s="611">
        <f t="shared" si="38"/>
        <v>0</v>
      </c>
      <c r="W51" s="610">
        <f t="shared" si="39"/>
        <v>981375.03751620231</v>
      </c>
      <c r="X51" s="609">
        <f t="shared" si="40"/>
        <v>-10352.607653426006</v>
      </c>
      <c r="Y51" s="611">
        <f t="shared" si="41"/>
        <v>-1.0438962454913983E-2</v>
      </c>
      <c r="Z51" s="610">
        <f t="shared" si="42"/>
        <v>990586.19445907464</v>
      </c>
      <c r="AA51" s="609">
        <f t="shared" si="43"/>
        <v>-1141.4507105536759</v>
      </c>
      <c r="AB51" s="611">
        <f t="shared" si="44"/>
        <v>-1.150971958998318E-3</v>
      </c>
      <c r="AC51" s="610">
        <f t="shared" si="45"/>
        <v>1007619.4542913459</v>
      </c>
      <c r="AD51" s="609">
        <f t="shared" si="46"/>
        <v>15891.809121717582</v>
      </c>
      <c r="AE51" s="611">
        <f t="shared" si="47"/>
        <v>1.6024368382913632E-2</v>
      </c>
      <c r="AF51" s="610">
        <f t="shared" si="48"/>
        <v>996259.94143299304</v>
      </c>
      <c r="AG51" s="609">
        <f t="shared" si="49"/>
        <v>4532.2962633647257</v>
      </c>
      <c r="AH51" s="611">
        <f t="shared" si="50"/>
        <v>4.5701017667905252E-3</v>
      </c>
    </row>
    <row r="52" spans="1:34" ht="15">
      <c r="A52" s="608" t="s">
        <v>205</v>
      </c>
      <c r="B52" s="609"/>
      <c r="C52" s="610">
        <f t="shared" si="51"/>
        <v>28692230.700066812</v>
      </c>
      <c r="D52" s="610">
        <f t="shared" si="51"/>
        <v>29276880.127124395</v>
      </c>
      <c r="E52" s="609">
        <f t="shared" si="22"/>
        <v>584649.42705758289</v>
      </c>
      <c r="F52" s="611">
        <f t="shared" si="23"/>
        <v>2.0376576264466654E-2</v>
      </c>
      <c r="G52" s="610">
        <f t="shared" si="24"/>
        <v>29332007.228416752</v>
      </c>
      <c r="H52" s="609">
        <f t="shared" si="25"/>
        <v>639776.52834993973</v>
      </c>
      <c r="I52" s="611">
        <f t="shared" si="26"/>
        <v>2.2297901304287573E-2</v>
      </c>
      <c r="J52" s="610">
        <f t="shared" si="27"/>
        <v>29236874.505054623</v>
      </c>
      <c r="K52" s="609">
        <f t="shared" si="28"/>
        <v>544643.80498781055</v>
      </c>
      <c r="L52" s="611">
        <f t="shared" si="29"/>
        <v>1.898227470290563E-2</v>
      </c>
      <c r="M52" s="610">
        <f t="shared" si="30"/>
        <v>29078748.546774913</v>
      </c>
      <c r="N52" s="609">
        <f t="shared" si="31"/>
        <v>386517.84670810029</v>
      </c>
      <c r="O52" s="611">
        <f t="shared" si="32"/>
        <v>1.3471167534812839E-2</v>
      </c>
      <c r="P52" s="610">
        <f t="shared" si="33"/>
        <v>29100122.999939762</v>
      </c>
      <c r="Q52" s="609">
        <f t="shared" si="34"/>
        <v>407892.29987294972</v>
      </c>
      <c r="R52" s="611">
        <f t="shared" si="35"/>
        <v>1.4216123665560793E-2</v>
      </c>
      <c r="T52" s="610">
        <f t="shared" si="36"/>
        <v>29276880.127124395</v>
      </c>
      <c r="U52" s="609">
        <f t="shared" si="37"/>
        <v>0</v>
      </c>
      <c r="V52" s="611">
        <f t="shared" si="38"/>
        <v>0</v>
      </c>
      <c r="W52" s="610">
        <f t="shared" si="39"/>
        <v>29332007.228416752</v>
      </c>
      <c r="X52" s="609">
        <f t="shared" si="40"/>
        <v>55127.101292356849</v>
      </c>
      <c r="Y52" s="611">
        <f t="shared" si="41"/>
        <v>1.8829568264441805E-3</v>
      </c>
      <c r="Z52" s="610">
        <f t="shared" si="42"/>
        <v>29236874.505054623</v>
      </c>
      <c r="AA52" s="609">
        <f t="shared" si="43"/>
        <v>-40005.622069772333</v>
      </c>
      <c r="AB52" s="611">
        <f t="shared" si="44"/>
        <v>-1.3664578293883162E-3</v>
      </c>
      <c r="AC52" s="610">
        <f t="shared" si="45"/>
        <v>29078748.546774913</v>
      </c>
      <c r="AD52" s="609">
        <f t="shared" si="46"/>
        <v>-198131.5803494826</v>
      </c>
      <c r="AE52" s="611">
        <f t="shared" si="47"/>
        <v>-6.7675100450993063E-3</v>
      </c>
      <c r="AF52" s="610">
        <f t="shared" si="48"/>
        <v>29100122.999939762</v>
      </c>
      <c r="AG52" s="609">
        <f t="shared" si="49"/>
        <v>-176757.12718463317</v>
      </c>
      <c r="AH52" s="611">
        <f t="shared" si="50"/>
        <v>-6.0374304371616262E-3</v>
      </c>
    </row>
    <row r="53" spans="1:34" ht="15">
      <c r="A53" s="608" t="s">
        <v>99</v>
      </c>
      <c r="B53" s="609"/>
      <c r="C53" s="610">
        <f t="shared" si="51"/>
        <v>2772386.3675242756</v>
      </c>
      <c r="D53" s="610">
        <f t="shared" si="51"/>
        <v>3028554.3050672058</v>
      </c>
      <c r="E53" s="609">
        <f t="shared" si="22"/>
        <v>256167.93754293025</v>
      </c>
      <c r="F53" s="611">
        <f t="shared" si="23"/>
        <v>9.2399796992107805E-2</v>
      </c>
      <c r="G53" s="610">
        <f t="shared" si="24"/>
        <v>3081802.8678428191</v>
      </c>
      <c r="H53" s="609">
        <f t="shared" si="25"/>
        <v>309416.50031854352</v>
      </c>
      <c r="I53" s="611">
        <f t="shared" si="26"/>
        <v>0.11160655814176818</v>
      </c>
      <c r="J53" s="610">
        <f t="shared" si="27"/>
        <v>3034671.1201064922</v>
      </c>
      <c r="K53" s="609">
        <f t="shared" si="28"/>
        <v>262284.75258221664</v>
      </c>
      <c r="L53" s="611">
        <f t="shared" si="29"/>
        <v>9.4606132700196244E-2</v>
      </c>
      <c r="M53" s="610">
        <f t="shared" si="30"/>
        <v>3050530.783192195</v>
      </c>
      <c r="N53" s="609">
        <f t="shared" si="31"/>
        <v>278144.41566791944</v>
      </c>
      <c r="O53" s="611">
        <f t="shared" si="32"/>
        <v>0.10032671453232572</v>
      </c>
      <c r="P53" s="610">
        <f t="shared" si="33"/>
        <v>3089303.93964436</v>
      </c>
      <c r="Q53" s="609">
        <f t="shared" si="34"/>
        <v>316917.57212008443</v>
      </c>
      <c r="R53" s="611">
        <f t="shared" si="35"/>
        <v>0.1143121953824531</v>
      </c>
      <c r="T53" s="610">
        <f t="shared" si="36"/>
        <v>3028554.3050672058</v>
      </c>
      <c r="U53" s="609">
        <f t="shared" si="37"/>
        <v>0</v>
      </c>
      <c r="V53" s="611">
        <f t="shared" si="38"/>
        <v>0</v>
      </c>
      <c r="W53" s="610">
        <f t="shared" si="39"/>
        <v>3081802.8678428191</v>
      </c>
      <c r="X53" s="609">
        <f t="shared" si="40"/>
        <v>53248.562775613274</v>
      </c>
      <c r="Y53" s="611">
        <f t="shared" si="41"/>
        <v>1.7582172023965621E-2</v>
      </c>
      <c r="Z53" s="610">
        <f t="shared" si="42"/>
        <v>3034671.1201064922</v>
      </c>
      <c r="AA53" s="609">
        <f t="shared" si="43"/>
        <v>6116.8150392863899</v>
      </c>
      <c r="AB53" s="611">
        <f t="shared" si="44"/>
        <v>2.0197144984496667E-3</v>
      </c>
      <c r="AC53" s="610">
        <f t="shared" si="45"/>
        <v>3050530.783192195</v>
      </c>
      <c r="AD53" s="609">
        <f t="shared" si="46"/>
        <v>21976.478124989197</v>
      </c>
      <c r="AE53" s="611">
        <f t="shared" si="47"/>
        <v>7.2564253142891957E-3</v>
      </c>
      <c r="AF53" s="610">
        <f t="shared" si="48"/>
        <v>3089303.93964436</v>
      </c>
      <c r="AG53" s="609">
        <f t="shared" si="49"/>
        <v>60749.634577154182</v>
      </c>
      <c r="AH53" s="611">
        <f t="shared" si="50"/>
        <v>2.0058955018739909E-2</v>
      </c>
    </row>
    <row r="54" spans="1:34" ht="15">
      <c r="A54" s="608" t="s">
        <v>206</v>
      </c>
      <c r="B54" s="609"/>
      <c r="C54" s="610">
        <f t="shared" si="51"/>
        <v>56728251.939407781</v>
      </c>
      <c r="D54" s="610">
        <f t="shared" si="51"/>
        <v>54932327.820781887</v>
      </c>
      <c r="E54" s="609">
        <f t="shared" si="22"/>
        <v>-1795924.1186258942</v>
      </c>
      <c r="F54" s="611">
        <f t="shared" si="23"/>
        <v>-3.1658372278845208E-2</v>
      </c>
      <c r="G54" s="610">
        <f t="shared" si="24"/>
        <v>54768662.329575494</v>
      </c>
      <c r="H54" s="609">
        <f t="shared" si="25"/>
        <v>-1959589.6098322868</v>
      </c>
      <c r="I54" s="611">
        <f t="shared" si="26"/>
        <v>-3.454345132871979E-2</v>
      </c>
      <c r="J54" s="610">
        <f t="shared" si="27"/>
        <v>54983101.257825777</v>
      </c>
      <c r="K54" s="609">
        <f t="shared" si="28"/>
        <v>-1745150.6815820038</v>
      </c>
      <c r="L54" s="611">
        <f t="shared" si="29"/>
        <v>-3.0763343165342429E-2</v>
      </c>
      <c r="M54" s="610">
        <f t="shared" si="30"/>
        <v>55041662.644043505</v>
      </c>
      <c r="N54" s="609">
        <f t="shared" si="31"/>
        <v>-1686589.2953642756</v>
      </c>
      <c r="O54" s="611">
        <f t="shared" si="32"/>
        <v>-2.9731028856058259E-2</v>
      </c>
      <c r="P54" s="610">
        <f t="shared" si="33"/>
        <v>54940551.12236657</v>
      </c>
      <c r="Q54" s="609">
        <f t="shared" si="34"/>
        <v>-1787700.8170412108</v>
      </c>
      <c r="R54" s="611">
        <f t="shared" si="35"/>
        <v>-3.1513412733935084E-2</v>
      </c>
      <c r="T54" s="610">
        <f t="shared" si="36"/>
        <v>54932327.820781887</v>
      </c>
      <c r="U54" s="609">
        <f t="shared" si="37"/>
        <v>0</v>
      </c>
      <c r="V54" s="611">
        <f t="shared" si="38"/>
        <v>0</v>
      </c>
      <c r="W54" s="610">
        <f t="shared" si="39"/>
        <v>54768662.329575494</v>
      </c>
      <c r="X54" s="609">
        <f t="shared" si="40"/>
        <v>-163665.49120639265</v>
      </c>
      <c r="Y54" s="611">
        <f t="shared" si="41"/>
        <v>-2.9794020697676503E-3</v>
      </c>
      <c r="Z54" s="610">
        <f t="shared" si="42"/>
        <v>54983101.257825777</v>
      </c>
      <c r="AA54" s="609">
        <f t="shared" si="43"/>
        <v>50773.437043890357</v>
      </c>
      <c r="AB54" s="611">
        <f t="shared" si="44"/>
        <v>9.242906510268413E-4</v>
      </c>
      <c r="AC54" s="610">
        <f t="shared" si="45"/>
        <v>55041662.644043505</v>
      </c>
      <c r="AD54" s="609">
        <f t="shared" si="46"/>
        <v>109334.82326161861</v>
      </c>
      <c r="AE54" s="611">
        <f t="shared" si="47"/>
        <v>1.9903548165358339E-3</v>
      </c>
      <c r="AF54" s="610">
        <f t="shared" si="48"/>
        <v>54940551.12236657</v>
      </c>
      <c r="AG54" s="609">
        <f t="shared" si="49"/>
        <v>8223.3015846833587</v>
      </c>
      <c r="AH54" s="611">
        <f t="shared" si="50"/>
        <v>1.4969876411413126E-4</v>
      </c>
    </row>
    <row r="55" spans="1:34" ht="15">
      <c r="A55" s="608" t="s">
        <v>112</v>
      </c>
      <c r="B55" s="609"/>
      <c r="C55" s="610">
        <f t="shared" si="51"/>
        <v>20052090.808745552</v>
      </c>
      <c r="D55" s="610">
        <f t="shared" si="51"/>
        <v>20781993.808721013</v>
      </c>
      <c r="E55" s="609">
        <f t="shared" si="22"/>
        <v>729902.99997546151</v>
      </c>
      <c r="F55" s="611">
        <f t="shared" si="23"/>
        <v>3.6400343831333559E-2</v>
      </c>
      <c r="G55" s="610">
        <f t="shared" si="24"/>
        <v>20827302.065887939</v>
      </c>
      <c r="H55" s="609">
        <f t="shared" si="25"/>
        <v>775211.25714238733</v>
      </c>
      <c r="I55" s="611">
        <f t="shared" si="26"/>
        <v>3.8659871658085918E-2</v>
      </c>
      <c r="J55" s="610">
        <f t="shared" si="27"/>
        <v>20776707.583475213</v>
      </c>
      <c r="K55" s="609">
        <f t="shared" si="28"/>
        <v>724616.77472966164</v>
      </c>
      <c r="L55" s="611">
        <f t="shared" si="29"/>
        <v>3.6136719190081969E-2</v>
      </c>
      <c r="M55" s="610">
        <f t="shared" si="30"/>
        <v>20795682.089004382</v>
      </c>
      <c r="N55" s="609">
        <f t="shared" si="31"/>
        <v>743591.28025883064</v>
      </c>
      <c r="O55" s="611">
        <f t="shared" si="32"/>
        <v>3.7082979892277344E-2</v>
      </c>
      <c r="P55" s="610">
        <f t="shared" si="33"/>
        <v>20833915.375506267</v>
      </c>
      <c r="Q55" s="609">
        <f t="shared" si="34"/>
        <v>781824.5667607151</v>
      </c>
      <c r="R55" s="611">
        <f t="shared" si="35"/>
        <v>3.8989678144671518E-2</v>
      </c>
      <c r="T55" s="610">
        <f t="shared" si="36"/>
        <v>20781993.808721013</v>
      </c>
      <c r="U55" s="609">
        <f t="shared" si="37"/>
        <v>0</v>
      </c>
      <c r="V55" s="611">
        <f t="shared" si="38"/>
        <v>0</v>
      </c>
      <c r="W55" s="610">
        <f t="shared" si="39"/>
        <v>20827302.065887939</v>
      </c>
      <c r="X55" s="609">
        <f t="shared" si="40"/>
        <v>45308.257166925818</v>
      </c>
      <c r="Y55" s="611">
        <f t="shared" si="41"/>
        <v>2.1801689281570535E-3</v>
      </c>
      <c r="Z55" s="610">
        <f t="shared" si="42"/>
        <v>20776707.583475213</v>
      </c>
      <c r="AA55" s="609">
        <f t="shared" si="43"/>
        <v>-5286.2252457998693</v>
      </c>
      <c r="AB55" s="611">
        <f t="shared" si="44"/>
        <v>-2.5436564433878057E-4</v>
      </c>
      <c r="AC55" s="610">
        <f t="shared" si="45"/>
        <v>20795682.089004382</v>
      </c>
      <c r="AD55" s="609">
        <f t="shared" si="46"/>
        <v>13688.280283369124</v>
      </c>
      <c r="AE55" s="611">
        <f t="shared" si="47"/>
        <v>6.5866058903476989E-4</v>
      </c>
      <c r="AF55" s="610">
        <f t="shared" si="48"/>
        <v>20833915.375506267</v>
      </c>
      <c r="AG55" s="609">
        <f t="shared" si="49"/>
        <v>51921.566785253584</v>
      </c>
      <c r="AH55" s="611">
        <f t="shared" si="50"/>
        <v>2.4983919860213353E-3</v>
      </c>
    </row>
    <row r="56" spans="1:34" ht="15">
      <c r="A56" s="608" t="s">
        <v>115</v>
      </c>
      <c r="B56" s="609"/>
      <c r="C56" s="610">
        <f t="shared" si="51"/>
        <v>7455196.5558467098</v>
      </c>
      <c r="D56" s="610">
        <f t="shared" si="51"/>
        <v>7767250.6118149506</v>
      </c>
      <c r="E56" s="609">
        <f t="shared" si="22"/>
        <v>312054.05596824083</v>
      </c>
      <c r="F56" s="611">
        <f t="shared" si="23"/>
        <v>4.1857254014786988E-2</v>
      </c>
      <c r="G56" s="610">
        <f t="shared" si="24"/>
        <v>7790549.752276212</v>
      </c>
      <c r="H56" s="609">
        <f t="shared" si="25"/>
        <v>335353.19642950222</v>
      </c>
      <c r="I56" s="611">
        <f t="shared" si="26"/>
        <v>4.4982475501132525E-2</v>
      </c>
      <c r="J56" s="610">
        <f t="shared" si="27"/>
        <v>7764762.9358687354</v>
      </c>
      <c r="K56" s="609">
        <f t="shared" si="28"/>
        <v>309566.38002202567</v>
      </c>
      <c r="L56" s="611">
        <f t="shared" si="29"/>
        <v>4.1523570532724506E-2</v>
      </c>
      <c r="M56" s="610">
        <f t="shared" si="30"/>
        <v>7755133.7810257524</v>
      </c>
      <c r="N56" s="609">
        <f t="shared" si="31"/>
        <v>299937.22517904267</v>
      </c>
      <c r="O56" s="611">
        <f t="shared" si="32"/>
        <v>4.0231967451457469E-2</v>
      </c>
      <c r="P56" s="610">
        <f t="shared" si="33"/>
        <v>7774048.5503762793</v>
      </c>
      <c r="Q56" s="609">
        <f t="shared" si="34"/>
        <v>318851.99452956952</v>
      </c>
      <c r="R56" s="611">
        <f t="shared" si="35"/>
        <v>4.2769092959663288E-2</v>
      </c>
      <c r="T56" s="610">
        <f t="shared" si="36"/>
        <v>7767250.6118149506</v>
      </c>
      <c r="U56" s="609">
        <f t="shared" si="37"/>
        <v>0</v>
      </c>
      <c r="V56" s="611">
        <f t="shared" si="38"/>
        <v>0</v>
      </c>
      <c r="W56" s="610">
        <f t="shared" si="39"/>
        <v>7790549.752276212</v>
      </c>
      <c r="X56" s="609">
        <f t="shared" si="40"/>
        <v>23299.140461261384</v>
      </c>
      <c r="Y56" s="611">
        <f t="shared" si="41"/>
        <v>2.9996637968421548E-3</v>
      </c>
      <c r="Z56" s="610">
        <f t="shared" si="42"/>
        <v>7764762.9358687354</v>
      </c>
      <c r="AA56" s="609">
        <f t="shared" si="43"/>
        <v>-2487.6759462151676</v>
      </c>
      <c r="AB56" s="611">
        <f t="shared" si="44"/>
        <v>-3.2027754356620143E-4</v>
      </c>
      <c r="AC56" s="610">
        <f t="shared" si="45"/>
        <v>7755133.7810257524</v>
      </c>
      <c r="AD56" s="609">
        <f t="shared" si="46"/>
        <v>-12116.830789198168</v>
      </c>
      <c r="AE56" s="611">
        <f t="shared" si="47"/>
        <v>-1.5599896790721502E-3</v>
      </c>
      <c r="AF56" s="610">
        <f t="shared" si="48"/>
        <v>7774048.5503762793</v>
      </c>
      <c r="AG56" s="609">
        <f t="shared" si="49"/>
        <v>6797.9385613286868</v>
      </c>
      <c r="AH56" s="611">
        <f t="shared" si="50"/>
        <v>8.7520525615436941E-4</v>
      </c>
    </row>
    <row r="57" spans="1:34" ht="15">
      <c r="A57" s="608" t="s">
        <v>120</v>
      </c>
      <c r="B57" s="609"/>
      <c r="C57" s="610">
        <f t="shared" si="51"/>
        <v>3142870.4044961301</v>
      </c>
      <c r="D57" s="610">
        <f t="shared" si="51"/>
        <v>3232911.6544858096</v>
      </c>
      <c r="E57" s="609">
        <f t="shared" si="22"/>
        <v>90041.249989679549</v>
      </c>
      <c r="F57" s="611">
        <f t="shared" si="23"/>
        <v>2.8649367743852329E-2</v>
      </c>
      <c r="G57" s="610">
        <f t="shared" si="24"/>
        <v>3231821.6491960213</v>
      </c>
      <c r="H57" s="609">
        <f t="shared" si="25"/>
        <v>88951.244699891191</v>
      </c>
      <c r="I57" s="611">
        <f t="shared" si="26"/>
        <v>2.8302549342358898E-2</v>
      </c>
      <c r="J57" s="610">
        <f t="shared" si="27"/>
        <v>3231679.2827219102</v>
      </c>
      <c r="K57" s="609">
        <f t="shared" si="28"/>
        <v>88808.878225780092</v>
      </c>
      <c r="L57" s="611">
        <f t="shared" si="29"/>
        <v>2.8257251109919078E-2</v>
      </c>
      <c r="M57" s="610">
        <f t="shared" si="30"/>
        <v>3280623.7250958839</v>
      </c>
      <c r="N57" s="609">
        <f t="shared" si="31"/>
        <v>137753.32059975388</v>
      </c>
      <c r="O57" s="611">
        <f t="shared" si="32"/>
        <v>4.3830417061641043E-2</v>
      </c>
      <c r="P57" s="610">
        <f t="shared" si="33"/>
        <v>3282696.8560401746</v>
      </c>
      <c r="Q57" s="609">
        <f t="shared" si="34"/>
        <v>139826.45154404454</v>
      </c>
      <c r="R57" s="611">
        <f t="shared" si="35"/>
        <v>4.4490046851442394E-2</v>
      </c>
      <c r="T57" s="610">
        <f t="shared" si="36"/>
        <v>3232911.6544858096</v>
      </c>
      <c r="U57" s="609">
        <f t="shared" si="37"/>
        <v>0</v>
      </c>
      <c r="V57" s="611">
        <f t="shared" si="38"/>
        <v>0</v>
      </c>
      <c r="W57" s="610">
        <f t="shared" si="39"/>
        <v>3231821.6491960213</v>
      </c>
      <c r="X57" s="609">
        <f t="shared" si="40"/>
        <v>-1090.0052897883579</v>
      </c>
      <c r="Y57" s="611">
        <f t="shared" si="41"/>
        <v>-3.3715900905486446E-4</v>
      </c>
      <c r="Z57" s="610">
        <f t="shared" si="42"/>
        <v>3231679.2827219102</v>
      </c>
      <c r="AA57" s="609">
        <f t="shared" si="43"/>
        <v>-1232.3717638994567</v>
      </c>
      <c r="AB57" s="611">
        <f t="shared" si="44"/>
        <v>-3.8119562042145068E-4</v>
      </c>
      <c r="AC57" s="610">
        <f t="shared" si="45"/>
        <v>3280623.7250958839</v>
      </c>
      <c r="AD57" s="609">
        <f t="shared" si="46"/>
        <v>47712.070610074326</v>
      </c>
      <c r="AE57" s="611">
        <f t="shared" si="47"/>
        <v>1.4758235210006958E-2</v>
      </c>
      <c r="AF57" s="610">
        <f t="shared" si="48"/>
        <v>3282696.8560401746</v>
      </c>
      <c r="AG57" s="609">
        <f t="shared" si="49"/>
        <v>49785.20155436499</v>
      </c>
      <c r="AH57" s="611">
        <f t="shared" si="50"/>
        <v>1.5399493359271292E-2</v>
      </c>
    </row>
    <row r="58" spans="1:34" ht="15">
      <c r="A58" s="608" t="s">
        <v>124</v>
      </c>
      <c r="B58" s="609"/>
      <c r="C58" s="610">
        <f t="shared" si="51"/>
        <v>4404643.8716827054</v>
      </c>
      <c r="D58" s="610">
        <f t="shared" si="51"/>
        <v>4278619.4898165548</v>
      </c>
      <c r="E58" s="609">
        <f t="shared" si="22"/>
        <v>-126024.38186615054</v>
      </c>
      <c r="F58" s="611">
        <f t="shared" si="23"/>
        <v>-2.8611707447305033E-2</v>
      </c>
      <c r="G58" s="610">
        <f t="shared" si="24"/>
        <v>4273679.5271427203</v>
      </c>
      <c r="H58" s="609">
        <f t="shared" si="25"/>
        <v>-130964.34453998506</v>
      </c>
      <c r="I58" s="611">
        <f t="shared" si="26"/>
        <v>-2.9733242540208541E-2</v>
      </c>
      <c r="J58" s="610">
        <f t="shared" si="27"/>
        <v>4275906.5100589991</v>
      </c>
      <c r="K58" s="609">
        <f t="shared" si="28"/>
        <v>-128737.3616237063</v>
      </c>
      <c r="L58" s="611">
        <f t="shared" si="29"/>
        <v>-2.9227643681105319E-2</v>
      </c>
      <c r="M58" s="610">
        <f t="shared" si="30"/>
        <v>4305474.5542821176</v>
      </c>
      <c r="N58" s="609">
        <f t="shared" si="31"/>
        <v>-99169.317400587723</v>
      </c>
      <c r="O58" s="611">
        <f t="shared" si="32"/>
        <v>-2.2514718621894414E-2</v>
      </c>
      <c r="P58" s="610">
        <f t="shared" si="33"/>
        <v>4298495.2842680495</v>
      </c>
      <c r="Q58" s="609">
        <f t="shared" si="34"/>
        <v>-106148.58741465583</v>
      </c>
      <c r="R58" s="611">
        <f t="shared" si="35"/>
        <v>-2.4099244004056997E-2</v>
      </c>
      <c r="T58" s="610">
        <f t="shared" si="36"/>
        <v>4278619.4898165548</v>
      </c>
      <c r="U58" s="609">
        <f t="shared" si="37"/>
        <v>0</v>
      </c>
      <c r="V58" s="611">
        <f t="shared" si="38"/>
        <v>0</v>
      </c>
      <c r="W58" s="610">
        <f t="shared" si="39"/>
        <v>4273679.5271427203</v>
      </c>
      <c r="X58" s="609">
        <f t="shared" si="40"/>
        <v>-4939.962673834525</v>
      </c>
      <c r="Y58" s="611">
        <f t="shared" si="41"/>
        <v>-1.1545692917054246E-3</v>
      </c>
      <c r="Z58" s="610">
        <f t="shared" si="42"/>
        <v>4275906.5100589991</v>
      </c>
      <c r="AA58" s="609">
        <f t="shared" si="43"/>
        <v>-2712.9797575557604</v>
      </c>
      <c r="AB58" s="611">
        <f t="shared" si="44"/>
        <v>-6.3407829651897349E-4</v>
      </c>
      <c r="AC58" s="610">
        <f t="shared" si="45"/>
        <v>4305474.5542821176</v>
      </c>
      <c r="AD58" s="609">
        <f t="shared" si="46"/>
        <v>26855.064465562813</v>
      </c>
      <c r="AE58" s="611">
        <f t="shared" si="47"/>
        <v>6.2765722751181646E-3</v>
      </c>
      <c r="AF58" s="610">
        <f t="shared" si="48"/>
        <v>4298495.2842680495</v>
      </c>
      <c r="AG58" s="609">
        <f t="shared" si="49"/>
        <v>19875.794451494701</v>
      </c>
      <c r="AH58" s="611">
        <f t="shared" si="50"/>
        <v>4.6453755700409044E-3</v>
      </c>
    </row>
    <row r="61" spans="1:34">
      <c r="T61" s="604" t="s">
        <v>214</v>
      </c>
    </row>
    <row r="63" spans="1:34">
      <c r="T63" s="572" t="s">
        <v>215</v>
      </c>
      <c r="U63" s="572" t="s">
        <v>216</v>
      </c>
      <c r="V63" s="572" t="s">
        <v>217</v>
      </c>
      <c r="W63" s="572" t="s">
        <v>218</v>
      </c>
      <c r="Z63" s="572" t="s">
        <v>219</v>
      </c>
      <c r="AC63" s="572" t="s">
        <v>220</v>
      </c>
      <c r="AF63" s="572" t="s">
        <v>221</v>
      </c>
    </row>
    <row r="64" spans="1:34" ht="15">
      <c r="T64" s="608" t="s">
        <v>82</v>
      </c>
      <c r="U64" s="610">
        <v>2257448.1399023193</v>
      </c>
      <c r="V64" s="610">
        <f t="shared" ref="V64:V73" si="52">T49</f>
        <v>2302545.0132369325</v>
      </c>
      <c r="W64" s="610">
        <f t="shared" ref="W64:AH73" si="53">W49</f>
        <v>2300213.4405471212</v>
      </c>
      <c r="X64" s="609">
        <f t="shared" si="53"/>
        <v>-2331.5726898112334</v>
      </c>
      <c r="Y64" s="611">
        <f t="shared" si="53"/>
        <v>-1.0126067791975514E-3</v>
      </c>
      <c r="Z64" s="610">
        <f t="shared" si="53"/>
        <v>2301046.2652897886</v>
      </c>
      <c r="AA64" s="609">
        <f t="shared" si="53"/>
        <v>-1498.7479471438564</v>
      </c>
      <c r="AB64" s="611">
        <f t="shared" si="53"/>
        <v>-6.5090929320721813E-4</v>
      </c>
      <c r="AC64" s="610">
        <f t="shared" si="53"/>
        <v>2291626.9407534203</v>
      </c>
      <c r="AD64" s="609">
        <f t="shared" si="53"/>
        <v>-10918.072483512107</v>
      </c>
      <c r="AE64" s="611">
        <f t="shared" si="53"/>
        <v>-4.7417411693348012E-3</v>
      </c>
      <c r="AF64" s="610">
        <f t="shared" si="53"/>
        <v>2288855.961766162</v>
      </c>
      <c r="AG64" s="609">
        <f t="shared" si="53"/>
        <v>-13689.051470770501</v>
      </c>
      <c r="AH64" s="611">
        <f t="shared" si="53"/>
        <v>-5.945183000581754E-3</v>
      </c>
    </row>
    <row r="65" spans="20:34" ht="15">
      <c r="T65" s="608" t="s">
        <v>88</v>
      </c>
      <c r="U65" s="610">
        <v>2971811.8341092449</v>
      </c>
      <c r="V65" s="610">
        <f t="shared" si="52"/>
        <v>2955605.5237816013</v>
      </c>
      <c r="W65" s="610">
        <f t="shared" si="53"/>
        <v>2961002.1015986931</v>
      </c>
      <c r="X65" s="609">
        <f t="shared" si="53"/>
        <v>5396.5778170917183</v>
      </c>
      <c r="Y65" s="611">
        <f t="shared" si="53"/>
        <v>1.8258789184379964E-3</v>
      </c>
      <c r="Z65" s="610">
        <f t="shared" si="53"/>
        <v>2953080.3451393601</v>
      </c>
      <c r="AA65" s="609">
        <f t="shared" si="53"/>
        <v>-2525.1786422412843</v>
      </c>
      <c r="AB65" s="611">
        <f t="shared" si="53"/>
        <v>-8.5436930670314899E-4</v>
      </c>
      <c r="AC65" s="610">
        <f t="shared" si="53"/>
        <v>2941313.4815364797</v>
      </c>
      <c r="AD65" s="609">
        <f t="shared" si="53"/>
        <v>-14292.042245121673</v>
      </c>
      <c r="AE65" s="611">
        <f t="shared" si="53"/>
        <v>-4.8355716384084532E-3</v>
      </c>
      <c r="AF65" s="610">
        <f t="shared" si="53"/>
        <v>2944165.9686593879</v>
      </c>
      <c r="AG65" s="609">
        <f t="shared" si="53"/>
        <v>-11439.555122213438</v>
      </c>
      <c r="AH65" s="611">
        <f t="shared" si="53"/>
        <v>-3.8704607330605129E-3</v>
      </c>
    </row>
    <row r="66" spans="20:34" ht="15">
      <c r="T66" s="608" t="s">
        <v>90</v>
      </c>
      <c r="U66" s="610">
        <v>1071485.0448851464</v>
      </c>
      <c r="V66" s="610">
        <f t="shared" si="52"/>
        <v>991727.64516962832</v>
      </c>
      <c r="W66" s="610">
        <f t="shared" si="53"/>
        <v>981375.03751620231</v>
      </c>
      <c r="X66" s="609">
        <f t="shared" si="53"/>
        <v>-10352.607653426006</v>
      </c>
      <c r="Y66" s="611">
        <f t="shared" si="53"/>
        <v>-1.0438962454913983E-2</v>
      </c>
      <c r="Z66" s="610">
        <f t="shared" si="53"/>
        <v>990586.19445907464</v>
      </c>
      <c r="AA66" s="609">
        <f t="shared" si="53"/>
        <v>-1141.4507105536759</v>
      </c>
      <c r="AB66" s="611">
        <f t="shared" si="53"/>
        <v>-1.150971958998318E-3</v>
      </c>
      <c r="AC66" s="610">
        <f t="shared" si="53"/>
        <v>1007619.4542913459</v>
      </c>
      <c r="AD66" s="609">
        <f t="shared" si="53"/>
        <v>15891.809121717582</v>
      </c>
      <c r="AE66" s="611">
        <f t="shared" si="53"/>
        <v>1.6024368382913632E-2</v>
      </c>
      <c r="AF66" s="610">
        <f t="shared" si="53"/>
        <v>996259.94143299304</v>
      </c>
      <c r="AG66" s="609">
        <f t="shared" si="53"/>
        <v>4532.2962633647257</v>
      </c>
      <c r="AH66" s="611">
        <f t="shared" si="53"/>
        <v>4.5701017667905252E-3</v>
      </c>
    </row>
    <row r="67" spans="20:34" ht="15">
      <c r="T67" s="608" t="s">
        <v>205</v>
      </c>
      <c r="U67" s="610">
        <v>28692230.700066812</v>
      </c>
      <c r="V67" s="610">
        <f t="shared" si="52"/>
        <v>29276880.127124395</v>
      </c>
      <c r="W67" s="610">
        <f t="shared" si="53"/>
        <v>29332007.228416752</v>
      </c>
      <c r="X67" s="609">
        <f t="shared" si="53"/>
        <v>55127.101292356849</v>
      </c>
      <c r="Y67" s="611">
        <f t="shared" si="53"/>
        <v>1.8829568264441805E-3</v>
      </c>
      <c r="Z67" s="610">
        <f t="shared" si="53"/>
        <v>29236874.505054623</v>
      </c>
      <c r="AA67" s="609">
        <f t="shared" si="53"/>
        <v>-40005.622069772333</v>
      </c>
      <c r="AB67" s="611">
        <f t="shared" si="53"/>
        <v>-1.3664578293883162E-3</v>
      </c>
      <c r="AC67" s="610">
        <f t="shared" si="53"/>
        <v>29078748.546774913</v>
      </c>
      <c r="AD67" s="609">
        <f t="shared" si="53"/>
        <v>-198131.5803494826</v>
      </c>
      <c r="AE67" s="611">
        <f t="shared" si="53"/>
        <v>-6.7675100450993063E-3</v>
      </c>
      <c r="AF67" s="610">
        <f t="shared" si="53"/>
        <v>29100122.999939762</v>
      </c>
      <c r="AG67" s="609">
        <f t="shared" si="53"/>
        <v>-176757.12718463317</v>
      </c>
      <c r="AH67" s="611">
        <f t="shared" si="53"/>
        <v>-6.0374304371616262E-3</v>
      </c>
    </row>
    <row r="68" spans="20:34" ht="15">
      <c r="T68" s="608" t="s">
        <v>99</v>
      </c>
      <c r="U68" s="610">
        <v>2772386.3675242756</v>
      </c>
      <c r="V68" s="610">
        <f t="shared" si="52"/>
        <v>3028554.3050672058</v>
      </c>
      <c r="W68" s="610">
        <f t="shared" si="53"/>
        <v>3081802.8678428191</v>
      </c>
      <c r="X68" s="609">
        <f t="shared" si="53"/>
        <v>53248.562775613274</v>
      </c>
      <c r="Y68" s="611">
        <f t="shared" si="53"/>
        <v>1.7582172023965621E-2</v>
      </c>
      <c r="Z68" s="610">
        <f t="shared" si="53"/>
        <v>3034671.1201064922</v>
      </c>
      <c r="AA68" s="609">
        <f t="shared" si="53"/>
        <v>6116.8150392863899</v>
      </c>
      <c r="AB68" s="611">
        <f t="shared" si="53"/>
        <v>2.0197144984496667E-3</v>
      </c>
      <c r="AC68" s="610">
        <f t="shared" si="53"/>
        <v>3050530.783192195</v>
      </c>
      <c r="AD68" s="609">
        <f t="shared" si="53"/>
        <v>21976.478124989197</v>
      </c>
      <c r="AE68" s="611">
        <f t="shared" si="53"/>
        <v>7.2564253142891957E-3</v>
      </c>
      <c r="AF68" s="610">
        <f t="shared" si="53"/>
        <v>3089303.93964436</v>
      </c>
      <c r="AG68" s="609">
        <f t="shared" si="53"/>
        <v>60749.634577154182</v>
      </c>
      <c r="AH68" s="611">
        <f t="shared" si="53"/>
        <v>2.0058955018739909E-2</v>
      </c>
    </row>
    <row r="69" spans="20:34" ht="15">
      <c r="T69" s="608" t="s">
        <v>206</v>
      </c>
      <c r="U69" s="610">
        <v>56728251.939407781</v>
      </c>
      <c r="V69" s="610">
        <f t="shared" si="52"/>
        <v>54932327.820781887</v>
      </c>
      <c r="W69" s="610">
        <f t="shared" si="53"/>
        <v>54768662.329575494</v>
      </c>
      <c r="X69" s="609">
        <f t="shared" si="53"/>
        <v>-163665.49120639265</v>
      </c>
      <c r="Y69" s="611">
        <f t="shared" si="53"/>
        <v>-2.9794020697676503E-3</v>
      </c>
      <c r="Z69" s="610">
        <f t="shared" si="53"/>
        <v>54983101.257825777</v>
      </c>
      <c r="AA69" s="609">
        <f t="shared" si="53"/>
        <v>50773.437043890357</v>
      </c>
      <c r="AB69" s="611">
        <f t="shared" si="53"/>
        <v>9.242906510268413E-4</v>
      </c>
      <c r="AC69" s="610">
        <f t="shared" si="53"/>
        <v>55041662.644043505</v>
      </c>
      <c r="AD69" s="609">
        <f t="shared" si="53"/>
        <v>109334.82326161861</v>
      </c>
      <c r="AE69" s="611">
        <f t="shared" si="53"/>
        <v>1.9903548165358339E-3</v>
      </c>
      <c r="AF69" s="610">
        <f t="shared" si="53"/>
        <v>54940551.12236657</v>
      </c>
      <c r="AG69" s="609">
        <f t="shared" si="53"/>
        <v>8223.3015846833587</v>
      </c>
      <c r="AH69" s="611">
        <f t="shared" si="53"/>
        <v>1.4969876411413126E-4</v>
      </c>
    </row>
    <row r="70" spans="20:34" ht="15">
      <c r="T70" s="608" t="s">
        <v>112</v>
      </c>
      <c r="U70" s="610">
        <v>20052090.808745552</v>
      </c>
      <c r="V70" s="610">
        <f t="shared" si="52"/>
        <v>20781993.808721013</v>
      </c>
      <c r="W70" s="610">
        <f t="shared" si="53"/>
        <v>20827302.065887939</v>
      </c>
      <c r="X70" s="609">
        <f t="shared" si="53"/>
        <v>45308.257166925818</v>
      </c>
      <c r="Y70" s="611">
        <f t="shared" si="53"/>
        <v>2.1801689281570535E-3</v>
      </c>
      <c r="Z70" s="610">
        <f t="shared" si="53"/>
        <v>20776707.583475213</v>
      </c>
      <c r="AA70" s="609">
        <f t="shared" si="53"/>
        <v>-5286.2252457998693</v>
      </c>
      <c r="AB70" s="611">
        <f t="shared" si="53"/>
        <v>-2.5436564433878057E-4</v>
      </c>
      <c r="AC70" s="610">
        <f t="shared" si="53"/>
        <v>20795682.089004382</v>
      </c>
      <c r="AD70" s="609">
        <f t="shared" si="53"/>
        <v>13688.280283369124</v>
      </c>
      <c r="AE70" s="611">
        <f t="shared" si="53"/>
        <v>6.5866058903476989E-4</v>
      </c>
      <c r="AF70" s="610">
        <f t="shared" si="53"/>
        <v>20833915.375506267</v>
      </c>
      <c r="AG70" s="609">
        <f t="shared" si="53"/>
        <v>51921.566785253584</v>
      </c>
      <c r="AH70" s="611">
        <f t="shared" si="53"/>
        <v>2.4983919860213353E-3</v>
      </c>
    </row>
    <row r="71" spans="20:34" ht="15">
      <c r="T71" s="608" t="s">
        <v>115</v>
      </c>
      <c r="U71" s="610">
        <v>7455196.5558467098</v>
      </c>
      <c r="V71" s="610">
        <f t="shared" si="52"/>
        <v>7767250.6118149506</v>
      </c>
      <c r="W71" s="610">
        <f t="shared" si="53"/>
        <v>7790549.752276212</v>
      </c>
      <c r="X71" s="609">
        <f t="shared" si="53"/>
        <v>23299.140461261384</v>
      </c>
      <c r="Y71" s="611">
        <f t="shared" si="53"/>
        <v>2.9996637968421548E-3</v>
      </c>
      <c r="Z71" s="610">
        <f t="shared" si="53"/>
        <v>7764762.9358687354</v>
      </c>
      <c r="AA71" s="609">
        <f t="shared" si="53"/>
        <v>-2487.6759462151676</v>
      </c>
      <c r="AB71" s="611">
        <f t="shared" si="53"/>
        <v>-3.2027754356620143E-4</v>
      </c>
      <c r="AC71" s="610">
        <f t="shared" si="53"/>
        <v>7755133.7810257524</v>
      </c>
      <c r="AD71" s="609">
        <f t="shared" si="53"/>
        <v>-12116.830789198168</v>
      </c>
      <c r="AE71" s="611">
        <f t="shared" si="53"/>
        <v>-1.5599896790721502E-3</v>
      </c>
      <c r="AF71" s="610">
        <f t="shared" si="53"/>
        <v>7774048.5503762793</v>
      </c>
      <c r="AG71" s="609">
        <f t="shared" si="53"/>
        <v>6797.9385613286868</v>
      </c>
      <c r="AH71" s="611">
        <f t="shared" si="53"/>
        <v>8.7520525615436941E-4</v>
      </c>
    </row>
    <row r="72" spans="20:34" ht="15">
      <c r="T72" s="608" t="s">
        <v>120</v>
      </c>
      <c r="U72" s="610">
        <v>3142870.4044961301</v>
      </c>
      <c r="V72" s="610">
        <f t="shared" si="52"/>
        <v>3232911.6544858096</v>
      </c>
      <c r="W72" s="610">
        <f t="shared" si="53"/>
        <v>3231821.6491960213</v>
      </c>
      <c r="X72" s="609">
        <f t="shared" si="53"/>
        <v>-1090.0052897883579</v>
      </c>
      <c r="Y72" s="611">
        <f t="shared" si="53"/>
        <v>-3.3715900905486446E-4</v>
      </c>
      <c r="Z72" s="610">
        <f t="shared" si="53"/>
        <v>3231679.2827219102</v>
      </c>
      <c r="AA72" s="609">
        <f t="shared" si="53"/>
        <v>-1232.3717638994567</v>
      </c>
      <c r="AB72" s="611">
        <f t="shared" si="53"/>
        <v>-3.8119562042145068E-4</v>
      </c>
      <c r="AC72" s="610">
        <f t="shared" si="53"/>
        <v>3280623.7250958839</v>
      </c>
      <c r="AD72" s="609">
        <f t="shared" si="53"/>
        <v>47712.070610074326</v>
      </c>
      <c r="AE72" s="611">
        <f t="shared" si="53"/>
        <v>1.4758235210006958E-2</v>
      </c>
      <c r="AF72" s="610">
        <f t="shared" si="53"/>
        <v>3282696.8560401746</v>
      </c>
      <c r="AG72" s="609">
        <f t="shared" si="53"/>
        <v>49785.20155436499</v>
      </c>
      <c r="AH72" s="611">
        <f t="shared" si="53"/>
        <v>1.5399493359271292E-2</v>
      </c>
    </row>
    <row r="73" spans="20:34" ht="15">
      <c r="T73" s="608" t="s">
        <v>124</v>
      </c>
      <c r="U73" s="610">
        <v>4404643.8716827054</v>
      </c>
      <c r="V73" s="610">
        <f t="shared" si="52"/>
        <v>4278619.4898165548</v>
      </c>
      <c r="W73" s="610">
        <f t="shared" si="53"/>
        <v>4273679.5271427203</v>
      </c>
      <c r="X73" s="609">
        <f t="shared" si="53"/>
        <v>-4939.962673834525</v>
      </c>
      <c r="Y73" s="611">
        <f t="shared" si="53"/>
        <v>-1.1545692917054246E-3</v>
      </c>
      <c r="Z73" s="610">
        <f t="shared" si="53"/>
        <v>4275906.5100589991</v>
      </c>
      <c r="AA73" s="609">
        <f t="shared" si="53"/>
        <v>-2712.9797575557604</v>
      </c>
      <c r="AB73" s="611">
        <f t="shared" si="53"/>
        <v>-6.3407829651897349E-4</v>
      </c>
      <c r="AC73" s="610">
        <f t="shared" si="53"/>
        <v>4305474.5542821176</v>
      </c>
      <c r="AD73" s="609">
        <f t="shared" si="53"/>
        <v>26855.064465562813</v>
      </c>
      <c r="AE73" s="611">
        <f t="shared" si="53"/>
        <v>6.2765722751181646E-3</v>
      </c>
      <c r="AF73" s="610">
        <f t="shared" si="53"/>
        <v>4298495.2842680495</v>
      </c>
      <c r="AG73" s="609">
        <f t="shared" si="53"/>
        <v>19875.794451494701</v>
      </c>
      <c r="AH73" s="611">
        <f t="shared" si="53"/>
        <v>4.6453755700409044E-3</v>
      </c>
    </row>
  </sheetData>
  <conditionalFormatting sqref="E5:E43">
    <cfRule type="expression" dxfId="901" priority="31">
      <formula>F5&gt;5%</formula>
    </cfRule>
    <cfRule type="expression" dxfId="900" priority="30">
      <formula>F5&lt;-5%</formula>
    </cfRule>
    <cfRule type="cellIs" dxfId="899" priority="110" operator="lessThan">
      <formula>-500000</formula>
    </cfRule>
    <cfRule type="cellIs" dxfId="898" priority="111" operator="greaterThan">
      <formula>500000</formula>
    </cfRule>
  </conditionalFormatting>
  <conditionalFormatting sqref="E49:E58">
    <cfRule type="cellIs" dxfId="897" priority="106" operator="lessThan">
      <formula>-1000000</formula>
    </cfRule>
    <cfRule type="cellIs" dxfId="896" priority="107" operator="greaterThan">
      <formula>1000000</formula>
    </cfRule>
  </conditionalFormatting>
  <conditionalFormatting sqref="F5:F43">
    <cfRule type="expression" dxfId="895" priority="13">
      <formula>E5&gt;500000</formula>
    </cfRule>
    <cfRule type="cellIs" dxfId="894" priority="109" operator="greaterThan">
      <formula>0.05</formula>
    </cfRule>
    <cfRule type="cellIs" dxfId="893" priority="108" operator="lessThan">
      <formula>-0.05</formula>
    </cfRule>
  </conditionalFormatting>
  <conditionalFormatting sqref="F49:F58">
    <cfRule type="cellIs" dxfId="892" priority="104" operator="lessThan">
      <formula>-0.05</formula>
    </cfRule>
    <cfRule type="cellIs" dxfId="891" priority="105" operator="greaterThan">
      <formula>0.05</formula>
    </cfRule>
  </conditionalFormatting>
  <conditionalFormatting sqref="H5:H43">
    <cfRule type="expression" dxfId="890" priority="27">
      <formula>I5&gt;5%</formula>
    </cfRule>
    <cfRule type="cellIs" dxfId="889" priority="28" operator="lessThan">
      <formula>-500000</formula>
    </cfRule>
    <cfRule type="cellIs" dxfId="888" priority="29" operator="greaterThan">
      <formula>500000</formula>
    </cfRule>
    <cfRule type="expression" dxfId="887" priority="26">
      <formula>I5&lt;-5%</formula>
    </cfRule>
  </conditionalFormatting>
  <conditionalFormatting sqref="H49:H58">
    <cfRule type="cellIs" dxfId="886" priority="102" operator="lessThan">
      <formula>-1000000</formula>
    </cfRule>
    <cfRule type="cellIs" dxfId="885" priority="103" operator="greaterThan">
      <formula>1000000</formula>
    </cfRule>
  </conditionalFormatting>
  <conditionalFormatting sqref="I5:I43">
    <cfRule type="expression" dxfId="884" priority="10">
      <formula>H5&gt;500000</formula>
    </cfRule>
    <cfRule type="cellIs" dxfId="883" priority="12" operator="greaterThan">
      <formula>0.05</formula>
    </cfRule>
    <cfRule type="cellIs" dxfId="882" priority="11" operator="lessThan">
      <formula>-0.05</formula>
    </cfRule>
  </conditionalFormatting>
  <conditionalFormatting sqref="I49:I58">
    <cfRule type="cellIs" dxfId="881" priority="101" operator="greaterThan">
      <formula>0.05</formula>
    </cfRule>
    <cfRule type="cellIs" dxfId="880" priority="100" operator="lessThan">
      <formula>-0.05</formula>
    </cfRule>
  </conditionalFormatting>
  <conditionalFormatting sqref="K5:K43">
    <cfRule type="cellIs" dxfId="879" priority="24" operator="lessThan">
      <formula>-500000</formula>
    </cfRule>
    <cfRule type="cellIs" dxfId="878" priority="25" operator="greaterThan">
      <formula>500000</formula>
    </cfRule>
    <cfRule type="expression" dxfId="877" priority="22">
      <formula>L5&lt;-5%</formula>
    </cfRule>
    <cfRule type="expression" dxfId="876" priority="23">
      <formula>L5&gt;5%</formula>
    </cfRule>
  </conditionalFormatting>
  <conditionalFormatting sqref="K49:K58">
    <cfRule type="cellIs" dxfId="875" priority="99" operator="greaterThan">
      <formula>1000000</formula>
    </cfRule>
    <cfRule type="cellIs" dxfId="874" priority="98" operator="lessThan">
      <formula>-1000000</formula>
    </cfRule>
  </conditionalFormatting>
  <conditionalFormatting sqref="L5:L43">
    <cfRule type="cellIs" dxfId="873" priority="9" operator="greaterThan">
      <formula>0.05</formula>
    </cfRule>
    <cfRule type="cellIs" dxfId="872" priority="8" operator="lessThan">
      <formula>-0.05</formula>
    </cfRule>
    <cfRule type="expression" dxfId="871" priority="7">
      <formula>K5&gt;500000</formula>
    </cfRule>
  </conditionalFormatting>
  <conditionalFormatting sqref="L49:L58">
    <cfRule type="cellIs" dxfId="870" priority="96" operator="lessThan">
      <formula>-0.05</formula>
    </cfRule>
    <cfRule type="cellIs" dxfId="869" priority="97" operator="greaterThan">
      <formula>0.05</formula>
    </cfRule>
  </conditionalFormatting>
  <conditionalFormatting sqref="N5:N43">
    <cfRule type="expression" dxfId="868" priority="18">
      <formula>O5&lt;-5%</formula>
    </cfRule>
    <cfRule type="cellIs" dxfId="867" priority="21" operator="greaterThan">
      <formula>500000</formula>
    </cfRule>
    <cfRule type="cellIs" dxfId="866" priority="20" operator="lessThan">
      <formula>-500000</formula>
    </cfRule>
    <cfRule type="expression" dxfId="865" priority="19">
      <formula>O5&gt;5%</formula>
    </cfRule>
  </conditionalFormatting>
  <conditionalFormatting sqref="N49:N58">
    <cfRule type="cellIs" dxfId="864" priority="95" operator="greaterThan">
      <formula>1000000</formula>
    </cfRule>
    <cfRule type="cellIs" dxfId="863" priority="94" operator="lessThan">
      <formula>-1000000</formula>
    </cfRule>
  </conditionalFormatting>
  <conditionalFormatting sqref="O5:O43">
    <cfRule type="expression" dxfId="862" priority="4">
      <formula>N5&gt;500000</formula>
    </cfRule>
    <cfRule type="cellIs" dxfId="861" priority="5" operator="lessThan">
      <formula>-0.05</formula>
    </cfRule>
    <cfRule type="cellIs" dxfId="860" priority="6" operator="greaterThan">
      <formula>0.05</formula>
    </cfRule>
  </conditionalFormatting>
  <conditionalFormatting sqref="O49:O58">
    <cfRule type="cellIs" dxfId="859" priority="92" operator="lessThan">
      <formula>-0.05</formula>
    </cfRule>
    <cfRule type="cellIs" dxfId="858" priority="93" operator="greaterThan">
      <formula>0.05</formula>
    </cfRule>
  </conditionalFormatting>
  <conditionalFormatting sqref="Q5:Q43">
    <cfRule type="cellIs" dxfId="857" priority="17" operator="greaterThan">
      <formula>500000</formula>
    </cfRule>
    <cfRule type="expression" dxfId="856" priority="14">
      <formula>R5&lt;-5%</formula>
    </cfRule>
    <cfRule type="expression" dxfId="855" priority="15">
      <formula>R5&gt;5%</formula>
    </cfRule>
    <cfRule type="cellIs" dxfId="854" priority="16" operator="lessThan">
      <formula>-500000</formula>
    </cfRule>
  </conditionalFormatting>
  <conditionalFormatting sqref="Q49:Q58">
    <cfRule type="cellIs" dxfId="853" priority="91" operator="greaterThan">
      <formula>1000000</formula>
    </cfRule>
    <cfRule type="cellIs" dxfId="852" priority="90" operator="lessThan">
      <formula>-1000000</formula>
    </cfRule>
  </conditionalFormatting>
  <conditionalFormatting sqref="R5:R43">
    <cfRule type="cellIs" dxfId="851" priority="2" operator="lessThan">
      <formula>-0.05</formula>
    </cfRule>
    <cfRule type="cellIs" dxfId="850" priority="3" operator="greaterThan">
      <formula>0.05</formula>
    </cfRule>
    <cfRule type="expression" dxfId="849" priority="1">
      <formula>Q5&gt;500000</formula>
    </cfRule>
  </conditionalFormatting>
  <conditionalFormatting sqref="R49:R58">
    <cfRule type="cellIs" dxfId="848" priority="89" operator="greaterThan">
      <formula>0.05</formula>
    </cfRule>
    <cfRule type="cellIs" dxfId="847" priority="88" operator="lessThan">
      <formula>-0.05</formula>
    </cfRule>
  </conditionalFormatting>
  <conditionalFormatting sqref="U5:U43">
    <cfRule type="cellIs" dxfId="846" priority="86" operator="lessThan">
      <formula>-500000</formula>
    </cfRule>
    <cfRule type="cellIs" dxfId="845" priority="87" operator="greaterThan">
      <formula>500000</formula>
    </cfRule>
  </conditionalFormatting>
  <conditionalFormatting sqref="U49:U58">
    <cfRule type="cellIs" dxfId="844" priority="83" operator="greaterThan">
      <formula>1000000</formula>
    </cfRule>
    <cfRule type="cellIs" dxfId="843" priority="82" operator="lessThan">
      <formula>-1000000</formula>
    </cfRule>
  </conditionalFormatting>
  <conditionalFormatting sqref="V5:V43">
    <cfRule type="cellIs" dxfId="842" priority="85" operator="greaterThan">
      <formula>0.05</formula>
    </cfRule>
    <cfRule type="cellIs" dxfId="841" priority="84" operator="lessThan">
      <formula>-0.05</formula>
    </cfRule>
  </conditionalFormatting>
  <conditionalFormatting sqref="V49:V58">
    <cfRule type="cellIs" dxfId="840" priority="80" operator="lessThan">
      <formula>-0.05</formula>
    </cfRule>
    <cfRule type="cellIs" dxfId="839" priority="81" operator="greaterThan">
      <formula>0.05</formula>
    </cfRule>
  </conditionalFormatting>
  <conditionalFormatting sqref="X5:X43">
    <cfRule type="cellIs" dxfId="838" priority="78" operator="lessThan">
      <formula>-500000</formula>
    </cfRule>
    <cfRule type="cellIs" dxfId="837" priority="79" operator="greaterThan">
      <formula>500000</formula>
    </cfRule>
  </conditionalFormatting>
  <conditionalFormatting sqref="X49:X58">
    <cfRule type="cellIs" dxfId="836" priority="74" operator="lessThan">
      <formula>-1000000</formula>
    </cfRule>
    <cfRule type="cellIs" dxfId="835" priority="75" operator="greaterThan">
      <formula>1000000</formula>
    </cfRule>
  </conditionalFormatting>
  <conditionalFormatting sqref="X64:X73">
    <cfRule type="cellIs" dxfId="834" priority="46" operator="lessThan">
      <formula>-1000000</formula>
    </cfRule>
    <cfRule type="cellIs" dxfId="833" priority="47" operator="greaterThan">
      <formula>1000000</formula>
    </cfRule>
  </conditionalFormatting>
  <conditionalFormatting sqref="Y5:Y43">
    <cfRule type="cellIs" dxfId="832" priority="76" operator="lessThan">
      <formula>-0.05</formula>
    </cfRule>
    <cfRule type="cellIs" dxfId="831" priority="77" operator="greaterThan">
      <formula>0.05</formula>
    </cfRule>
  </conditionalFormatting>
  <conditionalFormatting sqref="Y49:Y58">
    <cfRule type="cellIs" dxfId="830" priority="73" operator="greaterThan">
      <formula>0.05</formula>
    </cfRule>
    <cfRule type="cellIs" dxfId="829" priority="72" operator="lessThan">
      <formula>-0.05</formula>
    </cfRule>
  </conditionalFormatting>
  <conditionalFormatting sqref="Y64:Y73">
    <cfRule type="cellIs" dxfId="828" priority="44" operator="lessThan">
      <formula>-0.05</formula>
    </cfRule>
    <cfRule type="cellIs" dxfId="827" priority="45" operator="greaterThan">
      <formula>0.05</formula>
    </cfRule>
  </conditionalFormatting>
  <conditionalFormatting sqref="AA5:AA43">
    <cfRule type="cellIs" dxfId="826" priority="70" operator="lessThan">
      <formula>-500000</formula>
    </cfRule>
    <cfRule type="cellIs" dxfId="825" priority="71" operator="greaterThan">
      <formula>500000</formula>
    </cfRule>
  </conditionalFormatting>
  <conditionalFormatting sqref="AA49:AA58">
    <cfRule type="cellIs" dxfId="824" priority="66" operator="lessThan">
      <formula>-1000000</formula>
    </cfRule>
    <cfRule type="cellIs" dxfId="823" priority="67" operator="greaterThan">
      <formula>1000000</formula>
    </cfRule>
  </conditionalFormatting>
  <conditionalFormatting sqref="AA64:AA73">
    <cfRule type="cellIs" dxfId="822" priority="43" operator="greaterThan">
      <formula>1000000</formula>
    </cfRule>
    <cfRule type="cellIs" dxfId="821" priority="42" operator="lessThan">
      <formula>-1000000</formula>
    </cfRule>
  </conditionalFormatting>
  <conditionalFormatting sqref="AB5:AB43">
    <cfRule type="cellIs" dxfId="820" priority="68" operator="lessThan">
      <formula>-0.05</formula>
    </cfRule>
    <cfRule type="cellIs" dxfId="819" priority="69" operator="greaterThan">
      <formula>0.05</formula>
    </cfRule>
  </conditionalFormatting>
  <conditionalFormatting sqref="AB49:AB58">
    <cfRule type="cellIs" dxfId="818" priority="65" operator="greaterThan">
      <formula>0.05</formula>
    </cfRule>
    <cfRule type="cellIs" dxfId="817" priority="64" operator="lessThan">
      <formula>-0.05</formula>
    </cfRule>
  </conditionalFormatting>
  <conditionalFormatting sqref="AB64:AB73">
    <cfRule type="cellIs" dxfId="816" priority="41" operator="greaterThan">
      <formula>0.05</formula>
    </cfRule>
    <cfRule type="cellIs" dxfId="815" priority="40" operator="lessThan">
      <formula>-0.05</formula>
    </cfRule>
  </conditionalFormatting>
  <conditionalFormatting sqref="AD5:AD43">
    <cfRule type="cellIs" dxfId="814" priority="62" operator="lessThan">
      <formula>-500000</formula>
    </cfRule>
    <cfRule type="cellIs" dxfId="813" priority="63" operator="greaterThan">
      <formula>500000</formula>
    </cfRule>
  </conditionalFormatting>
  <conditionalFormatting sqref="AD49:AD58">
    <cfRule type="cellIs" dxfId="812" priority="59" operator="greaterThan">
      <formula>1000000</formula>
    </cfRule>
    <cfRule type="cellIs" dxfId="811" priority="58" operator="lessThan">
      <formula>-1000000</formula>
    </cfRule>
  </conditionalFormatting>
  <conditionalFormatting sqref="AD64:AD73">
    <cfRule type="cellIs" dxfId="810" priority="39" operator="greaterThan">
      <formula>1000000</formula>
    </cfRule>
    <cfRule type="cellIs" dxfId="809" priority="38" operator="lessThan">
      <formula>-1000000</formula>
    </cfRule>
  </conditionalFormatting>
  <conditionalFormatting sqref="AE5:AE43">
    <cfRule type="cellIs" dxfId="808" priority="61" operator="greaterThan">
      <formula>0.05</formula>
    </cfRule>
    <cfRule type="cellIs" dxfId="807" priority="60" operator="lessThan">
      <formula>-0.05</formula>
    </cfRule>
  </conditionalFormatting>
  <conditionalFormatting sqref="AE49:AE58">
    <cfRule type="cellIs" dxfId="806" priority="57" operator="greaterThan">
      <formula>0.05</formula>
    </cfRule>
    <cfRule type="cellIs" dxfId="805" priority="56" operator="lessThan">
      <formula>-0.05</formula>
    </cfRule>
  </conditionalFormatting>
  <conditionalFormatting sqref="AE64:AE73">
    <cfRule type="cellIs" dxfId="804" priority="36" operator="lessThan">
      <formula>-0.05</formula>
    </cfRule>
    <cfRule type="cellIs" dxfId="803" priority="37" operator="greaterThan">
      <formula>0.05</formula>
    </cfRule>
  </conditionalFormatting>
  <conditionalFormatting sqref="AG5:AG43">
    <cfRule type="cellIs" dxfId="802" priority="55" operator="greaterThan">
      <formula>500000</formula>
    </cfRule>
    <cfRule type="cellIs" dxfId="801" priority="54" operator="lessThan">
      <formula>-500000</formula>
    </cfRule>
  </conditionalFormatting>
  <conditionalFormatting sqref="AG49:AG58">
    <cfRule type="cellIs" dxfId="800" priority="51" operator="greaterThan">
      <formula>1000000</formula>
    </cfRule>
    <cfRule type="cellIs" dxfId="799" priority="50" operator="lessThan">
      <formula>-1000000</formula>
    </cfRule>
  </conditionalFormatting>
  <conditionalFormatting sqref="AG64:AG73">
    <cfRule type="cellIs" dxfId="798" priority="35" operator="greaterThan">
      <formula>1000000</formula>
    </cfRule>
    <cfRule type="cellIs" dxfId="797" priority="34" operator="lessThan">
      <formula>-1000000</formula>
    </cfRule>
  </conditionalFormatting>
  <conditionalFormatting sqref="AH5:AH43">
    <cfRule type="cellIs" dxfId="796" priority="53" operator="greaterThan">
      <formula>0.05</formula>
    </cfRule>
    <cfRule type="cellIs" dxfId="795" priority="52" operator="lessThan">
      <formula>-0.05</formula>
    </cfRule>
  </conditionalFormatting>
  <conditionalFormatting sqref="AH49:AH58">
    <cfRule type="cellIs" dxfId="794" priority="48" operator="lessThan">
      <formula>-0.05</formula>
    </cfRule>
    <cfRule type="cellIs" dxfId="793" priority="49" operator="greaterThan">
      <formula>0.05</formula>
    </cfRule>
  </conditionalFormatting>
  <conditionalFormatting sqref="AH64:AH73">
    <cfRule type="cellIs" dxfId="792" priority="33" operator="greaterThan">
      <formula>0.05</formula>
    </cfRule>
    <cfRule type="cellIs" dxfId="791" priority="32" operator="lessThan">
      <formula>-0.05</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3E132-6728-4B6D-AC68-C6069C069870}">
  <sheetPr>
    <tabColor theme="5"/>
    <pageSetUpPr fitToPage="1"/>
  </sheetPr>
  <dimension ref="A1:DF87"/>
  <sheetViews>
    <sheetView zoomScale="80" zoomScaleNormal="80" workbookViewId="0">
      <pane xSplit="2" topLeftCell="C1" activePane="topRight" state="frozen"/>
      <selection pane="topRight" activeCell="A2" sqref="A2"/>
    </sheetView>
  </sheetViews>
  <sheetFormatPr defaultColWidth="9.28515625" defaultRowHeight="14.25"/>
  <cols>
    <col min="1" max="1" width="21.28515625" style="10" customWidth="1"/>
    <col min="2" max="2" width="49.42578125" style="1" bestFit="1" customWidth="1"/>
    <col min="3" max="3" width="5.85546875" style="1" customWidth="1"/>
    <col min="4" max="4" width="21.28515625" style="1" customWidth="1"/>
    <col min="5" max="5" width="17.42578125" style="1" customWidth="1"/>
    <col min="6" max="6" width="14.28515625" style="1" customWidth="1"/>
    <col min="7" max="7" width="13.5703125" style="1" customWidth="1"/>
    <col min="8" max="8" width="16.28515625" style="1" customWidth="1"/>
    <col min="9" max="9" width="17.42578125" style="4" customWidth="1"/>
    <col min="10" max="10" width="8" style="1" customWidth="1"/>
    <col min="11" max="11" width="8.7109375" style="1" customWidth="1"/>
    <col min="12" max="12" width="11.5703125" style="1" customWidth="1"/>
    <col min="13" max="14" width="8.7109375" style="1" customWidth="1"/>
    <col min="15" max="17" width="15.7109375" style="1" customWidth="1"/>
    <col min="18" max="21" width="8.7109375" style="1" customWidth="1"/>
    <col min="22" max="23" width="15.7109375" style="1" customWidth="1"/>
    <col min="24" max="24" width="15.7109375" style="5" customWidth="1"/>
    <col min="25" max="28" width="10.7109375" style="1" customWidth="1"/>
    <col min="29" max="30" width="15.7109375" style="1" customWidth="1"/>
    <col min="31" max="31" width="15.7109375" style="5" customWidth="1"/>
    <col min="32" max="35" width="8.7109375" style="1" customWidth="1"/>
    <col min="36" max="37" width="15.7109375" style="1" customWidth="1"/>
    <col min="38" max="38" width="15.7109375" style="5" customWidth="1"/>
    <col min="39" max="41" width="8.7109375" style="1" customWidth="1"/>
    <col min="42" max="42" width="9.28515625" style="1" customWidth="1"/>
    <col min="43" max="44" width="15.7109375" style="1" customWidth="1"/>
    <col min="45" max="45" width="15.7109375" style="5" customWidth="1"/>
    <col min="46" max="46" width="9.28515625" style="1" customWidth="1"/>
    <col min="47" max="51" width="17.7109375" style="1" customWidth="1"/>
    <col min="52" max="52" width="9.28515625" style="1" customWidth="1"/>
    <col min="53" max="53" width="20.28515625" style="1" customWidth="1"/>
    <col min="54" max="58" width="17.7109375" style="1" customWidth="1"/>
    <col min="59" max="59" width="14.28515625" style="1" bestFit="1" customWidth="1"/>
    <col min="60" max="60" width="15.7109375" style="6" customWidth="1"/>
    <col min="61" max="61" width="18.5703125" style="1" customWidth="1"/>
    <col min="62" max="62" width="23.5703125" style="1" customWidth="1"/>
    <col min="63" max="63" width="24.85546875" style="1" customWidth="1"/>
    <col min="64" max="64" width="9.28515625" style="1" customWidth="1"/>
    <col min="65" max="67" width="16.5703125" style="1" customWidth="1"/>
    <col min="68" max="68" width="23.140625" style="1" customWidth="1"/>
    <col min="69" max="69" width="23.28515625" style="1" customWidth="1"/>
    <col min="70" max="70" width="22.5703125" style="1" customWidth="1"/>
    <col min="71" max="74" width="21.7109375" style="1" customWidth="1"/>
    <col min="75" max="76" width="23.85546875" style="1" customWidth="1"/>
    <col min="77" max="77" width="26.7109375" style="1" customWidth="1"/>
    <col min="78" max="78" width="21.7109375" style="1" customWidth="1"/>
    <col min="79" max="79" width="21.7109375" style="1" hidden="1" customWidth="1"/>
    <col min="80" max="80" width="18.42578125" style="1" hidden="1" customWidth="1"/>
    <col min="81" max="81" width="18.42578125" style="8" hidden="1" customWidth="1"/>
    <col min="82" max="82" width="20.5703125" style="8" hidden="1" customWidth="1"/>
    <col min="83" max="83" width="22.42578125" style="1" hidden="1" customWidth="1"/>
    <col min="84" max="84" width="12.42578125" style="1" hidden="1" customWidth="1"/>
    <col min="85" max="85" width="16.85546875" style="1" hidden="1" customWidth="1"/>
    <col min="86" max="86" width="15.140625" style="1" hidden="1" customWidth="1"/>
    <col min="87" max="87" width="18.28515625" style="1" hidden="1" customWidth="1"/>
    <col min="88" max="88" width="15.85546875" style="1" hidden="1" customWidth="1"/>
    <col min="89" max="89" width="9.28515625" style="1" hidden="1" customWidth="1"/>
    <col min="90" max="91" width="21.7109375" style="1" hidden="1" customWidth="1"/>
    <col min="92" max="92" width="18.42578125" style="1" hidden="1" customWidth="1"/>
    <col min="93" max="93" width="18.42578125" style="8" hidden="1" customWidth="1"/>
    <col min="94" max="94" width="19.140625" style="536" hidden="1" customWidth="1"/>
    <col min="95" max="96" width="18" style="537" hidden="1" customWidth="1"/>
    <col min="97" max="97" width="22.42578125" style="1" hidden="1" customWidth="1"/>
    <col min="98" max="98" width="17.5703125" style="1" hidden="1" customWidth="1"/>
    <col min="99" max="99" width="18.5703125" style="1" hidden="1" customWidth="1"/>
    <col min="100" max="100" width="17.28515625" style="1" hidden="1" customWidth="1"/>
    <col min="101" max="102" width="9.28515625" style="1" hidden="1" customWidth="1"/>
    <col min="103" max="103" width="17.140625" style="1" hidden="1" customWidth="1"/>
    <col min="104" max="104" width="20.28515625" style="1" hidden="1" customWidth="1"/>
    <col min="105" max="105" width="17.140625" style="1" hidden="1" customWidth="1"/>
    <col min="106" max="109" width="9.28515625" style="1"/>
    <col min="110" max="110" width="13.85546875" style="1" customWidth="1"/>
    <col min="111" max="16384" width="9.28515625" style="1"/>
  </cols>
  <sheetData>
    <row r="1" spans="1:110" s="371" customFormat="1" ht="20.25">
      <c r="A1" s="370" t="s">
        <v>438</v>
      </c>
      <c r="D1" s="372"/>
      <c r="G1" s="373"/>
      <c r="I1" s="374"/>
      <c r="X1" s="375"/>
      <c r="AE1" s="375"/>
      <c r="AL1" s="375"/>
      <c r="AS1" s="375"/>
      <c r="BH1" s="376"/>
      <c r="BP1" s="377"/>
      <c r="BQ1" s="377"/>
      <c r="BR1" s="377"/>
      <c r="BS1" s="377"/>
      <c r="BT1" s="377"/>
      <c r="BU1" s="377"/>
      <c r="BV1" s="377"/>
      <c r="BW1" s="377"/>
      <c r="BX1" s="377"/>
      <c r="BY1" s="377"/>
      <c r="BZ1" s="377"/>
      <c r="CC1" s="378"/>
      <c r="CD1" s="378"/>
      <c r="CM1" s="377"/>
      <c r="CN1" s="377"/>
      <c r="CO1" s="377"/>
      <c r="CP1" s="379"/>
      <c r="CQ1" s="380"/>
      <c r="CR1" s="380"/>
      <c r="CT1" s="379"/>
      <c r="CU1" s="379"/>
      <c r="CV1" s="379"/>
    </row>
    <row r="2" spans="1:110" ht="15" customHeight="1">
      <c r="A2" s="1149" t="str" cm="1">
        <f t="array" aca="1" ref="A2" ca="1">"Scenario "&amp;MID(CELL("filename",A1),FIND("]",CELL("filename",A1))+1,500)</f>
        <v>Scenario S6C-26</v>
      </c>
      <c r="B2" s="11"/>
      <c r="C2" s="11"/>
      <c r="D2" s="381"/>
      <c r="E2" s="13"/>
      <c r="F2" s="10"/>
      <c r="G2" s="382"/>
      <c r="I2" s="15"/>
      <c r="M2" s="16"/>
      <c r="O2" s="17"/>
      <c r="P2" s="17"/>
      <c r="S2" s="16"/>
      <c r="Z2" s="16"/>
      <c r="AG2" s="16"/>
      <c r="AN2" s="16"/>
      <c r="CP2" s="9"/>
      <c r="CQ2" s="379"/>
      <c r="CR2" s="379"/>
      <c r="CS2" s="379"/>
      <c r="CT2" s="379"/>
      <c r="CU2" s="379"/>
      <c r="CV2" s="379"/>
    </row>
    <row r="3" spans="1:110" s="9" customFormat="1" ht="15" customHeight="1">
      <c r="B3" s="383"/>
      <c r="C3" s="383"/>
      <c r="D3" s="1156" t="s">
        <v>157</v>
      </c>
      <c r="E3" s="1156"/>
      <c r="F3" s="1156"/>
      <c r="G3" s="1156"/>
      <c r="H3" s="1156"/>
      <c r="I3" s="1156"/>
      <c r="K3" s="1156" t="s">
        <v>158</v>
      </c>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U3" s="1156" t="s">
        <v>159</v>
      </c>
      <c r="AV3" s="1156"/>
      <c r="AW3" s="1156"/>
      <c r="AX3" s="1156"/>
      <c r="AY3" s="1156"/>
      <c r="AZ3" s="383"/>
      <c r="BA3" s="1156" t="s">
        <v>160</v>
      </c>
      <c r="BB3" s="1156"/>
      <c r="BC3" s="1156"/>
      <c r="BD3" s="1156"/>
      <c r="BE3" s="1156"/>
      <c r="BF3" s="1156"/>
      <c r="BH3" s="1156" t="s">
        <v>161</v>
      </c>
      <c r="BI3" s="1156"/>
      <c r="BJ3" s="1156"/>
      <c r="BK3" s="1156"/>
      <c r="BL3" s="1156"/>
      <c r="BM3" s="1156"/>
      <c r="BN3" s="1156"/>
      <c r="BO3" s="1156"/>
      <c r="BP3" s="1156"/>
      <c r="BQ3" s="1156"/>
      <c r="BR3" s="1156"/>
      <c r="BS3" s="1156"/>
      <c r="BT3" s="1156"/>
      <c r="BU3" s="1156"/>
      <c r="BV3" s="1156"/>
      <c r="BW3" s="1156"/>
      <c r="BX3" s="1156"/>
      <c r="BY3" s="1156"/>
      <c r="BZ3" s="1156"/>
      <c r="CA3" s="1156"/>
      <c r="CB3" s="1156"/>
      <c r="CC3" s="1156"/>
      <c r="CD3" s="1156"/>
      <c r="CE3" s="1156"/>
      <c r="CG3" s="1156" t="s">
        <v>162</v>
      </c>
      <c r="CH3" s="1156"/>
      <c r="CI3" s="1156"/>
      <c r="CJ3" s="1156"/>
      <c r="CK3" s="1156"/>
      <c r="CL3" s="1156"/>
      <c r="CM3" s="1156"/>
      <c r="CN3" s="1156"/>
      <c r="CO3" s="1156"/>
      <c r="CP3" s="1156"/>
      <c r="CQ3" s="1156"/>
      <c r="CR3" s="384"/>
      <c r="CS3" s="1156" t="s">
        <v>163</v>
      </c>
      <c r="CT3" s="1156"/>
      <c r="CU3" s="1156"/>
      <c r="CV3" s="1156"/>
      <c r="CW3" s="383"/>
      <c r="CY3" s="1156" t="s">
        <v>164</v>
      </c>
      <c r="CZ3" s="1156"/>
    </row>
    <row r="4" spans="1:110" s="9" customFormat="1" ht="15" customHeight="1">
      <c r="B4" s="383"/>
      <c r="C4" s="383"/>
      <c r="D4" s="385"/>
      <c r="E4" s="385"/>
      <c r="F4" s="385"/>
      <c r="G4" s="385"/>
      <c r="H4" s="385"/>
      <c r="I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U4" s="385"/>
      <c r="AV4" s="385"/>
      <c r="AW4" s="385"/>
      <c r="AX4" s="385"/>
      <c r="AY4" s="385"/>
      <c r="AZ4" s="383"/>
      <c r="BA4" s="385"/>
      <c r="BB4" s="385"/>
      <c r="BC4" s="385"/>
      <c r="BD4" s="385"/>
      <c r="BE4" s="385"/>
      <c r="BF4" s="385"/>
      <c r="BH4" s="385"/>
      <c r="BI4" s="385"/>
      <c r="BJ4" s="385"/>
      <c r="BK4" s="385"/>
      <c r="BL4" s="385"/>
      <c r="BM4" s="385"/>
      <c r="BN4" s="385"/>
      <c r="BO4" s="385"/>
      <c r="BP4" s="385"/>
      <c r="BQ4" s="385"/>
      <c r="BR4" s="385"/>
      <c r="BS4" s="385"/>
      <c r="BT4" s="385"/>
      <c r="BU4" s="385"/>
      <c r="BV4" s="385"/>
      <c r="BW4" s="385"/>
      <c r="BX4" s="385"/>
      <c r="BY4" s="385"/>
      <c r="BZ4" s="385"/>
      <c r="CA4" s="385"/>
      <c r="CB4" s="385"/>
      <c r="CC4" s="385"/>
      <c r="CD4" s="385"/>
      <c r="CE4" s="385"/>
      <c r="CO4" s="386"/>
      <c r="CP4" s="384"/>
      <c r="CQ4" s="384"/>
      <c r="CR4" s="384"/>
      <c r="CS4" s="384"/>
      <c r="CT4" s="384"/>
      <c r="CU4" s="384"/>
      <c r="CV4" s="384"/>
    </row>
    <row r="5" spans="1:110" ht="15" customHeight="1">
      <c r="B5" s="11"/>
      <c r="C5" s="11"/>
      <c r="D5" s="387" t="s">
        <v>3</v>
      </c>
      <c r="E5" s="13"/>
      <c r="F5" s="10"/>
      <c r="G5" s="382"/>
      <c r="I5" s="15"/>
      <c r="M5" s="16"/>
      <c r="O5" s="17"/>
      <c r="P5" s="17"/>
      <c r="S5" s="16"/>
      <c r="Z5" s="16"/>
      <c r="AG5" s="16"/>
      <c r="AN5" s="16"/>
      <c r="AU5" s="1157" t="s">
        <v>4</v>
      </c>
      <c r="AV5" s="1158"/>
      <c r="AW5" s="1158"/>
      <c r="AX5" s="1158"/>
      <c r="AY5" s="1159"/>
      <c r="BA5" s="25" t="s">
        <v>5</v>
      </c>
      <c r="BJ5" s="25" t="s">
        <v>6</v>
      </c>
      <c r="BP5" s="25" t="s">
        <v>165</v>
      </c>
      <c r="BQ5" s="7"/>
      <c r="BR5" s="7"/>
      <c r="BS5" s="7"/>
      <c r="BT5" s="7"/>
      <c r="BU5" s="7" t="s">
        <v>142</v>
      </c>
      <c r="BV5" s="7"/>
      <c r="BW5" s="7"/>
      <c r="BX5" s="7"/>
      <c r="BY5" s="7"/>
      <c r="BZ5" s="7"/>
      <c r="CM5" s="25" t="s">
        <v>7</v>
      </c>
      <c r="CP5" s="388"/>
      <c r="CQ5" s="388"/>
      <c r="CR5" s="388"/>
      <c r="CS5" s="388"/>
      <c r="CT5" s="388"/>
      <c r="CU5" s="388"/>
      <c r="CV5" s="388"/>
    </row>
    <row r="6" spans="1:110">
      <c r="B6" s="26"/>
      <c r="C6" s="26"/>
      <c r="D6" s="27">
        <v>0.35</v>
      </c>
      <c r="E6" s="27">
        <v>0.35</v>
      </c>
      <c r="F6" s="27">
        <v>0.15</v>
      </c>
      <c r="G6" s="27">
        <v>0.15</v>
      </c>
      <c r="I6" s="15"/>
      <c r="M6" s="16"/>
      <c r="O6" s="17"/>
      <c r="P6" s="17"/>
      <c r="S6" s="16"/>
      <c r="Z6" s="16"/>
      <c r="AG6" s="16"/>
      <c r="AN6" s="16"/>
      <c r="AU6" s="28">
        <v>0</v>
      </c>
      <c r="AV6" s="28">
        <v>0</v>
      </c>
      <c r="AW6" s="28">
        <v>0</v>
      </c>
      <c r="AX6" s="28">
        <v>0</v>
      </c>
      <c r="AY6" s="28">
        <v>0</v>
      </c>
      <c r="AZ6" s="29"/>
      <c r="BA6" s="30">
        <f>126704869*(1-AZ8)</f>
        <v>120369625.55</v>
      </c>
      <c r="BB6" s="1" t="s">
        <v>8</v>
      </c>
      <c r="BJ6" s="284">
        <v>0.3</v>
      </c>
      <c r="BP6" s="31">
        <f>$BK$50+BA8</f>
        <v>7484354.6381958527</v>
      </c>
      <c r="BQ6" s="32"/>
      <c r="BR6" s="32"/>
      <c r="BS6" s="32"/>
      <c r="BT6" s="32"/>
      <c r="BU6" s="33">
        <v>0.3</v>
      </c>
      <c r="BV6" s="32"/>
      <c r="BW6" s="32"/>
      <c r="BX6" s="32"/>
      <c r="BY6" s="32"/>
      <c r="BZ6" s="32"/>
      <c r="CM6" s="31">
        <f>CJ50</f>
        <v>152446.22780478001</v>
      </c>
      <c r="CP6" s="388"/>
      <c r="CQ6" s="388"/>
      <c r="CR6" s="388"/>
      <c r="CS6" s="388"/>
      <c r="CT6" s="388"/>
      <c r="CU6" s="388"/>
      <c r="CV6" s="388"/>
      <c r="DB6" s="32"/>
    </row>
    <row r="7" spans="1:110">
      <c r="B7" s="26"/>
      <c r="C7" s="26"/>
      <c r="D7" s="389"/>
      <c r="E7" s="389"/>
      <c r="F7" s="389"/>
      <c r="G7" s="389"/>
      <c r="I7" s="15"/>
      <c r="M7" s="16"/>
      <c r="O7" s="17"/>
      <c r="P7" s="17"/>
      <c r="S7" s="16"/>
      <c r="Z7" s="16"/>
      <c r="AG7" s="16"/>
      <c r="AN7" s="16"/>
      <c r="AU7" s="390"/>
      <c r="AV7" s="390"/>
      <c r="AW7" s="390"/>
      <c r="AX7" s="390"/>
      <c r="AY7" s="390"/>
      <c r="AZ7" s="29"/>
      <c r="BA7" s="391"/>
      <c r="BJ7" s="392"/>
      <c r="BP7" s="393" t="s">
        <v>145</v>
      </c>
      <c r="BQ7" s="393" t="s">
        <v>144</v>
      </c>
      <c r="BR7" s="393" t="s">
        <v>166</v>
      </c>
      <c r="BT7" s="393"/>
      <c r="BU7" s="393"/>
      <c r="BV7" s="393"/>
      <c r="BW7" s="393"/>
      <c r="BX7" s="393"/>
      <c r="BY7" s="393"/>
      <c r="BZ7" s="393"/>
      <c r="CM7" s="393"/>
      <c r="CP7" s="388"/>
      <c r="CQ7" s="388"/>
      <c r="CR7" s="388"/>
      <c r="CS7" s="388"/>
      <c r="CT7" s="388"/>
      <c r="CU7" s="388"/>
      <c r="CV7" s="388"/>
    </row>
    <row r="8" spans="1:110" ht="15" customHeight="1" thickBot="1">
      <c r="A8" s="1"/>
      <c r="D8" s="34" t="s">
        <v>167</v>
      </c>
      <c r="I8" s="394" t="s">
        <v>168</v>
      </c>
      <c r="K8" s="34" t="s">
        <v>169</v>
      </c>
      <c r="AY8" s="1" t="s">
        <v>16</v>
      </c>
      <c r="AZ8" s="16">
        <v>0.05</v>
      </c>
      <c r="BA8" s="395">
        <f>126704869*AZ8</f>
        <v>6335243.4500000002</v>
      </c>
      <c r="BB8" s="1" t="s">
        <v>170</v>
      </c>
      <c r="BP8" s="16">
        <v>0.25</v>
      </c>
      <c r="BQ8" s="16">
        <v>0.25</v>
      </c>
      <c r="BR8" s="16">
        <v>0.5</v>
      </c>
      <c r="CL8" s="396"/>
      <c r="CP8" s="388"/>
      <c r="CQ8" s="388"/>
      <c r="CR8" s="388"/>
      <c r="CS8" s="388"/>
      <c r="CT8" s="388"/>
      <c r="CU8" s="388"/>
      <c r="CV8" s="388"/>
    </row>
    <row r="9" spans="1:110" s="29" customFormat="1">
      <c r="A9" s="1160" t="s">
        <v>29</v>
      </c>
      <c r="B9" s="1163" t="s">
        <v>171</v>
      </c>
      <c r="C9" s="397"/>
      <c r="D9" s="38" t="s">
        <v>10</v>
      </c>
      <c r="E9" s="39"/>
      <c r="F9" s="39"/>
      <c r="G9" s="39"/>
      <c r="H9" s="40"/>
      <c r="I9" s="398"/>
      <c r="K9" s="43" t="s">
        <v>11</v>
      </c>
      <c r="L9" s="43"/>
      <c r="M9" s="43"/>
      <c r="N9" s="43"/>
      <c r="O9" s="43"/>
      <c r="P9" s="43"/>
      <c r="Q9" s="44"/>
      <c r="R9" s="42" t="s">
        <v>12</v>
      </c>
      <c r="S9" s="43"/>
      <c r="T9" s="43"/>
      <c r="U9" s="43"/>
      <c r="V9" s="43"/>
      <c r="W9" s="43"/>
      <c r="X9" s="44"/>
      <c r="Y9" s="42" t="s">
        <v>13</v>
      </c>
      <c r="Z9" s="43"/>
      <c r="AA9" s="43"/>
      <c r="AB9" s="43"/>
      <c r="AC9" s="43"/>
      <c r="AD9" s="43"/>
      <c r="AE9" s="44"/>
      <c r="AF9" s="42" t="s">
        <v>14</v>
      </c>
      <c r="AG9" s="43"/>
      <c r="AH9" s="43"/>
      <c r="AI9" s="43"/>
      <c r="AJ9" s="43"/>
      <c r="AK9" s="43"/>
      <c r="AL9" s="44"/>
      <c r="AM9" s="42" t="s">
        <v>15</v>
      </c>
      <c r="AN9" s="43"/>
      <c r="AO9" s="43"/>
      <c r="AP9" s="43"/>
      <c r="AQ9" s="43"/>
      <c r="AR9" s="43"/>
      <c r="AS9" s="43"/>
      <c r="BA9" s="46"/>
      <c r="BB9" s="46"/>
      <c r="BC9" s="46"/>
      <c r="BD9" s="46"/>
      <c r="BE9" s="46"/>
      <c r="BH9" s="47"/>
      <c r="BI9" s="396"/>
      <c r="BP9" s="396"/>
      <c r="BQ9" s="396"/>
      <c r="BR9" s="396"/>
      <c r="BS9" s="396"/>
      <c r="BT9" s="396"/>
      <c r="BU9" s="396"/>
      <c r="BV9" s="396"/>
      <c r="BW9" s="396"/>
      <c r="BX9" s="396"/>
      <c r="BY9" s="396"/>
      <c r="BZ9" s="396"/>
      <c r="CA9" s="48"/>
      <c r="CB9" s="48"/>
      <c r="CC9" s="49"/>
      <c r="CD9" s="396"/>
      <c r="CH9" s="396"/>
      <c r="CL9" s="48" t="s">
        <v>17</v>
      </c>
      <c r="CM9" s="48"/>
      <c r="CN9" s="48"/>
      <c r="CO9" s="49"/>
      <c r="CP9" s="396"/>
      <c r="CQ9" s="396"/>
      <c r="CR9" s="399"/>
      <c r="CS9" s="396"/>
      <c r="CT9" s="396"/>
      <c r="CU9" s="396"/>
      <c r="CV9" s="396"/>
    </row>
    <row r="10" spans="1:110" s="403" customFormat="1" ht="15" thickBot="1">
      <c r="A10" s="1161"/>
      <c r="B10" s="1164"/>
      <c r="C10" s="400"/>
      <c r="D10" s="54">
        <f>D$6</f>
        <v>0.35</v>
      </c>
      <c r="E10" s="54">
        <f>E$6</f>
        <v>0.35</v>
      </c>
      <c r="F10" s="54">
        <f>F$6</f>
        <v>0.15</v>
      </c>
      <c r="G10" s="54">
        <f>G$6</f>
        <v>0.15</v>
      </c>
      <c r="H10" s="54"/>
      <c r="I10" s="401"/>
      <c r="J10" s="29"/>
      <c r="K10" s="402" t="s">
        <v>20</v>
      </c>
      <c r="L10" s="57"/>
      <c r="M10" s="57"/>
      <c r="N10" s="57"/>
      <c r="O10" s="57"/>
      <c r="P10" s="57"/>
      <c r="Q10" s="58"/>
      <c r="R10" s="56" t="s">
        <v>21</v>
      </c>
      <c r="S10" s="57"/>
      <c r="T10" s="57"/>
      <c r="U10" s="57"/>
      <c r="V10" s="57"/>
      <c r="W10" s="57"/>
      <c r="X10" s="58"/>
      <c r="Y10" s="56" t="s">
        <v>22</v>
      </c>
      <c r="Z10" s="57"/>
      <c r="AA10" s="57"/>
      <c r="AB10" s="57"/>
      <c r="AC10" s="57"/>
      <c r="AD10" s="57"/>
      <c r="AE10" s="58"/>
      <c r="AF10" s="56" t="s">
        <v>23</v>
      </c>
      <c r="AG10" s="57"/>
      <c r="AH10" s="57"/>
      <c r="AI10" s="57"/>
      <c r="AJ10" s="57"/>
      <c r="AK10" s="57"/>
      <c r="AL10" s="58"/>
      <c r="AM10" s="56" t="s">
        <v>24</v>
      </c>
      <c r="AN10" s="57"/>
      <c r="AO10" s="57"/>
      <c r="AP10" s="57"/>
      <c r="AQ10" s="57"/>
      <c r="AR10" s="57"/>
      <c r="AS10" s="57"/>
      <c r="BH10" s="404" t="s">
        <v>172</v>
      </c>
      <c r="BP10" s="404" t="s">
        <v>173</v>
      </c>
      <c r="BQ10" s="404"/>
      <c r="BR10" s="404"/>
      <c r="BS10" s="404"/>
      <c r="BT10" s="404"/>
      <c r="BU10" s="404"/>
      <c r="BV10" s="404"/>
      <c r="BW10" s="404"/>
      <c r="BX10" s="404"/>
      <c r="BY10" s="404"/>
      <c r="BZ10" s="404"/>
      <c r="CC10" s="405"/>
      <c r="CD10" s="405"/>
      <c r="CE10" s="404"/>
      <c r="CG10" s="404" t="s">
        <v>174</v>
      </c>
      <c r="CL10" s="404" t="s">
        <v>175</v>
      </c>
      <c r="CO10" s="405"/>
      <c r="CQ10" s="406"/>
      <c r="CR10" s="406"/>
      <c r="CS10" s="407" t="s">
        <v>176</v>
      </c>
    </row>
    <row r="11" spans="1:110" s="45" customFormat="1" ht="101.25" customHeight="1">
      <c r="A11" s="1162"/>
      <c r="B11" s="1165"/>
      <c r="C11" s="408"/>
      <c r="D11" s="63" t="s">
        <v>177</v>
      </c>
      <c r="E11" s="64" t="s">
        <v>178</v>
      </c>
      <c r="F11" s="64" t="s">
        <v>179</v>
      </c>
      <c r="G11" s="64" t="s">
        <v>180</v>
      </c>
      <c r="H11" s="64" t="s">
        <v>35</v>
      </c>
      <c r="I11" s="409" t="s">
        <v>36</v>
      </c>
      <c r="K11" s="410">
        <v>2021</v>
      </c>
      <c r="L11" s="66">
        <v>2022</v>
      </c>
      <c r="M11" s="66">
        <v>2023</v>
      </c>
      <c r="N11" s="66">
        <v>2024</v>
      </c>
      <c r="O11" s="67" t="s">
        <v>37</v>
      </c>
      <c r="P11" s="67" t="s">
        <v>38</v>
      </c>
      <c r="Q11" s="68" t="s">
        <v>39</v>
      </c>
      <c r="R11" s="66">
        <v>2021</v>
      </c>
      <c r="S11" s="66">
        <v>2022</v>
      </c>
      <c r="T11" s="66">
        <v>2023</v>
      </c>
      <c r="U11" s="66">
        <v>2024</v>
      </c>
      <c r="V11" s="67" t="s">
        <v>40</v>
      </c>
      <c r="W11" s="67" t="s">
        <v>41</v>
      </c>
      <c r="X11" s="68" t="s">
        <v>39</v>
      </c>
      <c r="Y11" s="66">
        <v>2021</v>
      </c>
      <c r="Z11" s="66">
        <v>2022</v>
      </c>
      <c r="AA11" s="66">
        <v>2023</v>
      </c>
      <c r="AB11" s="66">
        <v>2024</v>
      </c>
      <c r="AC11" s="67" t="s">
        <v>42</v>
      </c>
      <c r="AD11" s="67" t="s">
        <v>43</v>
      </c>
      <c r="AE11" s="68" t="s">
        <v>39</v>
      </c>
      <c r="AF11" s="66">
        <v>2021</v>
      </c>
      <c r="AG11" s="66">
        <v>2022</v>
      </c>
      <c r="AH11" s="66">
        <v>2023</v>
      </c>
      <c r="AI11" s="66">
        <v>2024</v>
      </c>
      <c r="AJ11" s="67" t="s">
        <v>44</v>
      </c>
      <c r="AK11" s="67" t="s">
        <v>45</v>
      </c>
      <c r="AL11" s="68" t="s">
        <v>39</v>
      </c>
      <c r="AM11" s="66">
        <v>2021</v>
      </c>
      <c r="AN11" s="66">
        <v>2022</v>
      </c>
      <c r="AO11" s="66">
        <v>2023</v>
      </c>
      <c r="AP11" s="66">
        <v>2024</v>
      </c>
      <c r="AQ11" s="67" t="s">
        <v>46</v>
      </c>
      <c r="AR11" s="67" t="s">
        <v>47</v>
      </c>
      <c r="AS11" s="411" t="s">
        <v>39</v>
      </c>
      <c r="AU11" s="412" t="s">
        <v>48</v>
      </c>
      <c r="AV11" s="70" t="s">
        <v>49</v>
      </c>
      <c r="AW11" s="70" t="s">
        <v>50</v>
      </c>
      <c r="AX11" s="70" t="s">
        <v>51</v>
      </c>
      <c r="AY11" s="413" t="s">
        <v>52</v>
      </c>
      <c r="BA11" s="414" t="s">
        <v>53</v>
      </c>
      <c r="BB11" s="73" t="s">
        <v>54</v>
      </c>
      <c r="BC11" s="73" t="s">
        <v>55</v>
      </c>
      <c r="BD11" s="73" t="s">
        <v>56</v>
      </c>
      <c r="BE11" s="73" t="s">
        <v>57</v>
      </c>
      <c r="BF11" s="415" t="s">
        <v>181</v>
      </c>
      <c r="BH11" s="416" t="s">
        <v>59</v>
      </c>
      <c r="BI11" s="76" t="s">
        <v>60</v>
      </c>
      <c r="BJ11" s="76" t="s">
        <v>61</v>
      </c>
      <c r="BK11" s="417" t="s">
        <v>62</v>
      </c>
      <c r="BM11" s="78" t="s">
        <v>63</v>
      </c>
      <c r="BN11" s="78" t="s">
        <v>64</v>
      </c>
      <c r="BO11" s="78" t="s">
        <v>65</v>
      </c>
      <c r="BP11" s="416" t="s">
        <v>66</v>
      </c>
      <c r="BQ11" s="79" t="s">
        <v>67</v>
      </c>
      <c r="BR11" s="79" t="s">
        <v>68</v>
      </c>
      <c r="BS11" s="79" t="s">
        <v>69</v>
      </c>
      <c r="BT11" s="79" t="s">
        <v>70</v>
      </c>
      <c r="BU11" s="79" t="s">
        <v>71</v>
      </c>
      <c r="BV11" s="80" t="s">
        <v>72</v>
      </c>
      <c r="BW11" s="80" t="s">
        <v>73</v>
      </c>
      <c r="BX11" s="79" t="s">
        <v>74</v>
      </c>
      <c r="BY11" s="79" t="s">
        <v>75</v>
      </c>
      <c r="BZ11" s="79" t="s">
        <v>76</v>
      </c>
      <c r="CA11" s="76" t="s">
        <v>80</v>
      </c>
      <c r="CB11" s="76" t="s">
        <v>77</v>
      </c>
      <c r="CC11" s="418" t="s">
        <v>182</v>
      </c>
      <c r="CD11" s="76" t="s">
        <v>183</v>
      </c>
      <c r="CE11" s="77" t="s">
        <v>79</v>
      </c>
      <c r="CG11" s="419" t="s">
        <v>59</v>
      </c>
      <c r="CH11" s="84" t="s">
        <v>60</v>
      </c>
      <c r="CI11" s="84" t="s">
        <v>61</v>
      </c>
      <c r="CJ11" s="420" t="s">
        <v>62</v>
      </c>
      <c r="CL11" s="419" t="s">
        <v>66</v>
      </c>
      <c r="CM11" s="84" t="s">
        <v>80</v>
      </c>
      <c r="CN11" s="84" t="s">
        <v>77</v>
      </c>
      <c r="CO11" s="420" t="s">
        <v>184</v>
      </c>
      <c r="CP11" s="84" t="s">
        <v>185</v>
      </c>
      <c r="CQ11" s="420" t="s">
        <v>186</v>
      </c>
      <c r="CR11" s="421"/>
      <c r="CS11" s="422" t="s">
        <v>187</v>
      </c>
      <c r="CT11" s="423" t="s">
        <v>188</v>
      </c>
      <c r="CU11" s="423" t="s">
        <v>189</v>
      </c>
      <c r="CV11" s="424" t="s">
        <v>190</v>
      </c>
      <c r="CY11" s="425" t="s">
        <v>191</v>
      </c>
      <c r="CZ11" s="426" t="s">
        <v>192</v>
      </c>
      <c r="DA11" s="426" t="s">
        <v>193</v>
      </c>
    </row>
    <row r="12" spans="1:110">
      <c r="A12" s="427" t="s">
        <v>82</v>
      </c>
      <c r="B12" s="428" t="s">
        <v>83</v>
      </c>
      <c r="C12" s="429"/>
      <c r="D12" s="91">
        <f>'Sizing - Reimb Exp-26'!B3</f>
        <v>2553471</v>
      </c>
      <c r="E12" s="92">
        <f>'Ridership-26'!$E3</f>
        <v>124617</v>
      </c>
      <c r="F12" s="92">
        <f>'Revenue Hours-26'!$E3</f>
        <v>31601</v>
      </c>
      <c r="G12" s="92">
        <f>'Revenue Miles-26'!$E3</f>
        <v>650766</v>
      </c>
      <c r="H12" s="430">
        <f t="shared" ref="H12:H49" si="0">IFERROR($D$10*(D12/D$50),0) + IFERROR($E$10*(E12/E$50),0) + IFERROR($F$10*(F12/F$50),0) + IFERROR($G$10*(G12/G$50),0)</f>
        <v>4.8842254940669322E-3</v>
      </c>
      <c r="I12" s="431">
        <f t="shared" ref="I12:I49" si="1">H12/(SUM($H$12:$H$49))</f>
        <v>4.8842254940669322E-3</v>
      </c>
      <c r="J12" s="432"/>
      <c r="K12" s="433">
        <f>'Ridership-26'!B3/'Revenue Hours-26'!B3</f>
        <v>3.0233116215289679</v>
      </c>
      <c r="L12" s="434">
        <f>'Ridership-26'!C3/'Revenue Hours-26'!C3</f>
        <v>3.1691372472531043</v>
      </c>
      <c r="M12" s="434">
        <f>'Ridership-26'!D3/'Revenue Hours-26'!D3</f>
        <v>3.6951123254401943</v>
      </c>
      <c r="N12" s="434">
        <f>'Ridership-26'!E3/'Revenue Hours-26'!E3</f>
        <v>3.9434511566089681</v>
      </c>
      <c r="O12" s="435">
        <f t="shared" ref="O12:O49" si="2">IF(K12=0,IF(L12=0,1,AVERAGE(1,(M12/L12)/($M$50/$L$50),(N12/M12)/($N$50/$M$50))), AVERAGE((L12/K12)/($L$50/$K$50),(M12/L12)/($M$50/$L$50),(N12/M12)/($N$50/$M$50)))</f>
        <v>0.93176116753380356</v>
      </c>
      <c r="P12" s="436">
        <f t="shared" ref="P12:P49" si="3">$I12*O12</f>
        <v>4.5509316488501735E-3</v>
      </c>
      <c r="Q12" s="437">
        <f t="shared" ref="Q12:Q49" si="4">P12/SUM($P$12:$P$49)</f>
        <v>4.3984451800586797E-3</v>
      </c>
      <c r="R12" s="438">
        <f>'Ridership-26'!B3/'Revenue Miles-26'!B3</f>
        <v>0.1472857600940598</v>
      </c>
      <c r="S12" s="434">
        <f>'Ridership-26'!C3/'Revenue Miles-26'!C3</f>
        <v>0.15372497942218116</v>
      </c>
      <c r="T12" s="434">
        <f>'Ridership-26'!D3/'Revenue Miles-26'!D3</f>
        <v>0.17586518789083722</v>
      </c>
      <c r="U12" s="434">
        <f>'Ridership-26'!E3/'Revenue Miles-26'!E3</f>
        <v>0.19149279464507979</v>
      </c>
      <c r="V12" s="435">
        <f t="shared" ref="V12:V49" si="5">IF(R12=0,IF(S12=0,1,AVERAGE(1,(T12/S12)/($T$50/$S$50),(U12/T12)/($U$50/$T$50))), AVERAGE((S12/R12)/($S$50/$R$50),(T12/S12)/($T$50/$S$50),(U12/T12)/($U$50/$T$50)))</f>
        <v>0.9347970958451205</v>
      </c>
      <c r="W12" s="436">
        <f t="shared" ref="W12:W49" si="6">$I12*V12</f>
        <v>4.5657598073064673E-3</v>
      </c>
      <c r="X12" s="437">
        <f t="shared" ref="X12:X49" si="7">W12/SUM($W$12:$W$49)</f>
        <v>4.4189468867397745E-3</v>
      </c>
      <c r="Y12" s="438">
        <f>'Op Cost-26'!B3/'Revenue Hours-26'!B3</f>
        <v>64.628076791223862</v>
      </c>
      <c r="Z12" s="434">
        <f>'Op Cost-26'!C3/'Revenue Hours-26'!C3</f>
        <v>74.945094597230351</v>
      </c>
      <c r="AA12" s="434">
        <f>'Op Cost-26'!D3/'Revenue Hours-26'!D3</f>
        <v>75.894444444444446</v>
      </c>
      <c r="AB12" s="434">
        <f>'Op Cost-26'!E3/'Revenue Hours-26'!E3</f>
        <v>80.803487231416725</v>
      </c>
      <c r="AC12" s="435">
        <f t="shared" ref="AC12:AC49" si="8">IF(Y12=0,IF(Z12=0,1,AVERAGE(1,(AA12/Z12)/($AA$50/$AA$50),(AB12/AA12)/($AB$50/$AA$50))), AVERAGE((Z12/Y12)/($Z$50/$Y$50),(AA12/Z12)/($AA$50/$Z$50),(AB12/AA12)/($AB$50/$AA$50)))</f>
        <v>1.0336474299505864</v>
      </c>
      <c r="AD12" s="436">
        <f t="shared" ref="AD12:AD49" si="9">$I12*(1/AC12)</f>
        <v>4.7252335298704536E-3</v>
      </c>
      <c r="AE12" s="437">
        <f t="shared" ref="AE12:AE49" si="10">AD12/SUM($AD$12:$AD$49)</f>
        <v>4.7336307396691106E-3</v>
      </c>
      <c r="AF12" s="438">
        <f>'Op Cost-26'!B3/'Revenue Miles-26'!B3</f>
        <v>3.148466517916789</v>
      </c>
      <c r="AG12" s="434">
        <f>'Op Cost-26'!C3/'Revenue Miles-26'!C3</f>
        <v>3.6353531658304137</v>
      </c>
      <c r="AH12" s="434">
        <f>'Op Cost-26'!D3/'Revenue Miles-26'!D3</f>
        <v>3.61212043276733</v>
      </c>
      <c r="AI12" s="434">
        <f>'Op Cost-26'!E3/'Revenue Miles-26'!E3</f>
        <v>3.9237928840781477</v>
      </c>
      <c r="AJ12" s="435">
        <f t="shared" ref="AJ12:AJ49" si="11">IF(AF12=0,IF(AG12=0,1,AVERAGE(1,(AH12/AG12)/($AH$50/$AG$50),(AI12/AH12)/($AI$50/$AH$50))), AVERAGE((AG12/AF12)/($AG$50/$AF$50),(AH12/AG12)/($AH$50/$AG$50),(AI12/AH12)/($AI$50/$AH$50)))</f>
        <v>1.0389409184023559</v>
      </c>
      <c r="AK12" s="436">
        <f t="shared" ref="AK12:AK49" si="12">$I12*(1/AJ12)</f>
        <v>4.7011580808442015E-3</v>
      </c>
      <c r="AL12" s="437">
        <f t="shared" ref="AL12:AL49" si="13">AK12/SUM($AK$12:$AK$49)</f>
        <v>4.7090979479455916E-3</v>
      </c>
      <c r="AM12" s="438">
        <f>'Op Cost-26'!B3/'Ridership-26'!B3</f>
        <v>21.37658464678535</v>
      </c>
      <c r="AN12" s="434">
        <f>'Op Cost-26'!C3/'Ridership-26'!C3</f>
        <v>23.64842187323698</v>
      </c>
      <c r="AO12" s="434">
        <f>'Op Cost-26'!D3/'Ridership-26'!D3</f>
        <v>20.53914408012028</v>
      </c>
      <c r="AP12" s="434">
        <f>'Op Cost-26'!E3/'Ridership-26'!E3</f>
        <v>20.490551048412335</v>
      </c>
      <c r="AQ12" s="439">
        <f t="shared" ref="AQ12:AQ49" si="14">IF(AM12=0,IF(AN12=0,1,AVERAGE(1,(AO12/AN12)/($AO$50/$AN$50),(AP12/AO12)/($AP$50/$AO$50))), AVERAGE((AN12/AM12)/($AN$50/$AM$50),(AO12/AN12)/($AO$50/$AN$50),(AP12/AO12)/($AP$50/$AO$50)))</f>
        <v>1.1261773463790854</v>
      </c>
      <c r="AR12" s="436">
        <f t="shared" ref="AR12:AR49" si="15">$I12*(1/AQ12)</f>
        <v>4.3369949766533852E-3</v>
      </c>
      <c r="AS12" s="440">
        <f t="shared" ref="AS12:AS49" si="16">AR12/SUM($AR$12:$AR$49)</f>
        <v>4.3623315681135272E-3</v>
      </c>
      <c r="AT12" s="432"/>
      <c r="AU12" s="441">
        <f t="shared" ref="AU12:AU49" si="17">Q12*AU$6</f>
        <v>0</v>
      </c>
      <c r="AV12" s="442">
        <f t="shared" ref="AV12:AV49" si="18">X12*AV$6</f>
        <v>0</v>
      </c>
      <c r="AW12" s="442">
        <f t="shared" ref="AW12:AW49" si="19">AE12*AW$6</f>
        <v>0</v>
      </c>
      <c r="AX12" s="442">
        <f t="shared" ref="AX12:AX49" si="20">AL12*AX$6</f>
        <v>0</v>
      </c>
      <c r="AY12" s="443">
        <f t="shared" ref="AY12:AY49" si="21">AS12*AY$6</f>
        <v>0</v>
      </c>
      <c r="AZ12" s="444">
        <f>(SUM(AU12:AY12)-I12)/I12</f>
        <v>-1</v>
      </c>
      <c r="BA12" s="445">
        <f t="shared" ref="BA12:BE50" si="22">AU12*$BA$6</f>
        <v>0</v>
      </c>
      <c r="BB12" s="446">
        <f t="shared" si="22"/>
        <v>0</v>
      </c>
      <c r="BC12" s="446">
        <f t="shared" si="22"/>
        <v>0</v>
      </c>
      <c r="BD12" s="446">
        <f t="shared" si="22"/>
        <v>0</v>
      </c>
      <c r="BE12" s="446">
        <f t="shared" si="22"/>
        <v>0</v>
      </c>
      <c r="BF12" s="447">
        <f>$BA$6*I12</f>
        <v>587912.39382260037</v>
      </c>
      <c r="BH12" s="448">
        <f>'Op Cost-26'!E3</f>
        <v>2553471</v>
      </c>
      <c r="BI12" s="449">
        <f t="shared" ref="BI12:BI49" si="23">BF12/BH12</f>
        <v>0.23024048200375111</v>
      </c>
      <c r="BJ12" s="450">
        <f t="shared" ref="BJ12:BJ49" si="24">IF(BF12&gt;BH12*$BJ$6,BH12*$BJ$6,BF12)</f>
        <v>587912.39382260037</v>
      </c>
      <c r="BK12" s="451">
        <f t="shared" ref="BK12:BK49" si="25">BF12-BJ12</f>
        <v>0</v>
      </c>
      <c r="BL12" s="1">
        <f>BM12*$BP$8+BN12*$BQ$8+BO12*$BR$8</f>
        <v>0.41359211667458673</v>
      </c>
      <c r="BM12" s="112">
        <f>N12/$N$50</f>
        <v>0.34773542043569428</v>
      </c>
      <c r="BN12" s="112">
        <f>U12/$U$50</f>
        <v>0.23808511062770701</v>
      </c>
      <c r="BO12" s="113">
        <f>(1/AP12)/(1/$AP$50)</f>
        <v>0.53427396781747283</v>
      </c>
      <c r="BP12" s="452">
        <f t="shared" ref="BP12:BP49" si="26">IF(OR(BK12&gt;0,BI12&gt;=$BJ$6),0,BJ12)</f>
        <v>587912.39382260037</v>
      </c>
      <c r="BQ12" s="115">
        <f>(BM12*$BP$8+BN12*$BQ$8+BO12*$BR$8)*I12</f>
        <v>2.0200771604071215E-3</v>
      </c>
      <c r="BR12" s="116">
        <f>IF(BP12=0,0,BQ12)</f>
        <v>2.0200771604071215E-3</v>
      </c>
      <c r="BS12" s="453">
        <f>BR12/$BR$50</f>
        <v>2.1240526056309221E-3</v>
      </c>
      <c r="BT12" s="118">
        <f>$BP$6*BS12+BJ12</f>
        <v>603809.55679332616</v>
      </c>
      <c r="BU12" s="119">
        <f>BH12*$BU$6</f>
        <v>766041.29999999993</v>
      </c>
      <c r="BV12" s="119">
        <f>IF(BT12&lt;BU12,BT12, BU12)</f>
        <v>603809.55679332616</v>
      </c>
      <c r="BW12" s="119">
        <f>BT12-BV12</f>
        <v>0</v>
      </c>
      <c r="BX12" s="120">
        <f>IF(AND(BW12=0,BK12=0),BR12,0)</f>
        <v>2.0200771604071215E-3</v>
      </c>
      <c r="BY12" s="454">
        <f>BX12/$BX$50</f>
        <v>2.2872743891869298E-3</v>
      </c>
      <c r="BZ12" s="122">
        <f>$BW$50*BY12+BV12</f>
        <v>604444.36956703861</v>
      </c>
      <c r="CA12" s="455">
        <f t="shared" ref="CA12:CA49" si="27">BP12/$BP$50</f>
        <v>5.2223317803082505E-3</v>
      </c>
      <c r="CB12" s="456">
        <f t="shared" ref="CB12:CB49" si="28">CA12*$BP$6</f>
        <v>39085.78308214766</v>
      </c>
      <c r="CC12" s="456">
        <f t="shared" ref="CC12:CC49" si="29">(CB12+BJ12)</f>
        <v>626998.17690474808</v>
      </c>
      <c r="CD12" s="457">
        <f t="shared" ref="CD12:CD49" si="30">CC12/BH12</f>
        <v>0.24554740465223537</v>
      </c>
      <c r="CE12" s="458">
        <f t="shared" ref="CE12:CE49" si="31">IF(CC12&gt;($BJ$6*BH12),1,0)</f>
        <v>0</v>
      </c>
      <c r="CF12" s="17"/>
      <c r="CG12" s="459">
        <f t="shared" ref="CG12:CG49" si="32">BH12</f>
        <v>2553471</v>
      </c>
      <c r="CH12" s="460">
        <f>CC12/CG12</f>
        <v>0.24554740465223537</v>
      </c>
      <c r="CI12" s="461">
        <f t="shared" ref="CI12:CI49" si="33">IF(CC12&gt;BH12*$BJ$6,BH12*$BJ$6,CC12)</f>
        <v>626998.17690474808</v>
      </c>
      <c r="CJ12" s="462">
        <f t="shared" ref="CJ12:CJ50" si="34">CC12-CI12</f>
        <v>0</v>
      </c>
      <c r="CL12" s="463">
        <f t="shared" ref="CL12:CL49" si="35">IF(OR(CJ12&gt;0,CH12&gt;=$BJ$6),0,CI12)</f>
        <v>626998.17690474808</v>
      </c>
      <c r="CM12" s="464">
        <f t="shared" ref="CM12:CM50" si="36">CL12/$CL$50</f>
        <v>5.3910681969903873E-3</v>
      </c>
      <c r="CN12" s="465">
        <f t="shared" ref="CN12:CN50" si="37">CM12*$CM$6</f>
        <v>821.84801046950122</v>
      </c>
      <c r="CO12" s="466">
        <f>(CN12+CI12)</f>
        <v>627820.02491521754</v>
      </c>
      <c r="CP12" s="467">
        <f>CO12/CG12</f>
        <v>0.24586925988790065</v>
      </c>
      <c r="CQ12" s="468">
        <f t="shared" ref="CQ12:CQ49" si="38">IF(CP12&gt;$BJ$6,1,0)</f>
        <v>0</v>
      </c>
      <c r="CR12" s="469"/>
      <c r="CS12" s="470">
        <f t="shared" ref="CS12:CS49" si="39">BH12*$BJ$6</f>
        <v>766041.29999999993</v>
      </c>
      <c r="CT12" s="465">
        <f t="shared" ref="CT12:CT49" si="40">IF(CO12&gt;CS12,CO12-CS12,0)</f>
        <v>0</v>
      </c>
      <c r="CU12" s="471">
        <f t="shared" ref="CU12:CU49" si="41">CO12-CT12</f>
        <v>627820.02491521754</v>
      </c>
      <c r="CV12" s="472">
        <f t="shared" ref="CV12:CV49" si="42">CU12/CG12</f>
        <v>0.24586925988790065</v>
      </c>
      <c r="CY12" s="473">
        <v>0</v>
      </c>
      <c r="CZ12" s="474">
        <f>CU12+CY12</f>
        <v>627820.02491521754</v>
      </c>
      <c r="DA12" s="475">
        <f>CZ12/CG12</f>
        <v>0.24586925988790065</v>
      </c>
      <c r="DB12" s="1">
        <f>IF(BZ12&lt;=BH12*$BU$6, 0, 1)</f>
        <v>0</v>
      </c>
      <c r="DC12" s="293">
        <f>BZ12/BH12</f>
        <v>0.23671479706134849</v>
      </c>
      <c r="DF12" s="476"/>
    </row>
    <row r="13" spans="1:110">
      <c r="A13" s="477" t="s">
        <v>82</v>
      </c>
      <c r="B13" s="428" t="s">
        <v>84</v>
      </c>
      <c r="C13" s="429"/>
      <c r="D13" s="91">
        <f>'Sizing - Reimb Exp-26'!B4</f>
        <v>361548</v>
      </c>
      <c r="E13" s="92">
        <f>'Ridership-26'!$E4</f>
        <v>42876</v>
      </c>
      <c r="F13" s="92">
        <f>'Revenue Hours-26'!$E4</f>
        <v>7605</v>
      </c>
      <c r="G13" s="92">
        <f>'Revenue Miles-26'!$E4</f>
        <v>91473</v>
      </c>
      <c r="H13" s="478">
        <f t="shared" si="0"/>
        <v>9.5666177558571906E-4</v>
      </c>
      <c r="I13" s="431">
        <f t="shared" si="1"/>
        <v>9.5666177558571906E-4</v>
      </c>
      <c r="J13" s="432"/>
      <c r="K13" s="433">
        <f>'Ridership-26'!B4/'Revenue Hours-26'!B4</f>
        <v>3.8435006435006436</v>
      </c>
      <c r="L13" s="434">
        <f>'Ridership-26'!C4/'Revenue Hours-26'!C4</f>
        <v>4.8354101054361225</v>
      </c>
      <c r="M13" s="434">
        <f>'Ridership-26'!D4/'Revenue Hours-26'!D4</f>
        <v>5.5493279229013446</v>
      </c>
      <c r="N13" s="434">
        <f>'Ridership-26'!E4/'Revenue Hours-26'!E4</f>
        <v>5.6378698224852073</v>
      </c>
      <c r="O13" s="435">
        <f t="shared" si="2"/>
        <v>0.96523278806967661</v>
      </c>
      <c r="P13" s="436">
        <f t="shared" si="3"/>
        <v>9.2340131288829092E-4</v>
      </c>
      <c r="Q13" s="437">
        <f t="shared" si="4"/>
        <v>8.9246122933081973E-4</v>
      </c>
      <c r="R13" s="438">
        <f>'Ridership-26'!B4/'Revenue Miles-26'!B4</f>
        <v>0.31931227680003421</v>
      </c>
      <c r="S13" s="434">
        <f>'Ridership-26'!C4/'Revenue Miles-26'!C4</f>
        <v>0.41985803797543603</v>
      </c>
      <c r="T13" s="434">
        <f>'Ridership-26'!D4/'Revenue Miles-26'!D4</f>
        <v>0.46390976646560589</v>
      </c>
      <c r="U13" s="434">
        <f>'Ridership-26'!E4/'Revenue Miles-26'!E4</f>
        <v>0.46872847725558364</v>
      </c>
      <c r="V13" s="435">
        <f t="shared" si="5"/>
        <v>0.97136734783700807</v>
      </c>
      <c r="W13" s="436">
        <f t="shared" si="6"/>
        <v>9.2927001172774296E-4</v>
      </c>
      <c r="X13" s="437">
        <f t="shared" si="7"/>
        <v>8.9938914848161449E-4</v>
      </c>
      <c r="Y13" s="438">
        <f>'Op Cost-26'!B4/'Revenue Hours-26'!B4</f>
        <v>108.14491634491634</v>
      </c>
      <c r="Z13" s="434">
        <f>'Op Cost-26'!C4/'Revenue Hours-26'!C4</f>
        <v>62.039983568396551</v>
      </c>
      <c r="AA13" s="434">
        <f>'Op Cost-26'!D4/'Revenue Hours-26'!D4</f>
        <v>50.572406796855184</v>
      </c>
      <c r="AB13" s="434">
        <f>'Op Cost-26'!E4/'Revenue Hours-26'!E4</f>
        <v>47.540828402366863</v>
      </c>
      <c r="AC13" s="435">
        <f t="shared" si="8"/>
        <v>0.73994552647823897</v>
      </c>
      <c r="AD13" s="436">
        <f t="shared" si="9"/>
        <v>1.2928813559275616E-3</v>
      </c>
      <c r="AE13" s="437">
        <f t="shared" si="10"/>
        <v>1.2951789346444368E-3</v>
      </c>
      <c r="AF13" s="438">
        <f>'Op Cost-26'!B4/'Revenue Miles-26'!B4</f>
        <v>8.9845176742296253</v>
      </c>
      <c r="AG13" s="434">
        <f>'Op Cost-26'!C4/'Revenue Miles-26'!C4</f>
        <v>5.3869237994459436</v>
      </c>
      <c r="AH13" s="434">
        <f>'Op Cost-26'!D4/'Revenue Miles-26'!D4</f>
        <v>4.2277251863080787</v>
      </c>
      <c r="AI13" s="434">
        <f>'Op Cost-26'!E4/'Revenue Miles-26'!E4</f>
        <v>3.9525105768915418</v>
      </c>
      <c r="AJ13" s="435">
        <f t="shared" si="11"/>
        <v>0.74012339547458483</v>
      </c>
      <c r="AK13" s="436">
        <f t="shared" si="12"/>
        <v>1.2925706462397187E-3</v>
      </c>
      <c r="AL13" s="437">
        <f t="shared" si="13"/>
        <v>1.2947536911350006E-3</v>
      </c>
      <c r="AM13" s="438">
        <f>'Op Cost-26'!B4/'Ridership-26'!B4</f>
        <v>28.137088132869007</v>
      </c>
      <c r="AN13" s="434">
        <f>'Op Cost-26'!C4/'Ridership-26'!C4</f>
        <v>12.830345765015716</v>
      </c>
      <c r="AO13" s="434">
        <f>'Op Cost-26'!D4/'Ridership-26'!D4</f>
        <v>9.1132489374343031</v>
      </c>
      <c r="AP13" s="434">
        <f>'Op Cost-26'!E4/'Ridership-26'!E4</f>
        <v>8.4324097397145259</v>
      </c>
      <c r="AQ13" s="439">
        <f t="shared" si="14"/>
        <v>0.7687399782462182</v>
      </c>
      <c r="AR13" s="436">
        <f t="shared" si="15"/>
        <v>1.2444543053012807E-3</v>
      </c>
      <c r="AS13" s="440">
        <f t="shared" si="16"/>
        <v>1.2517243691344104E-3</v>
      </c>
      <c r="AT13" s="432"/>
      <c r="AU13" s="441">
        <f t="shared" si="17"/>
        <v>0</v>
      </c>
      <c r="AV13" s="442">
        <f t="shared" si="18"/>
        <v>0</v>
      </c>
      <c r="AW13" s="442">
        <f t="shared" si="19"/>
        <v>0</v>
      </c>
      <c r="AX13" s="442">
        <f t="shared" si="20"/>
        <v>0</v>
      </c>
      <c r="AY13" s="443">
        <f t="shared" si="21"/>
        <v>0</v>
      </c>
      <c r="AZ13" s="444">
        <f t="shared" ref="AZ13:AZ49" si="43">(SUM(AU13:AY13)-I13)/I13</f>
        <v>-1</v>
      </c>
      <c r="BA13" s="445">
        <f t="shared" si="22"/>
        <v>0</v>
      </c>
      <c r="BB13" s="446">
        <f t="shared" si="22"/>
        <v>0</v>
      </c>
      <c r="BC13" s="446">
        <f t="shared" si="22"/>
        <v>0</v>
      </c>
      <c r="BD13" s="446">
        <f t="shared" si="22"/>
        <v>0</v>
      </c>
      <c r="BE13" s="446">
        <f t="shared" si="22"/>
        <v>0</v>
      </c>
      <c r="BF13" s="447">
        <f t="shared" ref="BF13:BF49" si="44">$BA$6*I13</f>
        <v>115153.01970525114</v>
      </c>
      <c r="BH13" s="448">
        <f>'Op Cost-26'!E4</f>
        <v>361548</v>
      </c>
      <c r="BI13" s="449">
        <f t="shared" si="23"/>
        <v>0.31849994939883813</v>
      </c>
      <c r="BJ13" s="450">
        <f t="shared" si="24"/>
        <v>108464.4</v>
      </c>
      <c r="BK13" s="451">
        <f t="shared" si="25"/>
        <v>6688.6197052511416</v>
      </c>
      <c r="BL13" s="1">
        <f t="shared" ref="BL13:BL49" si="45">BM13*$BP$8+BN13*$BQ$8+BO13*$BR$8</f>
        <v>0.91911773270121522</v>
      </c>
      <c r="BM13" s="112">
        <f t="shared" ref="BM13:BM49" si="46">N13/$N$50</f>
        <v>0.49715007368557296</v>
      </c>
      <c r="BN13" s="112">
        <f t="shared" ref="BN13:BN49" si="47">U13/$U$50</f>
        <v>0.58277530268745104</v>
      </c>
      <c r="BO13" s="113">
        <f t="shared" ref="BO13:BO49" si="48">(1/AP13)/(1/$AP$50)</f>
        <v>1.2982727772159184</v>
      </c>
      <c r="BP13" s="452">
        <f t="shared" si="26"/>
        <v>0</v>
      </c>
      <c r="BQ13" s="115">
        <f t="shared" ref="BQ13:BQ49" si="49">(BM13*$BP$8+BN13*$BQ$8+BO13*$BR$8)*I13</f>
        <v>8.7928480213826492E-4</v>
      </c>
      <c r="BR13" s="116">
        <f t="shared" ref="BR13:BR49" si="50">IF(BP13=0,0,BQ13)</f>
        <v>0</v>
      </c>
      <c r="BS13" s="453">
        <f t="shared" ref="BS13:BS49" si="51">BR13/$BR$50</f>
        <v>0</v>
      </c>
      <c r="BT13" s="118">
        <f t="shared" ref="BT13:BT49" si="52">$BP$6*BS13+BJ13</f>
        <v>108464.4</v>
      </c>
      <c r="BU13" s="119">
        <f t="shared" ref="BU13:BU49" si="53">BH13*$BU$6</f>
        <v>108464.4</v>
      </c>
      <c r="BV13" s="119">
        <f t="shared" ref="BV13:BV49" si="54">IF(BT13&lt;BU13,BT13, BU13)</f>
        <v>108464.4</v>
      </c>
      <c r="BW13" s="119">
        <f>BT13-BV13</f>
        <v>0</v>
      </c>
      <c r="BX13" s="120">
        <f t="shared" ref="BX13:BX49" si="55">IF(AND(BW13=0,BK13=0),BR13,0)</f>
        <v>0</v>
      </c>
      <c r="BY13" s="454">
        <f t="shared" ref="BY13:BY49" si="56">BX13/$BX$50</f>
        <v>0</v>
      </c>
      <c r="BZ13" s="122">
        <f t="shared" ref="BZ13:BZ49" si="57">$BW$50*BY13+BV13</f>
        <v>108464.4</v>
      </c>
      <c r="CA13" s="455">
        <f t="shared" si="27"/>
        <v>0</v>
      </c>
      <c r="CB13" s="456">
        <f t="shared" si="28"/>
        <v>0</v>
      </c>
      <c r="CC13" s="456">
        <f t="shared" si="29"/>
        <v>108464.4</v>
      </c>
      <c r="CD13" s="457">
        <f t="shared" si="30"/>
        <v>0.3</v>
      </c>
      <c r="CE13" s="458">
        <f t="shared" si="31"/>
        <v>0</v>
      </c>
      <c r="CF13" s="17"/>
      <c r="CG13" s="459">
        <f t="shared" si="32"/>
        <v>361548</v>
      </c>
      <c r="CH13" s="460">
        <f t="shared" ref="CH13:CH49" si="58">CC13/CG13</f>
        <v>0.3</v>
      </c>
      <c r="CI13" s="461">
        <f t="shared" si="33"/>
        <v>108464.4</v>
      </c>
      <c r="CJ13" s="462">
        <f t="shared" si="34"/>
        <v>0</v>
      </c>
      <c r="CL13" s="463">
        <f t="shared" si="35"/>
        <v>0</v>
      </c>
      <c r="CM13" s="464">
        <f t="shared" si="36"/>
        <v>0</v>
      </c>
      <c r="CN13" s="465">
        <f t="shared" si="37"/>
        <v>0</v>
      </c>
      <c r="CO13" s="466">
        <f t="shared" ref="CO13:CO49" si="59">(CN13+CI13)</f>
        <v>108464.4</v>
      </c>
      <c r="CP13" s="467">
        <f t="shared" ref="CP13:CP49" si="60">CO13/CG13</f>
        <v>0.3</v>
      </c>
      <c r="CQ13" s="468">
        <f t="shared" si="38"/>
        <v>0</v>
      </c>
      <c r="CR13" s="469"/>
      <c r="CS13" s="470">
        <f t="shared" si="39"/>
        <v>108464.4</v>
      </c>
      <c r="CT13" s="465">
        <f t="shared" si="40"/>
        <v>0</v>
      </c>
      <c r="CU13" s="471">
        <f t="shared" si="41"/>
        <v>108464.4</v>
      </c>
      <c r="CV13" s="472">
        <f t="shared" si="42"/>
        <v>0.3</v>
      </c>
      <c r="CY13" s="473">
        <v>0</v>
      </c>
      <c r="CZ13" s="474">
        <f t="shared" ref="CZ13:CZ49" si="61">CU13+CY13</f>
        <v>108464.4</v>
      </c>
      <c r="DA13" s="475">
        <f t="shared" ref="DA13:DA49" si="62">CZ13/CG13</f>
        <v>0.3</v>
      </c>
      <c r="DB13" s="1">
        <f t="shared" ref="DB13:DB49" si="63">IF(BZ13&lt;=BH13*$BU$6, 0, 1)</f>
        <v>0</v>
      </c>
      <c r="DC13" s="293">
        <f t="shared" ref="DC13:DC49" si="64">BZ13/BH13</f>
        <v>0.3</v>
      </c>
      <c r="DF13" s="476"/>
    </row>
    <row r="14" spans="1:110">
      <c r="A14" s="477" t="s">
        <v>82</v>
      </c>
      <c r="B14" s="428" t="s">
        <v>85</v>
      </c>
      <c r="C14" s="429"/>
      <c r="D14" s="91">
        <f>'Sizing - Reimb Exp-26'!B5</f>
        <v>2998198</v>
      </c>
      <c r="E14" s="92">
        <f>'Ridership-26'!$E5</f>
        <v>177659</v>
      </c>
      <c r="F14" s="92">
        <f>'Revenue Hours-26'!$E5</f>
        <v>48302</v>
      </c>
      <c r="G14" s="92">
        <f>'Revenue Miles-26'!$E5</f>
        <v>522054</v>
      </c>
      <c r="H14" s="430">
        <f t="shared" si="0"/>
        <v>5.7501967164149655E-3</v>
      </c>
      <c r="I14" s="431">
        <f t="shared" si="1"/>
        <v>5.7501967164149655E-3</v>
      </c>
      <c r="J14" s="432"/>
      <c r="K14" s="433">
        <f>'Ridership-26'!B5/'Revenue Hours-26'!B5</f>
        <v>3.0037184124655352</v>
      </c>
      <c r="L14" s="434">
        <f>'Ridership-26'!C5/'Revenue Hours-26'!C5</f>
        <v>3.0190503841343577</v>
      </c>
      <c r="M14" s="434">
        <f>'Ridership-26'!D5/'Revenue Hours-26'!D5</f>
        <v>3.4820277878872212</v>
      </c>
      <c r="N14" s="434">
        <f>'Ridership-26'!E5/'Revenue Hours-26'!E5</f>
        <v>3.6780878638565691</v>
      </c>
      <c r="O14" s="435">
        <f t="shared" si="2"/>
        <v>0.91361537754777933</v>
      </c>
      <c r="P14" s="436">
        <f t="shared" si="3"/>
        <v>5.25346814404146E-3</v>
      </c>
      <c r="Q14" s="437">
        <f t="shared" si="4"/>
        <v>5.0774420315869073E-3</v>
      </c>
      <c r="R14" s="438">
        <f>'Ridership-26'!B5/'Revenue Miles-26'!B5</f>
        <v>0.30898734605406614</v>
      </c>
      <c r="S14" s="434">
        <f>'Ridership-26'!C5/'Revenue Miles-26'!C5</f>
        <v>0.30702858129224508</v>
      </c>
      <c r="T14" s="434">
        <f>'Ridership-26'!D5/'Revenue Miles-26'!D5</f>
        <v>0.33183650652455993</v>
      </c>
      <c r="U14" s="434">
        <f>'Ridership-26'!E5/'Revenue Miles-26'!E5</f>
        <v>0.34030770763177753</v>
      </c>
      <c r="V14" s="435">
        <f t="shared" si="5"/>
        <v>0.8841756096309652</v>
      </c>
      <c r="W14" s="436">
        <f t="shared" si="6"/>
        <v>5.0841836872341766E-3</v>
      </c>
      <c r="X14" s="437">
        <f t="shared" si="7"/>
        <v>4.9207007430315704E-3</v>
      </c>
      <c r="Y14" s="438">
        <f>'Op Cost-26'!B5/'Revenue Hours-26'!B5</f>
        <v>61.145979308425872</v>
      </c>
      <c r="Z14" s="434">
        <f>'Op Cost-26'!C5/'Revenue Hours-26'!C5</f>
        <v>58.62645167053779</v>
      </c>
      <c r="AA14" s="434">
        <f>'Op Cost-26'!D5/'Revenue Hours-26'!D5</f>
        <v>57.842499625355913</v>
      </c>
      <c r="AB14" s="434">
        <f>'Op Cost-26'!E5/'Revenue Hours-26'!E5</f>
        <v>62.071922487681668</v>
      </c>
      <c r="AC14" s="435">
        <f t="shared" si="8"/>
        <v>0.96211447539197736</v>
      </c>
      <c r="AD14" s="436">
        <f t="shared" si="9"/>
        <v>5.976624261964528E-3</v>
      </c>
      <c r="AE14" s="437">
        <f t="shared" si="10"/>
        <v>5.9872453175162177E-3</v>
      </c>
      <c r="AF14" s="438">
        <f>'Op Cost-26'!B5/'Revenue Miles-26'!B5</f>
        <v>6.2899817073329398</v>
      </c>
      <c r="AG14" s="434">
        <f>'Op Cost-26'!C5/'Revenue Miles-26'!C5</f>
        <v>5.9621384184897162</v>
      </c>
      <c r="AH14" s="434">
        <f>'Op Cost-26'!D5/'Revenue Miles-26'!D5</f>
        <v>5.5123778940238459</v>
      </c>
      <c r="AI14" s="434">
        <f>'Op Cost-26'!E5/'Revenue Miles-26'!E5</f>
        <v>5.7430802177552511</v>
      </c>
      <c r="AJ14" s="435">
        <f t="shared" si="11"/>
        <v>0.93411840641972699</v>
      </c>
      <c r="AK14" s="436">
        <f t="shared" si="12"/>
        <v>6.1557471482167033E-3</v>
      </c>
      <c r="AL14" s="437">
        <f t="shared" si="13"/>
        <v>6.166143695923906E-3</v>
      </c>
      <c r="AM14" s="438">
        <f>'Op Cost-26'!B5/'Ridership-26'!B5</f>
        <v>20.356761490913378</v>
      </c>
      <c r="AN14" s="434">
        <f>'Op Cost-26'!C5/'Ridership-26'!C5</f>
        <v>19.418838446231348</v>
      </c>
      <c r="AO14" s="434">
        <f>'Op Cost-26'!D5/'Ridership-26'!D5</f>
        <v>16.611728322953109</v>
      </c>
      <c r="AP14" s="434">
        <f>'Op Cost-26'!E5/'Ridership-26'!E5</f>
        <v>16.876139120449849</v>
      </c>
      <c r="AQ14" s="439">
        <f t="shared" si="14"/>
        <v>1.0632527411646482</v>
      </c>
      <c r="AR14" s="436">
        <f t="shared" si="15"/>
        <v>5.4081184028892419E-3</v>
      </c>
      <c r="AS14" s="440">
        <f t="shared" si="16"/>
        <v>5.4397124645101788E-3</v>
      </c>
      <c r="AT14" s="432"/>
      <c r="AU14" s="441">
        <f t="shared" si="17"/>
        <v>0</v>
      </c>
      <c r="AV14" s="442">
        <f t="shared" si="18"/>
        <v>0</v>
      </c>
      <c r="AW14" s="442">
        <f t="shared" si="19"/>
        <v>0</v>
      </c>
      <c r="AX14" s="442">
        <f t="shared" si="20"/>
        <v>0</v>
      </c>
      <c r="AY14" s="443">
        <f t="shared" si="21"/>
        <v>0</v>
      </c>
      <c r="AZ14" s="444">
        <f t="shared" si="43"/>
        <v>-1</v>
      </c>
      <c r="BA14" s="445">
        <f t="shared" si="22"/>
        <v>0</v>
      </c>
      <c r="BB14" s="446">
        <f t="shared" si="22"/>
        <v>0</v>
      </c>
      <c r="BC14" s="446">
        <f t="shared" si="22"/>
        <v>0</v>
      </c>
      <c r="BD14" s="446">
        <f t="shared" si="22"/>
        <v>0</v>
      </c>
      <c r="BE14" s="446">
        <f t="shared" si="22"/>
        <v>0</v>
      </c>
      <c r="BF14" s="447">
        <f t="shared" si="44"/>
        <v>692149.02559370897</v>
      </c>
      <c r="BH14" s="448">
        <f>'Op Cost-26'!E5</f>
        <v>2998198</v>
      </c>
      <c r="BI14" s="449">
        <f t="shared" si="23"/>
        <v>0.23085500877317275</v>
      </c>
      <c r="BJ14" s="450">
        <f t="shared" si="24"/>
        <v>692149.02559370897</v>
      </c>
      <c r="BK14" s="451">
        <f t="shared" si="25"/>
        <v>0</v>
      </c>
      <c r="BL14" s="1">
        <f t="shared" si="45"/>
        <v>0.51121146483023827</v>
      </c>
      <c r="BM14" s="112">
        <f t="shared" si="46"/>
        <v>0.32433555759757926</v>
      </c>
      <c r="BN14" s="112">
        <f t="shared" si="47"/>
        <v>0.42310833871918174</v>
      </c>
      <c r="BO14" s="113">
        <f t="shared" si="48"/>
        <v>0.6487009815020961</v>
      </c>
      <c r="BP14" s="452">
        <f t="shared" si="26"/>
        <v>692149.02559370897</v>
      </c>
      <c r="BQ14" s="115">
        <f t="shared" si="49"/>
        <v>2.9395664864605205E-3</v>
      </c>
      <c r="BR14" s="116">
        <f t="shared" si="50"/>
        <v>2.9395664864605205E-3</v>
      </c>
      <c r="BS14" s="453">
        <f t="shared" si="51"/>
        <v>3.0908689912287528E-3</v>
      </c>
      <c r="BT14" s="118">
        <f t="shared" si="52"/>
        <v>715282.18526426761</v>
      </c>
      <c r="BU14" s="119">
        <f t="shared" si="53"/>
        <v>899459.4</v>
      </c>
      <c r="BV14" s="119">
        <f t="shared" si="54"/>
        <v>715282.18526426761</v>
      </c>
      <c r="BW14" s="119">
        <f t="shared" ref="BW14:BW49" si="65">BT14-BV14</f>
        <v>0</v>
      </c>
      <c r="BX14" s="120">
        <f t="shared" si="55"/>
        <v>2.9395664864605205E-3</v>
      </c>
      <c r="BY14" s="454">
        <f t="shared" si="56"/>
        <v>3.3283853070435686E-3</v>
      </c>
      <c r="BZ14" s="122">
        <f t="shared" si="57"/>
        <v>716205.94916366553</v>
      </c>
      <c r="CA14" s="455">
        <f t="shared" si="27"/>
        <v>6.1482491116833168E-3</v>
      </c>
      <c r="CB14" s="456">
        <f t="shared" si="28"/>
        <v>46015.676755810564</v>
      </c>
      <c r="CC14" s="456">
        <f t="shared" si="29"/>
        <v>738164.70234951959</v>
      </c>
      <c r="CD14" s="457">
        <f t="shared" si="30"/>
        <v>0.24620278659031844</v>
      </c>
      <c r="CE14" s="458">
        <f t="shared" si="31"/>
        <v>0</v>
      </c>
      <c r="CF14" s="17"/>
      <c r="CG14" s="459">
        <f t="shared" si="32"/>
        <v>2998198</v>
      </c>
      <c r="CH14" s="460">
        <f t="shared" si="58"/>
        <v>0.24620278659031844</v>
      </c>
      <c r="CI14" s="461">
        <f t="shared" si="33"/>
        <v>738164.70234951959</v>
      </c>
      <c r="CJ14" s="462">
        <f t="shared" si="34"/>
        <v>0</v>
      </c>
      <c r="CL14" s="463">
        <f t="shared" si="35"/>
        <v>738164.70234951959</v>
      </c>
      <c r="CM14" s="464">
        <f t="shared" si="36"/>
        <v>6.3469024274083732E-3</v>
      </c>
      <c r="CN14" s="465">
        <f t="shared" si="37"/>
        <v>967.56133330340811</v>
      </c>
      <c r="CO14" s="466">
        <f t="shared" si="59"/>
        <v>739132.26368282305</v>
      </c>
      <c r="CP14" s="467">
        <f t="shared" si="60"/>
        <v>0.2465255008784687</v>
      </c>
      <c r="CQ14" s="468">
        <f t="shared" si="38"/>
        <v>0</v>
      </c>
      <c r="CR14" s="469"/>
      <c r="CS14" s="470">
        <f t="shared" si="39"/>
        <v>899459.4</v>
      </c>
      <c r="CT14" s="465">
        <f t="shared" si="40"/>
        <v>0</v>
      </c>
      <c r="CU14" s="471">
        <f t="shared" si="41"/>
        <v>739132.26368282305</v>
      </c>
      <c r="CV14" s="472">
        <f t="shared" si="42"/>
        <v>0.2465255008784687</v>
      </c>
      <c r="CY14" s="473">
        <v>0</v>
      </c>
      <c r="CZ14" s="474">
        <f t="shared" si="61"/>
        <v>739132.26368282305</v>
      </c>
      <c r="DA14" s="475">
        <f t="shared" si="62"/>
        <v>0.2465255008784687</v>
      </c>
      <c r="DB14" s="1">
        <f t="shared" si="63"/>
        <v>0</v>
      </c>
      <c r="DC14" s="293">
        <f t="shared" si="64"/>
        <v>0.23887880292217709</v>
      </c>
      <c r="DF14" s="476"/>
    </row>
    <row r="15" spans="1:110">
      <c r="A15" s="477" t="s">
        <v>82</v>
      </c>
      <c r="B15" s="428" t="s">
        <v>86</v>
      </c>
      <c r="C15" s="429"/>
      <c r="D15" s="91">
        <f>'Sizing - Reimb Exp-26'!B6</f>
        <v>2083701</v>
      </c>
      <c r="E15" s="92">
        <f>'Ridership-26'!$E6</f>
        <v>130896</v>
      </c>
      <c r="F15" s="92">
        <f>'Revenue Hours-26'!$E6</f>
        <v>44163</v>
      </c>
      <c r="G15" s="92">
        <f>'Revenue Miles-26'!$E6</f>
        <v>745438</v>
      </c>
      <c r="H15" s="430">
        <f t="shared" si="0"/>
        <v>5.2540604590085088E-3</v>
      </c>
      <c r="I15" s="431">
        <f t="shared" si="1"/>
        <v>5.2540604590085088E-3</v>
      </c>
      <c r="J15" s="432"/>
      <c r="K15" s="433">
        <f>'Ridership-26'!B6/'Revenue Hours-26'!B6</f>
        <v>1.3455313359222201</v>
      </c>
      <c r="L15" s="434">
        <f>'Ridership-26'!C6/'Revenue Hours-26'!C6</f>
        <v>2.5156324194636741</v>
      </c>
      <c r="M15" s="434">
        <f>'Ridership-26'!D6/'Revenue Hours-26'!D6</f>
        <v>2.7827345119658662</v>
      </c>
      <c r="N15" s="434">
        <f>'Ridership-26'!E6/'Revenue Hours-26'!E6</f>
        <v>2.9639290809048298</v>
      </c>
      <c r="O15" s="435">
        <f t="shared" si="2"/>
        <v>1.1279060361303517</v>
      </c>
      <c r="P15" s="436">
        <f t="shared" si="3"/>
        <v>5.9260865059095032E-3</v>
      </c>
      <c r="Q15" s="437">
        <f t="shared" si="4"/>
        <v>5.7275232061800132E-3</v>
      </c>
      <c r="R15" s="438">
        <f>'Ridership-26'!B6/'Revenue Miles-26'!B6</f>
        <v>8.6154544217069737E-2</v>
      </c>
      <c r="S15" s="434">
        <f>'Ridership-26'!C6/'Revenue Miles-26'!C6</f>
        <v>0.15736959607772016</v>
      </c>
      <c r="T15" s="434">
        <f>'Ridership-26'!D6/'Revenue Miles-26'!D6</f>
        <v>0.16460220997236286</v>
      </c>
      <c r="U15" s="434">
        <f>'Ridership-26'!E6/'Revenue Miles-26'!E6</f>
        <v>0.17559609249863839</v>
      </c>
      <c r="V15" s="435">
        <f t="shared" si="5"/>
        <v>1.108030754011484</v>
      </c>
      <c r="W15" s="436">
        <f t="shared" si="6"/>
        <v>5.8216605720171214E-3</v>
      </c>
      <c r="X15" s="437">
        <f t="shared" si="7"/>
        <v>5.6344639109579811E-3</v>
      </c>
      <c r="Y15" s="438">
        <f>'Op Cost-26'!B6/'Revenue Hours-26'!B6</f>
        <v>42.25856741971144</v>
      </c>
      <c r="Z15" s="434">
        <f>'Op Cost-26'!C6/'Revenue Hours-26'!C6</f>
        <v>54.154224876915002</v>
      </c>
      <c r="AA15" s="434">
        <f>'Op Cost-26'!D6/'Revenue Hours-26'!D6</f>
        <v>45.459899034704179</v>
      </c>
      <c r="AB15" s="434">
        <f>'Op Cost-26'!E6/'Revenue Hours-26'!E6</f>
        <v>48.817313135430112</v>
      </c>
      <c r="AC15" s="435">
        <f t="shared" si="8"/>
        <v>1.024095279002766</v>
      </c>
      <c r="AD15" s="436">
        <f t="shared" si="9"/>
        <v>5.1304410504897152E-3</v>
      </c>
      <c r="AE15" s="437">
        <f t="shared" si="10"/>
        <v>5.1395583543411049E-3</v>
      </c>
      <c r="AF15" s="438">
        <f>'Op Cost-26'!B6/'Revenue Miles-26'!B6</f>
        <v>2.7058214982530968</v>
      </c>
      <c r="AG15" s="434">
        <f>'Op Cost-26'!C6/'Revenue Miles-26'!C6</f>
        <v>3.3877081678725758</v>
      </c>
      <c r="AH15" s="434">
        <f>'Op Cost-26'!D6/'Revenue Miles-26'!D6</f>
        <v>2.689009610531103</v>
      </c>
      <c r="AI15" s="434">
        <f>'Op Cost-26'!E6/'Revenue Miles-26'!E6</f>
        <v>2.8921506550511245</v>
      </c>
      <c r="AJ15" s="435">
        <f t="shared" si="11"/>
        <v>1.0075978281171294</v>
      </c>
      <c r="AK15" s="436">
        <f t="shared" si="12"/>
        <v>5.2144420247775131E-3</v>
      </c>
      <c r="AL15" s="437">
        <f t="shared" si="13"/>
        <v>5.2232487859994632E-3</v>
      </c>
      <c r="AM15" s="438">
        <f>'Op Cost-26'!B6/'Ridership-26'!B6</f>
        <v>31.406602203543365</v>
      </c>
      <c r="AN15" s="434">
        <f>'Op Cost-26'!C6/'Ridership-26'!C6</f>
        <v>21.527081801744522</v>
      </c>
      <c r="AO15" s="434">
        <f>'Op Cost-26'!D6/'Ridership-26'!D6</f>
        <v>16.33641256081917</v>
      </c>
      <c r="AP15" s="434">
        <f>'Op Cost-26'!E6/'Ridership-26'!E6</f>
        <v>16.470472741718616</v>
      </c>
      <c r="AQ15" s="439">
        <f t="shared" si="14"/>
        <v>0.91200498953668374</v>
      </c>
      <c r="AR15" s="436">
        <f t="shared" si="15"/>
        <v>5.7609996867206536E-3</v>
      </c>
      <c r="AS15" s="440">
        <f t="shared" si="16"/>
        <v>5.7946552699643947E-3</v>
      </c>
      <c r="AT15" s="432"/>
      <c r="AU15" s="441">
        <f t="shared" si="17"/>
        <v>0</v>
      </c>
      <c r="AV15" s="442">
        <f t="shared" si="18"/>
        <v>0</v>
      </c>
      <c r="AW15" s="442">
        <f t="shared" si="19"/>
        <v>0</v>
      </c>
      <c r="AX15" s="442">
        <f t="shared" si="20"/>
        <v>0</v>
      </c>
      <c r="AY15" s="443">
        <f t="shared" si="21"/>
        <v>0</v>
      </c>
      <c r="AZ15" s="444">
        <f t="shared" si="43"/>
        <v>-1</v>
      </c>
      <c r="BA15" s="445">
        <f t="shared" si="22"/>
        <v>0</v>
      </c>
      <c r="BB15" s="446">
        <f t="shared" si="22"/>
        <v>0</v>
      </c>
      <c r="BC15" s="446">
        <f t="shared" si="22"/>
        <v>0</v>
      </c>
      <c r="BD15" s="446">
        <f t="shared" si="22"/>
        <v>0</v>
      </c>
      <c r="BE15" s="446">
        <f t="shared" si="22"/>
        <v>0</v>
      </c>
      <c r="BF15" s="447">
        <f t="shared" si="44"/>
        <v>632429.29006791534</v>
      </c>
      <c r="BH15" s="448">
        <f>'Op Cost-26'!E6</f>
        <v>2155919</v>
      </c>
      <c r="BI15" s="449">
        <f t="shared" si="23"/>
        <v>0.29334557099219188</v>
      </c>
      <c r="BJ15" s="450">
        <f t="shared" si="24"/>
        <v>632429.29006791534</v>
      </c>
      <c r="BK15" s="451">
        <f t="shared" si="25"/>
        <v>0</v>
      </c>
      <c r="BL15" s="1">
        <f t="shared" si="45"/>
        <v>0.45225953081623871</v>
      </c>
      <c r="BM15" s="112">
        <f t="shared" si="46"/>
        <v>0.26136069248954619</v>
      </c>
      <c r="BN15" s="112">
        <f t="shared" si="47"/>
        <v>0.21832056493727492</v>
      </c>
      <c r="BO15" s="113">
        <f t="shared" si="48"/>
        <v>0.66467843291906692</v>
      </c>
      <c r="BP15" s="452">
        <f t="shared" si="26"/>
        <v>632429.29006791534</v>
      </c>
      <c r="BQ15" s="115">
        <f t="shared" si="49"/>
        <v>2.3761989180713398E-3</v>
      </c>
      <c r="BR15" s="116">
        <f t="shared" si="50"/>
        <v>2.3761989180713398E-3</v>
      </c>
      <c r="BS15" s="453">
        <f t="shared" si="51"/>
        <v>2.4985043157507965E-3</v>
      </c>
      <c r="BT15" s="118">
        <f t="shared" si="52"/>
        <v>651128.98243205715</v>
      </c>
      <c r="BU15" s="119">
        <f t="shared" si="53"/>
        <v>646775.69999999995</v>
      </c>
      <c r="BV15" s="119">
        <f t="shared" si="54"/>
        <v>646775.69999999995</v>
      </c>
      <c r="BW15" s="119">
        <f t="shared" si="65"/>
        <v>4353.2824320571963</v>
      </c>
      <c r="BX15" s="120">
        <f t="shared" si="55"/>
        <v>0</v>
      </c>
      <c r="BY15" s="454">
        <f t="shared" si="56"/>
        <v>0</v>
      </c>
      <c r="BZ15" s="122">
        <f t="shared" si="57"/>
        <v>646775.69999999995</v>
      </c>
      <c r="CA15" s="455">
        <f t="shared" si="27"/>
        <v>5.617768250886797E-3</v>
      </c>
      <c r="CB15" s="456">
        <f t="shared" si="28"/>
        <v>42045.369864834</v>
      </c>
      <c r="CC15" s="456">
        <f t="shared" si="29"/>
        <v>674474.65993274935</v>
      </c>
      <c r="CD15" s="457">
        <f t="shared" si="30"/>
        <v>0.31284786670220416</v>
      </c>
      <c r="CE15" s="458">
        <f t="shared" si="31"/>
        <v>1</v>
      </c>
      <c r="CF15" s="17"/>
      <c r="CG15" s="459">
        <f t="shared" si="32"/>
        <v>2155919</v>
      </c>
      <c r="CH15" s="460">
        <f t="shared" si="58"/>
        <v>0.31284786670220416</v>
      </c>
      <c r="CI15" s="461">
        <f t="shared" si="33"/>
        <v>646775.69999999995</v>
      </c>
      <c r="CJ15" s="462">
        <f t="shared" si="34"/>
        <v>27698.959932749392</v>
      </c>
      <c r="CL15" s="463">
        <f t="shared" si="35"/>
        <v>0</v>
      </c>
      <c r="CM15" s="464">
        <f t="shared" si="36"/>
        <v>0</v>
      </c>
      <c r="CN15" s="465">
        <f t="shared" si="37"/>
        <v>0</v>
      </c>
      <c r="CO15" s="466">
        <f t="shared" si="59"/>
        <v>646775.69999999995</v>
      </c>
      <c r="CP15" s="467">
        <f t="shared" si="60"/>
        <v>0.3</v>
      </c>
      <c r="CQ15" s="468">
        <f t="shared" si="38"/>
        <v>0</v>
      </c>
      <c r="CR15" s="469"/>
      <c r="CS15" s="470">
        <f t="shared" si="39"/>
        <v>646775.69999999995</v>
      </c>
      <c r="CT15" s="465">
        <f t="shared" si="40"/>
        <v>0</v>
      </c>
      <c r="CU15" s="471">
        <f t="shared" si="41"/>
        <v>646775.69999999995</v>
      </c>
      <c r="CV15" s="472">
        <f t="shared" si="42"/>
        <v>0.3</v>
      </c>
      <c r="CY15" s="473">
        <v>0</v>
      </c>
      <c r="CZ15" s="474">
        <f t="shared" si="61"/>
        <v>646775.69999999995</v>
      </c>
      <c r="DA15" s="475">
        <f t="shared" si="62"/>
        <v>0.3</v>
      </c>
      <c r="DB15" s="1">
        <f t="shared" si="63"/>
        <v>0</v>
      </c>
      <c r="DC15" s="293">
        <f t="shared" si="64"/>
        <v>0.3</v>
      </c>
      <c r="DF15" s="476"/>
    </row>
    <row r="16" spans="1:110">
      <c r="A16" s="477" t="s">
        <v>82</v>
      </c>
      <c r="B16" s="428" t="s">
        <v>87</v>
      </c>
      <c r="C16" s="429"/>
      <c r="D16" s="91">
        <f>'Sizing - Reimb Exp-26'!B7</f>
        <v>447645</v>
      </c>
      <c r="E16" s="92">
        <f>'Ridership-26'!$E7</f>
        <v>33235</v>
      </c>
      <c r="F16" s="92">
        <f>'Revenue Hours-26'!$E7</f>
        <v>8168</v>
      </c>
      <c r="G16" s="92">
        <f>'Revenue Miles-26'!$E7</f>
        <v>126970</v>
      </c>
      <c r="H16" s="430">
        <f t="shared" si="0"/>
        <v>1.0447956855099765E-3</v>
      </c>
      <c r="I16" s="431">
        <f t="shared" si="1"/>
        <v>1.0447956855099765E-3</v>
      </c>
      <c r="J16" s="432"/>
      <c r="K16" s="433">
        <f>'Ridership-26'!B7/'Revenue Hours-26'!B7</f>
        <v>3.8071505958829901</v>
      </c>
      <c r="L16" s="434">
        <f>'Ridership-26'!C7/'Revenue Hours-26'!C7</f>
        <v>3.650582779796967</v>
      </c>
      <c r="M16" s="434">
        <f>'Ridership-26'!D7/'Revenue Hours-26'!D7</f>
        <v>3.815299877600979</v>
      </c>
      <c r="N16" s="434">
        <f>'Ridership-26'!E7/'Revenue Hours-26'!E7</f>
        <v>4.0689275220372183</v>
      </c>
      <c r="O16" s="435">
        <f t="shared" si="2"/>
        <v>0.87439593763301104</v>
      </c>
      <c r="P16" s="436">
        <f t="shared" si="3"/>
        <v>9.135651030664205E-4</v>
      </c>
      <c r="Q16" s="437">
        <f t="shared" si="4"/>
        <v>8.8295459793766686E-4</v>
      </c>
      <c r="R16" s="438">
        <f>'Ridership-26'!B7/'Revenue Miles-26'!B7</f>
        <v>0.2437813629741542</v>
      </c>
      <c r="S16" s="434">
        <f>'Ridership-26'!C7/'Revenue Miles-26'!C7</f>
        <v>0.22496138399752857</v>
      </c>
      <c r="T16" s="434">
        <f>'Ridership-26'!D7/'Revenue Miles-26'!D7</f>
        <v>0.23446890772737189</v>
      </c>
      <c r="U16" s="434">
        <f>'Ridership-26'!E7/'Revenue Miles-26'!E7</f>
        <v>0.2617547452154052</v>
      </c>
      <c r="V16" s="435">
        <f t="shared" si="5"/>
        <v>0.88282330624614769</v>
      </c>
      <c r="W16" s="436">
        <f t="shared" si="6"/>
        <v>9.2236998143362787E-4</v>
      </c>
      <c r="X16" s="437">
        <f t="shared" si="7"/>
        <v>8.9271099004283798E-4</v>
      </c>
      <c r="Y16" s="438">
        <f>'Op Cost-26'!B7/'Revenue Hours-26'!B7</f>
        <v>43.683519922956542</v>
      </c>
      <c r="Z16" s="434">
        <f>'Op Cost-26'!C7/'Revenue Hours-26'!C7</f>
        <v>59.664118310565236</v>
      </c>
      <c r="AA16" s="434">
        <f>'Op Cost-26'!D7/'Revenue Hours-26'!D7</f>
        <v>55.822399020807836</v>
      </c>
      <c r="AB16" s="434">
        <f>'Op Cost-26'!E7/'Revenue Hours-26'!E7</f>
        <v>54.804725759059743</v>
      </c>
      <c r="AC16" s="435">
        <f t="shared" si="8"/>
        <v>1.0516045914118244</v>
      </c>
      <c r="AD16" s="436">
        <f t="shared" si="9"/>
        <v>9.935252223531026E-4</v>
      </c>
      <c r="AE16" s="437">
        <f t="shared" si="10"/>
        <v>9.9529081545651592E-4</v>
      </c>
      <c r="AF16" s="438">
        <f>'Op Cost-26'!B7/'Revenue Miles-26'!B7</f>
        <v>2.7971649027603269</v>
      </c>
      <c r="AG16" s="434">
        <f>'Op Cost-26'!C7/'Revenue Miles-26'!C7</f>
        <v>3.6767068273092369</v>
      </c>
      <c r="AH16" s="434">
        <f>'Op Cost-26'!D7/'Revenue Miles-26'!D7</f>
        <v>3.4305604657635227</v>
      </c>
      <c r="AI16" s="434">
        <f>'Op Cost-26'!E7/'Revenue Miles-26'!E7</f>
        <v>3.5255965976214854</v>
      </c>
      <c r="AJ16" s="435">
        <f t="shared" si="11"/>
        <v>1.0555482262779829</v>
      </c>
      <c r="AK16" s="436">
        <f t="shared" si="12"/>
        <v>9.8981331169877332E-4</v>
      </c>
      <c r="AL16" s="437">
        <f t="shared" si="13"/>
        <v>9.9148502450122035E-4</v>
      </c>
      <c r="AM16" s="438">
        <f>'Op Cost-26'!B7/'Ridership-26'!B7</f>
        <v>11.474071966103839</v>
      </c>
      <c r="AN16" s="434">
        <f>'Op Cost-26'!C7/'Ridership-26'!C7</f>
        <v>16.343724251579236</v>
      </c>
      <c r="AO16" s="434">
        <f>'Op Cost-26'!D7/'Ridership-26'!D7</f>
        <v>14.631195662635141</v>
      </c>
      <c r="AP16" s="434">
        <f>'Op Cost-26'!E7/'Ridership-26'!E7</f>
        <v>13.469083797201746</v>
      </c>
      <c r="AQ16" s="439">
        <f t="shared" si="14"/>
        <v>1.2439563207545858</v>
      </c>
      <c r="AR16" s="436">
        <f t="shared" si="15"/>
        <v>8.398974048190067E-4</v>
      </c>
      <c r="AS16" s="440">
        <f t="shared" si="16"/>
        <v>8.4480405966386727E-4</v>
      </c>
      <c r="AT16" s="432"/>
      <c r="AU16" s="441">
        <f t="shared" si="17"/>
        <v>0</v>
      </c>
      <c r="AV16" s="442">
        <f t="shared" si="18"/>
        <v>0</v>
      </c>
      <c r="AW16" s="442">
        <f t="shared" si="19"/>
        <v>0</v>
      </c>
      <c r="AX16" s="442">
        <f t="shared" si="20"/>
        <v>0</v>
      </c>
      <c r="AY16" s="443">
        <f t="shared" si="21"/>
        <v>0</v>
      </c>
      <c r="AZ16" s="444">
        <f t="shared" si="43"/>
        <v>-1</v>
      </c>
      <c r="BA16" s="445">
        <f t="shared" si="22"/>
        <v>0</v>
      </c>
      <c r="BB16" s="446">
        <f t="shared" si="22"/>
        <v>0</v>
      </c>
      <c r="BC16" s="446">
        <f t="shared" si="22"/>
        <v>0</v>
      </c>
      <c r="BD16" s="446">
        <f t="shared" si="22"/>
        <v>0</v>
      </c>
      <c r="BE16" s="446">
        <f t="shared" si="22"/>
        <v>0</v>
      </c>
      <c r="BF16" s="447">
        <f t="shared" si="44"/>
        <v>125761.66544109143</v>
      </c>
      <c r="BH16" s="448">
        <f>'Op Cost-26'!E7</f>
        <v>447645</v>
      </c>
      <c r="BI16" s="449">
        <f t="shared" si="23"/>
        <v>0.2809406235769224</v>
      </c>
      <c r="BJ16" s="450">
        <f t="shared" si="24"/>
        <v>125761.66544109143</v>
      </c>
      <c r="BK16" s="451">
        <f t="shared" si="25"/>
        <v>0</v>
      </c>
      <c r="BL16" s="1">
        <f t="shared" si="45"/>
        <v>0.57745680483054618</v>
      </c>
      <c r="BM16" s="112">
        <f t="shared" si="46"/>
        <v>0.35879998671384128</v>
      </c>
      <c r="BN16" s="112">
        <f t="shared" si="47"/>
        <v>0.32544257128547921</v>
      </c>
      <c r="BO16" s="113">
        <f t="shared" si="48"/>
        <v>0.81279233066143208</v>
      </c>
      <c r="BP16" s="452">
        <f t="shared" si="26"/>
        <v>125761.66544109143</v>
      </c>
      <c r="BQ16" s="115">
        <f t="shared" si="49"/>
        <v>6.0332437825533127E-4</v>
      </c>
      <c r="BR16" s="116">
        <f t="shared" si="50"/>
        <v>6.0332437825533127E-4</v>
      </c>
      <c r="BS16" s="453">
        <f t="shared" si="51"/>
        <v>6.3437810336691464E-4</v>
      </c>
      <c r="BT16" s="118">
        <f t="shared" si="52"/>
        <v>130509.57614139549</v>
      </c>
      <c r="BU16" s="119">
        <f t="shared" si="53"/>
        <v>134293.5</v>
      </c>
      <c r="BV16" s="119">
        <f t="shared" si="54"/>
        <v>130509.57614139549</v>
      </c>
      <c r="BW16" s="119">
        <f t="shared" si="65"/>
        <v>0</v>
      </c>
      <c r="BX16" s="120">
        <f t="shared" si="55"/>
        <v>6.0332437825533127E-4</v>
      </c>
      <c r="BY16" s="454">
        <f t="shared" si="56"/>
        <v>6.8312657843100984E-4</v>
      </c>
      <c r="BZ16" s="122">
        <f t="shared" si="57"/>
        <v>130699.17188036787</v>
      </c>
      <c r="CA16" s="455">
        <f t="shared" si="27"/>
        <v>1.1171207633627169E-3</v>
      </c>
      <c r="CB16" s="456">
        <f t="shared" si="28"/>
        <v>8360.9279666986422</v>
      </c>
      <c r="CC16" s="456">
        <f t="shared" si="29"/>
        <v>134122.59340779009</v>
      </c>
      <c r="CD16" s="457">
        <f t="shared" si="30"/>
        <v>0.2996182095361058</v>
      </c>
      <c r="CE16" s="458">
        <f t="shared" si="31"/>
        <v>0</v>
      </c>
      <c r="CF16" s="17"/>
      <c r="CG16" s="459">
        <f t="shared" si="32"/>
        <v>447645</v>
      </c>
      <c r="CH16" s="460">
        <f t="shared" si="58"/>
        <v>0.2996182095361058</v>
      </c>
      <c r="CI16" s="461">
        <f t="shared" si="33"/>
        <v>134122.59340779009</v>
      </c>
      <c r="CJ16" s="462">
        <f t="shared" si="34"/>
        <v>0</v>
      </c>
      <c r="CL16" s="463">
        <f t="shared" si="35"/>
        <v>134122.59340779009</v>
      </c>
      <c r="CM16" s="464">
        <f t="shared" si="36"/>
        <v>1.1532155506226546E-3</v>
      </c>
      <c r="CN16" s="465">
        <f t="shared" si="37"/>
        <v>175.80336053823601</v>
      </c>
      <c r="CO16" s="466">
        <f t="shared" si="59"/>
        <v>134298.39676832833</v>
      </c>
      <c r="CP16" s="467">
        <f t="shared" si="60"/>
        <v>0.30001093895459197</v>
      </c>
      <c r="CQ16" s="468">
        <f t="shared" si="38"/>
        <v>1</v>
      </c>
      <c r="CR16" s="469"/>
      <c r="CS16" s="470">
        <f t="shared" si="39"/>
        <v>134293.5</v>
      </c>
      <c r="CT16" s="465">
        <f t="shared" si="40"/>
        <v>4.8967683283262886</v>
      </c>
      <c r="CU16" s="471">
        <f t="shared" si="41"/>
        <v>134293.5</v>
      </c>
      <c r="CV16" s="472">
        <f t="shared" si="42"/>
        <v>0.3</v>
      </c>
      <c r="CY16" s="473">
        <v>566</v>
      </c>
      <c r="CZ16" s="474">
        <f t="shared" si="61"/>
        <v>134859.5</v>
      </c>
      <c r="DA16" s="475">
        <f t="shared" si="62"/>
        <v>0.30126439477711131</v>
      </c>
      <c r="DB16" s="1">
        <f t="shared" si="63"/>
        <v>0</v>
      </c>
      <c r="DC16" s="293">
        <f t="shared" si="64"/>
        <v>0.29197058356592359</v>
      </c>
      <c r="DF16" s="476"/>
    </row>
    <row r="17" spans="1:110">
      <c r="A17" s="477" t="s">
        <v>88</v>
      </c>
      <c r="B17" s="428" t="s">
        <v>89</v>
      </c>
      <c r="C17" s="429"/>
      <c r="D17" s="91">
        <f>'Sizing - Reimb Exp-26'!B8</f>
        <v>14466572</v>
      </c>
      <c r="E17" s="92">
        <f>'Ridership-26'!$E8</f>
        <v>1476869</v>
      </c>
      <c r="F17" s="92">
        <f>'Revenue Hours-26'!$E8</f>
        <v>128069</v>
      </c>
      <c r="G17" s="92">
        <f>'Revenue Miles-26'!$E8</f>
        <v>1380275</v>
      </c>
      <c r="H17" s="430">
        <f t="shared" si="0"/>
        <v>2.5878783272557937E-2</v>
      </c>
      <c r="I17" s="431">
        <f t="shared" si="1"/>
        <v>2.5878783272557937E-2</v>
      </c>
      <c r="J17" s="432"/>
      <c r="K17" s="433">
        <f>'Ridership-26'!B8/'Revenue Hours-26'!B8</f>
        <v>6.5903135821469796</v>
      </c>
      <c r="L17" s="434">
        <f>'Ridership-26'!C8/'Revenue Hours-26'!C8</f>
        <v>13.15305492915798</v>
      </c>
      <c r="M17" s="434">
        <f>'Ridership-26'!D8/'Revenue Hours-26'!D8</f>
        <v>10.956321576014718</v>
      </c>
      <c r="N17" s="434">
        <f>'Ridership-26'!E8/'Revenue Hours-26'!E8</f>
        <v>11.531822689331532</v>
      </c>
      <c r="O17" s="435">
        <f t="shared" si="2"/>
        <v>1.0801586609984979</v>
      </c>
      <c r="P17" s="436">
        <f t="shared" si="3"/>
        <v>2.7953191887956506E-2</v>
      </c>
      <c r="Q17" s="437">
        <f t="shared" si="4"/>
        <v>2.7016574102558113E-2</v>
      </c>
      <c r="R17" s="438">
        <f>'Ridership-26'!B8/'Revenue Miles-26'!B8</f>
        <v>0.65665071513529727</v>
      </c>
      <c r="S17" s="434">
        <f>'Ridership-26'!C8/'Revenue Miles-26'!C8</f>
        <v>1.0437083935072138</v>
      </c>
      <c r="T17" s="434">
        <f>'Ridership-26'!D8/'Revenue Miles-26'!D8</f>
        <v>1.0015167534877283</v>
      </c>
      <c r="U17" s="434">
        <f>'Ridership-26'!E8/'Revenue Miles-26'!E8</f>
        <v>1.0699817065439858</v>
      </c>
      <c r="V17" s="435">
        <f t="shared" si="5"/>
        <v>1.0214923032337606</v>
      </c>
      <c r="W17" s="436">
        <f t="shared" si="6"/>
        <v>2.6434977929972524E-2</v>
      </c>
      <c r="X17" s="437">
        <f t="shared" si="7"/>
        <v>2.5584955922944325E-2</v>
      </c>
      <c r="Y17" s="438">
        <f>'Op Cost-26'!B8/'Revenue Hours-26'!B8</f>
        <v>123.85324163139668</v>
      </c>
      <c r="Z17" s="434">
        <f>'Op Cost-26'!C8/'Revenue Hours-26'!C8</f>
        <v>137.78897374803216</v>
      </c>
      <c r="AA17" s="434">
        <f>'Op Cost-26'!D8/'Revenue Hours-26'!D8</f>
        <v>129.86446660739594</v>
      </c>
      <c r="AB17" s="434">
        <f>'Op Cost-26'!E8/'Revenue Hours-26'!E8</f>
        <v>113.07535781492788</v>
      </c>
      <c r="AC17" s="435">
        <f t="shared" si="8"/>
        <v>0.93434210903999049</v>
      </c>
      <c r="AD17" s="436">
        <f t="shared" si="9"/>
        <v>2.7697331654192102E-2</v>
      </c>
      <c r="AE17" s="437">
        <f t="shared" si="10"/>
        <v>2.7746552566405857E-2</v>
      </c>
      <c r="AF17" s="438">
        <f>'Op Cost-26'!B8/'Revenue Miles-26'!B8</f>
        <v>12.340584203670993</v>
      </c>
      <c r="AG17" s="434">
        <f>'Op Cost-26'!C8/'Revenue Miles-26'!C8</f>
        <v>10.933696332002826</v>
      </c>
      <c r="AH17" s="434">
        <f>'Op Cost-26'!D8/'Revenue Miles-26'!D8</f>
        <v>11.870903759778434</v>
      </c>
      <c r="AI17" s="434">
        <f>'Op Cost-26'!E8/'Revenue Miles-26'!E8</f>
        <v>10.491712158808934</v>
      </c>
      <c r="AJ17" s="435">
        <f t="shared" si="11"/>
        <v>0.91149178626529148</v>
      </c>
      <c r="AK17" s="436">
        <f t="shared" si="12"/>
        <v>2.8391680169266898E-2</v>
      </c>
      <c r="AL17" s="437">
        <f t="shared" si="13"/>
        <v>2.8439631368408165E-2</v>
      </c>
      <c r="AM17" s="438">
        <f>'Op Cost-26'!B8/'Ridership-26'!B8</f>
        <v>18.793224341693318</v>
      </c>
      <c r="AN17" s="434">
        <f>'Op Cost-26'!C8/'Ridership-26'!C8</f>
        <v>10.475815275626847</v>
      </c>
      <c r="AO17" s="434">
        <f>'Op Cost-26'!D8/'Ridership-26'!D8</f>
        <v>11.852925793241749</v>
      </c>
      <c r="AP17" s="434">
        <f>'Op Cost-26'!E8/'Ridership-26'!E8</f>
        <v>9.8055061078538444</v>
      </c>
      <c r="AQ17" s="435">
        <f t="shared" si="14"/>
        <v>0.93027130136651037</v>
      </c>
      <c r="AR17" s="436">
        <f t="shared" si="15"/>
        <v>2.7818533404764419E-2</v>
      </c>
      <c r="AS17" s="440">
        <f t="shared" si="16"/>
        <v>2.7981048422579979E-2</v>
      </c>
      <c r="AT17" s="432"/>
      <c r="AU17" s="441">
        <f t="shared" si="17"/>
        <v>0</v>
      </c>
      <c r="AV17" s="442">
        <f t="shared" si="18"/>
        <v>0</v>
      </c>
      <c r="AW17" s="442">
        <f t="shared" si="19"/>
        <v>0</v>
      </c>
      <c r="AX17" s="442">
        <f t="shared" si="20"/>
        <v>0</v>
      </c>
      <c r="AY17" s="443">
        <f t="shared" si="21"/>
        <v>0</v>
      </c>
      <c r="AZ17" s="444">
        <f t="shared" si="43"/>
        <v>-1</v>
      </c>
      <c r="BA17" s="445">
        <f t="shared" si="22"/>
        <v>0</v>
      </c>
      <c r="BB17" s="446">
        <f t="shared" si="22"/>
        <v>0</v>
      </c>
      <c r="BC17" s="446">
        <f t="shared" si="22"/>
        <v>0</v>
      </c>
      <c r="BD17" s="446">
        <f t="shared" si="22"/>
        <v>0</v>
      </c>
      <c r="BE17" s="446">
        <f t="shared" si="22"/>
        <v>0</v>
      </c>
      <c r="BF17" s="447">
        <f t="shared" si="44"/>
        <v>3115019.4522074023</v>
      </c>
      <c r="BH17" s="448">
        <f>'Op Cost-26'!E8</f>
        <v>14481448</v>
      </c>
      <c r="BI17" s="449">
        <f t="shared" si="23"/>
        <v>0.21510414236251804</v>
      </c>
      <c r="BJ17" s="450">
        <f t="shared" si="24"/>
        <v>3115019.4522074023</v>
      </c>
      <c r="BK17" s="451">
        <f t="shared" si="25"/>
        <v>0</v>
      </c>
      <c r="BL17" s="1">
        <f t="shared" si="45"/>
        <v>1.145036187226957</v>
      </c>
      <c r="BM17" s="112">
        <f t="shared" si="46"/>
        <v>1.0168816734407982</v>
      </c>
      <c r="BN17" s="112">
        <f t="shared" si="47"/>
        <v>1.3303200960866706</v>
      </c>
      <c r="BO17" s="113">
        <f t="shared" si="48"/>
        <v>1.1164714896901797</v>
      </c>
      <c r="BP17" s="452">
        <f t="shared" si="26"/>
        <v>3115019.4522074023</v>
      </c>
      <c r="BQ17" s="115">
        <f t="shared" si="49"/>
        <v>2.9632143328482494E-2</v>
      </c>
      <c r="BR17" s="116">
        <f t="shared" si="50"/>
        <v>2.9632143328482494E-2</v>
      </c>
      <c r="BS17" s="453">
        <f t="shared" si="51"/>
        <v>3.1157340165465442E-2</v>
      </c>
      <c r="BT17" s="118">
        <f t="shared" si="52"/>
        <v>3348212.0355886496</v>
      </c>
      <c r="BU17" s="119">
        <f t="shared" si="53"/>
        <v>4344434.3999999994</v>
      </c>
      <c r="BV17" s="119">
        <f t="shared" si="54"/>
        <v>3348212.0355886496</v>
      </c>
      <c r="BW17" s="119">
        <f t="shared" si="65"/>
        <v>0</v>
      </c>
      <c r="BX17" s="120">
        <f t="shared" si="55"/>
        <v>2.9632143328482494E-2</v>
      </c>
      <c r="BY17" s="454">
        <f t="shared" si="56"/>
        <v>3.3551610730698414E-2</v>
      </c>
      <c r="BZ17" s="122">
        <f t="shared" si="57"/>
        <v>3357523.9883526759</v>
      </c>
      <c r="CA17" s="455">
        <f t="shared" si="27"/>
        <v>2.7670219666180062E-2</v>
      </c>
      <c r="CB17" s="456">
        <f t="shared" si="28"/>
        <v>207093.73689847285</v>
      </c>
      <c r="CC17" s="456">
        <f t="shared" si="29"/>
        <v>3322113.1891058753</v>
      </c>
      <c r="CD17" s="457">
        <f t="shared" si="30"/>
        <v>0.22940476595336842</v>
      </c>
      <c r="CE17" s="458">
        <f t="shared" si="31"/>
        <v>0</v>
      </c>
      <c r="CF17" s="17"/>
      <c r="CG17" s="459">
        <f t="shared" si="32"/>
        <v>14481448</v>
      </c>
      <c r="CH17" s="460">
        <f t="shared" si="58"/>
        <v>0.22940476595336842</v>
      </c>
      <c r="CI17" s="461">
        <f t="shared" si="33"/>
        <v>3322113.1891058753</v>
      </c>
      <c r="CJ17" s="462">
        <f t="shared" si="34"/>
        <v>0</v>
      </c>
      <c r="CL17" s="463">
        <f t="shared" si="35"/>
        <v>3322113.1891058753</v>
      </c>
      <c r="CM17" s="464">
        <f t="shared" si="36"/>
        <v>2.856425970647088E-2</v>
      </c>
      <c r="CN17" s="465">
        <f t="shared" si="37"/>
        <v>4354.5136422875585</v>
      </c>
      <c r="CO17" s="466">
        <f t="shared" si="59"/>
        <v>3326467.7027481627</v>
      </c>
      <c r="CP17" s="467">
        <f t="shared" si="60"/>
        <v>0.22970546196403582</v>
      </c>
      <c r="CQ17" s="468">
        <f t="shared" si="38"/>
        <v>0</v>
      </c>
      <c r="CR17" s="469"/>
      <c r="CS17" s="470">
        <f t="shared" si="39"/>
        <v>4344434.3999999994</v>
      </c>
      <c r="CT17" s="465">
        <f t="shared" si="40"/>
        <v>0</v>
      </c>
      <c r="CU17" s="471">
        <f t="shared" si="41"/>
        <v>3326467.7027481627</v>
      </c>
      <c r="CV17" s="472">
        <f t="shared" si="42"/>
        <v>0.22970546196403582</v>
      </c>
      <c r="CY17" s="473">
        <v>0</v>
      </c>
      <c r="CZ17" s="474">
        <f t="shared" si="61"/>
        <v>3326467.7027481627</v>
      </c>
      <c r="DA17" s="475">
        <f t="shared" si="62"/>
        <v>0.22970546196403582</v>
      </c>
      <c r="DB17" s="1">
        <f t="shared" si="63"/>
        <v>0</v>
      </c>
      <c r="DC17" s="293">
        <f t="shared" si="64"/>
        <v>0.23185001861365492</v>
      </c>
      <c r="DF17" s="476"/>
    </row>
    <row r="18" spans="1:110">
      <c r="A18" s="477" t="s">
        <v>90</v>
      </c>
      <c r="B18" s="428" t="s">
        <v>91</v>
      </c>
      <c r="C18" s="429"/>
      <c r="D18" s="91">
        <f>'Sizing - Reimb Exp-26'!B9</f>
        <v>5072179</v>
      </c>
      <c r="E18" s="92">
        <f>'Ridership-26'!$E9</f>
        <v>332441</v>
      </c>
      <c r="F18" s="92">
        <f>'Revenue Hours-26'!$E9</f>
        <v>38032</v>
      </c>
      <c r="G18" s="92">
        <f>'Revenue Miles-26'!$E9</f>
        <v>554895</v>
      </c>
      <c r="H18" s="478">
        <f t="shared" si="0"/>
        <v>7.7926057912628393E-3</v>
      </c>
      <c r="I18" s="431">
        <f t="shared" si="1"/>
        <v>7.7926057912628393E-3</v>
      </c>
      <c r="J18" s="444">
        <v>-2.4831122032841661E-2</v>
      </c>
      <c r="K18" s="433">
        <f>'Ridership-26'!B9/'Revenue Hours-26'!B9</f>
        <v>3.4815432129025932</v>
      </c>
      <c r="L18" s="434">
        <f>'Ridership-26'!C9/'Revenue Hours-26'!C9</f>
        <v>4.4669216251117509</v>
      </c>
      <c r="M18" s="434">
        <f>'Ridership-26'!D9/'Revenue Hours-26'!D9</f>
        <v>7.7552782335063606</v>
      </c>
      <c r="N18" s="434">
        <f>'Ridership-26'!E9/'Revenue Hours-26'!E9</f>
        <v>8.7410864535128319</v>
      </c>
      <c r="O18" s="435">
        <f t="shared" si="2"/>
        <v>1.1714187434979995</v>
      </c>
      <c r="P18" s="436">
        <f t="shared" si="3"/>
        <v>9.1284044845763492E-3</v>
      </c>
      <c r="Q18" s="437">
        <f t="shared" si="4"/>
        <v>8.8225422407641023E-3</v>
      </c>
      <c r="R18" s="438">
        <f>'Ridership-26'!B9/'Revenue Miles-26'!B9</f>
        <v>0.23255357049300571</v>
      </c>
      <c r="S18" s="434">
        <f>'Ridership-26'!C9/'Revenue Miles-26'!C9</f>
        <v>0.30066694525699961</v>
      </c>
      <c r="T18" s="434">
        <f>'Ridership-26'!D9/'Revenue Miles-26'!D9</f>
        <v>0.52558774529639718</v>
      </c>
      <c r="U18" s="434">
        <f>'Ridership-26'!E9/'Revenue Miles-26'!E9</f>
        <v>0.59910613719712735</v>
      </c>
      <c r="V18" s="435">
        <f t="shared" si="5"/>
        <v>1.1856531510578938</v>
      </c>
      <c r="W18" s="436">
        <f t="shared" si="6"/>
        <v>9.2393276113627767E-3</v>
      </c>
      <c r="X18" s="437">
        <f t="shared" si="7"/>
        <v>8.9422351825131571E-3</v>
      </c>
      <c r="Y18" s="438">
        <f>'Op Cost-26'!B9/'Revenue Hours-26'!B9</f>
        <v>97.854576204715912</v>
      </c>
      <c r="Z18" s="434">
        <f>'Op Cost-26'!C9/'Revenue Hours-26'!C9</f>
        <v>112.67122777391477</v>
      </c>
      <c r="AA18" s="434">
        <f>'Op Cost-26'!D9/'Revenue Hours-26'!D9</f>
        <v>122.86288695839272</v>
      </c>
      <c r="AB18" s="434">
        <f>'Op Cost-26'!E9/'Revenue Hours-26'!E9</f>
        <v>138.48985065208245</v>
      </c>
      <c r="AC18" s="435">
        <f t="shared" si="8"/>
        <v>1.0747196303588169</v>
      </c>
      <c r="AD18" s="436">
        <f t="shared" si="9"/>
        <v>7.2508267004121997E-3</v>
      </c>
      <c r="AE18" s="437">
        <f t="shared" si="10"/>
        <v>7.2637121403872134E-3</v>
      </c>
      <c r="AF18" s="438">
        <f>'Op Cost-26'!B9/'Revenue Miles-26'!B9</f>
        <v>6.5363057971394145</v>
      </c>
      <c r="AG18" s="434">
        <f>'Op Cost-26'!C9/'Revenue Miles-26'!C9</f>
        <v>7.5838612620142083</v>
      </c>
      <c r="AH18" s="434">
        <f>'Op Cost-26'!D9/'Revenue Miles-26'!D9</f>
        <v>8.3266165046243135</v>
      </c>
      <c r="AI18" s="434">
        <f>'Op Cost-26'!E9/'Revenue Miles-26'!E9</f>
        <v>9.4919687508447552</v>
      </c>
      <c r="AJ18" s="435">
        <f t="shared" si="11"/>
        <v>1.0897309117503498</v>
      </c>
      <c r="AK18" s="436">
        <f t="shared" si="12"/>
        <v>7.1509449784682936E-3</v>
      </c>
      <c r="AL18" s="437">
        <f t="shared" si="13"/>
        <v>7.1630223329843517E-3</v>
      </c>
      <c r="AM18" s="438">
        <f>'Op Cost-26'!B9/'Ridership-26'!B9</f>
        <v>28.106667136018022</v>
      </c>
      <c r="AN18" s="434">
        <f>'Op Cost-26'!C9/'Ridership-26'!C9</f>
        <v>25.223461978940815</v>
      </c>
      <c r="AO18" s="434">
        <f>'Op Cost-26'!D9/'Ridership-26'!D9</f>
        <v>15.842486015210735</v>
      </c>
      <c r="AP18" s="434">
        <f>'Op Cost-26'!E9/'Ridership-26'!E9</f>
        <v>15.843551186526332</v>
      </c>
      <c r="AQ18" s="439">
        <f t="shared" si="14"/>
        <v>0.95162230758164368</v>
      </c>
      <c r="AR18" s="436">
        <f t="shared" si="15"/>
        <v>8.1887590582719501E-3</v>
      </c>
      <c r="AS18" s="440">
        <f t="shared" si="16"/>
        <v>8.236597537205367E-3</v>
      </c>
      <c r="AT18" s="432"/>
      <c r="AU18" s="441">
        <f t="shared" si="17"/>
        <v>0</v>
      </c>
      <c r="AV18" s="442">
        <f t="shared" si="18"/>
        <v>0</v>
      </c>
      <c r="AW18" s="442">
        <f t="shared" si="19"/>
        <v>0</v>
      </c>
      <c r="AX18" s="442">
        <f t="shared" si="20"/>
        <v>0</v>
      </c>
      <c r="AY18" s="443">
        <f t="shared" si="21"/>
        <v>0</v>
      </c>
      <c r="AZ18" s="444">
        <f t="shared" si="43"/>
        <v>-1</v>
      </c>
      <c r="BA18" s="445">
        <f t="shared" si="22"/>
        <v>0</v>
      </c>
      <c r="BB18" s="446">
        <f t="shared" si="22"/>
        <v>0</v>
      </c>
      <c r="BC18" s="446">
        <f t="shared" si="22"/>
        <v>0</v>
      </c>
      <c r="BD18" s="446">
        <f t="shared" si="22"/>
        <v>0</v>
      </c>
      <c r="BE18" s="446">
        <f t="shared" si="22"/>
        <v>0</v>
      </c>
      <c r="BF18" s="447">
        <f t="shared" si="44"/>
        <v>937993.04115306935</v>
      </c>
      <c r="BH18" s="448">
        <f>'Op Cost-26'!E9</f>
        <v>5267046</v>
      </c>
      <c r="BI18" s="449">
        <f t="shared" si="23"/>
        <v>0.17808711774172264</v>
      </c>
      <c r="BJ18" s="450">
        <f t="shared" si="24"/>
        <v>937993.04115306935</v>
      </c>
      <c r="BK18" s="451">
        <f t="shared" si="25"/>
        <v>0</v>
      </c>
      <c r="BL18" s="1">
        <f t="shared" si="45"/>
        <v>0.72440684122028942</v>
      </c>
      <c r="BM18" s="112">
        <f t="shared" si="46"/>
        <v>0.77079320936507312</v>
      </c>
      <c r="BN18" s="112">
        <f t="shared" si="47"/>
        <v>0.74487529004257091</v>
      </c>
      <c r="BO18" s="113">
        <f t="shared" si="48"/>
        <v>0.69097943273675688</v>
      </c>
      <c r="BP18" s="452">
        <f t="shared" si="26"/>
        <v>937993.04115306935</v>
      </c>
      <c r="BQ18" s="115">
        <f t="shared" si="49"/>
        <v>5.6450169461236474E-3</v>
      </c>
      <c r="BR18" s="116">
        <f t="shared" si="50"/>
        <v>5.6450169461236474E-3</v>
      </c>
      <c r="BS18" s="453">
        <f t="shared" si="51"/>
        <v>5.935571763421227E-3</v>
      </c>
      <c r="BT18" s="118">
        <f t="shared" si="52"/>
        <v>982416.96521097538</v>
      </c>
      <c r="BU18" s="119">
        <f t="shared" si="53"/>
        <v>1580113.8</v>
      </c>
      <c r="BV18" s="119">
        <f t="shared" si="54"/>
        <v>982416.96521097538</v>
      </c>
      <c r="BW18" s="119">
        <f t="shared" si="65"/>
        <v>0</v>
      </c>
      <c r="BX18" s="120">
        <f t="shared" si="55"/>
        <v>5.6450169461236474E-3</v>
      </c>
      <c r="BY18" s="454">
        <f t="shared" si="56"/>
        <v>6.3916878723546582E-3</v>
      </c>
      <c r="BZ18" s="122">
        <f t="shared" si="57"/>
        <v>984190.92163969937</v>
      </c>
      <c r="CA18" s="455">
        <f t="shared" si="27"/>
        <v>8.3320421885845798E-3</v>
      </c>
      <c r="CB18" s="456">
        <f t="shared" si="28"/>
        <v>62359.958599776524</v>
      </c>
      <c r="CC18" s="456">
        <f t="shared" si="29"/>
        <v>1000352.9997528458</v>
      </c>
      <c r="CD18" s="457">
        <f t="shared" si="30"/>
        <v>0.18992676345580536</v>
      </c>
      <c r="CE18" s="458">
        <f t="shared" si="31"/>
        <v>0</v>
      </c>
      <c r="CF18" s="17"/>
      <c r="CG18" s="459">
        <f t="shared" si="32"/>
        <v>5267046</v>
      </c>
      <c r="CH18" s="460">
        <f t="shared" si="58"/>
        <v>0.18992676345580536</v>
      </c>
      <c r="CI18" s="461">
        <f t="shared" si="33"/>
        <v>1000352.9997528458</v>
      </c>
      <c r="CJ18" s="462">
        <f t="shared" si="34"/>
        <v>0</v>
      </c>
      <c r="CL18" s="463">
        <f t="shared" si="35"/>
        <v>1000352.9997528458</v>
      </c>
      <c r="CM18" s="464">
        <f t="shared" si="36"/>
        <v>8.6012550616248219E-3</v>
      </c>
      <c r="CN18" s="465">
        <f t="shared" si="37"/>
        <v>1311.2288885314747</v>
      </c>
      <c r="CO18" s="466">
        <f t="shared" si="59"/>
        <v>1001664.2286413773</v>
      </c>
      <c r="CP18" s="467">
        <f t="shared" si="60"/>
        <v>0.19017571303561376</v>
      </c>
      <c r="CQ18" s="468">
        <f t="shared" si="38"/>
        <v>0</v>
      </c>
      <c r="CR18" s="469"/>
      <c r="CS18" s="470">
        <f t="shared" si="39"/>
        <v>1580113.8</v>
      </c>
      <c r="CT18" s="465">
        <f t="shared" si="40"/>
        <v>0</v>
      </c>
      <c r="CU18" s="471">
        <f t="shared" si="41"/>
        <v>1001664.2286413773</v>
      </c>
      <c r="CV18" s="472">
        <f t="shared" si="42"/>
        <v>0.19017571303561376</v>
      </c>
      <c r="CY18" s="473">
        <v>0</v>
      </c>
      <c r="CZ18" s="474">
        <f t="shared" si="61"/>
        <v>1001664.2286413773</v>
      </c>
      <c r="DA18" s="475">
        <f t="shared" si="62"/>
        <v>0.19017571303561376</v>
      </c>
      <c r="DB18" s="1">
        <f t="shared" si="63"/>
        <v>0</v>
      </c>
      <c r="DC18" s="293">
        <f t="shared" si="64"/>
        <v>0.18685823545868013</v>
      </c>
      <c r="DF18" s="476"/>
    </row>
    <row r="19" spans="1:110">
      <c r="A19" s="477" t="s">
        <v>92</v>
      </c>
      <c r="B19" s="428" t="s">
        <v>93</v>
      </c>
      <c r="C19" s="429"/>
      <c r="D19" s="91">
        <f>'Sizing - Reimb Exp-26'!B10</f>
        <v>2126888</v>
      </c>
      <c r="E19" s="92">
        <f>'Ridership-26'!$E10</f>
        <v>77878</v>
      </c>
      <c r="F19" s="92">
        <f>'Revenue Hours-26'!$E10</f>
        <v>24727.8</v>
      </c>
      <c r="G19" s="92">
        <f>'Revenue Miles-26'!$E10</f>
        <v>463883</v>
      </c>
      <c r="H19" s="478">
        <f t="shared" si="0"/>
        <v>3.668720479145409E-3</v>
      </c>
      <c r="I19" s="431">
        <f t="shared" si="1"/>
        <v>3.668720479145409E-3</v>
      </c>
      <c r="J19" s="432"/>
      <c r="K19" s="433">
        <f>'Ridership-26'!B10/'Revenue Hours-26'!B10</f>
        <v>5.361326293975428</v>
      </c>
      <c r="L19" s="434">
        <f>'Ridership-26'!C10/'Revenue Hours-26'!C10</f>
        <v>3.4816356739753909</v>
      </c>
      <c r="M19" s="434">
        <f>'Ridership-26'!D10/'Revenue Hours-26'!D10</f>
        <v>3.3501561802766622</v>
      </c>
      <c r="N19" s="434">
        <f>'Ridership-26'!E10/'Revenue Hours-26'!E10</f>
        <v>3.1494107846229751</v>
      </c>
      <c r="O19" s="435">
        <f t="shared" si="2"/>
        <v>0.73134212552263556</v>
      </c>
      <c r="P19" s="436">
        <f t="shared" si="3"/>
        <v>2.6830898331666251E-3</v>
      </c>
      <c r="Q19" s="437">
        <f t="shared" si="4"/>
        <v>2.5931884842388055E-3</v>
      </c>
      <c r="R19" s="438">
        <f>'Ridership-26'!B10/'Revenue Miles-26'!B10</f>
        <v>0.29459705668644059</v>
      </c>
      <c r="S19" s="434">
        <f>'Ridership-26'!C10/'Revenue Miles-26'!C10</f>
        <v>0.18135424146189841</v>
      </c>
      <c r="T19" s="434">
        <f>'Ridership-26'!D10/'Revenue Miles-26'!D10</f>
        <v>0.16980829081171064</v>
      </c>
      <c r="U19" s="434">
        <f>'Ridership-26'!E10/'Revenue Miles-26'!E10</f>
        <v>0.16788284977030846</v>
      </c>
      <c r="V19" s="435">
        <f t="shared" si="5"/>
        <v>0.73210443369450051</v>
      </c>
      <c r="W19" s="436">
        <f t="shared" si="6"/>
        <v>2.6858865287681661E-3</v>
      </c>
      <c r="X19" s="437">
        <f t="shared" si="7"/>
        <v>2.5995213097813582E-3</v>
      </c>
      <c r="Y19" s="438">
        <f>'Op Cost-26'!B10/'Revenue Hours-26'!B10</f>
        <v>71.305225243005879</v>
      </c>
      <c r="Z19" s="434">
        <f>'Op Cost-26'!C10/'Revenue Hours-26'!C10</f>
        <v>79.874363955962622</v>
      </c>
      <c r="AA19" s="434">
        <f>'Op Cost-26'!D10/'Revenue Hours-26'!D10</f>
        <v>87.91722445336903</v>
      </c>
      <c r="AB19" s="434">
        <f>'Op Cost-26'!E10/'Revenue Hours-26'!E10</f>
        <v>86.01201886136252</v>
      </c>
      <c r="AC19" s="435">
        <f t="shared" si="8"/>
        <v>1.0196484156589218</v>
      </c>
      <c r="AD19" s="436">
        <f t="shared" si="9"/>
        <v>3.5980249886178577E-3</v>
      </c>
      <c r="AE19" s="437">
        <f t="shared" si="10"/>
        <v>3.6044190367636778E-3</v>
      </c>
      <c r="AF19" s="438">
        <f>'Op Cost-26'!B10/'Revenue Miles-26'!B10</f>
        <v>3.9181180795800845</v>
      </c>
      <c r="AG19" s="434">
        <f>'Op Cost-26'!C10/'Revenue Miles-26'!C10</f>
        <v>4.1605601630756928</v>
      </c>
      <c r="AH19" s="434">
        <f>'Op Cost-26'!D10/'Revenue Miles-26'!D10</f>
        <v>4.456232131871313</v>
      </c>
      <c r="AI19" s="434">
        <f>'Op Cost-26'!E10/'Revenue Miles-26'!E10</f>
        <v>4.5849664678377957</v>
      </c>
      <c r="AJ19" s="435">
        <f t="shared" si="11"/>
        <v>1.0128076498369882</v>
      </c>
      <c r="AK19" s="436">
        <f t="shared" si="12"/>
        <v>3.6223269835450899E-3</v>
      </c>
      <c r="AL19" s="437">
        <f t="shared" si="13"/>
        <v>3.6284447941680336E-3</v>
      </c>
      <c r="AM19" s="438">
        <f>'Op Cost-26'!B10/'Ridership-26'!B10</f>
        <v>13.299922693220932</v>
      </c>
      <c r="AN19" s="434">
        <f>'Op Cost-26'!C10/'Ridership-26'!C10</f>
        <v>22.941620386363031</v>
      </c>
      <c r="AO19" s="434">
        <f>'Op Cost-26'!D10/'Ridership-26'!D10</f>
        <v>26.242724136553139</v>
      </c>
      <c r="AP19" s="434">
        <f>'Op Cost-26'!E10/'Ridership-26'!E10</f>
        <v>27.310511312565808</v>
      </c>
      <c r="AQ19" s="439">
        <f t="shared" si="14"/>
        <v>1.5025184960180014</v>
      </c>
      <c r="AR19" s="436">
        <f t="shared" si="15"/>
        <v>2.4417140214036039E-3</v>
      </c>
      <c r="AS19" s="440">
        <f t="shared" si="16"/>
        <v>2.4559784397291565E-3</v>
      </c>
      <c r="AT19" s="432"/>
      <c r="AU19" s="441">
        <f t="shared" si="17"/>
        <v>0</v>
      </c>
      <c r="AV19" s="442">
        <f t="shared" si="18"/>
        <v>0</v>
      </c>
      <c r="AW19" s="442">
        <f t="shared" si="19"/>
        <v>0</v>
      </c>
      <c r="AX19" s="442">
        <f t="shared" si="20"/>
        <v>0</v>
      </c>
      <c r="AY19" s="443">
        <f t="shared" si="21"/>
        <v>0</v>
      </c>
      <c r="AZ19" s="444">
        <f t="shared" si="43"/>
        <v>-1</v>
      </c>
      <c r="BA19" s="445">
        <f t="shared" si="22"/>
        <v>0</v>
      </c>
      <c r="BB19" s="446">
        <f t="shared" si="22"/>
        <v>0</v>
      </c>
      <c r="BC19" s="446">
        <f t="shared" si="22"/>
        <v>0</v>
      </c>
      <c r="BD19" s="446">
        <f t="shared" si="22"/>
        <v>0</v>
      </c>
      <c r="BE19" s="446">
        <f t="shared" si="22"/>
        <v>0</v>
      </c>
      <c r="BF19" s="447">
        <f t="shared" si="44"/>
        <v>441602.51032234944</v>
      </c>
      <c r="BH19" s="448">
        <f>'Op Cost-26'!E10</f>
        <v>2126888</v>
      </c>
      <c r="BI19" s="449">
        <f t="shared" si="23"/>
        <v>0.20762847424140313</v>
      </c>
      <c r="BJ19" s="450">
        <f t="shared" si="24"/>
        <v>441602.51032234944</v>
      </c>
      <c r="BK19" s="451">
        <f t="shared" si="25"/>
        <v>0</v>
      </c>
      <c r="BL19" s="1">
        <f t="shared" si="45"/>
        <v>0.32203952880637277</v>
      </c>
      <c r="BM19" s="112">
        <f t="shared" si="46"/>
        <v>0.27771655837049231</v>
      </c>
      <c r="BN19" s="112">
        <f t="shared" si="47"/>
        <v>0.20873060489895359</v>
      </c>
      <c r="BO19" s="113">
        <f t="shared" si="48"/>
        <v>0.40085547597802262</v>
      </c>
      <c r="BP19" s="452">
        <f t="shared" si="26"/>
        <v>441602.51032234944</v>
      </c>
      <c r="BQ19" s="115">
        <f t="shared" si="49"/>
        <v>1.1814730144262776E-3</v>
      </c>
      <c r="BR19" s="116">
        <f t="shared" si="50"/>
        <v>1.1814730144262776E-3</v>
      </c>
      <c r="BS19" s="453">
        <f t="shared" si="51"/>
        <v>1.2422846433593625E-3</v>
      </c>
      <c r="BT19" s="118">
        <f t="shared" si="52"/>
        <v>450900.20915483555</v>
      </c>
      <c r="BU19" s="119">
        <f t="shared" si="53"/>
        <v>638066.4</v>
      </c>
      <c r="BV19" s="119">
        <f t="shared" si="54"/>
        <v>450900.20915483555</v>
      </c>
      <c r="BW19" s="119">
        <f t="shared" si="65"/>
        <v>0</v>
      </c>
      <c r="BX19" s="120">
        <f t="shared" si="55"/>
        <v>1.1814730144262776E-3</v>
      </c>
      <c r="BY19" s="454">
        <f t="shared" si="56"/>
        <v>1.3377473991479016E-3</v>
      </c>
      <c r="BZ19" s="122">
        <f t="shared" si="57"/>
        <v>451271.48911188589</v>
      </c>
      <c r="CA19" s="455">
        <f t="shared" si="27"/>
        <v>3.9226844818246688E-3</v>
      </c>
      <c r="CB19" s="456">
        <f t="shared" si="28"/>
        <v>29358.761795723356</v>
      </c>
      <c r="CC19" s="456">
        <f t="shared" si="29"/>
        <v>470961.27211807278</v>
      </c>
      <c r="CD19" s="457">
        <f t="shared" si="30"/>
        <v>0.22143209803152436</v>
      </c>
      <c r="CE19" s="458">
        <f t="shared" si="31"/>
        <v>0</v>
      </c>
      <c r="CF19" s="17"/>
      <c r="CG19" s="459">
        <f t="shared" si="32"/>
        <v>2126888</v>
      </c>
      <c r="CH19" s="460">
        <f t="shared" si="58"/>
        <v>0.22143209803152436</v>
      </c>
      <c r="CI19" s="461">
        <f t="shared" si="33"/>
        <v>470961.27211807278</v>
      </c>
      <c r="CJ19" s="462">
        <f t="shared" si="34"/>
        <v>0</v>
      </c>
      <c r="CL19" s="463">
        <f t="shared" si="35"/>
        <v>470961.27211807278</v>
      </c>
      <c r="CM19" s="464">
        <f t="shared" si="36"/>
        <v>4.0494285783475147E-3</v>
      </c>
      <c r="CN19" s="465">
        <f t="shared" si="37"/>
        <v>617.32011153395172</v>
      </c>
      <c r="CO19" s="466">
        <f t="shared" si="59"/>
        <v>471578.59222960676</v>
      </c>
      <c r="CP19" s="467">
        <f t="shared" si="60"/>
        <v>0.22172234373864855</v>
      </c>
      <c r="CQ19" s="468">
        <f t="shared" si="38"/>
        <v>0</v>
      </c>
      <c r="CR19" s="469"/>
      <c r="CS19" s="470">
        <f t="shared" si="39"/>
        <v>638066.4</v>
      </c>
      <c r="CT19" s="465">
        <f t="shared" si="40"/>
        <v>0</v>
      </c>
      <c r="CU19" s="471">
        <f t="shared" si="41"/>
        <v>471578.59222960676</v>
      </c>
      <c r="CV19" s="472">
        <f t="shared" si="42"/>
        <v>0.22172234373864855</v>
      </c>
      <c r="CY19" s="473">
        <v>0</v>
      </c>
      <c r="CZ19" s="474">
        <f t="shared" si="61"/>
        <v>471578.59222960676</v>
      </c>
      <c r="DA19" s="475">
        <f t="shared" si="62"/>
        <v>0.22172234373864855</v>
      </c>
      <c r="DB19" s="1">
        <f t="shared" si="63"/>
        <v>0</v>
      </c>
      <c r="DC19" s="293">
        <f t="shared" si="64"/>
        <v>0.21217454285880868</v>
      </c>
      <c r="DF19" s="476"/>
    </row>
    <row r="20" spans="1:110">
      <c r="A20" s="477" t="s">
        <v>92</v>
      </c>
      <c r="B20" s="428" t="s">
        <v>94</v>
      </c>
      <c r="C20" s="429"/>
      <c r="D20" s="91">
        <f>'Sizing - Reimb Exp-26'!B11</f>
        <v>225862</v>
      </c>
      <c r="E20" s="92">
        <f>'Ridership-26'!$E11</f>
        <v>11821</v>
      </c>
      <c r="F20" s="92">
        <f>'Revenue Hours-26'!$E11</f>
        <v>2826</v>
      </c>
      <c r="G20" s="92">
        <f>'Revenue Miles-26'!$E11</f>
        <v>53914</v>
      </c>
      <c r="H20" s="478">
        <f t="shared" si="0"/>
        <v>4.299833411547236E-4</v>
      </c>
      <c r="I20" s="431">
        <f t="shared" si="1"/>
        <v>4.299833411547236E-4</v>
      </c>
      <c r="J20" s="432"/>
      <c r="K20" s="433">
        <f>'Ridership-26'!B11/'Revenue Hours-26'!B11</f>
        <v>1.3415032679738561</v>
      </c>
      <c r="L20" s="434">
        <f>'Ridership-26'!C11/'Revenue Hours-26'!C11</f>
        <v>1.759546925566343</v>
      </c>
      <c r="M20" s="434">
        <f>'Ridership-26'!D11/'Revenue Hours-26'!D11</f>
        <v>3.4945302445302446</v>
      </c>
      <c r="N20" s="434">
        <f>'Ridership-26'!E11/'Revenue Hours-26'!E11</f>
        <v>4.1829440905874025</v>
      </c>
      <c r="O20" s="435">
        <f t="shared" si="2"/>
        <v>1.2707041716788596</v>
      </c>
      <c r="P20" s="436">
        <f t="shared" si="3"/>
        <v>5.4638162535772152E-4</v>
      </c>
      <c r="Q20" s="437">
        <f t="shared" si="4"/>
        <v>5.280742080875883E-4</v>
      </c>
      <c r="R20" s="438">
        <f>'Ridership-26'!B11/'Revenue Miles-26'!B11</f>
        <v>8.4451119157340354E-2</v>
      </c>
      <c r="S20" s="434">
        <f>'Ridership-26'!C11/'Revenue Miles-26'!C11</f>
        <v>0.10382691059084138</v>
      </c>
      <c r="T20" s="434">
        <f>'Ridership-26'!D11/'Revenue Miles-26'!D11</f>
        <v>0.19750504628030041</v>
      </c>
      <c r="U20" s="434">
        <f>'Ridership-26'!E11/'Revenue Miles-26'!E11</f>
        <v>0.21925659383462551</v>
      </c>
      <c r="V20" s="435">
        <f t="shared" si="5"/>
        <v>1.2027212402786347</v>
      </c>
      <c r="W20" s="436">
        <f t="shared" si="6"/>
        <v>5.1715009737276043E-4</v>
      </c>
      <c r="X20" s="437">
        <f t="shared" si="7"/>
        <v>5.0052103246988385E-4</v>
      </c>
      <c r="Y20" s="438">
        <f>'Op Cost-26'!B11/'Revenue Hours-26'!B11</f>
        <v>49.306209150326801</v>
      </c>
      <c r="Z20" s="434">
        <f>'Op Cost-26'!C11/'Revenue Hours-26'!C11</f>
        <v>54.219417475728157</v>
      </c>
      <c r="AA20" s="434">
        <f>'Op Cost-26'!D11/'Revenue Hours-26'!D11</f>
        <v>62.816602316602314</v>
      </c>
      <c r="AB20" s="434">
        <f>'Op Cost-26'!E11/'Revenue Hours-26'!E11</f>
        <v>79.922859164897375</v>
      </c>
      <c r="AC20" s="435">
        <f t="shared" si="8"/>
        <v>1.1250369583058519</v>
      </c>
      <c r="AD20" s="436">
        <f t="shared" si="9"/>
        <v>3.8219485856021856E-4</v>
      </c>
      <c r="AE20" s="437">
        <f t="shared" si="10"/>
        <v>3.8287405682439117E-4</v>
      </c>
      <c r="AF20" s="438">
        <f>'Op Cost-26'!B11/'Revenue Miles-26'!B11</f>
        <v>3.103954081632653</v>
      </c>
      <c r="AG20" s="434">
        <f>'Op Cost-26'!C11/'Revenue Miles-26'!C11</f>
        <v>3.1993660008402398</v>
      </c>
      <c r="AH20" s="434">
        <f>'Op Cost-26'!D11/'Revenue Miles-26'!D11</f>
        <v>3.5502900474623118</v>
      </c>
      <c r="AI20" s="434">
        <f>'Op Cost-26'!E11/'Revenue Miles-26'!E11</f>
        <v>4.1893014801350299</v>
      </c>
      <c r="AJ20" s="435">
        <f t="shared" si="11"/>
        <v>1.0625424592304593</v>
      </c>
      <c r="AK20" s="436">
        <f t="shared" si="12"/>
        <v>4.0467403200634142E-4</v>
      </c>
      <c r="AL20" s="437">
        <f t="shared" si="13"/>
        <v>4.0535749297026987E-4</v>
      </c>
      <c r="AM20" s="438">
        <f>'Op Cost-26'!B11/'Ridership-26'!B11</f>
        <v>36.754445797807549</v>
      </c>
      <c r="AN20" s="434">
        <f>'Op Cost-26'!C11/'Ridership-26'!C11</f>
        <v>30.814419716755562</v>
      </c>
      <c r="AO20" s="434">
        <f>'Op Cost-26'!D11/'Ridership-26'!D11</f>
        <v>17.97569284596262</v>
      </c>
      <c r="AP20" s="434">
        <f>'Op Cost-26'!E11/'Ridership-26'!E11</f>
        <v>19.106843752643602</v>
      </c>
      <c r="AQ20" s="439">
        <f t="shared" si="14"/>
        <v>0.93210492020148372</v>
      </c>
      <c r="AR20" s="436">
        <f t="shared" si="15"/>
        <v>4.6130358486014473E-4</v>
      </c>
      <c r="AS20" s="440">
        <f t="shared" si="16"/>
        <v>4.6399850623580173E-4</v>
      </c>
      <c r="AT20" s="432"/>
      <c r="AU20" s="441">
        <f t="shared" si="17"/>
        <v>0</v>
      </c>
      <c r="AV20" s="442">
        <f t="shared" si="18"/>
        <v>0</v>
      </c>
      <c r="AW20" s="442">
        <f t="shared" si="19"/>
        <v>0</v>
      </c>
      <c r="AX20" s="442">
        <f t="shared" si="20"/>
        <v>0</v>
      </c>
      <c r="AY20" s="443">
        <f t="shared" si="21"/>
        <v>0</v>
      </c>
      <c r="AZ20" s="444">
        <f t="shared" si="43"/>
        <v>-1</v>
      </c>
      <c r="BA20" s="445">
        <f t="shared" si="22"/>
        <v>0</v>
      </c>
      <c r="BB20" s="446">
        <f t="shared" si="22"/>
        <v>0</v>
      </c>
      <c r="BC20" s="446">
        <f t="shared" si="22"/>
        <v>0</v>
      </c>
      <c r="BD20" s="446">
        <f t="shared" si="22"/>
        <v>0</v>
      </c>
      <c r="BE20" s="446">
        <f t="shared" si="22"/>
        <v>0</v>
      </c>
      <c r="BF20" s="447">
        <f t="shared" si="44"/>
        <v>51756.933767531984</v>
      </c>
      <c r="BH20" s="448">
        <f>'Op Cost-26'!E11</f>
        <v>225862</v>
      </c>
      <c r="BI20" s="449">
        <f t="shared" si="23"/>
        <v>0.22915290649835734</v>
      </c>
      <c r="BJ20" s="450">
        <f t="shared" si="24"/>
        <v>51756.933767531984</v>
      </c>
      <c r="BK20" s="451">
        <f t="shared" si="25"/>
        <v>0</v>
      </c>
      <c r="BL20" s="1">
        <f t="shared" si="45"/>
        <v>0.44684744286959338</v>
      </c>
      <c r="BM20" s="112">
        <f t="shared" si="46"/>
        <v>0.36885402258924105</v>
      </c>
      <c r="BN20" s="112">
        <f t="shared" si="47"/>
        <v>0.27260414939227223</v>
      </c>
      <c r="BO20" s="113">
        <f t="shared" si="48"/>
        <v>0.57296579974843009</v>
      </c>
      <c r="BP20" s="452">
        <f t="shared" si="26"/>
        <v>51756.933767531984</v>
      </c>
      <c r="BQ20" s="115">
        <f t="shared" si="49"/>
        <v>1.9213695647151224E-4</v>
      </c>
      <c r="BR20" s="116">
        <f t="shared" si="50"/>
        <v>1.9213695647151224E-4</v>
      </c>
      <c r="BS20" s="453">
        <f t="shared" si="51"/>
        <v>2.0202644286570782E-4</v>
      </c>
      <c r="BT20" s="118">
        <f t="shared" si="52"/>
        <v>53268.971312232155</v>
      </c>
      <c r="BU20" s="119">
        <f t="shared" si="53"/>
        <v>67758.599999999991</v>
      </c>
      <c r="BV20" s="119">
        <f t="shared" si="54"/>
        <v>53268.971312232155</v>
      </c>
      <c r="BW20" s="119">
        <f t="shared" si="65"/>
        <v>0</v>
      </c>
      <c r="BX20" s="120">
        <f t="shared" si="55"/>
        <v>1.9213695647151224E-4</v>
      </c>
      <c r="BY20" s="454">
        <f t="shared" si="56"/>
        <v>2.1755106605187506E-4</v>
      </c>
      <c r="BZ20" s="122">
        <f t="shared" si="57"/>
        <v>53329.350686179321</v>
      </c>
      <c r="CA20" s="455">
        <f t="shared" si="27"/>
        <v>4.5974856612233749E-4</v>
      </c>
      <c r="CB20" s="456">
        <f t="shared" si="28"/>
        <v>3440.9213132616092</v>
      </c>
      <c r="CC20" s="456">
        <f t="shared" si="29"/>
        <v>55197.85508079359</v>
      </c>
      <c r="CD20" s="457">
        <f t="shared" si="30"/>
        <v>0.24438752459817761</v>
      </c>
      <c r="CE20" s="458">
        <f t="shared" si="31"/>
        <v>0</v>
      </c>
      <c r="CF20" s="17"/>
      <c r="CG20" s="459">
        <f t="shared" si="32"/>
        <v>225862</v>
      </c>
      <c r="CH20" s="460">
        <f t="shared" si="58"/>
        <v>0.24438752459817761</v>
      </c>
      <c r="CI20" s="461">
        <f t="shared" si="33"/>
        <v>55197.85508079359</v>
      </c>
      <c r="CJ20" s="462">
        <f t="shared" si="34"/>
        <v>0</v>
      </c>
      <c r="CL20" s="463">
        <f t="shared" si="35"/>
        <v>55197.85508079359</v>
      </c>
      <c r="CM20" s="464">
        <f t="shared" si="36"/>
        <v>4.7460329555847731E-4</v>
      </c>
      <c r="CN20" s="465">
        <f t="shared" si="37"/>
        <v>72.35148211160697</v>
      </c>
      <c r="CO20" s="466">
        <f t="shared" si="59"/>
        <v>55270.206562905194</v>
      </c>
      <c r="CP20" s="467">
        <f t="shared" si="60"/>
        <v>0.24470785950228544</v>
      </c>
      <c r="CQ20" s="468">
        <f t="shared" si="38"/>
        <v>0</v>
      </c>
      <c r="CR20" s="469"/>
      <c r="CS20" s="470">
        <f t="shared" si="39"/>
        <v>67758.599999999991</v>
      </c>
      <c r="CT20" s="465">
        <f t="shared" si="40"/>
        <v>0</v>
      </c>
      <c r="CU20" s="471">
        <f t="shared" si="41"/>
        <v>55270.206562905194</v>
      </c>
      <c r="CV20" s="472">
        <f t="shared" si="42"/>
        <v>0.24470785950228544</v>
      </c>
      <c r="CY20" s="473">
        <v>685.4</v>
      </c>
      <c r="CZ20" s="474">
        <f t="shared" si="61"/>
        <v>55955.606562905195</v>
      </c>
      <c r="DA20" s="475">
        <f t="shared" si="62"/>
        <v>0.24774245584872709</v>
      </c>
      <c r="DB20" s="1">
        <f t="shared" si="63"/>
        <v>0</v>
      </c>
      <c r="DC20" s="293">
        <f t="shared" si="64"/>
        <v>0.23611475452346709</v>
      </c>
      <c r="DF20" s="476"/>
    </row>
    <row r="21" spans="1:110">
      <c r="A21" s="477" t="s">
        <v>92</v>
      </c>
      <c r="B21" s="428" t="s">
        <v>95</v>
      </c>
      <c r="C21" s="429"/>
      <c r="D21" s="91">
        <f>'Sizing - Reimb Exp-26'!B12</f>
        <v>129210017</v>
      </c>
      <c r="E21" s="92">
        <f>'Ridership-26'!$E12</f>
        <v>8574727</v>
      </c>
      <c r="F21" s="92">
        <f>'Revenue Hours-26'!$E12</f>
        <v>1002985.3500000001</v>
      </c>
      <c r="G21" s="92">
        <f>'Revenue Miles-26'!$E12</f>
        <v>13608118.7366</v>
      </c>
      <c r="H21" s="478">
        <f t="shared" si="0"/>
        <v>0.19910547903123477</v>
      </c>
      <c r="I21" s="431">
        <f t="shared" si="1"/>
        <v>0.19910547903123477</v>
      </c>
      <c r="J21" s="432"/>
      <c r="K21" s="433">
        <f>'Ridership-26'!B12/'Revenue Hours-26'!B12</f>
        <v>6.640780447028594</v>
      </c>
      <c r="L21" s="434">
        <f>'Ridership-26'!C12/'Revenue Hours-26'!C12</f>
        <v>7.1961861955660096</v>
      </c>
      <c r="M21" s="434">
        <f>'Ridership-26'!D12/'Revenue Hours-26'!D12</f>
        <v>7.4695517602798605</v>
      </c>
      <c r="N21" s="434">
        <f>'Ridership-26'!E12/'Revenue Hours-26'!E12</f>
        <v>8.5492046319520014</v>
      </c>
      <c r="O21" s="435">
        <f t="shared" si="2"/>
        <v>0.92912615428559064</v>
      </c>
      <c r="P21" s="436">
        <f t="shared" si="3"/>
        <v>0.18499410802948146</v>
      </c>
      <c r="Q21" s="437">
        <f t="shared" si="4"/>
        <v>0.17879557540863339</v>
      </c>
      <c r="R21" s="438">
        <f>'Ridership-26'!B12/'Revenue Miles-26'!B12</f>
        <v>0.46622665154015291</v>
      </c>
      <c r="S21" s="434">
        <f>'Ridership-26'!C12/'Revenue Miles-26'!C12</f>
        <v>0.49455273703023678</v>
      </c>
      <c r="T21" s="434">
        <f>'Ridership-26'!D12/'Revenue Miles-26'!D12</f>
        <v>0.51854760762331398</v>
      </c>
      <c r="U21" s="434">
        <f>'Ridership-26'!E12/'Revenue Miles-26'!E12</f>
        <v>0.6301184730948638</v>
      </c>
      <c r="V21" s="435">
        <f t="shared" si="5"/>
        <v>0.95181830349680541</v>
      </c>
      <c r="W21" s="436">
        <f t="shared" si="6"/>
        <v>0.18951223926842864</v>
      </c>
      <c r="X21" s="437">
        <f t="shared" si="7"/>
        <v>0.1834184352786507</v>
      </c>
      <c r="Y21" s="438">
        <f>'Op Cost-26'!B12/'Revenue Hours-26'!B12</f>
        <v>107.97198556298591</v>
      </c>
      <c r="Z21" s="434">
        <f>'Op Cost-26'!C12/'Revenue Hours-26'!C12</f>
        <v>112.49719845156518</v>
      </c>
      <c r="AA21" s="434">
        <f>'Op Cost-26'!D12/'Revenue Hours-26'!D12</f>
        <v>125.82563161812979</v>
      </c>
      <c r="AB21" s="434">
        <f>'Op Cost-26'!E12/'Revenue Hours-26'!E12</f>
        <v>129.05743638229609</v>
      </c>
      <c r="AC21" s="435">
        <f t="shared" si="8"/>
        <v>1.0144497417422516</v>
      </c>
      <c r="AD21" s="436">
        <f t="shared" si="9"/>
        <v>0.19626943636387942</v>
      </c>
      <c r="AE21" s="437">
        <f t="shared" si="10"/>
        <v>0.19661822666679105</v>
      </c>
      <c r="AF21" s="438">
        <f>'Op Cost-26'!B12/'Revenue Miles-26'!B12</f>
        <v>7.5803465708156237</v>
      </c>
      <c r="AG21" s="434">
        <f>'Op Cost-26'!C12/'Revenue Miles-26'!C12</f>
        <v>7.7312893094311175</v>
      </c>
      <c r="AH21" s="434">
        <f>'Op Cost-26'!D12/'Revenue Miles-26'!D12</f>
        <v>8.735006108429328</v>
      </c>
      <c r="AI21" s="434">
        <f>'Op Cost-26'!E12/'Revenue Miles-26'!E12</f>
        <v>9.512168471300491</v>
      </c>
      <c r="AJ21" s="435">
        <f t="shared" si="11"/>
        <v>1.0358017781168538</v>
      </c>
      <c r="AK21" s="436">
        <f t="shared" si="12"/>
        <v>0.19222353469330763</v>
      </c>
      <c r="AL21" s="437">
        <f t="shared" si="13"/>
        <v>0.19254818434196402</v>
      </c>
      <c r="AM21" s="438">
        <f>'Op Cost-26'!B12/'Ridership-26'!B12</f>
        <v>16.258930170067252</v>
      </c>
      <c r="AN21" s="434">
        <f>'Op Cost-26'!C12/'Ridership-26'!C12</f>
        <v>15.632891561488677</v>
      </c>
      <c r="AO21" s="434">
        <f>'Op Cost-26'!D12/'Ridership-26'!D12</f>
        <v>16.845138189847084</v>
      </c>
      <c r="AP21" s="434">
        <f>'Op Cost-26'!E12/'Ridership-26'!E12</f>
        <v>15.095841302002967</v>
      </c>
      <c r="AQ21" s="435">
        <f t="shared" si="14"/>
        <v>1.105548154721899</v>
      </c>
      <c r="AR21" s="436">
        <f t="shared" si="15"/>
        <v>0.18009661377556169</v>
      </c>
      <c r="AS21" s="440">
        <f t="shared" si="16"/>
        <v>0.18114873266229081</v>
      </c>
      <c r="AT21" s="432"/>
      <c r="AU21" s="441">
        <f t="shared" si="17"/>
        <v>0</v>
      </c>
      <c r="AV21" s="442">
        <f t="shared" si="18"/>
        <v>0</v>
      </c>
      <c r="AW21" s="442">
        <f t="shared" si="19"/>
        <v>0</v>
      </c>
      <c r="AX21" s="442">
        <f t="shared" si="20"/>
        <v>0</v>
      </c>
      <c r="AY21" s="443">
        <f t="shared" si="21"/>
        <v>0</v>
      </c>
      <c r="AZ21" s="444">
        <f t="shared" si="43"/>
        <v>-1</v>
      </c>
      <c r="BA21" s="445">
        <f t="shared" si="22"/>
        <v>0</v>
      </c>
      <c r="BB21" s="446">
        <f t="shared" si="22"/>
        <v>0</v>
      </c>
      <c r="BC21" s="446">
        <f t="shared" si="22"/>
        <v>0</v>
      </c>
      <c r="BD21" s="446">
        <f t="shared" si="22"/>
        <v>0</v>
      </c>
      <c r="BE21" s="446">
        <f t="shared" si="22"/>
        <v>0</v>
      </c>
      <c r="BF21" s="447">
        <f t="shared" si="44"/>
        <v>23966251.955943104</v>
      </c>
      <c r="BH21" s="448">
        <f>'Op Cost-26'!E12</f>
        <v>129442718</v>
      </c>
      <c r="BI21" s="449">
        <f t="shared" si="23"/>
        <v>0.18514948021983826</v>
      </c>
      <c r="BJ21" s="450">
        <f t="shared" si="24"/>
        <v>23966251.955943104</v>
      </c>
      <c r="BK21" s="451">
        <f t="shared" si="25"/>
        <v>0</v>
      </c>
      <c r="BL21" s="1">
        <f t="shared" si="45"/>
        <v>0.74692867856452327</v>
      </c>
      <c r="BM21" s="112">
        <f t="shared" si="46"/>
        <v>0.75387297801325404</v>
      </c>
      <c r="BN21" s="112">
        <f t="shared" si="47"/>
        <v>0.78343327044450306</v>
      </c>
      <c r="BO21" s="113">
        <f t="shared" si="48"/>
        <v>0.72520423290016811</v>
      </c>
      <c r="BP21" s="452">
        <f t="shared" si="26"/>
        <v>23966251.955943104</v>
      </c>
      <c r="BQ21" s="115">
        <f t="shared" si="49"/>
        <v>0.14871759234775658</v>
      </c>
      <c r="BR21" s="116">
        <f t="shared" si="50"/>
        <v>0.14871759234775658</v>
      </c>
      <c r="BS21" s="453">
        <f t="shared" si="51"/>
        <v>0.15637223949690474</v>
      </c>
      <c r="BT21" s="118">
        <f t="shared" si="52"/>
        <v>25136597.251906835</v>
      </c>
      <c r="BU21" s="119">
        <f t="shared" si="53"/>
        <v>38832815.399999999</v>
      </c>
      <c r="BV21" s="119">
        <f t="shared" si="54"/>
        <v>25136597.251906835</v>
      </c>
      <c r="BW21" s="119">
        <f t="shared" si="65"/>
        <v>0</v>
      </c>
      <c r="BX21" s="120">
        <f t="shared" si="55"/>
        <v>0.14871759234775658</v>
      </c>
      <c r="BY21" s="454">
        <f t="shared" si="56"/>
        <v>0.16838858775573265</v>
      </c>
      <c r="BZ21" s="122">
        <f t="shared" si="57"/>
        <v>25183332.0148894</v>
      </c>
      <c r="CA21" s="455">
        <f t="shared" si="27"/>
        <v>0.21288838364268733</v>
      </c>
      <c r="CB21" s="456">
        <f t="shared" si="28"/>
        <v>1593332.161534165</v>
      </c>
      <c r="CC21" s="456">
        <f t="shared" si="29"/>
        <v>25559584.117477268</v>
      </c>
      <c r="CD21" s="457">
        <f t="shared" si="30"/>
        <v>0.19745864821439602</v>
      </c>
      <c r="CE21" s="458">
        <f t="shared" si="31"/>
        <v>0</v>
      </c>
      <c r="CF21" s="17"/>
      <c r="CG21" s="459">
        <f t="shared" si="32"/>
        <v>129442718</v>
      </c>
      <c r="CH21" s="460">
        <f t="shared" si="58"/>
        <v>0.19745864821439602</v>
      </c>
      <c r="CI21" s="461">
        <f t="shared" si="33"/>
        <v>25559584.117477268</v>
      </c>
      <c r="CJ21" s="462">
        <f t="shared" si="34"/>
        <v>0</v>
      </c>
      <c r="CL21" s="463">
        <f t="shared" si="35"/>
        <v>25559584.117477268</v>
      </c>
      <c r="CM21" s="464">
        <f t="shared" si="36"/>
        <v>0.2197669245934116</v>
      </c>
      <c r="CN21" s="465">
        <f t="shared" si="37"/>
        <v>33502.638650523135</v>
      </c>
      <c r="CO21" s="466">
        <f t="shared" si="59"/>
        <v>25593086.75612779</v>
      </c>
      <c r="CP21" s="467">
        <f t="shared" si="60"/>
        <v>0.19771747033408082</v>
      </c>
      <c r="CQ21" s="468">
        <f t="shared" si="38"/>
        <v>0</v>
      </c>
      <c r="CR21" s="469"/>
      <c r="CS21" s="470">
        <f t="shared" si="39"/>
        <v>38832815.399999999</v>
      </c>
      <c r="CT21" s="465">
        <f t="shared" si="40"/>
        <v>0</v>
      </c>
      <c r="CU21" s="471">
        <f t="shared" si="41"/>
        <v>25593086.75612779</v>
      </c>
      <c r="CV21" s="472">
        <f t="shared" si="42"/>
        <v>0.19771747033408082</v>
      </c>
      <c r="CY21" s="473">
        <v>0</v>
      </c>
      <c r="CZ21" s="474">
        <f t="shared" si="61"/>
        <v>25593086.75612779</v>
      </c>
      <c r="DA21" s="475">
        <f t="shared" si="62"/>
        <v>0.19771747033408082</v>
      </c>
      <c r="DB21" s="1">
        <f t="shared" si="63"/>
        <v>0</v>
      </c>
      <c r="DC21" s="293">
        <f t="shared" si="64"/>
        <v>0.19455194084297117</v>
      </c>
      <c r="DF21" s="476"/>
    </row>
    <row r="22" spans="1:110">
      <c r="A22" s="477" t="s">
        <v>92</v>
      </c>
      <c r="B22" s="428" t="s">
        <v>96</v>
      </c>
      <c r="C22" s="429"/>
      <c r="D22" s="91">
        <f>'Sizing - Reimb Exp-26'!B13</f>
        <v>1304126</v>
      </c>
      <c r="E22" s="92">
        <f>'Ridership-26'!$E13</f>
        <v>101901</v>
      </c>
      <c r="F22" s="92">
        <f>'Revenue Hours-26'!$E13</f>
        <v>20119</v>
      </c>
      <c r="G22" s="92">
        <f>'Revenue Miles-26'!$E13</f>
        <v>529269</v>
      </c>
      <c r="H22" s="478">
        <f t="shared" si="0"/>
        <v>3.3215999564184069E-3</v>
      </c>
      <c r="I22" s="431">
        <f t="shared" si="1"/>
        <v>3.3215999564184069E-3</v>
      </c>
      <c r="J22" s="432"/>
      <c r="K22" s="433">
        <f>'Ridership-26'!B13/'Revenue Hours-26'!B13</f>
        <v>2.5445369916707494</v>
      </c>
      <c r="L22" s="434">
        <f>'Ridership-26'!C13/'Revenue Hours-26'!C13</f>
        <v>3.1323175227328584</v>
      </c>
      <c r="M22" s="434">
        <f>'Ridership-26'!D13/'Revenue Hours-26'!D13</f>
        <v>4.5268015794669303</v>
      </c>
      <c r="N22" s="434">
        <f>'Ridership-26'!E13/'Revenue Hours-26'!E13</f>
        <v>5.0649137631094989</v>
      </c>
      <c r="O22" s="435">
        <f t="shared" si="2"/>
        <v>1.073695224756283</v>
      </c>
      <c r="P22" s="436">
        <f t="shared" si="3"/>
        <v>3.5663860117571213E-3</v>
      </c>
      <c r="Q22" s="437">
        <f t="shared" si="4"/>
        <v>3.4468883679246495E-3</v>
      </c>
      <c r="R22" s="438">
        <f>'Ridership-26'!B13/'Revenue Miles-26'!B13</f>
        <v>0.1120356208297289</v>
      </c>
      <c r="S22" s="434">
        <f>'Ridership-26'!C13/'Revenue Miles-26'!C13</f>
        <v>0.13193504175827817</v>
      </c>
      <c r="T22" s="434">
        <f>'Ridership-26'!D13/'Revenue Miles-26'!D13</f>
        <v>0.17952070654971744</v>
      </c>
      <c r="U22" s="434">
        <f>'Ridership-26'!E13/'Revenue Miles-26'!E13</f>
        <v>0.1925315860176961</v>
      </c>
      <c r="V22" s="435">
        <f t="shared" si="5"/>
        <v>1.025802652359719</v>
      </c>
      <c r="W22" s="436">
        <f t="shared" si="6"/>
        <v>3.407306045371929E-3</v>
      </c>
      <c r="X22" s="437">
        <f t="shared" si="7"/>
        <v>3.2977434374167132E-3</v>
      </c>
      <c r="Y22" s="438">
        <f>'Op Cost-26'!B13/'Revenue Hours-26'!B13</f>
        <v>48.696570308672221</v>
      </c>
      <c r="Z22" s="434">
        <f>'Op Cost-26'!C13/'Revenue Hours-26'!C13</f>
        <v>59.030916687146721</v>
      </c>
      <c r="AA22" s="434">
        <f>'Op Cost-26'!D13/'Revenue Hours-26'!D13</f>
        <v>61.540424481737411</v>
      </c>
      <c r="AB22" s="434">
        <f>'Op Cost-26'!E13/'Revenue Hours-26'!E13</f>
        <v>66.988568020279331</v>
      </c>
      <c r="AC22" s="435">
        <f t="shared" si="8"/>
        <v>1.0677662862612751</v>
      </c>
      <c r="AD22" s="436">
        <f t="shared" si="9"/>
        <v>3.1107930631981331E-3</v>
      </c>
      <c r="AE22" s="437">
        <f t="shared" si="10"/>
        <v>3.1163212517684447E-3</v>
      </c>
      <c r="AF22" s="438">
        <f>'Op Cost-26'!B13/'Revenue Miles-26'!B13</f>
        <v>2.1441034281165527</v>
      </c>
      <c r="AG22" s="434">
        <f>'Op Cost-26'!C13/'Revenue Miles-26'!C13</f>
        <v>2.4864166552799274</v>
      </c>
      <c r="AH22" s="434">
        <f>'Op Cost-26'!D13/'Revenue Miles-26'!D13</f>
        <v>2.4405267804187702</v>
      </c>
      <c r="AI22" s="434">
        <f>'Op Cost-26'!E13/'Revenue Miles-26'!E13</f>
        <v>2.5464234633050489</v>
      </c>
      <c r="AJ22" s="435">
        <f t="shared" si="11"/>
        <v>1.0231988179124334</v>
      </c>
      <c r="AK22" s="436">
        <f t="shared" si="12"/>
        <v>3.2462898688597522E-3</v>
      </c>
      <c r="AL22" s="437">
        <f t="shared" si="13"/>
        <v>3.251772583903171E-3</v>
      </c>
      <c r="AM22" s="438">
        <f>'Op Cost-26'!B13/'Ridership-26'!B13</f>
        <v>19.13769399622598</v>
      </c>
      <c r="AN22" s="434">
        <f>'Op Cost-26'!C13/'Ridership-26'!C13</f>
        <v>18.84576396189998</v>
      </c>
      <c r="AO22" s="434">
        <f>'Op Cost-26'!D13/'Ridership-26'!D13</f>
        <v>13.594681233849073</v>
      </c>
      <c r="AP22" s="434">
        <f>'Op Cost-26'!E13/'Ridership-26'!E13</f>
        <v>13.226003670228948</v>
      </c>
      <c r="AQ22" s="439">
        <f t="shared" si="14"/>
        <v>1.0129687350188592</v>
      </c>
      <c r="AR22" s="436">
        <f t="shared" si="15"/>
        <v>3.2790745080168403E-3</v>
      </c>
      <c r="AS22" s="440">
        <f t="shared" si="16"/>
        <v>3.2982307605890064E-3</v>
      </c>
      <c r="AT22" s="432"/>
      <c r="AU22" s="441">
        <f t="shared" si="17"/>
        <v>0</v>
      </c>
      <c r="AV22" s="442">
        <f t="shared" si="18"/>
        <v>0</v>
      </c>
      <c r="AW22" s="442">
        <f t="shared" si="19"/>
        <v>0</v>
      </c>
      <c r="AX22" s="442">
        <f t="shared" si="20"/>
        <v>0</v>
      </c>
      <c r="AY22" s="443">
        <f t="shared" si="21"/>
        <v>0</v>
      </c>
      <c r="AZ22" s="444">
        <f t="shared" si="43"/>
        <v>-1</v>
      </c>
      <c r="BA22" s="445">
        <f t="shared" si="22"/>
        <v>0</v>
      </c>
      <c r="BB22" s="446">
        <f t="shared" si="22"/>
        <v>0</v>
      </c>
      <c r="BC22" s="446">
        <f t="shared" si="22"/>
        <v>0</v>
      </c>
      <c r="BD22" s="446">
        <f t="shared" si="22"/>
        <v>0</v>
      </c>
      <c r="BE22" s="446">
        <f t="shared" si="22"/>
        <v>0</v>
      </c>
      <c r="BF22" s="447">
        <f t="shared" si="44"/>
        <v>399819.74298097997</v>
      </c>
      <c r="BH22" s="448">
        <f>'Op Cost-26'!E13</f>
        <v>1347743</v>
      </c>
      <c r="BI22" s="449">
        <f t="shared" si="23"/>
        <v>0.29665874204576093</v>
      </c>
      <c r="BJ22" s="450">
        <f t="shared" si="24"/>
        <v>399819.74298097997</v>
      </c>
      <c r="BK22" s="451">
        <f t="shared" si="25"/>
        <v>0</v>
      </c>
      <c r="BL22" s="1">
        <f t="shared" si="45"/>
        <v>0.58536609821678254</v>
      </c>
      <c r="BM22" s="112">
        <f t="shared" si="46"/>
        <v>0.44662653268411234</v>
      </c>
      <c r="BN22" s="112">
        <f t="shared" si="47"/>
        <v>0.23937665143647141</v>
      </c>
      <c r="BO22" s="113">
        <f t="shared" si="48"/>
        <v>0.82773060437327328</v>
      </c>
      <c r="BP22" s="452">
        <f t="shared" si="26"/>
        <v>399819.74298097997</v>
      </c>
      <c r="BQ22" s="115">
        <f t="shared" si="49"/>
        <v>1.9443520063256777E-3</v>
      </c>
      <c r="BR22" s="116">
        <f t="shared" si="50"/>
        <v>1.9443520063256777E-3</v>
      </c>
      <c r="BS22" s="453">
        <f t="shared" si="51"/>
        <v>2.0444298001307216E-3</v>
      </c>
      <c r="BT22" s="118">
        <f t="shared" si="52"/>
        <v>415120.98063805414</v>
      </c>
      <c r="BU22" s="119">
        <f t="shared" si="53"/>
        <v>404322.89999999997</v>
      </c>
      <c r="BV22" s="119">
        <f t="shared" si="54"/>
        <v>404322.89999999997</v>
      </c>
      <c r="BW22" s="119">
        <f t="shared" si="65"/>
        <v>10798.080638054176</v>
      </c>
      <c r="BX22" s="120">
        <f t="shared" si="55"/>
        <v>0</v>
      </c>
      <c r="BY22" s="454">
        <f t="shared" si="56"/>
        <v>0</v>
      </c>
      <c r="BZ22" s="122">
        <f t="shared" si="57"/>
        <v>404322.89999999997</v>
      </c>
      <c r="CA22" s="455">
        <f t="shared" si="27"/>
        <v>3.5515348410809131E-3</v>
      </c>
      <c r="CB22" s="456">
        <f t="shared" si="28"/>
        <v>26580.946260558103</v>
      </c>
      <c r="CC22" s="456">
        <f t="shared" si="29"/>
        <v>426400.68924153806</v>
      </c>
      <c r="CD22" s="457">
        <f t="shared" si="30"/>
        <v>0.31638130507191509</v>
      </c>
      <c r="CE22" s="458">
        <f t="shared" si="31"/>
        <v>1</v>
      </c>
      <c r="CF22" s="17"/>
      <c r="CG22" s="459">
        <f t="shared" si="32"/>
        <v>1347743</v>
      </c>
      <c r="CH22" s="460">
        <f t="shared" si="58"/>
        <v>0.31638130507191509</v>
      </c>
      <c r="CI22" s="461">
        <f t="shared" si="33"/>
        <v>404322.89999999997</v>
      </c>
      <c r="CJ22" s="462">
        <f t="shared" si="34"/>
        <v>22077.789241538092</v>
      </c>
      <c r="CL22" s="463">
        <f t="shared" si="35"/>
        <v>0</v>
      </c>
      <c r="CM22" s="464">
        <f t="shared" si="36"/>
        <v>0</v>
      </c>
      <c r="CN22" s="465">
        <f t="shared" si="37"/>
        <v>0</v>
      </c>
      <c r="CO22" s="466">
        <f t="shared" si="59"/>
        <v>404322.89999999997</v>
      </c>
      <c r="CP22" s="467">
        <f t="shared" si="60"/>
        <v>0.3</v>
      </c>
      <c r="CQ22" s="468">
        <f t="shared" si="38"/>
        <v>0</v>
      </c>
      <c r="CR22" s="469"/>
      <c r="CS22" s="470">
        <f t="shared" si="39"/>
        <v>404322.89999999997</v>
      </c>
      <c r="CT22" s="465">
        <f t="shared" si="40"/>
        <v>0</v>
      </c>
      <c r="CU22" s="471">
        <f t="shared" si="41"/>
        <v>404322.89999999997</v>
      </c>
      <c r="CV22" s="472">
        <f t="shared" si="42"/>
        <v>0.3</v>
      </c>
      <c r="CY22" s="473">
        <v>0</v>
      </c>
      <c r="CZ22" s="474">
        <f t="shared" si="61"/>
        <v>404322.89999999997</v>
      </c>
      <c r="DA22" s="475">
        <f t="shared" si="62"/>
        <v>0.3</v>
      </c>
      <c r="DB22" s="1">
        <f t="shared" si="63"/>
        <v>0</v>
      </c>
      <c r="DC22" s="293">
        <f t="shared" si="64"/>
        <v>0.3</v>
      </c>
      <c r="DF22" s="476"/>
    </row>
    <row r="23" spans="1:110">
      <c r="A23" s="477" t="s">
        <v>92</v>
      </c>
      <c r="B23" s="428" t="s">
        <v>97</v>
      </c>
      <c r="C23" s="429"/>
      <c r="D23" s="91">
        <f>'Sizing - Reimb Exp-26'!B14</f>
        <v>69734</v>
      </c>
      <c r="E23" s="92">
        <f>'Ridership-26'!$E14</f>
        <v>6243</v>
      </c>
      <c r="F23" s="92">
        <f>'Revenue Hours-26'!$E14</f>
        <v>3135</v>
      </c>
      <c r="G23" s="92">
        <f>'Revenue Miles-26'!$E14</f>
        <v>11686</v>
      </c>
      <c r="H23" s="430">
        <f t="shared" si="0"/>
        <v>2.1106617927306914E-4</v>
      </c>
      <c r="I23" s="431">
        <f t="shared" si="1"/>
        <v>2.1106617927306914E-4</v>
      </c>
      <c r="J23" s="432"/>
      <c r="K23" s="433">
        <f>'Ridership-26'!B14/'Revenue Hours-26'!B14</f>
        <v>1.0119225037257824</v>
      </c>
      <c r="L23" s="434">
        <f>'Ridership-26'!C14/'Revenue Hours-26'!C14</f>
        <v>3.4102272727272727</v>
      </c>
      <c r="M23" s="434">
        <f>'Ridership-26'!D14/'Revenue Hours-26'!D14</f>
        <v>6.2649402390438249</v>
      </c>
      <c r="N23" s="434">
        <f>'Ridership-26'!E14/'Revenue Hours-26'!E14</f>
        <v>1.9913875598086124</v>
      </c>
      <c r="O23" s="435">
        <f t="shared" si="2"/>
        <v>1.4905641336229849</v>
      </c>
      <c r="P23" s="436">
        <f t="shared" si="3"/>
        <v>3.1460767664527589E-4</v>
      </c>
      <c r="Q23" s="437">
        <f t="shared" si="4"/>
        <v>3.0406622769197094E-4</v>
      </c>
      <c r="R23" s="438">
        <f>'Ridership-26'!B14/'Revenue Miles-26'!B14</f>
        <v>0.14279705573080967</v>
      </c>
      <c r="S23" s="434">
        <f>'Ridership-26'!C14/'Revenue Miles-26'!C14</f>
        <v>0.44282130736314002</v>
      </c>
      <c r="T23" s="434">
        <f>'Ridership-26'!D14/'Revenue Miles-26'!D14</f>
        <v>0.67765567765567769</v>
      </c>
      <c r="U23" s="434">
        <f>'Ridership-26'!E14/'Revenue Miles-26'!E14</f>
        <v>0.53422899195618689</v>
      </c>
      <c r="V23" s="435">
        <f t="shared" si="5"/>
        <v>1.4948703613430017</v>
      </c>
      <c r="W23" s="436">
        <f t="shared" si="6"/>
        <v>3.1551657567721966E-4</v>
      </c>
      <c r="X23" s="437">
        <f t="shared" si="7"/>
        <v>3.053710770269738E-4</v>
      </c>
      <c r="Y23" s="438">
        <f>'Op Cost-26'!B14/'Revenue Hours-26'!B14</f>
        <v>58.488077496274215</v>
      </c>
      <c r="Z23" s="434">
        <f>'Op Cost-26'!C14/'Revenue Hours-26'!C14</f>
        <v>76.226136363636357</v>
      </c>
      <c r="AA23" s="434">
        <f>'Op Cost-26'!D14/'Revenue Hours-26'!D14</f>
        <v>100.44621513944223</v>
      </c>
      <c r="AB23" s="434">
        <f>'Op Cost-26'!E14/'Revenue Hours-26'!E14</f>
        <v>22.741307814992027</v>
      </c>
      <c r="AC23" s="435">
        <f t="shared" si="8"/>
        <v>0.90437497433822445</v>
      </c>
      <c r="AD23" s="436">
        <f t="shared" si="9"/>
        <v>2.333834805938948E-4</v>
      </c>
      <c r="AE23" s="437">
        <f t="shared" si="10"/>
        <v>2.3379822624354347E-4</v>
      </c>
      <c r="AF23" s="438">
        <f>'Op Cost-26'!B14/'Revenue Miles-26'!B14</f>
        <v>8.2535226077812833</v>
      </c>
      <c r="AG23" s="434">
        <f>'Op Cost-26'!C14/'Revenue Miles-26'!C14</f>
        <v>9.8980374797107871</v>
      </c>
      <c r="AH23" s="434">
        <f>'Op Cost-26'!D14/'Revenue Miles-26'!D14</f>
        <v>10.864899806076277</v>
      </c>
      <c r="AI23" s="434">
        <f>'Op Cost-26'!E14/'Revenue Miles-26'!E14</f>
        <v>6.1008043813109705</v>
      </c>
      <c r="AJ23" s="435">
        <f t="shared" si="11"/>
        <v>0.91713678138535648</v>
      </c>
      <c r="AK23" s="436">
        <f t="shared" si="12"/>
        <v>2.3013598795399828E-4</v>
      </c>
      <c r="AL23" s="437">
        <f t="shared" si="13"/>
        <v>2.3052466859995385E-4</v>
      </c>
      <c r="AM23" s="438">
        <f>'Op Cost-26'!B14/'Ridership-26'!B14</f>
        <v>57.798969072164951</v>
      </c>
      <c r="AN23" s="434">
        <f>'Op Cost-26'!C14/'Ridership-26'!C14</f>
        <v>22.352215928023991</v>
      </c>
      <c r="AO23" s="434">
        <f>'Op Cost-26'!D14/'Ridership-26'!D14</f>
        <v>16.033068362480126</v>
      </c>
      <c r="AP23" s="434">
        <f>'Op Cost-26'!E14/'Ridership-26'!E14</f>
        <v>11.419830209835014</v>
      </c>
      <c r="AQ23" s="439">
        <f t="shared" si="14"/>
        <v>0.66856560434544443</v>
      </c>
      <c r="AR23" s="436">
        <f t="shared" si="15"/>
        <v>3.1570002689520999E-4</v>
      </c>
      <c r="AS23" s="440">
        <f t="shared" si="16"/>
        <v>3.1754433675686725E-4</v>
      </c>
      <c r="AT23" s="432"/>
      <c r="AU23" s="441">
        <f t="shared" si="17"/>
        <v>0</v>
      </c>
      <c r="AV23" s="442">
        <f t="shared" si="18"/>
        <v>0</v>
      </c>
      <c r="AW23" s="442">
        <f t="shared" si="19"/>
        <v>0</v>
      </c>
      <c r="AX23" s="442">
        <f t="shared" si="20"/>
        <v>0</v>
      </c>
      <c r="AY23" s="443">
        <f t="shared" si="21"/>
        <v>0</v>
      </c>
      <c r="AZ23" s="444">
        <f t="shared" si="43"/>
        <v>-1</v>
      </c>
      <c r="BA23" s="445">
        <f t="shared" si="22"/>
        <v>0</v>
      </c>
      <c r="BB23" s="446">
        <f t="shared" si="22"/>
        <v>0</v>
      </c>
      <c r="BC23" s="446">
        <f t="shared" si="22"/>
        <v>0</v>
      </c>
      <c r="BD23" s="446">
        <f t="shared" si="22"/>
        <v>0</v>
      </c>
      <c r="BE23" s="446">
        <f t="shared" si="22"/>
        <v>0</v>
      </c>
      <c r="BF23" s="447">
        <f t="shared" si="44"/>
        <v>25405.956965368503</v>
      </c>
      <c r="BH23" s="448">
        <f>'Op Cost-26'!E14</f>
        <v>71294</v>
      </c>
      <c r="BI23" s="449">
        <f t="shared" si="23"/>
        <v>0.35635476990165377</v>
      </c>
      <c r="BJ23" s="450">
        <f t="shared" si="24"/>
        <v>21388.2</v>
      </c>
      <c r="BK23" s="451">
        <f t="shared" si="25"/>
        <v>4017.7569653685023</v>
      </c>
      <c r="BL23" s="1">
        <f t="shared" si="45"/>
        <v>0.68927629632035203</v>
      </c>
      <c r="BM23" s="112">
        <f t="shared" si="46"/>
        <v>0.17560151320751477</v>
      </c>
      <c r="BN23" s="112">
        <f t="shared" si="47"/>
        <v>0.66421281743869121</v>
      </c>
      <c r="BO23" s="113">
        <f t="shared" si="48"/>
        <v>0.95864542731760105</v>
      </c>
      <c r="BP23" s="452">
        <f t="shared" si="26"/>
        <v>0</v>
      </c>
      <c r="BQ23" s="115">
        <f t="shared" si="49"/>
        <v>1.4548291432782854E-4</v>
      </c>
      <c r="BR23" s="116">
        <f t="shared" si="50"/>
        <v>0</v>
      </c>
      <c r="BS23" s="453">
        <f t="shared" si="51"/>
        <v>0</v>
      </c>
      <c r="BT23" s="118">
        <f t="shared" si="52"/>
        <v>21388.2</v>
      </c>
      <c r="BU23" s="119">
        <f t="shared" si="53"/>
        <v>21388.2</v>
      </c>
      <c r="BV23" s="119">
        <f t="shared" si="54"/>
        <v>21388.2</v>
      </c>
      <c r="BW23" s="119">
        <f t="shared" si="65"/>
        <v>0</v>
      </c>
      <c r="BX23" s="120">
        <f t="shared" si="55"/>
        <v>0</v>
      </c>
      <c r="BY23" s="454">
        <f t="shared" si="56"/>
        <v>0</v>
      </c>
      <c r="BZ23" s="122">
        <f t="shared" si="57"/>
        <v>21388.2</v>
      </c>
      <c r="CA23" s="455">
        <f t="shared" si="27"/>
        <v>0</v>
      </c>
      <c r="CB23" s="456">
        <f t="shared" si="28"/>
        <v>0</v>
      </c>
      <c r="CC23" s="456">
        <f t="shared" si="29"/>
        <v>21388.2</v>
      </c>
      <c r="CD23" s="457">
        <f t="shared" si="30"/>
        <v>0.3</v>
      </c>
      <c r="CE23" s="458">
        <f t="shared" si="31"/>
        <v>0</v>
      </c>
      <c r="CF23" s="17"/>
      <c r="CG23" s="459">
        <f t="shared" si="32"/>
        <v>71294</v>
      </c>
      <c r="CH23" s="460">
        <f t="shared" si="58"/>
        <v>0.3</v>
      </c>
      <c r="CI23" s="461">
        <f t="shared" si="33"/>
        <v>21388.2</v>
      </c>
      <c r="CJ23" s="462">
        <f t="shared" si="34"/>
        <v>0</v>
      </c>
      <c r="CL23" s="463">
        <f t="shared" si="35"/>
        <v>0</v>
      </c>
      <c r="CM23" s="464">
        <f t="shared" si="36"/>
        <v>0</v>
      </c>
      <c r="CN23" s="465">
        <f t="shared" si="37"/>
        <v>0</v>
      </c>
      <c r="CO23" s="466">
        <f t="shared" si="59"/>
        <v>21388.2</v>
      </c>
      <c r="CP23" s="467">
        <f t="shared" si="60"/>
        <v>0.3</v>
      </c>
      <c r="CQ23" s="468">
        <f t="shared" si="38"/>
        <v>0</v>
      </c>
      <c r="CR23" s="469"/>
      <c r="CS23" s="470">
        <f t="shared" si="39"/>
        <v>21388.2</v>
      </c>
      <c r="CT23" s="465">
        <f t="shared" si="40"/>
        <v>0</v>
      </c>
      <c r="CU23" s="471">
        <f t="shared" si="41"/>
        <v>21388.2</v>
      </c>
      <c r="CV23" s="472">
        <f t="shared" si="42"/>
        <v>0.3</v>
      </c>
      <c r="CY23" s="473">
        <v>0</v>
      </c>
      <c r="CZ23" s="474">
        <f t="shared" si="61"/>
        <v>21388.2</v>
      </c>
      <c r="DA23" s="475">
        <f t="shared" si="62"/>
        <v>0.3</v>
      </c>
      <c r="DB23" s="1">
        <f t="shared" si="63"/>
        <v>0</v>
      </c>
      <c r="DC23" s="293">
        <f t="shared" si="64"/>
        <v>0.3</v>
      </c>
      <c r="DF23" s="476"/>
    </row>
    <row r="24" spans="1:110">
      <c r="A24" s="477" t="s">
        <v>92</v>
      </c>
      <c r="B24" s="428" t="s">
        <v>98</v>
      </c>
      <c r="C24" s="429"/>
      <c r="D24" s="91">
        <f>'Sizing - Reimb Exp-26'!B15</f>
        <v>7769877</v>
      </c>
      <c r="E24" s="92">
        <f>'Ridership-26'!$E15</f>
        <v>1423486</v>
      </c>
      <c r="F24" s="92">
        <f>'Revenue Hours-26'!$E15</f>
        <v>68607</v>
      </c>
      <c r="G24" s="92">
        <f>'Revenue Miles-26'!$E15</f>
        <v>1127856</v>
      </c>
      <c r="H24" s="478">
        <f t="shared" si="0"/>
        <v>1.8926581211380963E-2</v>
      </c>
      <c r="I24" s="431">
        <f t="shared" si="1"/>
        <v>1.8926581211380963E-2</v>
      </c>
      <c r="J24" s="432"/>
      <c r="K24" s="433">
        <f>'Ridership-26'!B15/'Revenue Hours-26'!B15</f>
        <v>14.316342020333447</v>
      </c>
      <c r="L24" s="434">
        <f>'Ridership-26'!C15/'Revenue Hours-26'!C15</f>
        <v>19.466079261836335</v>
      </c>
      <c r="M24" s="434">
        <f>'Ridership-26'!D15/'Revenue Hours-26'!D15</f>
        <v>23.218467236227433</v>
      </c>
      <c r="N24" s="434">
        <f>'Ridership-26'!E15/'Revenue Hours-26'!E15</f>
        <v>20.748407596892445</v>
      </c>
      <c r="O24" s="435">
        <f t="shared" si="2"/>
        <v>0.96624846266131004</v>
      </c>
      <c r="P24" s="436">
        <f t="shared" si="3"/>
        <v>1.8287779998931289E-2</v>
      </c>
      <c r="Q24" s="437">
        <f t="shared" si="4"/>
        <v>1.7675017775886849E-2</v>
      </c>
      <c r="R24" s="438">
        <f>'Ridership-26'!B15/'Revenue Miles-26'!B15</f>
        <v>1.0462325686324412</v>
      </c>
      <c r="S24" s="434">
        <f>'Ridership-26'!C15/'Revenue Miles-26'!C15</f>
        <v>1.4050534441156883</v>
      </c>
      <c r="T24" s="434">
        <f>'Ridership-26'!D15/'Revenue Miles-26'!D15</f>
        <v>1.5050852081552479</v>
      </c>
      <c r="U24" s="434">
        <f>'Ridership-26'!E15/'Revenue Miles-26'!E15</f>
        <v>1.2621167950518506</v>
      </c>
      <c r="V24" s="435">
        <f t="shared" si="5"/>
        <v>0.91602143366124933</v>
      </c>
      <c r="W24" s="436">
        <f t="shared" si="6"/>
        <v>1.7337154055555255E-2</v>
      </c>
      <c r="X24" s="437">
        <f t="shared" si="7"/>
        <v>1.6779674396389319E-2</v>
      </c>
      <c r="Y24" s="438">
        <f>'Op Cost-26'!B15/'Revenue Hours-26'!B15</f>
        <v>90.654407919074401</v>
      </c>
      <c r="Z24" s="434">
        <f>'Op Cost-26'!C15/'Revenue Hours-26'!C15</f>
        <v>94.089194776382797</v>
      </c>
      <c r="AA24" s="434">
        <f>'Op Cost-26'!D15/'Revenue Hours-26'!D15</f>
        <v>110.97560428152575</v>
      </c>
      <c r="AB24" s="434">
        <f>'Op Cost-26'!E15/'Revenue Hours-26'!E15</f>
        <v>113.25195679741134</v>
      </c>
      <c r="AC24" s="435">
        <f t="shared" si="8"/>
        <v>1.0300295581458903</v>
      </c>
      <c r="AD24" s="436">
        <f t="shared" si="9"/>
        <v>1.8374794258768503E-2</v>
      </c>
      <c r="AE24" s="437">
        <f t="shared" si="10"/>
        <v>1.8407448095118104E-2</v>
      </c>
      <c r="AF24" s="438">
        <f>'Op Cost-26'!B15/'Revenue Miles-26'!B15</f>
        <v>6.6249879976545323</v>
      </c>
      <c r="AG24" s="434">
        <f>'Op Cost-26'!C15/'Revenue Miles-26'!C15</f>
        <v>6.7913186521237527</v>
      </c>
      <c r="AH24" s="434">
        <f>'Op Cost-26'!D15/'Revenue Miles-26'!D15</f>
        <v>7.1937453394685633</v>
      </c>
      <c r="AI24" s="434">
        <f>'Op Cost-26'!E15/'Revenue Miles-26'!E15</f>
        <v>6.8890682853130185</v>
      </c>
      <c r="AJ24" s="435">
        <f t="shared" si="11"/>
        <v>0.97398110528978188</v>
      </c>
      <c r="AK24" s="436">
        <f t="shared" si="12"/>
        <v>1.9432185191877893E-2</v>
      </c>
      <c r="AL24" s="437">
        <f t="shared" si="13"/>
        <v>1.9465004545164859E-2</v>
      </c>
      <c r="AM24" s="438">
        <f>'Op Cost-26'!B15/'Ridership-26'!B15</f>
        <v>6.3322326185221254</v>
      </c>
      <c r="AN24" s="434">
        <f>'Op Cost-26'!C15/'Ridership-26'!C15</f>
        <v>4.833494896984555</v>
      </c>
      <c r="AO24" s="434">
        <f>'Op Cost-26'!D15/'Ridership-26'!D15</f>
        <v>4.779626628771263</v>
      </c>
      <c r="AP24" s="434">
        <f>'Op Cost-26'!E15/'Ridership-26'!E15</f>
        <v>5.4583445148037981</v>
      </c>
      <c r="AQ24" s="435">
        <f t="shared" si="14"/>
        <v>1.0742638725165357</v>
      </c>
      <c r="AR24" s="436">
        <f t="shared" si="15"/>
        <v>1.7618186458271345E-2</v>
      </c>
      <c r="AS24" s="440">
        <f t="shared" si="16"/>
        <v>1.7721111362488384E-2</v>
      </c>
      <c r="AT24" s="432"/>
      <c r="AU24" s="441">
        <f t="shared" si="17"/>
        <v>0</v>
      </c>
      <c r="AV24" s="442">
        <f t="shared" si="18"/>
        <v>0</v>
      </c>
      <c r="AW24" s="442">
        <f t="shared" si="19"/>
        <v>0</v>
      </c>
      <c r="AX24" s="442">
        <f t="shared" si="20"/>
        <v>0</v>
      </c>
      <c r="AY24" s="443">
        <f t="shared" si="21"/>
        <v>0</v>
      </c>
      <c r="AZ24" s="444">
        <f t="shared" si="43"/>
        <v>-1</v>
      </c>
      <c r="BA24" s="445">
        <f t="shared" si="22"/>
        <v>0</v>
      </c>
      <c r="BB24" s="446">
        <f t="shared" si="22"/>
        <v>0</v>
      </c>
      <c r="BC24" s="446">
        <f t="shared" si="22"/>
        <v>0</v>
      </c>
      <c r="BD24" s="446">
        <f t="shared" si="22"/>
        <v>0</v>
      </c>
      <c r="BE24" s="446">
        <f t="shared" si="22"/>
        <v>0</v>
      </c>
      <c r="BF24" s="447">
        <f t="shared" si="44"/>
        <v>2278185.4933555918</v>
      </c>
      <c r="BH24" s="448">
        <f>'Op Cost-26'!E15</f>
        <v>7769877</v>
      </c>
      <c r="BI24" s="449">
        <f t="shared" si="23"/>
        <v>0.29320740770485709</v>
      </c>
      <c r="BJ24" s="450">
        <f t="shared" si="24"/>
        <v>2278185.4933555918</v>
      </c>
      <c r="BK24" s="451">
        <f t="shared" si="25"/>
        <v>0</v>
      </c>
      <c r="BL24" s="1">
        <f t="shared" si="45"/>
        <v>1.8525306889893849</v>
      </c>
      <c r="BM24" s="112">
        <f t="shared" si="46"/>
        <v>1.8296045652764708</v>
      </c>
      <c r="BN24" s="112">
        <f t="shared" si="47"/>
        <v>1.5692037777815557</v>
      </c>
      <c r="BO24" s="113">
        <f t="shared" si="48"/>
        <v>2.0056572064497566</v>
      </c>
      <c r="BP24" s="452">
        <f t="shared" si="26"/>
        <v>2278185.4933555918</v>
      </c>
      <c r="BQ24" s="115">
        <f t="shared" si="49"/>
        <v>3.5062072531733122E-2</v>
      </c>
      <c r="BR24" s="116">
        <f t="shared" si="50"/>
        <v>3.5062072531733122E-2</v>
      </c>
      <c r="BS24" s="453">
        <f t="shared" si="51"/>
        <v>3.6866753399082471E-2</v>
      </c>
      <c r="BT24" s="118">
        <f t="shared" si="52"/>
        <v>2554109.3501532376</v>
      </c>
      <c r="BU24" s="119">
        <f t="shared" si="53"/>
        <v>2330963.1</v>
      </c>
      <c r="BV24" s="119">
        <f t="shared" si="54"/>
        <v>2330963.1</v>
      </c>
      <c r="BW24" s="119">
        <f t="shared" si="65"/>
        <v>223146.25015323749</v>
      </c>
      <c r="BX24" s="120">
        <f t="shared" si="55"/>
        <v>0</v>
      </c>
      <c r="BY24" s="454">
        <f t="shared" si="56"/>
        <v>0</v>
      </c>
      <c r="BZ24" s="122">
        <f t="shared" si="57"/>
        <v>2330963.1</v>
      </c>
      <c r="CA24" s="455">
        <f t="shared" si="27"/>
        <v>2.0236757429165766E-2</v>
      </c>
      <c r="CB24" s="456">
        <f t="shared" si="28"/>
        <v>151459.06932702119</v>
      </c>
      <c r="CC24" s="456">
        <f t="shared" si="29"/>
        <v>2429644.5626826128</v>
      </c>
      <c r="CD24" s="457">
        <f t="shared" si="30"/>
        <v>0.31270051799824022</v>
      </c>
      <c r="CE24" s="458">
        <f t="shared" si="31"/>
        <v>1</v>
      </c>
      <c r="CF24" s="17"/>
      <c r="CG24" s="459">
        <f t="shared" si="32"/>
        <v>7769877</v>
      </c>
      <c r="CH24" s="460">
        <f t="shared" si="58"/>
        <v>0.31270051799824022</v>
      </c>
      <c r="CI24" s="461">
        <f t="shared" si="33"/>
        <v>2330963.1</v>
      </c>
      <c r="CJ24" s="462">
        <f t="shared" si="34"/>
        <v>98681.462682612706</v>
      </c>
      <c r="CL24" s="463">
        <f t="shared" si="35"/>
        <v>0</v>
      </c>
      <c r="CM24" s="464">
        <f t="shared" si="36"/>
        <v>0</v>
      </c>
      <c r="CN24" s="465">
        <f t="shared" si="37"/>
        <v>0</v>
      </c>
      <c r="CO24" s="466">
        <f t="shared" si="59"/>
        <v>2330963.1</v>
      </c>
      <c r="CP24" s="467">
        <f t="shared" si="60"/>
        <v>0.3</v>
      </c>
      <c r="CQ24" s="468">
        <f t="shared" si="38"/>
        <v>0</v>
      </c>
      <c r="CR24" s="469"/>
      <c r="CS24" s="470">
        <f t="shared" si="39"/>
        <v>2330963.1</v>
      </c>
      <c r="CT24" s="465">
        <f t="shared" si="40"/>
        <v>0</v>
      </c>
      <c r="CU24" s="471">
        <f t="shared" si="41"/>
        <v>2330963.1</v>
      </c>
      <c r="CV24" s="472">
        <f t="shared" si="42"/>
        <v>0.3</v>
      </c>
      <c r="CY24" s="473">
        <v>0</v>
      </c>
      <c r="CZ24" s="474">
        <f t="shared" si="61"/>
        <v>2330963.1</v>
      </c>
      <c r="DA24" s="475">
        <f t="shared" si="62"/>
        <v>0.3</v>
      </c>
      <c r="DB24" s="1">
        <f t="shared" si="63"/>
        <v>0</v>
      </c>
      <c r="DC24" s="293">
        <f t="shared" si="64"/>
        <v>0.3</v>
      </c>
      <c r="DF24" s="476"/>
    </row>
    <row r="25" spans="1:110">
      <c r="A25" s="477" t="s">
        <v>99</v>
      </c>
      <c r="B25" s="428" t="s">
        <v>100</v>
      </c>
      <c r="C25" s="429"/>
      <c r="D25" s="91">
        <f>'Sizing - Reimb Exp-26'!B16</f>
        <v>4067447</v>
      </c>
      <c r="E25" s="92">
        <f>'Ridership-26'!$E16</f>
        <v>259346</v>
      </c>
      <c r="F25" s="92">
        <f>'Revenue Hours-26'!$E16</f>
        <v>34940</v>
      </c>
      <c r="G25" s="92">
        <f>'Revenue Miles-26'!$E16</f>
        <v>565576</v>
      </c>
      <c r="H25" s="430">
        <f t="shared" si="0"/>
        <v>6.6175802316312017E-3</v>
      </c>
      <c r="I25" s="431">
        <f t="shared" si="1"/>
        <v>6.6175802316312017E-3</v>
      </c>
      <c r="J25" s="432"/>
      <c r="K25" s="433">
        <f>'Ridership-26'!B16/'Revenue Hours-26'!B16</f>
        <v>5.7639186016175321</v>
      </c>
      <c r="L25" s="434">
        <f>'Ridership-26'!C16/'Revenue Hours-26'!C16</f>
        <v>6.4797153630255435</v>
      </c>
      <c r="M25" s="434">
        <f>'Ridership-26'!D16/'Revenue Hours-26'!D16</f>
        <v>7.8693923906871097</v>
      </c>
      <c r="N25" s="434">
        <f>'Ridership-26'!E16/'Revenue Hours-26'!E16</f>
        <v>7.4226101888952494</v>
      </c>
      <c r="O25" s="435">
        <f t="shared" si="2"/>
        <v>0.92653452379767975</v>
      </c>
      <c r="P25" s="436">
        <f t="shared" si="3"/>
        <v>6.1314165486073546E-3</v>
      </c>
      <c r="Q25" s="437">
        <f t="shared" si="4"/>
        <v>5.9259733272346302E-3</v>
      </c>
      <c r="R25" s="438">
        <f>'Ridership-26'!B16/'Revenue Miles-26'!B16</f>
        <v>0.39323250859241093</v>
      </c>
      <c r="S25" s="434">
        <f>'Ridership-26'!C16/'Revenue Miles-26'!C16</f>
        <v>0.42963025620782347</v>
      </c>
      <c r="T25" s="434">
        <f>'Ridership-26'!D16/'Revenue Miles-26'!D16</f>
        <v>0.50038763229943484</v>
      </c>
      <c r="U25" s="434">
        <f>'Ridership-26'!E16/'Revenue Miles-26'!E16</f>
        <v>0.45855198947621539</v>
      </c>
      <c r="V25" s="435">
        <f t="shared" si="5"/>
        <v>0.89996760816377319</v>
      </c>
      <c r="W25" s="436">
        <f t="shared" si="6"/>
        <v>5.9556078528930009E-3</v>
      </c>
      <c r="X25" s="437">
        <f t="shared" si="7"/>
        <v>5.7641040902040542E-3</v>
      </c>
      <c r="Y25" s="438">
        <f>'Op Cost-26'!B16/'Revenue Hours-26'!B16</f>
        <v>72.997808505087406</v>
      </c>
      <c r="Z25" s="434">
        <f>'Op Cost-26'!C16/'Revenue Hours-26'!C16</f>
        <v>89.842457403679873</v>
      </c>
      <c r="AA25" s="434">
        <f>'Op Cost-26'!D16/'Revenue Hours-26'!D16</f>
        <v>122.89167251227578</v>
      </c>
      <c r="AB25" s="434">
        <f>'Op Cost-26'!E16/'Revenue Hours-26'!E16</f>
        <v>116.41233543216943</v>
      </c>
      <c r="AC25" s="435">
        <f t="shared" si="8"/>
        <v>1.1275204801752217</v>
      </c>
      <c r="AD25" s="436">
        <f t="shared" si="9"/>
        <v>5.8691441512466365E-3</v>
      </c>
      <c r="AE25" s="437">
        <f t="shared" si="10"/>
        <v>5.879574203955149E-3</v>
      </c>
      <c r="AF25" s="438">
        <f>'Op Cost-26'!B16/'Revenue Miles-26'!B16</f>
        <v>4.9801382261276927</v>
      </c>
      <c r="AG25" s="434">
        <f>'Op Cost-26'!C16/'Revenue Miles-26'!C16</f>
        <v>5.9569033252504751</v>
      </c>
      <c r="AH25" s="434">
        <f>'Op Cost-26'!D16/'Revenue Miles-26'!D16</f>
        <v>7.8142593461864411</v>
      </c>
      <c r="AI25" s="434">
        <f>'Op Cost-26'!E16/'Revenue Miles-26'!E16</f>
        <v>7.1916895342093721</v>
      </c>
      <c r="AJ25" s="435">
        <f t="shared" si="11"/>
        <v>1.0962426841958166</v>
      </c>
      <c r="AK25" s="436">
        <f t="shared" si="12"/>
        <v>6.0366014998638152E-3</v>
      </c>
      <c r="AL25" s="437">
        <f t="shared" si="13"/>
        <v>6.0467968204271179E-3</v>
      </c>
      <c r="AM25" s="438">
        <f>'Op Cost-26'!B16/'Ridership-26'!B16</f>
        <v>12.664614743969837</v>
      </c>
      <c r="AN25" s="434">
        <f>'Op Cost-26'!C16/'Ridership-26'!C16</f>
        <v>13.865185794477576</v>
      </c>
      <c r="AO25" s="434">
        <f>'Op Cost-26'!D16/'Ridership-26'!D16</f>
        <v>15.616411841111102</v>
      </c>
      <c r="AP25" s="434">
        <f>'Op Cost-26'!E16/'Ridership-26'!E16</f>
        <v>15.683476899585882</v>
      </c>
      <c r="AQ25" s="439">
        <f t="shared" si="14"/>
        <v>1.21686915565862</v>
      </c>
      <c r="AR25" s="436">
        <f t="shared" si="15"/>
        <v>5.4382019635048542E-3</v>
      </c>
      <c r="AS25" s="440">
        <f t="shared" si="16"/>
        <v>5.4699717723630109E-3</v>
      </c>
      <c r="AT25" s="432"/>
      <c r="AU25" s="441">
        <f t="shared" si="17"/>
        <v>0</v>
      </c>
      <c r="AV25" s="442">
        <f t="shared" si="18"/>
        <v>0</v>
      </c>
      <c r="AW25" s="442">
        <f t="shared" si="19"/>
        <v>0</v>
      </c>
      <c r="AX25" s="442">
        <f t="shared" si="20"/>
        <v>0</v>
      </c>
      <c r="AY25" s="443">
        <f t="shared" si="21"/>
        <v>0</v>
      </c>
      <c r="AZ25" s="444">
        <f t="shared" si="43"/>
        <v>-1</v>
      </c>
      <c r="BA25" s="445">
        <f t="shared" si="22"/>
        <v>0</v>
      </c>
      <c r="BB25" s="446">
        <f t="shared" si="22"/>
        <v>0</v>
      </c>
      <c r="BC25" s="446">
        <f t="shared" si="22"/>
        <v>0</v>
      </c>
      <c r="BD25" s="446">
        <f t="shared" si="22"/>
        <v>0</v>
      </c>
      <c r="BE25" s="446">
        <f t="shared" si="22"/>
        <v>0</v>
      </c>
      <c r="BF25" s="447">
        <f t="shared" si="44"/>
        <v>796555.65452852997</v>
      </c>
      <c r="BH25" s="448">
        <f>'Op Cost-26'!E16</f>
        <v>4067447</v>
      </c>
      <c r="BI25" s="449">
        <f t="shared" si="23"/>
        <v>0.19583676309206485</v>
      </c>
      <c r="BJ25" s="450">
        <f t="shared" si="24"/>
        <v>796555.65452852997</v>
      </c>
      <c r="BK25" s="451">
        <f t="shared" si="25"/>
        <v>0</v>
      </c>
      <c r="BL25" s="1">
        <f t="shared" si="45"/>
        <v>0.65517900173493193</v>
      </c>
      <c r="BM25" s="112">
        <f t="shared" si="46"/>
        <v>0.65452933794805446</v>
      </c>
      <c r="BN25" s="112">
        <f t="shared" si="47"/>
        <v>0.57012276281908136</v>
      </c>
      <c r="BO25" s="113">
        <f t="shared" si="48"/>
        <v>0.69803195308629595</v>
      </c>
      <c r="BP25" s="452">
        <f t="shared" si="26"/>
        <v>796555.65452852997</v>
      </c>
      <c r="BQ25" s="115">
        <f t="shared" si="49"/>
        <v>4.3356996100609507E-3</v>
      </c>
      <c r="BR25" s="116">
        <f t="shared" si="50"/>
        <v>4.3356996100609507E-3</v>
      </c>
      <c r="BS25" s="453">
        <f t="shared" si="51"/>
        <v>4.5588625199479626E-3</v>
      </c>
      <c r="BT25" s="118">
        <f t="shared" si="52"/>
        <v>830675.79837459978</v>
      </c>
      <c r="BU25" s="119">
        <f t="shared" si="53"/>
        <v>1220234.0999999999</v>
      </c>
      <c r="BV25" s="119">
        <f t="shared" si="54"/>
        <v>830675.79837459978</v>
      </c>
      <c r="BW25" s="119">
        <f t="shared" si="65"/>
        <v>0</v>
      </c>
      <c r="BX25" s="120">
        <f t="shared" si="55"/>
        <v>4.3356996100609507E-3</v>
      </c>
      <c r="BY25" s="454">
        <f t="shared" si="56"/>
        <v>4.9091860804473114E-3</v>
      </c>
      <c r="BZ25" s="122">
        <f t="shared" si="57"/>
        <v>832038.29954504629</v>
      </c>
      <c r="CA25" s="455">
        <f t="shared" si="27"/>
        <v>7.0756765006791201E-3</v>
      </c>
      <c r="CB25" s="456">
        <f t="shared" si="28"/>
        <v>52956.872236231175</v>
      </c>
      <c r="CC25" s="456">
        <f t="shared" si="29"/>
        <v>849512.52676476119</v>
      </c>
      <c r="CD25" s="457">
        <f t="shared" si="30"/>
        <v>0.20885644650434565</v>
      </c>
      <c r="CE25" s="458">
        <f t="shared" si="31"/>
        <v>0</v>
      </c>
      <c r="CF25" s="17"/>
      <c r="CG25" s="459">
        <f t="shared" si="32"/>
        <v>4067447</v>
      </c>
      <c r="CH25" s="460">
        <f t="shared" si="58"/>
        <v>0.20885644650434565</v>
      </c>
      <c r="CI25" s="461">
        <f t="shared" si="33"/>
        <v>849512.52676476119</v>
      </c>
      <c r="CJ25" s="462">
        <f t="shared" si="34"/>
        <v>0</v>
      </c>
      <c r="CL25" s="463">
        <f t="shared" si="35"/>
        <v>849512.52676476119</v>
      </c>
      <c r="CM25" s="464">
        <f t="shared" si="36"/>
        <v>7.3042955062406784E-3</v>
      </c>
      <c r="CN25" s="465">
        <f t="shared" si="37"/>
        <v>1113.5122966977974</v>
      </c>
      <c r="CO25" s="466">
        <f t="shared" si="59"/>
        <v>850626.03906145901</v>
      </c>
      <c r="CP25" s="467">
        <f t="shared" si="60"/>
        <v>0.20913020847265104</v>
      </c>
      <c r="CQ25" s="468">
        <f t="shared" si="38"/>
        <v>0</v>
      </c>
      <c r="CR25" s="469"/>
      <c r="CS25" s="470">
        <f t="shared" si="39"/>
        <v>1220234.0999999999</v>
      </c>
      <c r="CT25" s="465">
        <f t="shared" si="40"/>
        <v>0</v>
      </c>
      <c r="CU25" s="471">
        <f t="shared" si="41"/>
        <v>850626.03906145901</v>
      </c>
      <c r="CV25" s="472">
        <f t="shared" si="42"/>
        <v>0.20913020847265104</v>
      </c>
      <c r="CY25" s="473">
        <v>0</v>
      </c>
      <c r="CZ25" s="474">
        <f t="shared" si="61"/>
        <v>850626.03906145901</v>
      </c>
      <c r="DA25" s="475">
        <f t="shared" si="62"/>
        <v>0.20913020847265104</v>
      </c>
      <c r="DB25" s="1">
        <f t="shared" si="63"/>
        <v>0</v>
      </c>
      <c r="DC25" s="293">
        <f t="shared" si="64"/>
        <v>0.2045603297461642</v>
      </c>
      <c r="DF25" s="476"/>
    </row>
    <row r="26" spans="1:110">
      <c r="A26" s="477" t="s">
        <v>99</v>
      </c>
      <c r="B26" s="428" t="s">
        <v>101</v>
      </c>
      <c r="C26" s="429"/>
      <c r="D26" s="91">
        <f>'Sizing - Reimb Exp-26'!B17</f>
        <v>698366</v>
      </c>
      <c r="E26" s="92">
        <f>'Ridership-26'!$E17</f>
        <v>96178</v>
      </c>
      <c r="F26" s="92">
        <f>'Revenue Hours-26'!$E17</f>
        <v>11193</v>
      </c>
      <c r="G26" s="92">
        <f>'Revenue Miles-26'!$E17</f>
        <v>168612</v>
      </c>
      <c r="H26" s="430">
        <f t="shared" si="0"/>
        <v>1.8055633828733177E-3</v>
      </c>
      <c r="I26" s="431">
        <f t="shared" si="1"/>
        <v>1.8055633828733177E-3</v>
      </c>
      <c r="J26" s="432"/>
      <c r="K26" s="433">
        <f>'Ridership-26'!B17/'Revenue Hours-26'!B17</f>
        <v>6.5520235467255334</v>
      </c>
      <c r="L26" s="434">
        <f>'Ridership-26'!C17/'Revenue Hours-26'!C17</f>
        <v>6.5625580805947452</v>
      </c>
      <c r="M26" s="434">
        <f>'Ridership-26'!D17/'Revenue Hours-26'!D17</f>
        <v>7.7980103806228378</v>
      </c>
      <c r="N26" s="434">
        <f>'Ridership-26'!E17/'Revenue Hours-26'!E17</f>
        <v>8.5926918609845444</v>
      </c>
      <c r="O26" s="435">
        <f t="shared" si="2"/>
        <v>0.93668954813722882</v>
      </c>
      <c r="P26" s="436">
        <f t="shared" si="3"/>
        <v>1.6912523492367342E-3</v>
      </c>
      <c r="Q26" s="437">
        <f t="shared" si="4"/>
        <v>1.6345841506195157E-3</v>
      </c>
      <c r="R26" s="438">
        <f>'Ridership-26'!B17/'Revenue Miles-26'!B17</f>
        <v>0.47317713453679738</v>
      </c>
      <c r="S26" s="434">
        <f>'Ridership-26'!C17/'Revenue Miles-26'!C17</f>
        <v>0.44629120011030743</v>
      </c>
      <c r="T26" s="434">
        <f>'Ridership-26'!D17/'Revenue Miles-26'!D17</f>
        <v>0.52648024202497345</v>
      </c>
      <c r="U26" s="434">
        <f>'Ridership-26'!E17/'Revenue Miles-26'!E17</f>
        <v>0.57041017246696557</v>
      </c>
      <c r="V26" s="435">
        <f t="shared" si="5"/>
        <v>0.91643691347378609</v>
      </c>
      <c r="W26" s="436">
        <f t="shared" si="6"/>
        <v>1.6546849336817112E-3</v>
      </c>
      <c r="X26" s="437">
        <f t="shared" si="7"/>
        <v>1.6014782084083487E-3</v>
      </c>
      <c r="Y26" s="438">
        <f>'Op Cost-26'!B17/'Revenue Hours-26'!B17</f>
        <v>45.519278881530539</v>
      </c>
      <c r="Z26" s="434">
        <f>'Op Cost-26'!C17/'Revenue Hours-26'!C17</f>
        <v>51.194390470558417</v>
      </c>
      <c r="AA26" s="434">
        <f>'Op Cost-26'!D17/'Revenue Hours-26'!D17</f>
        <v>60.816435986159171</v>
      </c>
      <c r="AB26" s="434">
        <f>'Op Cost-26'!E17/'Revenue Hours-26'!E17</f>
        <v>62.393102832127219</v>
      </c>
      <c r="AC26" s="435">
        <f t="shared" si="8"/>
        <v>1.0630086809606323</v>
      </c>
      <c r="AD26" s="436">
        <f t="shared" si="9"/>
        <v>1.6985405812882401E-3</v>
      </c>
      <c r="AE26" s="437">
        <f t="shared" si="10"/>
        <v>1.7015590567820856E-3</v>
      </c>
      <c r="AF26" s="438">
        <f>'Op Cost-26'!B17/'Revenue Miles-26'!B17</f>
        <v>3.2873328054671349</v>
      </c>
      <c r="AG26" s="434">
        <f>'Op Cost-26'!C17/'Revenue Miles-26'!C17</f>
        <v>3.4815091434513583</v>
      </c>
      <c r="AH26" s="434">
        <f>'Op Cost-26'!D17/'Revenue Miles-26'!D17</f>
        <v>4.1060027332936189</v>
      </c>
      <c r="AI26" s="434">
        <f>'Op Cost-26'!E17/'Revenue Miles-26'!E17</f>
        <v>4.1418522999549259</v>
      </c>
      <c r="AJ26" s="435">
        <f t="shared" si="11"/>
        <v>1.0382731642613201</v>
      </c>
      <c r="AK26" s="436">
        <f t="shared" si="12"/>
        <v>1.7390061161388936E-3</v>
      </c>
      <c r="AL26" s="437">
        <f t="shared" si="13"/>
        <v>1.7419431536120447E-3</v>
      </c>
      <c r="AM26" s="438">
        <f>'Op Cost-26'!B17/'Ridership-26'!B17</f>
        <v>6.9473619190943596</v>
      </c>
      <c r="AN26" s="434">
        <f>'Op Cost-26'!C17/'Ridership-26'!C17</f>
        <v>7.8009809348489334</v>
      </c>
      <c r="AO26" s="434">
        <f>'Op Cost-26'!D17/'Ridership-26'!D17</f>
        <v>7.7989683288035945</v>
      </c>
      <c r="AP26" s="434">
        <f>'Op Cost-26'!E17/'Ridership-26'!E17</f>
        <v>7.261182390983385</v>
      </c>
      <c r="AQ26" s="439">
        <f t="shared" si="14"/>
        <v>1.1577327465899605</v>
      </c>
      <c r="AR26" s="436">
        <f t="shared" si="15"/>
        <v>1.559568378964409E-3</v>
      </c>
      <c r="AS26" s="440">
        <f t="shared" si="16"/>
        <v>1.5686793295384093E-3</v>
      </c>
      <c r="AT26" s="432"/>
      <c r="AU26" s="441">
        <f t="shared" si="17"/>
        <v>0</v>
      </c>
      <c r="AV26" s="442">
        <f t="shared" si="18"/>
        <v>0</v>
      </c>
      <c r="AW26" s="442">
        <f t="shared" si="19"/>
        <v>0</v>
      </c>
      <c r="AX26" s="442">
        <f t="shared" si="20"/>
        <v>0</v>
      </c>
      <c r="AY26" s="443">
        <f t="shared" si="21"/>
        <v>0</v>
      </c>
      <c r="AZ26" s="444">
        <f t="shared" si="43"/>
        <v>-1</v>
      </c>
      <c r="BA26" s="445">
        <f t="shared" si="22"/>
        <v>0</v>
      </c>
      <c r="BB26" s="446">
        <f t="shared" si="22"/>
        <v>0</v>
      </c>
      <c r="BC26" s="446">
        <f t="shared" si="22"/>
        <v>0</v>
      </c>
      <c r="BD26" s="446">
        <f t="shared" si="22"/>
        <v>0</v>
      </c>
      <c r="BE26" s="446">
        <f t="shared" si="22"/>
        <v>0</v>
      </c>
      <c r="BF26" s="447">
        <f t="shared" si="44"/>
        <v>217334.98830325252</v>
      </c>
      <c r="BH26" s="448">
        <f>'Op Cost-26'!E17</f>
        <v>698366</v>
      </c>
      <c r="BI26" s="449">
        <f t="shared" si="23"/>
        <v>0.31120499609553232</v>
      </c>
      <c r="BJ26" s="450">
        <f t="shared" si="24"/>
        <v>209509.8</v>
      </c>
      <c r="BK26" s="451">
        <f t="shared" si="25"/>
        <v>7825.1883032525366</v>
      </c>
      <c r="BL26" s="1">
        <f t="shared" si="45"/>
        <v>1.1205682111163711</v>
      </c>
      <c r="BM26" s="112">
        <f t="shared" si="46"/>
        <v>0.75770770279382382</v>
      </c>
      <c r="BN26" s="112">
        <f t="shared" si="47"/>
        <v>0.70919727954608103</v>
      </c>
      <c r="BO26" s="113">
        <f t="shared" si="48"/>
        <v>1.5076839310627899</v>
      </c>
      <c r="BP26" s="452">
        <f t="shared" si="26"/>
        <v>0</v>
      </c>
      <c r="BQ26" s="115">
        <f t="shared" si="49"/>
        <v>2.0232569300035769E-3</v>
      </c>
      <c r="BR26" s="116">
        <f t="shared" si="50"/>
        <v>0</v>
      </c>
      <c r="BS26" s="453">
        <f t="shared" si="51"/>
        <v>0</v>
      </c>
      <c r="BT26" s="118">
        <f t="shared" si="52"/>
        <v>209509.8</v>
      </c>
      <c r="BU26" s="119">
        <f t="shared" si="53"/>
        <v>209509.8</v>
      </c>
      <c r="BV26" s="119">
        <f t="shared" si="54"/>
        <v>209509.8</v>
      </c>
      <c r="BW26" s="119">
        <f>BT26-BV26</f>
        <v>0</v>
      </c>
      <c r="BX26" s="120">
        <f t="shared" si="55"/>
        <v>0</v>
      </c>
      <c r="BY26" s="454">
        <f t="shared" si="56"/>
        <v>0</v>
      </c>
      <c r="BZ26" s="122">
        <f t="shared" si="57"/>
        <v>209509.8</v>
      </c>
      <c r="CA26" s="455">
        <f t="shared" si="27"/>
        <v>0</v>
      </c>
      <c r="CB26" s="456">
        <f t="shared" si="28"/>
        <v>0</v>
      </c>
      <c r="CC26" s="456">
        <f t="shared" si="29"/>
        <v>209509.8</v>
      </c>
      <c r="CD26" s="457">
        <f t="shared" si="30"/>
        <v>0.3</v>
      </c>
      <c r="CE26" s="458">
        <f t="shared" si="31"/>
        <v>0</v>
      </c>
      <c r="CF26" s="17"/>
      <c r="CG26" s="459">
        <f t="shared" si="32"/>
        <v>698366</v>
      </c>
      <c r="CH26" s="460">
        <f t="shared" si="58"/>
        <v>0.3</v>
      </c>
      <c r="CI26" s="461">
        <f t="shared" si="33"/>
        <v>209509.8</v>
      </c>
      <c r="CJ26" s="462">
        <f t="shared" si="34"/>
        <v>0</v>
      </c>
      <c r="CL26" s="463">
        <f t="shared" si="35"/>
        <v>0</v>
      </c>
      <c r="CM26" s="464">
        <f t="shared" si="36"/>
        <v>0</v>
      </c>
      <c r="CN26" s="465">
        <f t="shared" si="37"/>
        <v>0</v>
      </c>
      <c r="CO26" s="466">
        <f t="shared" si="59"/>
        <v>209509.8</v>
      </c>
      <c r="CP26" s="467">
        <f t="shared" si="60"/>
        <v>0.3</v>
      </c>
      <c r="CQ26" s="468">
        <f t="shared" si="38"/>
        <v>0</v>
      </c>
      <c r="CR26" s="469"/>
      <c r="CS26" s="470">
        <f t="shared" si="39"/>
        <v>209509.8</v>
      </c>
      <c r="CT26" s="465">
        <f t="shared" si="40"/>
        <v>0</v>
      </c>
      <c r="CU26" s="471">
        <f t="shared" si="41"/>
        <v>209509.8</v>
      </c>
      <c r="CV26" s="472">
        <f t="shared" si="42"/>
        <v>0.3</v>
      </c>
      <c r="CY26" s="473">
        <v>0</v>
      </c>
      <c r="CZ26" s="474">
        <f t="shared" si="61"/>
        <v>209509.8</v>
      </c>
      <c r="DA26" s="475">
        <f t="shared" si="62"/>
        <v>0.3</v>
      </c>
      <c r="DB26" s="1">
        <f t="shared" si="63"/>
        <v>0</v>
      </c>
      <c r="DC26" s="293">
        <f t="shared" si="64"/>
        <v>0.3</v>
      </c>
      <c r="DF26" s="476"/>
    </row>
    <row r="27" spans="1:110">
      <c r="A27" s="477" t="s">
        <v>99</v>
      </c>
      <c r="B27" s="428" t="s">
        <v>102</v>
      </c>
      <c r="C27" s="429"/>
      <c r="D27" s="91">
        <f>'Sizing - Reimb Exp-26'!B18</f>
        <v>8378754</v>
      </c>
      <c r="E27" s="92">
        <f>'Ridership-26'!$E18</f>
        <v>585649</v>
      </c>
      <c r="F27" s="92">
        <f>'Revenue Hours-26'!$E18</f>
        <v>80007.260000000009</v>
      </c>
      <c r="G27" s="92">
        <f>'Revenue Miles-26'!$E18</f>
        <v>1157573.97</v>
      </c>
      <c r="H27" s="430">
        <f t="shared" si="0"/>
        <v>1.4211123404390978E-2</v>
      </c>
      <c r="I27" s="431">
        <f t="shared" si="1"/>
        <v>1.4211123404390978E-2</v>
      </c>
      <c r="J27" s="432"/>
      <c r="K27" s="433">
        <f>'Ridership-26'!B18/'Revenue Hours-26'!B18</f>
        <v>6.2106387495687709</v>
      </c>
      <c r="L27" s="434">
        <f>'Ridership-26'!C18/'Revenue Hours-26'!C18</f>
        <v>5.9993407953505891</v>
      </c>
      <c r="M27" s="434">
        <f>'Ridership-26'!D18/'Revenue Hours-26'!D18</f>
        <v>6.5244789507405869</v>
      </c>
      <c r="N27" s="434">
        <f>'Ridership-26'!E18/'Revenue Hours-26'!E18</f>
        <v>7.3199482146995152</v>
      </c>
      <c r="O27" s="435">
        <f t="shared" si="2"/>
        <v>0.90539464268492109</v>
      </c>
      <c r="P27" s="436">
        <f t="shared" si="3"/>
        <v>1.2866674996869889E-2</v>
      </c>
      <c r="Q27" s="437">
        <f t="shared" si="4"/>
        <v>1.2435555835619422E-2</v>
      </c>
      <c r="R27" s="438">
        <f>'Ridership-26'!B18/'Revenue Miles-26'!B18</f>
        <v>0.43710720015539234</v>
      </c>
      <c r="S27" s="434">
        <f>'Ridership-26'!C18/'Revenue Miles-26'!C18</f>
        <v>0.41539215330115964</v>
      </c>
      <c r="T27" s="434">
        <f>'Ridership-26'!D18/'Revenue Miles-26'!D18</f>
        <v>0.45126387982562621</v>
      </c>
      <c r="U27" s="434">
        <f>'Ridership-26'!E18/'Revenue Miles-26'!E18</f>
        <v>0.50592792787142582</v>
      </c>
      <c r="V27" s="435">
        <f t="shared" si="5"/>
        <v>0.90393113365152045</v>
      </c>
      <c r="W27" s="436">
        <f t="shared" si="6"/>
        <v>1.2845876889392791E-2</v>
      </c>
      <c r="X27" s="437">
        <f t="shared" si="7"/>
        <v>1.2432815146557806E-2</v>
      </c>
      <c r="Y27" s="438">
        <f>'Op Cost-26'!B18/'Revenue Hours-26'!B18</f>
        <v>88.890998593530242</v>
      </c>
      <c r="Z27" s="434">
        <f>'Op Cost-26'!C18/'Revenue Hours-26'!C18</f>
        <v>103.53699617930367</v>
      </c>
      <c r="AA27" s="434">
        <f>'Op Cost-26'!D18/'Revenue Hours-26'!D18</f>
        <v>108.98527619693715</v>
      </c>
      <c r="AB27" s="434">
        <f>'Op Cost-26'!E18/'Revenue Hours-26'!E18</f>
        <v>112.5272881486005</v>
      </c>
      <c r="AC27" s="435">
        <f t="shared" si="8"/>
        <v>1.0371555930389649</v>
      </c>
      <c r="AD27" s="436">
        <f t="shared" si="9"/>
        <v>1.3702016842768045E-2</v>
      </c>
      <c r="AE27" s="437">
        <f t="shared" si="10"/>
        <v>1.3726366689048895E-2</v>
      </c>
      <c r="AF27" s="438">
        <f>'Op Cost-26'!B18/'Revenue Miles-26'!B18</f>
        <v>6.2561834749980854</v>
      </c>
      <c r="AG27" s="434">
        <f>'Op Cost-26'!C18/'Revenue Miles-26'!C18</f>
        <v>7.168863589577354</v>
      </c>
      <c r="AH27" s="434">
        <f>'Op Cost-26'!D18/'Revenue Miles-26'!D18</f>
        <v>7.537938117635405</v>
      </c>
      <c r="AI27" s="434">
        <f>'Op Cost-26'!E18/'Revenue Miles-26'!E18</f>
        <v>7.7774727432753172</v>
      </c>
      <c r="AJ27" s="435">
        <f t="shared" si="11"/>
        <v>1.0360687752653082</v>
      </c>
      <c r="AK27" s="436">
        <f t="shared" si="12"/>
        <v>1.3716390015471615E-2</v>
      </c>
      <c r="AL27" s="437">
        <f t="shared" si="13"/>
        <v>1.3739555863537315E-2</v>
      </c>
      <c r="AM27" s="438">
        <f>'Op Cost-26'!B18/'Ridership-26'!B18</f>
        <v>14.312698287225656</v>
      </c>
      <c r="AN27" s="434">
        <f>'Op Cost-26'!C18/'Ridership-26'!C18</f>
        <v>17.258062129016487</v>
      </c>
      <c r="AO27" s="434">
        <f>'Op Cost-26'!D18/'Ridership-26'!D18</f>
        <v>16.704058212122263</v>
      </c>
      <c r="AP27" s="434">
        <f>'Op Cost-26'!E18/'Ridership-26'!E18</f>
        <v>15.372689102175535</v>
      </c>
      <c r="AQ27" s="435">
        <f t="shared" si="14"/>
        <v>1.1776106082937341</v>
      </c>
      <c r="AR27" s="436">
        <f t="shared" si="15"/>
        <v>1.2067761027545249E-2</v>
      </c>
      <c r="AS27" s="440">
        <f t="shared" si="16"/>
        <v>1.2138260516855119E-2</v>
      </c>
      <c r="AT27" s="432"/>
      <c r="AU27" s="441">
        <f t="shared" si="17"/>
        <v>0</v>
      </c>
      <c r="AV27" s="442">
        <f t="shared" si="18"/>
        <v>0</v>
      </c>
      <c r="AW27" s="442">
        <f t="shared" si="19"/>
        <v>0</v>
      </c>
      <c r="AX27" s="442">
        <f t="shared" si="20"/>
        <v>0</v>
      </c>
      <c r="AY27" s="443">
        <f t="shared" si="21"/>
        <v>0</v>
      </c>
      <c r="AZ27" s="444">
        <f t="shared" si="43"/>
        <v>-1</v>
      </c>
      <c r="BA27" s="445">
        <f t="shared" si="22"/>
        <v>0</v>
      </c>
      <c r="BB27" s="446">
        <f t="shared" si="22"/>
        <v>0</v>
      </c>
      <c r="BC27" s="446">
        <f t="shared" si="22"/>
        <v>0</v>
      </c>
      <c r="BD27" s="446">
        <f t="shared" si="22"/>
        <v>0</v>
      </c>
      <c r="BE27" s="446">
        <f t="shared" si="22"/>
        <v>0</v>
      </c>
      <c r="BF27" s="447">
        <f t="shared" si="44"/>
        <v>1710587.6028313832</v>
      </c>
      <c r="BH27" s="448">
        <f>'Op Cost-26'!E18</f>
        <v>9003000</v>
      </c>
      <c r="BI27" s="449">
        <f t="shared" si="23"/>
        <v>0.19000195521841423</v>
      </c>
      <c r="BJ27" s="450">
        <f t="shared" si="24"/>
        <v>1710587.6028313832</v>
      </c>
      <c r="BK27" s="451">
        <f t="shared" si="25"/>
        <v>0</v>
      </c>
      <c r="BL27" s="1">
        <f t="shared" si="45"/>
        <v>0.67469757709144351</v>
      </c>
      <c r="BM27" s="112">
        <f t="shared" si="46"/>
        <v>0.64547655566624973</v>
      </c>
      <c r="BN27" s="112">
        <f t="shared" si="47"/>
        <v>0.62902579128457003</v>
      </c>
      <c r="BO27" s="113">
        <f t="shared" si="48"/>
        <v>0.7121439807074772</v>
      </c>
      <c r="BP27" s="452">
        <f t="shared" si="26"/>
        <v>1710587.6028313832</v>
      </c>
      <c r="BQ27" s="115">
        <f t="shared" si="49"/>
        <v>9.5882105286900984E-3</v>
      </c>
      <c r="BR27" s="116">
        <f t="shared" si="50"/>
        <v>9.5882105286900984E-3</v>
      </c>
      <c r="BS27" s="453">
        <f t="shared" si="51"/>
        <v>1.0081725567699382E-2</v>
      </c>
      <c r="BT27" s="118">
        <f t="shared" si="52"/>
        <v>1786042.8123450119</v>
      </c>
      <c r="BU27" s="119">
        <f t="shared" si="53"/>
        <v>2700900</v>
      </c>
      <c r="BV27" s="119">
        <f t="shared" si="54"/>
        <v>1786042.8123450119</v>
      </c>
      <c r="BW27" s="119">
        <f t="shared" si="65"/>
        <v>0</v>
      </c>
      <c r="BX27" s="120">
        <f t="shared" si="55"/>
        <v>9.5882105286900984E-3</v>
      </c>
      <c r="BY27" s="454">
        <f t="shared" si="56"/>
        <v>1.085645083774198E-2</v>
      </c>
      <c r="BZ27" s="122">
        <f t="shared" si="57"/>
        <v>1789055.9242399209</v>
      </c>
      <c r="CA27" s="455">
        <f t="shared" si="27"/>
        <v>1.5194876133132185E-2</v>
      </c>
      <c r="CB27" s="456">
        <f t="shared" si="28"/>
        <v>113723.84166381933</v>
      </c>
      <c r="CC27" s="456">
        <f t="shared" si="29"/>
        <v>1824311.4444952025</v>
      </c>
      <c r="CD27" s="457">
        <f t="shared" si="30"/>
        <v>0.20263372703489976</v>
      </c>
      <c r="CE27" s="458">
        <f t="shared" si="31"/>
        <v>0</v>
      </c>
      <c r="CF27" s="17"/>
      <c r="CG27" s="459">
        <f t="shared" si="32"/>
        <v>9003000</v>
      </c>
      <c r="CH27" s="460">
        <f t="shared" si="58"/>
        <v>0.20263372703489976</v>
      </c>
      <c r="CI27" s="461">
        <f t="shared" si="33"/>
        <v>1824311.4444952025</v>
      </c>
      <c r="CJ27" s="462">
        <f t="shared" si="34"/>
        <v>0</v>
      </c>
      <c r="CL27" s="463">
        <f t="shared" si="35"/>
        <v>1824311.4444952025</v>
      </c>
      <c r="CM27" s="464">
        <f t="shared" si="36"/>
        <v>1.5685830951495391E-2</v>
      </c>
      <c r="CN27" s="465">
        <f t="shared" si="37"/>
        <v>2391.2457585389357</v>
      </c>
      <c r="CO27" s="466">
        <f t="shared" si="59"/>
        <v>1826702.6902537413</v>
      </c>
      <c r="CP27" s="467">
        <f t="shared" si="60"/>
        <v>0.20289933247292474</v>
      </c>
      <c r="CQ27" s="468">
        <f t="shared" si="38"/>
        <v>0</v>
      </c>
      <c r="CR27" s="469"/>
      <c r="CS27" s="470">
        <f t="shared" si="39"/>
        <v>2700900</v>
      </c>
      <c r="CT27" s="465">
        <f t="shared" si="40"/>
        <v>0</v>
      </c>
      <c r="CU27" s="471">
        <f t="shared" si="41"/>
        <v>1826702.6902537413</v>
      </c>
      <c r="CV27" s="472">
        <f t="shared" si="42"/>
        <v>0.20289933247292474</v>
      </c>
      <c r="CY27" s="473">
        <v>0</v>
      </c>
      <c r="CZ27" s="474">
        <f t="shared" si="61"/>
        <v>1826702.6902537413</v>
      </c>
      <c r="DA27" s="475">
        <f t="shared" si="62"/>
        <v>0.20289933247292474</v>
      </c>
      <c r="DB27" s="1">
        <f t="shared" si="63"/>
        <v>0</v>
      </c>
      <c r="DC27" s="293">
        <f t="shared" si="64"/>
        <v>0.19871775233143629</v>
      </c>
      <c r="DF27" s="476"/>
    </row>
    <row r="28" spans="1:110">
      <c r="A28" s="477" t="s">
        <v>99</v>
      </c>
      <c r="B28" s="428" t="s">
        <v>103</v>
      </c>
      <c r="C28" s="429"/>
      <c r="D28" s="91">
        <f>'Sizing - Reimb Exp-26'!B19</f>
        <v>165710</v>
      </c>
      <c r="E28" s="92">
        <f>'Ridership-26'!$E19</f>
        <v>15318</v>
      </c>
      <c r="F28" s="92">
        <f>'Revenue Hours-26'!$E19</f>
        <v>3004</v>
      </c>
      <c r="G28" s="92">
        <f>'Revenue Miles-26'!$E19</f>
        <v>50699</v>
      </c>
      <c r="H28" s="478">
        <f t="shared" si="0"/>
        <v>4.1441029273910611E-4</v>
      </c>
      <c r="I28" s="431">
        <f t="shared" si="1"/>
        <v>4.1441029273910611E-4</v>
      </c>
      <c r="J28" s="432"/>
      <c r="K28" s="433">
        <f>'Ridership-26'!B19/'Revenue Hours-26'!B19</f>
        <v>4.686815011624045</v>
      </c>
      <c r="L28" s="434">
        <f>'Ridership-26'!C19/'Revenue Hours-26'!C19</f>
        <v>4.8892540256325994</v>
      </c>
      <c r="M28" s="434">
        <f>'Ridership-26'!D19/'Revenue Hours-26'!D19</f>
        <v>4.7219286657859971</v>
      </c>
      <c r="N28" s="434">
        <f>'Ridership-26'!E19/'Revenue Hours-26'!E19</f>
        <v>5.099201065246338</v>
      </c>
      <c r="O28" s="435">
        <f t="shared" si="2"/>
        <v>0.87823638966897821</v>
      </c>
      <c r="P28" s="436">
        <f t="shared" si="3"/>
        <v>3.639501993368569E-4</v>
      </c>
      <c r="Q28" s="437">
        <f t="shared" si="4"/>
        <v>3.5175544780134232E-4</v>
      </c>
      <c r="R28" s="438">
        <f>'Ridership-26'!B19/'Revenue Miles-26'!B19</f>
        <v>0.28707433174661295</v>
      </c>
      <c r="S28" s="434">
        <f>'Ridership-26'!C19/'Revenue Miles-26'!C19</f>
        <v>0.30552817479875144</v>
      </c>
      <c r="T28" s="434">
        <f>'Ridership-26'!D19/'Revenue Miles-26'!D19</f>
        <v>0.29334044561158756</v>
      </c>
      <c r="U28" s="434">
        <f>'Ridership-26'!E19/'Revenue Miles-26'!E19</f>
        <v>0.30213613680743212</v>
      </c>
      <c r="V28" s="435">
        <f t="shared" si="5"/>
        <v>0.87051960662416128</v>
      </c>
      <c r="W28" s="436">
        <f t="shared" si="6"/>
        <v>3.6075228501625018E-4</v>
      </c>
      <c r="X28" s="437">
        <f t="shared" si="7"/>
        <v>3.4915222307703295E-4</v>
      </c>
      <c r="Y28" s="438">
        <f>'Op Cost-26'!B19/'Revenue Hours-26'!B19</f>
        <v>38.42344735968117</v>
      </c>
      <c r="Z28" s="434">
        <f>'Op Cost-26'!C19/'Revenue Hours-26'!C19</f>
        <v>35.43739730529083</v>
      </c>
      <c r="AA28" s="434">
        <f>'Op Cost-26'!D19/'Revenue Hours-26'!D19</f>
        <v>58.537318361955087</v>
      </c>
      <c r="AB28" s="434">
        <f>'Op Cost-26'!E19/'Revenue Hours-26'!E19</f>
        <v>55.163115845539281</v>
      </c>
      <c r="AC28" s="435">
        <f t="shared" si="8"/>
        <v>1.1105520609683832</v>
      </c>
      <c r="AD28" s="436">
        <f t="shared" si="9"/>
        <v>3.7315701559974339E-4</v>
      </c>
      <c r="AE28" s="437">
        <f t="shared" si="10"/>
        <v>3.7382015271836911E-4</v>
      </c>
      <c r="AF28" s="438">
        <f>'Op Cost-26'!B19/'Revenue Miles-26'!B19</f>
        <v>2.3534928190731925</v>
      </c>
      <c r="AG28" s="434">
        <f>'Op Cost-26'!C19/'Revenue Miles-26'!C19</f>
        <v>2.2144734680466569</v>
      </c>
      <c r="AH28" s="434">
        <f>'Op Cost-26'!D19/'Revenue Miles-26'!D19</f>
        <v>3.6365147101062738</v>
      </c>
      <c r="AI28" s="434">
        <f>'Op Cost-26'!E19/'Revenue Miles-26'!E19</f>
        <v>3.2685062821751907</v>
      </c>
      <c r="AJ28" s="435">
        <f t="shared" si="11"/>
        <v>1.1037169090605909</v>
      </c>
      <c r="AK28" s="436">
        <f t="shared" si="12"/>
        <v>3.7546792056653738E-4</v>
      </c>
      <c r="AL28" s="437">
        <f t="shared" si="13"/>
        <v>3.7610205482428141E-4</v>
      </c>
      <c r="AM28" s="438">
        <f>'Op Cost-26'!B19/'Ridership-26'!B19</f>
        <v>8.1982001133786842</v>
      </c>
      <c r="AN28" s="434">
        <f>'Op Cost-26'!C19/'Ridership-26'!C19</f>
        <v>7.2480172066137918</v>
      </c>
      <c r="AO28" s="434">
        <f>'Op Cost-26'!D19/'Ridership-26'!D19</f>
        <v>12.396908658553643</v>
      </c>
      <c r="AP28" s="434">
        <f>'Op Cost-26'!E19/'Ridership-26'!E19</f>
        <v>10.817991904948427</v>
      </c>
      <c r="AQ28" s="439">
        <f t="shared" si="14"/>
        <v>1.2936229881858146</v>
      </c>
      <c r="AR28" s="436">
        <f t="shared" si="15"/>
        <v>3.2034858418856474E-4</v>
      </c>
      <c r="AS28" s="440">
        <f t="shared" si="16"/>
        <v>3.2222005077916789E-4</v>
      </c>
      <c r="AT28" s="432"/>
      <c r="AU28" s="441">
        <f t="shared" si="17"/>
        <v>0</v>
      </c>
      <c r="AV28" s="442">
        <f t="shared" si="18"/>
        <v>0</v>
      </c>
      <c r="AW28" s="442">
        <f t="shared" si="19"/>
        <v>0</v>
      </c>
      <c r="AX28" s="442">
        <f t="shared" si="20"/>
        <v>0</v>
      </c>
      <c r="AY28" s="443">
        <f t="shared" si="21"/>
        <v>0</v>
      </c>
      <c r="AZ28" s="444">
        <f t="shared" si="43"/>
        <v>-1</v>
      </c>
      <c r="BA28" s="445">
        <f t="shared" si="22"/>
        <v>0</v>
      </c>
      <c r="BB28" s="446">
        <f t="shared" si="22"/>
        <v>0</v>
      </c>
      <c r="BC28" s="446">
        <f t="shared" si="22"/>
        <v>0</v>
      </c>
      <c r="BD28" s="446">
        <f t="shared" si="22"/>
        <v>0</v>
      </c>
      <c r="BE28" s="446">
        <f t="shared" si="22"/>
        <v>0</v>
      </c>
      <c r="BF28" s="447">
        <f t="shared" si="44"/>
        <v>49882.411761072086</v>
      </c>
      <c r="BH28" s="448">
        <f>'Op Cost-26'!E19</f>
        <v>165710</v>
      </c>
      <c r="BI28" s="449">
        <f t="shared" si="23"/>
        <v>0.30102233879109341</v>
      </c>
      <c r="BJ28" s="450">
        <f t="shared" si="24"/>
        <v>49713</v>
      </c>
      <c r="BK28" s="451">
        <f t="shared" si="25"/>
        <v>169.41176107208594</v>
      </c>
      <c r="BL28" s="1">
        <f t="shared" si="45"/>
        <v>0.71231371822670408</v>
      </c>
      <c r="BM28" s="112">
        <f t="shared" si="46"/>
        <v>0.44965000348434714</v>
      </c>
      <c r="BN28" s="112">
        <f t="shared" si="47"/>
        <v>0.37564920230941845</v>
      </c>
      <c r="BO28" s="113">
        <f t="shared" si="48"/>
        <v>1.0119778335565253</v>
      </c>
      <c r="BP28" s="452">
        <f t="shared" si="26"/>
        <v>0</v>
      </c>
      <c r="BQ28" s="115">
        <f t="shared" si="49"/>
        <v>2.9519013649240958E-4</v>
      </c>
      <c r="BR28" s="116">
        <f t="shared" si="50"/>
        <v>0</v>
      </c>
      <c r="BS28" s="453">
        <f t="shared" si="51"/>
        <v>0</v>
      </c>
      <c r="BT28" s="118">
        <f t="shared" si="52"/>
        <v>49713</v>
      </c>
      <c r="BU28" s="119">
        <f t="shared" si="53"/>
        <v>49713</v>
      </c>
      <c r="BV28" s="119">
        <f t="shared" si="54"/>
        <v>49713</v>
      </c>
      <c r="BW28" s="119">
        <f t="shared" si="65"/>
        <v>0</v>
      </c>
      <c r="BX28" s="120">
        <f t="shared" si="55"/>
        <v>0</v>
      </c>
      <c r="BY28" s="454">
        <f t="shared" si="56"/>
        <v>0</v>
      </c>
      <c r="BZ28" s="122">
        <f t="shared" si="57"/>
        <v>49713</v>
      </c>
      <c r="CA28" s="455">
        <f t="shared" si="27"/>
        <v>0</v>
      </c>
      <c r="CB28" s="456">
        <f t="shared" si="28"/>
        <v>0</v>
      </c>
      <c r="CC28" s="456">
        <f t="shared" si="29"/>
        <v>49713</v>
      </c>
      <c r="CD28" s="457">
        <f t="shared" si="30"/>
        <v>0.3</v>
      </c>
      <c r="CE28" s="458">
        <f t="shared" si="31"/>
        <v>0</v>
      </c>
      <c r="CF28" s="17"/>
      <c r="CG28" s="459">
        <f t="shared" si="32"/>
        <v>165710</v>
      </c>
      <c r="CH28" s="460">
        <f t="shared" si="58"/>
        <v>0.3</v>
      </c>
      <c r="CI28" s="461">
        <f t="shared" si="33"/>
        <v>49713</v>
      </c>
      <c r="CJ28" s="462">
        <f t="shared" si="34"/>
        <v>0</v>
      </c>
      <c r="CL28" s="463">
        <f t="shared" si="35"/>
        <v>0</v>
      </c>
      <c r="CM28" s="464">
        <f t="shared" si="36"/>
        <v>0</v>
      </c>
      <c r="CN28" s="465">
        <f t="shared" si="37"/>
        <v>0</v>
      </c>
      <c r="CO28" s="466">
        <f t="shared" si="59"/>
        <v>49713</v>
      </c>
      <c r="CP28" s="467">
        <f t="shared" si="60"/>
        <v>0.3</v>
      </c>
      <c r="CQ28" s="468">
        <f t="shared" si="38"/>
        <v>0</v>
      </c>
      <c r="CR28" s="469"/>
      <c r="CS28" s="470">
        <f t="shared" si="39"/>
        <v>49713</v>
      </c>
      <c r="CT28" s="465">
        <f t="shared" si="40"/>
        <v>0</v>
      </c>
      <c r="CU28" s="471">
        <f t="shared" si="41"/>
        <v>49713</v>
      </c>
      <c r="CV28" s="472">
        <f t="shared" si="42"/>
        <v>0.3</v>
      </c>
      <c r="CY28" s="473">
        <v>0</v>
      </c>
      <c r="CZ28" s="474">
        <f t="shared" si="61"/>
        <v>49713</v>
      </c>
      <c r="DA28" s="475">
        <f t="shared" si="62"/>
        <v>0.3</v>
      </c>
      <c r="DB28" s="1">
        <f t="shared" si="63"/>
        <v>0</v>
      </c>
      <c r="DC28" s="293">
        <f t="shared" si="64"/>
        <v>0.3</v>
      </c>
      <c r="DF28" s="476"/>
    </row>
    <row r="29" spans="1:110">
      <c r="A29" s="477" t="s">
        <v>104</v>
      </c>
      <c r="B29" s="428" t="s">
        <v>105</v>
      </c>
      <c r="C29" s="429"/>
      <c r="D29" s="91">
        <f>'Sizing - Reimb Exp-26'!B20</f>
        <v>25291520</v>
      </c>
      <c r="E29" s="92">
        <f>'Ridership-26'!$E20</f>
        <v>690827</v>
      </c>
      <c r="F29" s="92">
        <f>'Revenue Hours-26'!$E20</f>
        <v>172995.92</v>
      </c>
      <c r="G29" s="92">
        <f>'Revenue Miles-26'!$E20</f>
        <v>3894172</v>
      </c>
      <c r="H29" s="478">
        <f t="shared" si="0"/>
        <v>3.4511391754366877E-2</v>
      </c>
      <c r="I29" s="431">
        <f t="shared" si="1"/>
        <v>3.4511391754366877E-2</v>
      </c>
      <c r="J29" s="432"/>
      <c r="K29" s="433">
        <f>'Ridership-26'!B20/'Revenue Hours-26'!B20</f>
        <v>3.470492023892092</v>
      </c>
      <c r="L29" s="434">
        <f>'Ridership-26'!C20/'Revenue Hours-26'!C20</f>
        <v>4.2679119210326499</v>
      </c>
      <c r="M29" s="434">
        <f>'Ridership-26'!D20/'Revenue Hours-26'!D20</f>
        <v>4.451152820443574</v>
      </c>
      <c r="N29" s="434">
        <f>'Ridership-26'!E20/'Revenue Hours-26'!E20</f>
        <v>3.9933138307539271</v>
      </c>
      <c r="O29" s="435">
        <f t="shared" si="2"/>
        <v>0.89152476012892912</v>
      </c>
      <c r="P29" s="436">
        <f t="shared" si="3"/>
        <v>3.0767760255527431E-2</v>
      </c>
      <c r="Q29" s="437">
        <f t="shared" si="4"/>
        <v>2.9736835716114927E-2</v>
      </c>
      <c r="R29" s="438">
        <f>'Ridership-26'!B20/'Revenue Miles-26'!B20</f>
        <v>0.16305901321605187</v>
      </c>
      <c r="S29" s="434">
        <f>'Ridership-26'!C20/'Revenue Miles-26'!C20</f>
        <v>0.18749795684455406</v>
      </c>
      <c r="T29" s="434">
        <f>'Ridership-26'!D20/'Revenue Miles-26'!D20</f>
        <v>0.20352598918826306</v>
      </c>
      <c r="U29" s="434">
        <f>'Ridership-26'!E20/'Revenue Miles-26'!E20</f>
        <v>0.17740022782763576</v>
      </c>
      <c r="V29" s="435">
        <f t="shared" si="5"/>
        <v>0.87910488190980651</v>
      </c>
      <c r="W29" s="436">
        <f t="shared" si="6"/>
        <v>3.0339132972765765E-2</v>
      </c>
      <c r="X29" s="437">
        <f t="shared" si="7"/>
        <v>2.9363572078812239E-2</v>
      </c>
      <c r="Y29" s="438">
        <f>'Op Cost-26'!B20/'Revenue Hours-26'!B20</f>
        <v>179.69728056645377</v>
      </c>
      <c r="Z29" s="434">
        <f>'Op Cost-26'!C20/'Revenue Hours-26'!C20</f>
        <v>158.41301948873704</v>
      </c>
      <c r="AA29" s="434">
        <f>'Op Cost-26'!D20/'Revenue Hours-26'!D20</f>
        <v>159.2898254734497</v>
      </c>
      <c r="AB29" s="434">
        <f>'Op Cost-26'!E20/'Revenue Hours-26'!E20</f>
        <v>146.19720511327665</v>
      </c>
      <c r="AC29" s="435">
        <f t="shared" si="8"/>
        <v>0.89241794556285381</v>
      </c>
      <c r="AD29" s="436">
        <f t="shared" si="9"/>
        <v>3.867178145168329E-2</v>
      </c>
      <c r="AE29" s="437">
        <f t="shared" si="10"/>
        <v>3.8740505052344464E-2</v>
      </c>
      <c r="AF29" s="438">
        <f>'Op Cost-26'!B20/'Revenue Miles-26'!B20</f>
        <v>8.4429703468712045</v>
      </c>
      <c r="AG29" s="434">
        <f>'Op Cost-26'!C20/'Revenue Miles-26'!C20</f>
        <v>6.9594026402794391</v>
      </c>
      <c r="AH29" s="434">
        <f>'Op Cost-26'!D20/'Revenue Miles-26'!D20</f>
        <v>7.2834208585718461</v>
      </c>
      <c r="AI29" s="434">
        <f>'Op Cost-26'!E20/'Revenue Miles-26'!E20</f>
        <v>6.4947105572121622</v>
      </c>
      <c r="AJ29" s="435">
        <f t="shared" si="11"/>
        <v>0.88136384841768123</v>
      </c>
      <c r="AK29" s="436">
        <f t="shared" si="12"/>
        <v>3.9156804328116503E-2</v>
      </c>
      <c r="AL29" s="437">
        <f t="shared" si="13"/>
        <v>3.9222936931431245E-2</v>
      </c>
      <c r="AM29" s="438">
        <f>'Op Cost-26'!B20/'Ridership-26'!B20</f>
        <v>51.778617939287642</v>
      </c>
      <c r="AN29" s="434">
        <f>'Op Cost-26'!C20/'Ridership-26'!C20</f>
        <v>37.117218541475417</v>
      </c>
      <c r="AO29" s="434">
        <f>'Op Cost-26'!D20/'Ridership-26'!D20</f>
        <v>35.786195599003463</v>
      </c>
      <c r="AP29" s="434">
        <f>'Op Cost-26'!E20/'Ridership-26'!E20</f>
        <v>36.610497273557634</v>
      </c>
      <c r="AQ29" s="435">
        <f t="shared" si="14"/>
        <v>1.0046673128501329</v>
      </c>
      <c r="AR29" s="436">
        <f t="shared" si="15"/>
        <v>3.4351064589193986E-2</v>
      </c>
      <c r="AS29" s="440">
        <f t="shared" si="16"/>
        <v>3.4551742453568395E-2</v>
      </c>
      <c r="AT29" s="432"/>
      <c r="AU29" s="441">
        <f t="shared" si="17"/>
        <v>0</v>
      </c>
      <c r="AV29" s="442">
        <f t="shared" si="18"/>
        <v>0</v>
      </c>
      <c r="AW29" s="442">
        <f t="shared" si="19"/>
        <v>0</v>
      </c>
      <c r="AX29" s="442">
        <f t="shared" si="20"/>
        <v>0</v>
      </c>
      <c r="AY29" s="443">
        <f t="shared" si="21"/>
        <v>0</v>
      </c>
      <c r="AZ29" s="444">
        <f t="shared" si="43"/>
        <v>-1</v>
      </c>
      <c r="BA29" s="445">
        <f t="shared" si="22"/>
        <v>0</v>
      </c>
      <c r="BB29" s="446">
        <f t="shared" si="22"/>
        <v>0</v>
      </c>
      <c r="BC29" s="446">
        <f t="shared" si="22"/>
        <v>0</v>
      </c>
      <c r="BD29" s="446">
        <f t="shared" si="22"/>
        <v>0</v>
      </c>
      <c r="BE29" s="446">
        <f t="shared" si="22"/>
        <v>0</v>
      </c>
      <c r="BF29" s="447">
        <f t="shared" si="44"/>
        <v>4154123.3026824985</v>
      </c>
      <c r="BH29" s="448">
        <f>'Op Cost-26'!E20</f>
        <v>25291520</v>
      </c>
      <c r="BI29" s="449">
        <f t="shared" si="23"/>
        <v>0.16424964979101686</v>
      </c>
      <c r="BJ29" s="450">
        <f t="shared" si="24"/>
        <v>4154123.3026824985</v>
      </c>
      <c r="BK29" s="451">
        <f t="shared" si="25"/>
        <v>0</v>
      </c>
      <c r="BL29" s="1">
        <f t="shared" si="45"/>
        <v>0.29268805815451676</v>
      </c>
      <c r="BM29" s="112">
        <f t="shared" si="46"/>
        <v>0.35213233503391017</v>
      </c>
      <c r="BN29" s="112">
        <f t="shared" si="47"/>
        <v>0.22056366635624902</v>
      </c>
      <c r="BO29" s="113">
        <f t="shared" si="48"/>
        <v>0.29902811561395393</v>
      </c>
      <c r="BP29" s="452">
        <f t="shared" si="26"/>
        <v>4154123.3026824985</v>
      </c>
      <c r="BQ29" s="115">
        <f t="shared" si="49"/>
        <v>1.0101072236795443E-2</v>
      </c>
      <c r="BR29" s="116">
        <f t="shared" si="50"/>
        <v>1.0101072236795443E-2</v>
      </c>
      <c r="BS29" s="453">
        <f t="shared" si="51"/>
        <v>1.0620984794416217E-2</v>
      </c>
      <c r="BT29" s="118">
        <f t="shared" si="52"/>
        <v>4233614.5194907952</v>
      </c>
      <c r="BU29" s="119">
        <f t="shared" si="53"/>
        <v>7587456</v>
      </c>
      <c r="BV29" s="119">
        <f t="shared" si="54"/>
        <v>4233614.5194907952</v>
      </c>
      <c r="BW29" s="119">
        <f t="shared" si="65"/>
        <v>0</v>
      </c>
      <c r="BX29" s="120">
        <f t="shared" si="55"/>
        <v>1.0101072236795443E-2</v>
      </c>
      <c r="BY29" s="454">
        <f t="shared" si="56"/>
        <v>1.1437149175971597E-2</v>
      </c>
      <c r="BZ29" s="122">
        <f t="shared" si="57"/>
        <v>4236788.7990726791</v>
      </c>
      <c r="CA29" s="455">
        <f t="shared" si="27"/>
        <v>3.6900413005179815E-2</v>
      </c>
      <c r="CB29" s="456">
        <f t="shared" si="28"/>
        <v>276175.77722666011</v>
      </c>
      <c r="CC29" s="456">
        <f t="shared" si="29"/>
        <v>4430299.0799091589</v>
      </c>
      <c r="CD29" s="457">
        <f t="shared" si="30"/>
        <v>0.17516934845786883</v>
      </c>
      <c r="CE29" s="458">
        <f t="shared" si="31"/>
        <v>0</v>
      </c>
      <c r="CF29" s="17"/>
      <c r="CG29" s="459">
        <f t="shared" si="32"/>
        <v>25291520</v>
      </c>
      <c r="CH29" s="460">
        <f t="shared" si="58"/>
        <v>0.17516934845786883</v>
      </c>
      <c r="CI29" s="461">
        <f t="shared" si="33"/>
        <v>4430299.0799091589</v>
      </c>
      <c r="CJ29" s="462">
        <f t="shared" si="34"/>
        <v>0</v>
      </c>
      <c r="CL29" s="463">
        <f t="shared" si="35"/>
        <v>4430299.0799091589</v>
      </c>
      <c r="CM29" s="464">
        <f t="shared" si="36"/>
        <v>3.8092685676951246E-2</v>
      </c>
      <c r="CN29" s="465">
        <f t="shared" si="37"/>
        <v>5807.0862384043903</v>
      </c>
      <c r="CO29" s="466">
        <f t="shared" si="59"/>
        <v>4436106.1661475636</v>
      </c>
      <c r="CP29" s="467">
        <f t="shared" si="60"/>
        <v>0.17539895451706988</v>
      </c>
      <c r="CQ29" s="468">
        <f t="shared" si="38"/>
        <v>0</v>
      </c>
      <c r="CR29" s="469"/>
      <c r="CS29" s="470">
        <f t="shared" si="39"/>
        <v>7587456</v>
      </c>
      <c r="CT29" s="465">
        <f t="shared" si="40"/>
        <v>0</v>
      </c>
      <c r="CU29" s="471">
        <f t="shared" si="41"/>
        <v>4436106.1661475636</v>
      </c>
      <c r="CV29" s="472">
        <f t="shared" si="42"/>
        <v>0.17539895451706988</v>
      </c>
      <c r="CY29" s="473">
        <v>0</v>
      </c>
      <c r="CZ29" s="474">
        <f t="shared" si="61"/>
        <v>4436106.1661475636</v>
      </c>
      <c r="DA29" s="475">
        <f t="shared" si="62"/>
        <v>0.17539895451706988</v>
      </c>
      <c r="DB29" s="1">
        <f t="shared" si="63"/>
        <v>0</v>
      </c>
      <c r="DC29" s="293">
        <f t="shared" si="64"/>
        <v>0.16751815624654742</v>
      </c>
      <c r="DF29" s="476"/>
    </row>
    <row r="30" spans="1:110">
      <c r="A30" s="477" t="s">
        <v>104</v>
      </c>
      <c r="B30" s="428" t="s">
        <v>106</v>
      </c>
      <c r="C30" s="429"/>
      <c r="D30" s="91">
        <f>'Sizing - Reimb Exp-26'!B21</f>
        <v>28281032</v>
      </c>
      <c r="E30" s="92">
        <f>'Ridership-26'!$E21</f>
        <v>2458738</v>
      </c>
      <c r="F30" s="92">
        <f>'Revenue Hours-26'!$E21</f>
        <v>230883</v>
      </c>
      <c r="G30" s="92">
        <f>'Revenue Miles-26'!$E21</f>
        <v>2329537</v>
      </c>
      <c r="H30" s="478">
        <f t="shared" si="0"/>
        <v>4.6304697474169161E-2</v>
      </c>
      <c r="I30" s="431">
        <f t="shared" si="1"/>
        <v>4.6304697474169161E-2</v>
      </c>
      <c r="J30" s="432"/>
      <c r="K30" s="433">
        <f>'Ridership-26'!B21/'Revenue Hours-26'!B21</f>
        <v>7.8216167510040826</v>
      </c>
      <c r="L30" s="434">
        <f>'Ridership-26'!C21/'Revenue Hours-26'!C21</f>
        <v>8.8817225863249529</v>
      </c>
      <c r="M30" s="434">
        <f>'Ridership-26'!D21/'Revenue Hours-26'!D21</f>
        <v>9.7390196531791915</v>
      </c>
      <c r="N30" s="434">
        <f>'Ridership-26'!E21/'Revenue Hours-26'!E21</f>
        <v>10.649281237683155</v>
      </c>
      <c r="O30" s="435">
        <f t="shared" si="2"/>
        <v>0.94314927205126431</v>
      </c>
      <c r="P30" s="436">
        <f t="shared" si="3"/>
        <v>4.3672241715316661E-2</v>
      </c>
      <c r="Q30" s="437">
        <f t="shared" si="4"/>
        <v>4.2208931246775619E-2</v>
      </c>
      <c r="R30" s="438">
        <f>'Ridership-26'!B21/'Revenue Miles-26'!B21</f>
        <v>0.78433143162528551</v>
      </c>
      <c r="S30" s="434">
        <f>'Ridership-26'!C21/'Revenue Miles-26'!C21</f>
        <v>0.87157122671755427</v>
      </c>
      <c r="T30" s="434">
        <f>'Ridership-26'!D21/'Revenue Miles-26'!D21</f>
        <v>0.95474957839955032</v>
      </c>
      <c r="U30" s="434">
        <f>'Ridership-26'!E21/'Revenue Miles-26'!E21</f>
        <v>1.0554620939697459</v>
      </c>
      <c r="V30" s="435">
        <f t="shared" si="5"/>
        <v>0.94426272197974803</v>
      </c>
      <c r="W30" s="436">
        <f t="shared" si="6"/>
        <v>4.3723799677407735E-2</v>
      </c>
      <c r="X30" s="437">
        <f t="shared" si="7"/>
        <v>4.2317852146256246E-2</v>
      </c>
      <c r="Y30" s="438">
        <f>'Op Cost-26'!B21/'Revenue Hours-26'!B21</f>
        <v>115.12446224595757</v>
      </c>
      <c r="Z30" s="434">
        <f>'Op Cost-26'!C21/'Revenue Hours-26'!C21</f>
        <v>128.33355179497212</v>
      </c>
      <c r="AA30" s="434">
        <f>'Op Cost-26'!D21/'Revenue Hours-26'!D21</f>
        <v>109.8271676300578</v>
      </c>
      <c r="AB30" s="434">
        <f>'Op Cost-26'!E21/'Revenue Hours-26'!E21</f>
        <v>122.49075072655847</v>
      </c>
      <c r="AC30" s="435">
        <f t="shared" si="8"/>
        <v>0.98733751771107381</v>
      </c>
      <c r="AD30" s="436">
        <f t="shared" si="9"/>
        <v>4.689854952693024E-2</v>
      </c>
      <c r="AE30" s="437">
        <f t="shared" si="10"/>
        <v>4.6981892912424487E-2</v>
      </c>
      <c r="AF30" s="438">
        <f>'Op Cost-26'!B21/'Revenue Miles-26'!B21</f>
        <v>11.544382339734495</v>
      </c>
      <c r="AG30" s="434">
        <f>'Op Cost-26'!C21/'Revenue Miles-26'!C21</f>
        <v>12.593483986899244</v>
      </c>
      <c r="AH30" s="434">
        <f>'Op Cost-26'!D21/'Revenue Miles-26'!D21</f>
        <v>10.766734817850473</v>
      </c>
      <c r="AI30" s="434">
        <f>'Op Cost-26'!E21/'Revenue Miles-26'!E21</f>
        <v>12.140194381973757</v>
      </c>
      <c r="AJ30" s="435">
        <f t="shared" si="11"/>
        <v>0.98862782106337344</v>
      </c>
      <c r="AK30" s="436">
        <f t="shared" si="12"/>
        <v>4.683734008654903E-2</v>
      </c>
      <c r="AL30" s="437">
        <f t="shared" si="13"/>
        <v>4.6916444479397489E-2</v>
      </c>
      <c r="AM30" s="438">
        <f>'Op Cost-26'!B21/'Ridership-26'!B21</f>
        <v>14.718755202519828</v>
      </c>
      <c r="AN30" s="434">
        <f>'Op Cost-26'!C21/'Ridership-26'!C21</f>
        <v>14.449173631313958</v>
      </c>
      <c r="AO30" s="434">
        <f>'Op Cost-26'!D21/'Ridership-26'!D21</f>
        <v>11.277024951295379</v>
      </c>
      <c r="AP30" s="434">
        <f>'Op Cost-26'!E21/'Ridership-26'!E21</f>
        <v>11.502255221987866</v>
      </c>
      <c r="AQ30" s="435">
        <f t="shared" si="14"/>
        <v>1.0492744422797424</v>
      </c>
      <c r="AR30" s="436">
        <f t="shared" si="15"/>
        <v>4.4130206177102393E-2</v>
      </c>
      <c r="AS30" s="440">
        <f t="shared" si="16"/>
        <v>4.4388013486306117E-2</v>
      </c>
      <c r="AT30" s="432"/>
      <c r="AU30" s="441">
        <f t="shared" si="17"/>
        <v>0</v>
      </c>
      <c r="AV30" s="442">
        <f t="shared" si="18"/>
        <v>0</v>
      </c>
      <c r="AW30" s="442">
        <f t="shared" si="19"/>
        <v>0</v>
      </c>
      <c r="AX30" s="442">
        <f t="shared" si="20"/>
        <v>0</v>
      </c>
      <c r="AY30" s="443">
        <f t="shared" si="21"/>
        <v>0</v>
      </c>
      <c r="AZ30" s="444">
        <f t="shared" si="43"/>
        <v>-1</v>
      </c>
      <c r="BA30" s="445">
        <f t="shared" si="22"/>
        <v>0</v>
      </c>
      <c r="BB30" s="446">
        <f t="shared" si="22"/>
        <v>0</v>
      </c>
      <c r="BC30" s="446">
        <f t="shared" si="22"/>
        <v>0</v>
      </c>
      <c r="BD30" s="446">
        <f t="shared" si="22"/>
        <v>0</v>
      </c>
      <c r="BE30" s="446">
        <f t="shared" si="22"/>
        <v>0</v>
      </c>
      <c r="BF30" s="447">
        <f t="shared" si="44"/>
        <v>5573679.096171773</v>
      </c>
      <c r="BH30" s="448">
        <f>'Op Cost-26'!E21</f>
        <v>28281032</v>
      </c>
      <c r="BI30" s="449">
        <f t="shared" si="23"/>
        <v>0.19708188499527787</v>
      </c>
      <c r="BJ30" s="450">
        <f t="shared" si="24"/>
        <v>5573679.096171773</v>
      </c>
      <c r="BK30" s="451">
        <f t="shared" si="25"/>
        <v>0</v>
      </c>
      <c r="BL30" s="1">
        <f t="shared" si="45"/>
        <v>1.0387195044640831</v>
      </c>
      <c r="BM30" s="112">
        <f t="shared" si="46"/>
        <v>0.93905874358745212</v>
      </c>
      <c r="BN30" s="112">
        <f t="shared" si="47"/>
        <v>1.3122677011001305</v>
      </c>
      <c r="BO30" s="113">
        <f t="shared" si="48"/>
        <v>0.95177578658437512</v>
      </c>
      <c r="BP30" s="452">
        <f t="shared" si="26"/>
        <v>5573679.096171773</v>
      </c>
      <c r="BQ30" s="115">
        <f t="shared" si="49"/>
        <v>4.8097592414728274E-2</v>
      </c>
      <c r="BR30" s="116">
        <f t="shared" si="50"/>
        <v>4.8097592414728274E-2</v>
      </c>
      <c r="BS30" s="453">
        <f t="shared" si="51"/>
        <v>5.0573224872503493E-2</v>
      </c>
      <c r="BT30" s="118">
        <f t="shared" si="52"/>
        <v>5952187.046314816</v>
      </c>
      <c r="BU30" s="119">
        <f t="shared" si="53"/>
        <v>8484309.5999999996</v>
      </c>
      <c r="BV30" s="119">
        <f t="shared" si="54"/>
        <v>5952187.046314816</v>
      </c>
      <c r="BW30" s="119">
        <f t="shared" si="65"/>
        <v>0</v>
      </c>
      <c r="BX30" s="120">
        <f t="shared" si="55"/>
        <v>4.8097592414728274E-2</v>
      </c>
      <c r="BY30" s="454">
        <f t="shared" si="56"/>
        <v>5.4459499601286467E-2</v>
      </c>
      <c r="BZ30" s="122">
        <f t="shared" si="57"/>
        <v>5967301.7986857267</v>
      </c>
      <c r="CA30" s="455">
        <f t="shared" si="27"/>
        <v>4.9510100115291479E-2</v>
      </c>
      <c r="CB30" s="456">
        <f t="shared" si="28"/>
        <v>370551.14743542281</v>
      </c>
      <c r="CC30" s="456">
        <f t="shared" si="29"/>
        <v>5944230.243607196</v>
      </c>
      <c r="CD30" s="457">
        <f t="shared" si="30"/>
        <v>0.2101843470071105</v>
      </c>
      <c r="CE30" s="458">
        <f t="shared" si="31"/>
        <v>0</v>
      </c>
      <c r="CF30" s="17"/>
      <c r="CG30" s="459">
        <f t="shared" si="32"/>
        <v>28281032</v>
      </c>
      <c r="CH30" s="460">
        <f t="shared" si="58"/>
        <v>0.2101843470071105</v>
      </c>
      <c r="CI30" s="461">
        <f t="shared" si="33"/>
        <v>5944230.243607196</v>
      </c>
      <c r="CJ30" s="462">
        <f t="shared" si="34"/>
        <v>0</v>
      </c>
      <c r="CL30" s="463">
        <f t="shared" si="35"/>
        <v>5944230.243607196</v>
      </c>
      <c r="CM30" s="464">
        <f t="shared" si="36"/>
        <v>5.1109798723972179E-2</v>
      </c>
      <c r="CN30" s="465">
        <f t="shared" si="37"/>
        <v>7791.4960193311172</v>
      </c>
      <c r="CO30" s="466">
        <f t="shared" si="59"/>
        <v>5952021.7396265268</v>
      </c>
      <c r="CP30" s="467">
        <f t="shared" si="60"/>
        <v>0.21045984954249644</v>
      </c>
      <c r="CQ30" s="468">
        <f t="shared" si="38"/>
        <v>0</v>
      </c>
      <c r="CR30" s="469"/>
      <c r="CS30" s="470">
        <f t="shared" si="39"/>
        <v>8484309.5999999996</v>
      </c>
      <c r="CT30" s="465">
        <f t="shared" si="40"/>
        <v>0</v>
      </c>
      <c r="CU30" s="471">
        <f t="shared" si="41"/>
        <v>5952021.7396265268</v>
      </c>
      <c r="CV30" s="472">
        <f t="shared" si="42"/>
        <v>0.21045984954249644</v>
      </c>
      <c r="CY30" s="473">
        <v>0</v>
      </c>
      <c r="CZ30" s="474">
        <f t="shared" si="61"/>
        <v>5952021.7396265268</v>
      </c>
      <c r="DA30" s="475">
        <f t="shared" si="62"/>
        <v>0.21045984954249644</v>
      </c>
      <c r="DB30" s="1">
        <f t="shared" si="63"/>
        <v>0</v>
      </c>
      <c r="DC30" s="293">
        <f t="shared" si="64"/>
        <v>0.21100014308833309</v>
      </c>
      <c r="DF30" s="476"/>
    </row>
    <row r="31" spans="1:110">
      <c r="A31" s="477" t="s">
        <v>104</v>
      </c>
      <c r="B31" s="428" t="s">
        <v>107</v>
      </c>
      <c r="C31" s="429"/>
      <c r="D31" s="91">
        <f>'Sizing - Reimb Exp-26'!B22</f>
        <v>35845053</v>
      </c>
      <c r="E31" s="92">
        <f>'Ridership-26'!$E22</f>
        <v>5351810</v>
      </c>
      <c r="F31" s="92">
        <f>'Revenue Hours-26'!$E22</f>
        <v>308856.31</v>
      </c>
      <c r="G31" s="92">
        <f>'Revenue Miles-26'!$E22</f>
        <v>2865159</v>
      </c>
      <c r="H31" s="478">
        <f t="shared" si="0"/>
        <v>7.3746384257605296E-2</v>
      </c>
      <c r="I31" s="431">
        <f t="shared" si="1"/>
        <v>7.3746384257605296E-2</v>
      </c>
      <c r="J31" s="432"/>
      <c r="K31" s="433">
        <f>'Ridership-26'!B22/'Revenue Hours-26'!B22</f>
        <v>7.2218469159098948</v>
      </c>
      <c r="L31" s="434">
        <f>'Ridership-26'!C22/'Revenue Hours-26'!C22</f>
        <v>11.021126607734487</v>
      </c>
      <c r="M31" s="434">
        <f>'Ridership-26'!D22/'Revenue Hours-26'!D22</f>
        <v>14.745469355165852</v>
      </c>
      <c r="N31" s="434">
        <f>'Ridership-26'!E22/'Revenue Hours-26'!E22</f>
        <v>17.327831184669662</v>
      </c>
      <c r="O31" s="435">
        <f t="shared" si="2"/>
        <v>1.1378339509151447</v>
      </c>
      <c r="P31" s="436">
        <f t="shared" si="3"/>
        <v>8.3911139765537462E-2</v>
      </c>
      <c r="Q31" s="437">
        <f t="shared" si="4"/>
        <v>8.1099558669093366E-2</v>
      </c>
      <c r="R31" s="438">
        <f>'Ridership-26'!B22/'Revenue Miles-26'!B22</f>
        <v>0.80452628182287345</v>
      </c>
      <c r="S31" s="434">
        <f>'Ridership-26'!C22/'Revenue Miles-26'!C22</f>
        <v>1.2173072182855937</v>
      </c>
      <c r="T31" s="434">
        <f>'Ridership-26'!D22/'Revenue Miles-26'!D22</f>
        <v>1.5082541507857004</v>
      </c>
      <c r="U31" s="434">
        <f>'Ridership-26'!E22/'Revenue Miles-26'!E22</f>
        <v>1.8678928464353985</v>
      </c>
      <c r="V31" s="435">
        <f t="shared" si="5"/>
        <v>1.1322299531663331</v>
      </c>
      <c r="W31" s="436">
        <f t="shared" si="6"/>
        <v>8.3497865194174847E-2</v>
      </c>
      <c r="X31" s="437">
        <f t="shared" si="7"/>
        <v>8.0812974624455497E-2</v>
      </c>
      <c r="Y31" s="438">
        <f>'Op Cost-26'!B22/'Revenue Hours-26'!B22</f>
        <v>113.69054841372804</v>
      </c>
      <c r="Z31" s="434">
        <f>'Op Cost-26'!C22/'Revenue Hours-26'!C22</f>
        <v>98.632543150219192</v>
      </c>
      <c r="AA31" s="434">
        <f>'Op Cost-26'!D22/'Revenue Hours-26'!D22</f>
        <v>103.11566062580688</v>
      </c>
      <c r="AB31" s="434">
        <f>'Op Cost-26'!E22/'Revenue Hours-26'!E22</f>
        <v>116.71198169789699</v>
      </c>
      <c r="AC31" s="435">
        <f t="shared" si="8"/>
        <v>0.96878639742207318</v>
      </c>
      <c r="AD31" s="436">
        <f t="shared" si="9"/>
        <v>7.6122439842098696E-2</v>
      </c>
      <c r="AE31" s="437">
        <f t="shared" si="10"/>
        <v>7.6257716986328494E-2</v>
      </c>
      <c r="AF31" s="438">
        <f>'Op Cost-26'!B22/'Revenue Miles-26'!B22</f>
        <v>12.665324432756394</v>
      </c>
      <c r="AG31" s="434">
        <f>'Op Cost-26'!C22/'Revenue Miles-26'!C22</f>
        <v>10.894177247756708</v>
      </c>
      <c r="AH31" s="434">
        <f>'Op Cost-26'!D22/'Revenue Miles-26'!D22</f>
        <v>10.547281975490128</v>
      </c>
      <c r="AI31" s="434">
        <f>'Op Cost-26'!E22/'Revenue Miles-26'!E22</f>
        <v>12.581232664574635</v>
      </c>
      <c r="AJ31" s="435">
        <f t="shared" si="11"/>
        <v>0.96628072093214301</v>
      </c>
      <c r="AK31" s="436">
        <f t="shared" si="12"/>
        <v>7.6319834040013038E-2</v>
      </c>
      <c r="AL31" s="437">
        <f t="shared" si="13"/>
        <v>7.6448731926248126E-2</v>
      </c>
      <c r="AM31" s="438">
        <f>'Op Cost-26'!B22/'Ridership-26'!B22</f>
        <v>15.742586313102974</v>
      </c>
      <c r="AN31" s="434">
        <f>'Op Cost-26'!C22/'Ridership-26'!C22</f>
        <v>8.9494065952386492</v>
      </c>
      <c r="AO31" s="434">
        <f>'Op Cost-26'!D22/'Ridership-26'!D22</f>
        <v>6.9930402445739626</v>
      </c>
      <c r="AP31" s="434">
        <f>'Op Cost-26'!E22/'Ridership-26'!E22</f>
        <v>6.7355216272625524</v>
      </c>
      <c r="AQ31" s="435">
        <f t="shared" si="14"/>
        <v>0.85513349272278338</v>
      </c>
      <c r="AR31" s="436">
        <f t="shared" si="15"/>
        <v>8.6239616253122667E-2</v>
      </c>
      <c r="AS31" s="440">
        <f t="shared" si="16"/>
        <v>8.6743425442768265E-2</v>
      </c>
      <c r="AT31" s="432"/>
      <c r="AU31" s="441">
        <f t="shared" si="17"/>
        <v>0</v>
      </c>
      <c r="AV31" s="442">
        <f t="shared" si="18"/>
        <v>0</v>
      </c>
      <c r="AW31" s="442">
        <f t="shared" si="19"/>
        <v>0</v>
      </c>
      <c r="AX31" s="442">
        <f t="shared" si="20"/>
        <v>0</v>
      </c>
      <c r="AY31" s="443">
        <f t="shared" si="21"/>
        <v>0</v>
      </c>
      <c r="AZ31" s="444">
        <f t="shared" si="43"/>
        <v>-1</v>
      </c>
      <c r="BA31" s="445">
        <f t="shared" si="22"/>
        <v>0</v>
      </c>
      <c r="BB31" s="446">
        <f t="shared" si="22"/>
        <v>0</v>
      </c>
      <c r="BC31" s="446">
        <f t="shared" si="22"/>
        <v>0</v>
      </c>
      <c r="BD31" s="446">
        <f t="shared" si="22"/>
        <v>0</v>
      </c>
      <c r="BE31" s="446">
        <f t="shared" si="22"/>
        <v>0</v>
      </c>
      <c r="BF31" s="447">
        <f t="shared" si="44"/>
        <v>8876824.6587543637</v>
      </c>
      <c r="BH31" s="448">
        <f>'Op Cost-26'!E22</f>
        <v>36047232</v>
      </c>
      <c r="BI31" s="449">
        <f t="shared" si="23"/>
        <v>0.24625537569027114</v>
      </c>
      <c r="BJ31" s="450">
        <f t="shared" si="24"/>
        <v>8876824.6587543637</v>
      </c>
      <c r="BK31" s="451">
        <f t="shared" si="25"/>
        <v>0</v>
      </c>
      <c r="BL31" s="1">
        <f t="shared" si="45"/>
        <v>1.775261188672892</v>
      </c>
      <c r="BM31" s="112">
        <f t="shared" si="46"/>
        <v>1.5279764913891456</v>
      </c>
      <c r="BN31" s="112">
        <f t="shared" si="47"/>
        <v>2.3223718459408937</v>
      </c>
      <c r="BO31" s="113">
        <f t="shared" si="48"/>
        <v>1.6253482086807645</v>
      </c>
      <c r="BP31" s="452">
        <f t="shared" si="26"/>
        <v>8876824.6587543637</v>
      </c>
      <c r="BQ31" s="115">
        <f t="shared" si="49"/>
        <v>0.13091909377748423</v>
      </c>
      <c r="BR31" s="116">
        <f t="shared" si="50"/>
        <v>0.13091909377748423</v>
      </c>
      <c r="BS31" s="453">
        <f t="shared" si="51"/>
        <v>0.13765763393357758</v>
      </c>
      <c r="BT31" s="118">
        <f t="shared" si="52"/>
        <v>9907103.2097682022</v>
      </c>
      <c r="BU31" s="119">
        <f t="shared" si="53"/>
        <v>10814169.6</v>
      </c>
      <c r="BV31" s="119">
        <f t="shared" si="54"/>
        <v>9907103.2097682022</v>
      </c>
      <c r="BW31" s="119">
        <f t="shared" si="65"/>
        <v>0</v>
      </c>
      <c r="BX31" s="120">
        <f t="shared" si="55"/>
        <v>0.13091909377748423</v>
      </c>
      <c r="BY31" s="454">
        <f t="shared" si="56"/>
        <v>0.14823586748164197</v>
      </c>
      <c r="BZ31" s="122">
        <f t="shared" si="57"/>
        <v>9948244.763507694</v>
      </c>
      <c r="CA31" s="455">
        <f t="shared" si="27"/>
        <v>7.8851413936384993E-2</v>
      </c>
      <c r="CB31" s="456">
        <f t="shared" si="28"/>
        <v>590151.94562308409</v>
      </c>
      <c r="CC31" s="456">
        <f t="shared" si="29"/>
        <v>9466976.6043774486</v>
      </c>
      <c r="CD31" s="457">
        <f t="shared" si="30"/>
        <v>0.26262700571232345</v>
      </c>
      <c r="CE31" s="458">
        <f t="shared" si="31"/>
        <v>0</v>
      </c>
      <c r="CF31" s="17"/>
      <c r="CG31" s="459">
        <f t="shared" si="32"/>
        <v>36047232</v>
      </c>
      <c r="CH31" s="460">
        <f t="shared" si="58"/>
        <v>0.26262700571232345</v>
      </c>
      <c r="CI31" s="461">
        <f t="shared" si="33"/>
        <v>9466976.6043774486</v>
      </c>
      <c r="CJ31" s="462">
        <f t="shared" si="34"/>
        <v>0</v>
      </c>
      <c r="CL31" s="463">
        <f t="shared" si="35"/>
        <v>9466976.6043774486</v>
      </c>
      <c r="CM31" s="464">
        <f t="shared" si="36"/>
        <v>8.139914655806843E-2</v>
      </c>
      <c r="CN31" s="465">
        <f t="shared" si="37"/>
        <v>12408.992839305974</v>
      </c>
      <c r="CO31" s="466">
        <f t="shared" si="59"/>
        <v>9479385.5972167552</v>
      </c>
      <c r="CP31" s="467">
        <f t="shared" si="60"/>
        <v>0.26297124831156954</v>
      </c>
      <c r="CQ31" s="468">
        <f t="shared" si="38"/>
        <v>0</v>
      </c>
      <c r="CR31" s="469"/>
      <c r="CS31" s="470">
        <f t="shared" si="39"/>
        <v>10814169.6</v>
      </c>
      <c r="CT31" s="465">
        <f t="shared" si="40"/>
        <v>0</v>
      </c>
      <c r="CU31" s="471">
        <f t="shared" si="41"/>
        <v>9479385.5972167552</v>
      </c>
      <c r="CV31" s="472">
        <f t="shared" si="42"/>
        <v>0.26297124831156954</v>
      </c>
      <c r="CY31" s="473">
        <v>170685.8</v>
      </c>
      <c r="CZ31" s="474">
        <f t="shared" si="61"/>
        <v>9650071.3972167559</v>
      </c>
      <c r="DA31" s="475">
        <f t="shared" si="62"/>
        <v>0.26770630813530305</v>
      </c>
      <c r="DB31" s="1">
        <f t="shared" si="63"/>
        <v>0</v>
      </c>
      <c r="DC31" s="293">
        <f t="shared" si="64"/>
        <v>0.27597804911921375</v>
      </c>
      <c r="DF31" s="476"/>
    </row>
    <row r="32" spans="1:110">
      <c r="A32" s="477" t="s">
        <v>104</v>
      </c>
      <c r="B32" s="428" t="s">
        <v>108</v>
      </c>
      <c r="C32" s="429"/>
      <c r="D32" s="91">
        <f>'Sizing - Reimb Exp-26'!B23</f>
        <v>5453602</v>
      </c>
      <c r="E32" s="92">
        <f>'Ridership-26'!$E23</f>
        <v>1002134</v>
      </c>
      <c r="F32" s="92">
        <f>'Revenue Hours-26'!$E23</f>
        <v>34526</v>
      </c>
      <c r="G32" s="92">
        <f>'Revenue Miles-26'!$E23</f>
        <v>434414</v>
      </c>
      <c r="H32" s="478">
        <f t="shared" si="0"/>
        <v>1.205585887728073E-2</v>
      </c>
      <c r="I32" s="431">
        <f t="shared" si="1"/>
        <v>1.205585887728073E-2</v>
      </c>
      <c r="J32" s="432"/>
      <c r="K32" s="433">
        <f>'Ridership-26'!B23/'Revenue Hours-26'!B23</f>
        <v>9.5356184364060681</v>
      </c>
      <c r="L32" s="434">
        <f>'Ridership-26'!C23/'Revenue Hours-26'!C23</f>
        <v>13.465131541402728</v>
      </c>
      <c r="M32" s="434">
        <f>'Ridership-26'!D23/'Revenue Hours-26'!D23</f>
        <v>24.467665569605636</v>
      </c>
      <c r="N32" s="434">
        <f>'Ridership-26'!E23/'Revenue Hours-26'!E23</f>
        <v>29.025488038000347</v>
      </c>
      <c r="O32" s="435">
        <f t="shared" si="2"/>
        <v>1.2460987517963511</v>
      </c>
      <c r="P32" s="436">
        <f t="shared" si="3"/>
        <v>1.5022790698812476E-2</v>
      </c>
      <c r="Q32" s="437">
        <f t="shared" si="4"/>
        <v>1.451942732581293E-2</v>
      </c>
      <c r="R32" s="438">
        <f>'Ridership-26'!B23/'Revenue Miles-26'!B23</f>
        <v>0.74451206457520036</v>
      </c>
      <c r="S32" s="434">
        <f>'Ridership-26'!C23/'Revenue Miles-26'!C23</f>
        <v>1.0865963144527517</v>
      </c>
      <c r="T32" s="434">
        <f>'Ridership-26'!D23/'Revenue Miles-26'!D23</f>
        <v>1.9292701193514095</v>
      </c>
      <c r="U32" s="434">
        <f>'Ridership-26'!E23/'Revenue Miles-26'!E23</f>
        <v>2.3068639592646645</v>
      </c>
      <c r="V32" s="435">
        <f t="shared" si="5"/>
        <v>1.2548259859674822</v>
      </c>
      <c r="W32" s="436">
        <f t="shared" si="6"/>
        <v>1.5128005002368614E-2</v>
      </c>
      <c r="X32" s="437">
        <f t="shared" si="7"/>
        <v>1.4641560973230007E-2</v>
      </c>
      <c r="Y32" s="438">
        <f>'Op Cost-26'!B23/'Revenue Hours-26'!B23</f>
        <v>133.20037922987166</v>
      </c>
      <c r="Z32" s="434">
        <f>'Op Cost-26'!C23/'Revenue Hours-26'!C23</f>
        <v>152.54685270786965</v>
      </c>
      <c r="AA32" s="434">
        <f>'Op Cost-26'!D23/'Revenue Hours-26'!D23</f>
        <v>153.82888734915412</v>
      </c>
      <c r="AB32" s="434">
        <f>'Op Cost-26'!E23/'Revenue Hours-26'!E23</f>
        <v>157.95638069860394</v>
      </c>
      <c r="AC32" s="435">
        <f t="shared" si="8"/>
        <v>1.0154239429893224</v>
      </c>
      <c r="AD32" s="436">
        <f t="shared" si="9"/>
        <v>1.1872734497267515E-2</v>
      </c>
      <c r="AE32" s="437">
        <f t="shared" si="10"/>
        <v>1.1893833526940244E-2</v>
      </c>
      <c r="AF32" s="438">
        <f>'Op Cost-26'!B23/'Revenue Miles-26'!B23</f>
        <v>10.399880196968939</v>
      </c>
      <c r="AG32" s="434">
        <f>'Op Cost-26'!C23/'Revenue Miles-26'!C23</f>
        <v>12.310080107577638</v>
      </c>
      <c r="AH32" s="434">
        <f>'Op Cost-26'!D23/'Revenue Miles-26'!D23</f>
        <v>12.129374378259513</v>
      </c>
      <c r="AI32" s="434">
        <f>'Op Cost-26'!E23/'Revenue Miles-26'!E23</f>
        <v>12.553927820005802</v>
      </c>
      <c r="AJ32" s="435">
        <f t="shared" si="11"/>
        <v>1.0297394729691056</v>
      </c>
      <c r="AK32" s="436">
        <f t="shared" si="12"/>
        <v>1.17076786835406E-2</v>
      </c>
      <c r="AL32" s="437">
        <f t="shared" si="13"/>
        <v>1.1727451984334687E-2</v>
      </c>
      <c r="AM32" s="438">
        <f>'Op Cost-26'!B23/'Ridership-26'!B23</f>
        <v>13.968719503427852</v>
      </c>
      <c r="AN32" s="434">
        <f>'Op Cost-26'!C23/'Ridership-26'!C23</f>
        <v>11.329028033541075</v>
      </c>
      <c r="AO32" s="434">
        <f>'Op Cost-26'!D23/'Ridership-26'!D23</f>
        <v>6.2870275430053413</v>
      </c>
      <c r="AP32" s="434">
        <f>'Op Cost-26'!E23/'Ridership-26'!E23</f>
        <v>5.4419887959095288</v>
      </c>
      <c r="AQ32" s="439">
        <f t="shared" si="14"/>
        <v>0.84226751674459921</v>
      </c>
      <c r="AR32" s="436">
        <f t="shared" si="15"/>
        <v>1.4313574532563184E-2</v>
      </c>
      <c r="AS32" s="440">
        <f t="shared" si="16"/>
        <v>1.4397193995398181E-2</v>
      </c>
      <c r="AT32" s="432"/>
      <c r="AU32" s="441">
        <f t="shared" si="17"/>
        <v>0</v>
      </c>
      <c r="AV32" s="442">
        <f t="shared" si="18"/>
        <v>0</v>
      </c>
      <c r="AW32" s="442">
        <f t="shared" si="19"/>
        <v>0</v>
      </c>
      <c r="AX32" s="442">
        <f t="shared" si="20"/>
        <v>0</v>
      </c>
      <c r="AY32" s="443">
        <f t="shared" si="21"/>
        <v>0</v>
      </c>
      <c r="AZ32" s="444">
        <f t="shared" si="43"/>
        <v>-1</v>
      </c>
      <c r="BA32" s="445">
        <f t="shared" si="22"/>
        <v>0</v>
      </c>
      <c r="BB32" s="446">
        <f t="shared" si="22"/>
        <v>0</v>
      </c>
      <c r="BC32" s="446">
        <f t="shared" si="22"/>
        <v>0</v>
      </c>
      <c r="BD32" s="446">
        <f t="shared" si="22"/>
        <v>0</v>
      </c>
      <c r="BE32" s="446">
        <f t="shared" si="22"/>
        <v>0</v>
      </c>
      <c r="BF32" s="447">
        <f t="shared" si="44"/>
        <v>1451159.2187419247</v>
      </c>
      <c r="BH32" s="448">
        <f>'Op Cost-26'!E23</f>
        <v>5453602</v>
      </c>
      <c r="BI32" s="449">
        <f t="shared" si="23"/>
        <v>0.26609188179517401</v>
      </c>
      <c r="BJ32" s="450">
        <f t="shared" si="24"/>
        <v>1451159.2187419247</v>
      </c>
      <c r="BK32" s="451">
        <f t="shared" si="25"/>
        <v>0</v>
      </c>
      <c r="BL32" s="1">
        <f t="shared" si="45"/>
        <v>2.362750319048402</v>
      </c>
      <c r="BM32" s="112">
        <f t="shared" si="46"/>
        <v>2.5594815012047842</v>
      </c>
      <c r="BN32" s="112">
        <f t="shared" si="47"/>
        <v>2.8681494881442515</v>
      </c>
      <c r="BO32" s="113">
        <f t="shared" si="48"/>
        <v>2.0116851434222869</v>
      </c>
      <c r="BP32" s="452">
        <f t="shared" si="26"/>
        <v>1451159.2187419247</v>
      </c>
      <c r="BQ32" s="115">
        <f t="shared" si="49"/>
        <v>2.8484984408697553E-2</v>
      </c>
      <c r="BR32" s="116">
        <f t="shared" si="50"/>
        <v>2.8484984408697553E-2</v>
      </c>
      <c r="BS32" s="453">
        <f t="shared" si="51"/>
        <v>2.9951135798424885E-2</v>
      </c>
      <c r="BT32" s="118">
        <f t="shared" si="52"/>
        <v>1675324.1408740999</v>
      </c>
      <c r="BU32" s="119">
        <f t="shared" si="53"/>
        <v>1636080.5999999999</v>
      </c>
      <c r="BV32" s="119">
        <f t="shared" si="54"/>
        <v>1636080.5999999999</v>
      </c>
      <c r="BW32" s="119">
        <f t="shared" si="65"/>
        <v>39243.540874100057</v>
      </c>
      <c r="BX32" s="120">
        <f t="shared" si="55"/>
        <v>0</v>
      </c>
      <c r="BY32" s="454">
        <f t="shared" si="56"/>
        <v>0</v>
      </c>
      <c r="BZ32" s="122">
        <f t="shared" si="57"/>
        <v>1636080.5999999999</v>
      </c>
      <c r="CA32" s="455">
        <f t="shared" si="27"/>
        <v>1.2890415282876313E-2</v>
      </c>
      <c r="CB32" s="456">
        <f t="shared" si="28"/>
        <v>96476.439410666033</v>
      </c>
      <c r="CC32" s="456">
        <f t="shared" si="29"/>
        <v>1547635.6581525907</v>
      </c>
      <c r="CD32" s="457">
        <f t="shared" si="30"/>
        <v>0.28378228887120671</v>
      </c>
      <c r="CE32" s="458">
        <f t="shared" si="31"/>
        <v>0</v>
      </c>
      <c r="CF32" s="17"/>
      <c r="CG32" s="459">
        <f t="shared" si="32"/>
        <v>5453602</v>
      </c>
      <c r="CH32" s="460">
        <f t="shared" si="58"/>
        <v>0.28378228887120671</v>
      </c>
      <c r="CI32" s="461">
        <f t="shared" si="33"/>
        <v>1547635.6581525907</v>
      </c>
      <c r="CJ32" s="462">
        <f t="shared" si="34"/>
        <v>0</v>
      </c>
      <c r="CL32" s="463">
        <f t="shared" si="35"/>
        <v>1547635.6581525907</v>
      </c>
      <c r="CM32" s="464">
        <f t="shared" si="36"/>
        <v>1.3306911701694193E-2</v>
      </c>
      <c r="CN32" s="465">
        <f t="shared" si="37"/>
        <v>2028.5884926545657</v>
      </c>
      <c r="CO32" s="466">
        <f t="shared" si="59"/>
        <v>1549664.2466452452</v>
      </c>
      <c r="CP32" s="467">
        <f t="shared" si="60"/>
        <v>0.28415426110032327</v>
      </c>
      <c r="CQ32" s="468">
        <f t="shared" si="38"/>
        <v>0</v>
      </c>
      <c r="CR32" s="469"/>
      <c r="CS32" s="470">
        <f t="shared" si="39"/>
        <v>1636080.5999999999</v>
      </c>
      <c r="CT32" s="465">
        <f t="shared" si="40"/>
        <v>0</v>
      </c>
      <c r="CU32" s="471">
        <f t="shared" si="41"/>
        <v>1549664.2466452452</v>
      </c>
      <c r="CV32" s="472">
        <f t="shared" si="42"/>
        <v>0.28415426110032327</v>
      </c>
      <c r="CY32" s="473">
        <v>0</v>
      </c>
      <c r="CZ32" s="474">
        <f t="shared" si="61"/>
        <v>1549664.2466452452</v>
      </c>
      <c r="DA32" s="475">
        <f t="shared" si="62"/>
        <v>0.28415426110032327</v>
      </c>
      <c r="DB32" s="1">
        <f t="shared" si="63"/>
        <v>0</v>
      </c>
      <c r="DC32" s="293">
        <f t="shared" si="64"/>
        <v>0.3</v>
      </c>
      <c r="DF32" s="476"/>
    </row>
    <row r="33" spans="1:110">
      <c r="A33" s="477" t="s">
        <v>104</v>
      </c>
      <c r="B33" s="428" t="s">
        <v>109</v>
      </c>
      <c r="C33" s="429"/>
      <c r="D33" s="91">
        <f>'Sizing - Reimb Exp-26'!B24</f>
        <v>110780790</v>
      </c>
      <c r="E33" s="92">
        <f>'Ridership-26'!$E24</f>
        <v>8721363</v>
      </c>
      <c r="F33" s="92">
        <f>'Revenue Hours-26'!$E24</f>
        <v>819202.73699999996</v>
      </c>
      <c r="G33" s="92">
        <f>'Revenue Miles-26'!$E24</f>
        <v>10820543.213</v>
      </c>
      <c r="H33" s="478">
        <f t="shared" si="0"/>
        <v>0.1765071142056665</v>
      </c>
      <c r="I33" s="431">
        <f t="shared" si="1"/>
        <v>0.1765071142056665</v>
      </c>
      <c r="J33" s="444">
        <v>-2.2508632429540751E-2</v>
      </c>
      <c r="K33" s="433">
        <f>'Ridership-26'!B24/'Revenue Hours-26'!B24</f>
        <v>5.8735316212753474</v>
      </c>
      <c r="L33" s="434">
        <f>'Ridership-26'!C24/'Revenue Hours-26'!C24</f>
        <v>6.1587343955565519</v>
      </c>
      <c r="M33" s="434">
        <f>'Ridership-26'!D24/'Revenue Hours-26'!D24</f>
        <v>9.8555669967058908</v>
      </c>
      <c r="N33" s="434">
        <f>'Ridership-26'!E24/'Revenue Hours-26'!E24</f>
        <v>10.646159498854312</v>
      </c>
      <c r="O33" s="435">
        <f t="shared" si="2"/>
        <v>1.0577335192633481</v>
      </c>
      <c r="P33" s="436">
        <f t="shared" si="3"/>
        <v>0.18669749108377734</v>
      </c>
      <c r="Q33" s="437">
        <f t="shared" si="4"/>
        <v>0.18044188380503706</v>
      </c>
      <c r="R33" s="438">
        <f>'Ridership-26'!B24/'Revenue Miles-26'!B24</f>
        <v>0.454872375587629</v>
      </c>
      <c r="S33" s="434">
        <f>'Ridership-26'!C24/'Revenue Miles-26'!C24</f>
        <v>0.47446458788106716</v>
      </c>
      <c r="T33" s="434">
        <f>'Ridership-26'!D24/'Revenue Miles-26'!D24</f>
        <v>0.7557807792342961</v>
      </c>
      <c r="U33" s="434">
        <f>'Ridership-26'!E24/'Revenue Miles-26'!E24</f>
        <v>0.80600047782462481</v>
      </c>
      <c r="V33" s="435">
        <f t="shared" si="5"/>
        <v>1.0532283509620195</v>
      </c>
      <c r="W33" s="436">
        <f t="shared" si="6"/>
        <v>0.18590229682789897</v>
      </c>
      <c r="X33" s="437">
        <f t="shared" si="7"/>
        <v>0.17992457125992581</v>
      </c>
      <c r="Y33" s="438">
        <f>'Op Cost-26'!B24/'Revenue Hours-26'!B24</f>
        <v>123.96447205256577</v>
      </c>
      <c r="Z33" s="434">
        <f>'Op Cost-26'!C24/'Revenue Hours-26'!C24</f>
        <v>123.17011468072208</v>
      </c>
      <c r="AA33" s="434">
        <f>'Op Cost-26'!D24/'Revenue Hours-26'!D24</f>
        <v>127.77476943594867</v>
      </c>
      <c r="AB33" s="434">
        <f>'Op Cost-26'!E24/'Revenue Hours-26'!E24</f>
        <v>135.70313913636252</v>
      </c>
      <c r="AC33" s="435">
        <f t="shared" si="8"/>
        <v>0.9854985928540646</v>
      </c>
      <c r="AD33" s="436">
        <f t="shared" si="9"/>
        <v>0.1791043797378655</v>
      </c>
      <c r="AE33" s="437">
        <f t="shared" si="10"/>
        <v>0.17942266602848159</v>
      </c>
      <c r="AF33" s="438">
        <f>'Op Cost-26'!B24/'Revenue Miles-26'!B24</f>
        <v>9.6003592943580749</v>
      </c>
      <c r="AG33" s="434">
        <f>'Op Cost-26'!C24/'Revenue Miles-26'!C24</f>
        <v>9.4889394391510358</v>
      </c>
      <c r="AH33" s="434">
        <f>'Op Cost-26'!D24/'Revenue Miles-26'!D24</f>
        <v>9.7984940737616739</v>
      </c>
      <c r="AI33" s="434">
        <f>'Op Cost-26'!E24/'Revenue Miles-26'!E24</f>
        <v>10.273826443984833</v>
      </c>
      <c r="AJ33" s="435">
        <f t="shared" si="11"/>
        <v>0.98269843075003915</v>
      </c>
      <c r="AK33" s="436">
        <f t="shared" si="12"/>
        <v>0.17961473091083335</v>
      </c>
      <c r="AL33" s="437">
        <f t="shared" si="13"/>
        <v>0.17991808533294795</v>
      </c>
      <c r="AM33" s="438">
        <f>'Op Cost-26'!B24/'Ridership-26'!B24</f>
        <v>21.10561073742015</v>
      </c>
      <c r="AN33" s="434">
        <f>'Op Cost-26'!C24/'Ridership-26'!C24</f>
        <v>19.999257439903197</v>
      </c>
      <c r="AO33" s="434">
        <f>'Op Cost-26'!D24/'Ridership-26'!D24</f>
        <v>12.964730439015423</v>
      </c>
      <c r="AP33" s="434">
        <f>'Op Cost-26'!E24/'Ridership-26'!E24</f>
        <v>12.746675376314458</v>
      </c>
      <c r="AQ33" s="435">
        <f t="shared" si="14"/>
        <v>0.97433760769024191</v>
      </c>
      <c r="AR33" s="436">
        <f t="shared" si="15"/>
        <v>0.18115601082472127</v>
      </c>
      <c r="AS33" s="440">
        <f t="shared" si="16"/>
        <v>0.18221431867647644</v>
      </c>
      <c r="AT33" s="432"/>
      <c r="AU33" s="441">
        <f t="shared" si="17"/>
        <v>0</v>
      </c>
      <c r="AV33" s="442">
        <f t="shared" si="18"/>
        <v>0</v>
      </c>
      <c r="AW33" s="442">
        <f t="shared" si="19"/>
        <v>0</v>
      </c>
      <c r="AX33" s="442">
        <f t="shared" si="20"/>
        <v>0</v>
      </c>
      <c r="AY33" s="443">
        <f t="shared" si="21"/>
        <v>0</v>
      </c>
      <c r="AZ33" s="444">
        <f t="shared" si="43"/>
        <v>-1</v>
      </c>
      <c r="BA33" s="445">
        <f t="shared" si="22"/>
        <v>0</v>
      </c>
      <c r="BB33" s="446">
        <f t="shared" si="22"/>
        <v>0</v>
      </c>
      <c r="BC33" s="446">
        <f t="shared" si="22"/>
        <v>0</v>
      </c>
      <c r="BD33" s="446">
        <f t="shared" si="22"/>
        <v>0</v>
      </c>
      <c r="BE33" s="446">
        <f t="shared" si="22"/>
        <v>0</v>
      </c>
      <c r="BF33" s="447">
        <f t="shared" si="44"/>
        <v>21246095.243847162</v>
      </c>
      <c r="BH33" s="448">
        <f>'Op Cost-26'!E24</f>
        <v>111168383</v>
      </c>
      <c r="BI33" s="449">
        <f t="shared" si="23"/>
        <v>0.19111634684699122</v>
      </c>
      <c r="BJ33" s="450">
        <f t="shared" si="24"/>
        <v>21246095.243847162</v>
      </c>
      <c r="BK33" s="451">
        <f t="shared" si="25"/>
        <v>0</v>
      </c>
      <c r="BL33" s="1">
        <f t="shared" si="45"/>
        <v>0.91465156320626262</v>
      </c>
      <c r="BM33" s="112">
        <f t="shared" si="46"/>
        <v>0.93878346715545702</v>
      </c>
      <c r="BN33" s="112">
        <f t="shared" si="47"/>
        <v>1.0021093132226169</v>
      </c>
      <c r="BO33" s="113">
        <f t="shared" si="48"/>
        <v>0.85885673622348813</v>
      </c>
      <c r="BP33" s="452">
        <f t="shared" si="26"/>
        <v>21246095.243847162</v>
      </c>
      <c r="BQ33" s="115">
        <f t="shared" si="49"/>
        <v>0.1614425079252392</v>
      </c>
      <c r="BR33" s="116">
        <f t="shared" si="50"/>
        <v>0.1614425079252392</v>
      </c>
      <c r="BS33" s="453">
        <f t="shared" si="51"/>
        <v>0.16975211954234726</v>
      </c>
      <c r="BT33" s="118">
        <f t="shared" si="52"/>
        <v>22516580.307087503</v>
      </c>
      <c r="BU33" s="119">
        <f t="shared" si="53"/>
        <v>33350514.899999999</v>
      </c>
      <c r="BV33" s="119">
        <f t="shared" si="54"/>
        <v>22516580.307087503</v>
      </c>
      <c r="BW33" s="119">
        <f t="shared" si="65"/>
        <v>0</v>
      </c>
      <c r="BX33" s="120">
        <f t="shared" si="55"/>
        <v>0.1614425079252392</v>
      </c>
      <c r="BY33" s="454">
        <f t="shared" si="56"/>
        <v>0.18279663813885563</v>
      </c>
      <c r="BZ33" s="122">
        <f t="shared" si="57"/>
        <v>22567313.897001695</v>
      </c>
      <c r="CA33" s="455">
        <f t="shared" si="27"/>
        <v>0.18872566655378056</v>
      </c>
      <c r="CB33" s="456">
        <f t="shared" si="28"/>
        <v>1412489.8178183914</v>
      </c>
      <c r="CC33" s="456">
        <f t="shared" si="29"/>
        <v>22658585.061665554</v>
      </c>
      <c r="CD33" s="457">
        <f t="shared" si="30"/>
        <v>0.20382220601036855</v>
      </c>
      <c r="CE33" s="458">
        <f t="shared" si="31"/>
        <v>0</v>
      </c>
      <c r="CF33" s="17"/>
      <c r="CG33" s="459">
        <f t="shared" si="32"/>
        <v>111168383</v>
      </c>
      <c r="CH33" s="460">
        <f t="shared" si="58"/>
        <v>0.20382220601036855</v>
      </c>
      <c r="CI33" s="461">
        <f t="shared" si="33"/>
        <v>22658585.061665554</v>
      </c>
      <c r="CJ33" s="462">
        <f t="shared" si="34"/>
        <v>0</v>
      </c>
      <c r="CL33" s="463">
        <f t="shared" si="35"/>
        <v>22658585.061665554</v>
      </c>
      <c r="CM33" s="464">
        <f t="shared" si="36"/>
        <v>0.1948234968046868</v>
      </c>
      <c r="CN33" s="465">
        <f t="shared" si="37"/>
        <v>29700.107175611112</v>
      </c>
      <c r="CO33" s="466">
        <f t="shared" si="59"/>
        <v>22688285.168841165</v>
      </c>
      <c r="CP33" s="467">
        <f t="shared" si="60"/>
        <v>0.20408936926645019</v>
      </c>
      <c r="CQ33" s="468">
        <f t="shared" si="38"/>
        <v>0</v>
      </c>
      <c r="CR33" s="469"/>
      <c r="CS33" s="470">
        <f t="shared" si="39"/>
        <v>33350514.899999999</v>
      </c>
      <c r="CT33" s="465">
        <f t="shared" si="40"/>
        <v>0</v>
      </c>
      <c r="CU33" s="471">
        <f t="shared" si="41"/>
        <v>22688285.168841165</v>
      </c>
      <c r="CV33" s="472">
        <f t="shared" si="42"/>
        <v>0.20408936926645019</v>
      </c>
      <c r="CY33" s="473">
        <v>0</v>
      </c>
      <c r="CZ33" s="474">
        <f t="shared" si="61"/>
        <v>22688285.168841165</v>
      </c>
      <c r="DA33" s="475">
        <f t="shared" si="62"/>
        <v>0.20408936926645019</v>
      </c>
      <c r="DB33" s="1">
        <f t="shared" si="63"/>
        <v>0</v>
      </c>
      <c r="DC33" s="293">
        <f t="shared" si="64"/>
        <v>0.20300118871929346</v>
      </c>
      <c r="DF33" s="476"/>
    </row>
    <row r="34" spans="1:110">
      <c r="A34" s="477" t="s">
        <v>104</v>
      </c>
      <c r="B34" s="428" t="s">
        <v>111</v>
      </c>
      <c r="C34" s="429"/>
      <c r="D34" s="91">
        <f>'Sizing - Reimb Exp-26'!B25</f>
        <v>43121644</v>
      </c>
      <c r="E34" s="92">
        <f>'Ridership-26'!$E25</f>
        <v>1972474</v>
      </c>
      <c r="F34" s="92">
        <f>'Revenue Hours-26'!$E25</f>
        <v>236658.2</v>
      </c>
      <c r="G34" s="92">
        <f>'Revenue Miles-26'!$E25</f>
        <v>5670767.6500000004</v>
      </c>
      <c r="H34" s="478">
        <f t="shared" si="0"/>
        <v>6.00105744931968E-2</v>
      </c>
      <c r="I34" s="431">
        <f t="shared" si="1"/>
        <v>6.00105744931968E-2</v>
      </c>
      <c r="J34" s="444">
        <v>-4.2972192458909132E-2</v>
      </c>
      <c r="K34" s="433">
        <f>'Ridership-26'!B25/'Revenue Hours-26'!B25</f>
        <v>3.1822121529637459</v>
      </c>
      <c r="L34" s="434">
        <f>'Ridership-26'!C25/'Revenue Hours-26'!C25</f>
        <v>5.5899358680714615</v>
      </c>
      <c r="M34" s="434">
        <f>'Ridership-26'!D25/'Revenue Hours-26'!D25</f>
        <v>7.9037213878664074</v>
      </c>
      <c r="N34" s="434">
        <f>'Ridership-26'!E25/'Revenue Hours-26'!E25</f>
        <v>8.3346953538901243</v>
      </c>
      <c r="O34" s="435">
        <f t="shared" si="2"/>
        <v>1.1815671689829572</v>
      </c>
      <c r="P34" s="436">
        <f t="shared" si="3"/>
        <v>7.0906524612967411E-2</v>
      </c>
      <c r="Q34" s="437">
        <f t="shared" si="4"/>
        <v>6.8530684590135962E-2</v>
      </c>
      <c r="R34" s="438">
        <f>'Ridership-26'!B25/'Revenue Miles-26'!B25</f>
        <v>0.14309026388335411</v>
      </c>
      <c r="S34" s="434">
        <f>'Ridership-26'!C25/'Revenue Miles-26'!C25</f>
        <v>0.23474655175730527</v>
      </c>
      <c r="T34" s="434">
        <f>'Ridership-26'!D25/'Revenue Miles-26'!D25</f>
        <v>0.3221618701088883</v>
      </c>
      <c r="U34" s="434">
        <f>'Ridership-26'!E25/'Revenue Miles-26'!E25</f>
        <v>0.34783192007523001</v>
      </c>
      <c r="V34" s="435">
        <f t="shared" si="5"/>
        <v>1.1540245701714695</v>
      </c>
      <c r="W34" s="436">
        <f t="shared" si="6"/>
        <v>6.9253677435254388E-2</v>
      </c>
      <c r="X34" s="437">
        <f t="shared" si="7"/>
        <v>6.7026811574290163E-2</v>
      </c>
      <c r="Y34" s="438">
        <f>'Op Cost-26'!B25/'Revenue Hours-26'!B25</f>
        <v>162.67460550900779</v>
      </c>
      <c r="Z34" s="434">
        <f>'Op Cost-26'!C25/'Revenue Hours-26'!C25</f>
        <v>182.03086120018324</v>
      </c>
      <c r="AA34" s="434">
        <f>'Op Cost-26'!D25/'Revenue Hours-26'!D25</f>
        <v>228.02756454118199</v>
      </c>
      <c r="AB34" s="434">
        <f>'Op Cost-26'!E25/'Revenue Hours-26'!E25</f>
        <v>209.00700250403324</v>
      </c>
      <c r="AC34" s="435">
        <f t="shared" si="8"/>
        <v>1.045677971525393</v>
      </c>
      <c r="AD34" s="436">
        <f t="shared" si="9"/>
        <v>5.7389154335589367E-2</v>
      </c>
      <c r="AE34" s="437">
        <f t="shared" si="10"/>
        <v>5.74911405688786E-2</v>
      </c>
      <c r="AF34" s="438">
        <f>'Op Cost-26'!B25/'Revenue Miles-26'!B25</f>
        <v>7.31477070368339</v>
      </c>
      <c r="AG34" s="434">
        <f>'Op Cost-26'!C25/'Revenue Miles-26'!C25</f>
        <v>7.6442946732585657</v>
      </c>
      <c r="AH34" s="434">
        <f>'Op Cost-26'!D25/'Revenue Miles-26'!D25</f>
        <v>9.2945820106638735</v>
      </c>
      <c r="AI34" s="434">
        <f>'Op Cost-26'!E25/'Revenue Miles-26'!E25</f>
        <v>8.722491213336875</v>
      </c>
      <c r="AJ34" s="435">
        <f t="shared" si="11"/>
        <v>1.0220822440114024</v>
      </c>
      <c r="AK34" s="436">
        <f t="shared" si="12"/>
        <v>5.871403680556192E-2</v>
      </c>
      <c r="AL34" s="437">
        <f t="shared" si="13"/>
        <v>5.8813199956684582E-2</v>
      </c>
      <c r="AM34" s="438">
        <f>'Op Cost-26'!B25/'Ridership-26'!B25</f>
        <v>51.119974938660576</v>
      </c>
      <c r="AN34" s="434">
        <f>'Op Cost-26'!C25/'Ridership-26'!C25</f>
        <v>32.564033916722593</v>
      </c>
      <c r="AO34" s="434">
        <f>'Op Cost-26'!D25/'Ridership-26'!D25</f>
        <v>28.850658234391222</v>
      </c>
      <c r="AP34" s="434">
        <f>'Op Cost-26'!E25/'Ridership-26'!E25</f>
        <v>25.07674169596152</v>
      </c>
      <c r="AQ34" s="435">
        <f t="shared" si="14"/>
        <v>0.88959546780913978</v>
      </c>
      <c r="AR34" s="436">
        <f t="shared" si="15"/>
        <v>6.745827363642988E-2</v>
      </c>
      <c r="AS34" s="440">
        <f t="shared" si="16"/>
        <v>6.7852362799302637E-2</v>
      </c>
      <c r="AT34" s="432"/>
      <c r="AU34" s="441">
        <f t="shared" si="17"/>
        <v>0</v>
      </c>
      <c r="AV34" s="442">
        <f t="shared" si="18"/>
        <v>0</v>
      </c>
      <c r="AW34" s="442">
        <f t="shared" si="19"/>
        <v>0</v>
      </c>
      <c r="AX34" s="442">
        <f t="shared" si="20"/>
        <v>0</v>
      </c>
      <c r="AY34" s="443">
        <f t="shared" si="21"/>
        <v>0</v>
      </c>
      <c r="AZ34" s="444">
        <f t="shared" si="43"/>
        <v>-1</v>
      </c>
      <c r="BA34" s="445">
        <f t="shared" si="22"/>
        <v>0</v>
      </c>
      <c r="BB34" s="446">
        <f t="shared" si="22"/>
        <v>0</v>
      </c>
      <c r="BC34" s="446">
        <f t="shared" si="22"/>
        <v>0</v>
      </c>
      <c r="BD34" s="446">
        <f t="shared" si="22"/>
        <v>0</v>
      </c>
      <c r="BE34" s="446">
        <f t="shared" si="22"/>
        <v>0</v>
      </c>
      <c r="BF34" s="447">
        <f t="shared" si="44"/>
        <v>7223450.3807864795</v>
      </c>
      <c r="BH34" s="448">
        <f>'Op Cost-26'!E25</f>
        <v>49463221</v>
      </c>
      <c r="BI34" s="449">
        <f t="shared" si="23"/>
        <v>0.14603679733647915</v>
      </c>
      <c r="BJ34" s="450">
        <f t="shared" si="24"/>
        <v>7223450.3807864795</v>
      </c>
      <c r="BK34" s="451">
        <f t="shared" si="25"/>
        <v>0</v>
      </c>
      <c r="BL34" s="1">
        <f t="shared" si="45"/>
        <v>0.51013648960675606</v>
      </c>
      <c r="BM34" s="112">
        <f t="shared" si="46"/>
        <v>0.7349574466596599</v>
      </c>
      <c r="BN34" s="112">
        <f t="shared" si="47"/>
        <v>0.43246327531251938</v>
      </c>
      <c r="BO34" s="113">
        <f t="shared" si="48"/>
        <v>0.43656261822742254</v>
      </c>
      <c r="BP34" s="452">
        <f t="shared" si="26"/>
        <v>7223450.3807864795</v>
      </c>
      <c r="BQ34" s="115">
        <f t="shared" si="49"/>
        <v>3.0613583811244148E-2</v>
      </c>
      <c r="BR34" s="116">
        <f t="shared" si="50"/>
        <v>3.0613583811244148E-2</v>
      </c>
      <c r="BS34" s="453">
        <f t="shared" si="51"/>
        <v>3.218929639740533E-2</v>
      </c>
      <c r="BT34" s="118">
        <f t="shared" si="52"/>
        <v>7464366.4905786607</v>
      </c>
      <c r="BU34" s="119">
        <f t="shared" si="53"/>
        <v>14838966.299999999</v>
      </c>
      <c r="BV34" s="119">
        <f t="shared" si="54"/>
        <v>7464366.4905786607</v>
      </c>
      <c r="BW34" s="119">
        <f t="shared" si="65"/>
        <v>0</v>
      </c>
      <c r="BX34" s="120">
        <f t="shared" si="55"/>
        <v>3.0613583811244148E-2</v>
      </c>
      <c r="BY34" s="454">
        <f t="shared" si="56"/>
        <v>3.4662867134527847E-2</v>
      </c>
      <c r="BZ34" s="122">
        <f t="shared" si="57"/>
        <v>7473986.8627275042</v>
      </c>
      <c r="CA34" s="455">
        <f t="shared" si="27"/>
        <v>6.4164754618940334E-2</v>
      </c>
      <c r="CB34" s="456">
        <f t="shared" si="28"/>
        <v>480231.77884096483</v>
      </c>
      <c r="CC34" s="456">
        <f t="shared" si="29"/>
        <v>7703682.1596274441</v>
      </c>
      <c r="CD34" s="457">
        <f t="shared" si="30"/>
        <v>0.15574566321969699</v>
      </c>
      <c r="CE34" s="458">
        <f t="shared" si="31"/>
        <v>0</v>
      </c>
      <c r="CF34" s="17"/>
      <c r="CG34" s="459">
        <f t="shared" si="32"/>
        <v>49463221</v>
      </c>
      <c r="CH34" s="460">
        <f t="shared" si="58"/>
        <v>0.15574566321969699</v>
      </c>
      <c r="CI34" s="461">
        <f t="shared" si="33"/>
        <v>7703682.1596274441</v>
      </c>
      <c r="CJ34" s="462">
        <f t="shared" si="34"/>
        <v>0</v>
      </c>
      <c r="CL34" s="463">
        <f t="shared" si="35"/>
        <v>7703682.1596274441</v>
      </c>
      <c r="CM34" s="464">
        <f t="shared" si="36"/>
        <v>6.623795318754018E-2</v>
      </c>
      <c r="CN34" s="465">
        <f t="shared" si="37"/>
        <v>10097.726100950104</v>
      </c>
      <c r="CO34" s="466">
        <f t="shared" si="59"/>
        <v>7713779.8857283946</v>
      </c>
      <c r="CP34" s="467">
        <f t="shared" si="60"/>
        <v>0.15594980936903391</v>
      </c>
      <c r="CQ34" s="468">
        <f t="shared" si="38"/>
        <v>0</v>
      </c>
      <c r="CR34" s="469"/>
      <c r="CS34" s="470">
        <f t="shared" si="39"/>
        <v>14838966.299999999</v>
      </c>
      <c r="CT34" s="465">
        <f t="shared" si="40"/>
        <v>0</v>
      </c>
      <c r="CU34" s="471">
        <f t="shared" si="41"/>
        <v>7713779.8857283946</v>
      </c>
      <c r="CV34" s="472">
        <f t="shared" si="42"/>
        <v>0.15594980936903391</v>
      </c>
      <c r="CY34" s="473">
        <v>0</v>
      </c>
      <c r="CZ34" s="474">
        <f t="shared" si="61"/>
        <v>7713779.8857283946</v>
      </c>
      <c r="DA34" s="475">
        <f t="shared" si="62"/>
        <v>0.15594980936903391</v>
      </c>
      <c r="DB34" s="1">
        <f t="shared" si="63"/>
        <v>0</v>
      </c>
      <c r="DC34" s="293">
        <f t="shared" si="64"/>
        <v>0.15110190383128314</v>
      </c>
      <c r="DF34" s="476"/>
    </row>
    <row r="35" spans="1:110">
      <c r="A35" s="477" t="s">
        <v>112</v>
      </c>
      <c r="B35" s="428" t="s">
        <v>113</v>
      </c>
      <c r="C35" s="429"/>
      <c r="D35" s="91">
        <f>'Sizing - Reimb Exp-26'!B26</f>
        <v>3929042</v>
      </c>
      <c r="E35" s="92">
        <f>'Ridership-26'!$E26</f>
        <v>471466</v>
      </c>
      <c r="F35" s="92">
        <f>'Revenue Hours-26'!$E26</f>
        <v>41575</v>
      </c>
      <c r="G35" s="92">
        <f>'Revenue Miles-26'!$E26</f>
        <v>539337</v>
      </c>
      <c r="H35" s="430">
        <f t="shared" si="0"/>
        <v>8.0836285974683411E-3</v>
      </c>
      <c r="I35" s="431">
        <f t="shared" si="1"/>
        <v>8.0836285974683411E-3</v>
      </c>
      <c r="J35" s="432"/>
      <c r="K35" s="433">
        <f>'Ridership-26'!B26/'Revenue Hours-26'!B26</f>
        <v>7.0651748073074137</v>
      </c>
      <c r="L35" s="434">
        <f>'Ridership-26'!C26/'Revenue Hours-26'!C26</f>
        <v>8.5454680032144825</v>
      </c>
      <c r="M35" s="434">
        <f>'Ridership-26'!D26/'Revenue Hours-26'!D26</f>
        <v>10.854112978631212</v>
      </c>
      <c r="N35" s="434">
        <f>'Ridership-26'!E26/'Revenue Hours-26'!E26</f>
        <v>11.340132291040289</v>
      </c>
      <c r="O35" s="435">
        <f t="shared" si="2"/>
        <v>0.99594867084409577</v>
      </c>
      <c r="P35" s="436">
        <f t="shared" si="3"/>
        <v>8.0508791572459163E-3</v>
      </c>
      <c r="Q35" s="437">
        <f t="shared" si="4"/>
        <v>7.7811211762255595E-3</v>
      </c>
      <c r="R35" s="438">
        <f>'Ridership-26'!B26/'Revenue Miles-26'!B26</f>
        <v>0.60435953803758868</v>
      </c>
      <c r="S35" s="434">
        <f>'Ridership-26'!C26/'Revenue Miles-26'!C26</f>
        <v>0.7290038463481342</v>
      </c>
      <c r="T35" s="434">
        <f>'Ridership-26'!D26/'Revenue Miles-26'!D26</f>
        <v>0.86015998033680452</v>
      </c>
      <c r="U35" s="434">
        <f>'Ridership-26'!E26/'Revenue Miles-26'!E26</f>
        <v>0.8741584575135769</v>
      </c>
      <c r="V35" s="435">
        <f t="shared" si="5"/>
        <v>0.96537457981459074</v>
      </c>
      <c r="W35" s="436">
        <f t="shared" si="6"/>
        <v>7.8037295606582097E-3</v>
      </c>
      <c r="X35" s="437">
        <f t="shared" si="7"/>
        <v>7.5527990745035394E-3</v>
      </c>
      <c r="Y35" s="438">
        <f>'Op Cost-26'!B26/'Revenue Hours-26'!B26</f>
        <v>99.128071370778855</v>
      </c>
      <c r="Z35" s="434">
        <f>'Op Cost-26'!C26/'Revenue Hours-26'!C26</f>
        <v>86.295224802267057</v>
      </c>
      <c r="AA35" s="434">
        <f>'Op Cost-26'!D26/'Revenue Hours-26'!D26</f>
        <v>108.01972678966453</v>
      </c>
      <c r="AB35" s="434">
        <f>'Op Cost-26'!E26/'Revenue Hours-26'!E26</f>
        <v>94.504918821407102</v>
      </c>
      <c r="AC35" s="435">
        <f t="shared" si="8"/>
        <v>0.94994437862677639</v>
      </c>
      <c r="AD35" s="436">
        <f t="shared" si="9"/>
        <v>8.5095809600493656E-3</v>
      </c>
      <c r="AE35" s="437">
        <f t="shared" si="10"/>
        <v>8.5247033314979903E-3</v>
      </c>
      <c r="AF35" s="438">
        <f>'Op Cost-26'!B26/'Revenue Miles-26'!B26</f>
        <v>8.4794781522232086</v>
      </c>
      <c r="AG35" s="434">
        <f>'Op Cost-26'!C26/'Revenue Miles-26'!C26</f>
        <v>7.3617443513527165</v>
      </c>
      <c r="AH35" s="434">
        <f>'Op Cost-26'!D26/'Revenue Miles-26'!D26</f>
        <v>8.5602799836621983</v>
      </c>
      <c r="AI35" s="434">
        <f>'Op Cost-26'!E26/'Revenue Miles-26'!E26</f>
        <v>7.2849480009715633</v>
      </c>
      <c r="AJ35" s="435">
        <f t="shared" si="11"/>
        <v>0.91837200860332668</v>
      </c>
      <c r="AK35" s="436">
        <f t="shared" si="12"/>
        <v>8.8021286817768322E-3</v>
      </c>
      <c r="AL35" s="437">
        <f t="shared" si="13"/>
        <v>8.816994748975765E-3</v>
      </c>
      <c r="AM35" s="438">
        <f>'Op Cost-26'!B26/'Ridership-26'!B26</f>
        <v>14.030519282870687</v>
      </c>
      <c r="AN35" s="434">
        <f>'Op Cost-26'!C26/'Ridership-26'!C26</f>
        <v>10.098361467131589</v>
      </c>
      <c r="AO35" s="434">
        <f>'Op Cost-26'!D26/'Ridership-26'!D26</f>
        <v>9.9519626341024754</v>
      </c>
      <c r="AP35" s="434">
        <f>'Op Cost-26'!E26/'Ridership-26'!E26</f>
        <v>8.3336698722707467</v>
      </c>
      <c r="AQ35" s="439">
        <f t="shared" si="14"/>
        <v>0.94966951764901175</v>
      </c>
      <c r="AR35" s="436">
        <f t="shared" si="15"/>
        <v>8.5120438713038368E-3</v>
      </c>
      <c r="AS35" s="440">
        <f t="shared" si="16"/>
        <v>8.5617709701865854E-3</v>
      </c>
      <c r="AT35" s="432"/>
      <c r="AU35" s="441">
        <f t="shared" si="17"/>
        <v>0</v>
      </c>
      <c r="AV35" s="442">
        <f t="shared" si="18"/>
        <v>0</v>
      </c>
      <c r="AW35" s="442">
        <f t="shared" si="19"/>
        <v>0</v>
      </c>
      <c r="AX35" s="442">
        <f t="shared" si="20"/>
        <v>0</v>
      </c>
      <c r="AY35" s="443">
        <f t="shared" si="21"/>
        <v>0</v>
      </c>
      <c r="AZ35" s="444">
        <f t="shared" si="43"/>
        <v>-1</v>
      </c>
      <c r="BA35" s="445">
        <f t="shared" si="22"/>
        <v>0</v>
      </c>
      <c r="BB35" s="446">
        <f t="shared" si="22"/>
        <v>0</v>
      </c>
      <c r="BC35" s="446">
        <f t="shared" si="22"/>
        <v>0</v>
      </c>
      <c r="BD35" s="446">
        <f t="shared" si="22"/>
        <v>0</v>
      </c>
      <c r="BE35" s="446">
        <f t="shared" si="22"/>
        <v>0</v>
      </c>
      <c r="BF35" s="447">
        <f t="shared" si="44"/>
        <v>973023.34736253589</v>
      </c>
      <c r="BH35" s="448">
        <f>'Op Cost-26'!E26</f>
        <v>3929042</v>
      </c>
      <c r="BI35" s="449">
        <f t="shared" si="23"/>
        <v>0.24764900638948015</v>
      </c>
      <c r="BJ35" s="450">
        <f t="shared" si="24"/>
        <v>973023.34736253589</v>
      </c>
      <c r="BK35" s="451">
        <f t="shared" si="25"/>
        <v>0</v>
      </c>
      <c r="BL35" s="1">
        <f t="shared" si="45"/>
        <v>1.1785348562899629</v>
      </c>
      <c r="BM35" s="112">
        <f t="shared" si="46"/>
        <v>0.99997832188499736</v>
      </c>
      <c r="BN35" s="112">
        <f t="shared" si="47"/>
        <v>1.0868508836011872</v>
      </c>
      <c r="BO35" s="113">
        <f t="shared" si="48"/>
        <v>1.3136551098368334</v>
      </c>
      <c r="BP35" s="452">
        <f t="shared" si="26"/>
        <v>973023.34736253589</v>
      </c>
      <c r="BQ35" s="115">
        <f t="shared" si="49"/>
        <v>9.5268380674187851E-3</v>
      </c>
      <c r="BR35" s="116">
        <f t="shared" si="50"/>
        <v>9.5268380674187851E-3</v>
      </c>
      <c r="BS35" s="453">
        <f t="shared" si="51"/>
        <v>1.0017194202842486E-2</v>
      </c>
      <c r="BT35" s="118">
        <f t="shared" si="52"/>
        <v>1047995.5812562887</v>
      </c>
      <c r="BU35" s="119">
        <f t="shared" si="53"/>
        <v>1178712.5999999999</v>
      </c>
      <c r="BV35" s="119">
        <f t="shared" si="54"/>
        <v>1047995.5812562887</v>
      </c>
      <c r="BW35" s="119">
        <f t="shared" si="65"/>
        <v>0</v>
      </c>
      <c r="BX35" s="120">
        <f t="shared" si="55"/>
        <v>9.5268380674187851E-3</v>
      </c>
      <c r="BY35" s="454">
        <f t="shared" si="56"/>
        <v>1.0786960591716452E-2</v>
      </c>
      <c r="BZ35" s="122">
        <f t="shared" si="57"/>
        <v>1050989.4067481174</v>
      </c>
      <c r="CA35" s="455">
        <f t="shared" si="27"/>
        <v>8.643210796890578E-3</v>
      </c>
      <c r="CB35" s="456">
        <f t="shared" si="28"/>
        <v>64688.854816612467</v>
      </c>
      <c r="CC35" s="456">
        <f t="shared" si="29"/>
        <v>1037712.2021791483</v>
      </c>
      <c r="CD35" s="457">
        <f t="shared" si="30"/>
        <v>0.26411328822118685</v>
      </c>
      <c r="CE35" s="458">
        <f t="shared" si="31"/>
        <v>0</v>
      </c>
      <c r="CF35" s="17"/>
      <c r="CG35" s="459">
        <f t="shared" si="32"/>
        <v>3929042</v>
      </c>
      <c r="CH35" s="460">
        <f t="shared" si="58"/>
        <v>0.26411328822118685</v>
      </c>
      <c r="CI35" s="461">
        <f t="shared" si="33"/>
        <v>1037712.2021791483</v>
      </c>
      <c r="CJ35" s="462">
        <f t="shared" si="34"/>
        <v>0</v>
      </c>
      <c r="CL35" s="463">
        <f t="shared" si="35"/>
        <v>1037712.2021791483</v>
      </c>
      <c r="CM35" s="464">
        <f t="shared" si="36"/>
        <v>8.9224776990806925E-3</v>
      </c>
      <c r="CN35" s="465">
        <f t="shared" si="37"/>
        <v>1360.1980678971247</v>
      </c>
      <c r="CO35" s="466">
        <f t="shared" si="59"/>
        <v>1039072.4002470454</v>
      </c>
      <c r="CP35" s="467">
        <f t="shared" si="60"/>
        <v>0.2644594789892919</v>
      </c>
      <c r="CQ35" s="468">
        <f t="shared" si="38"/>
        <v>0</v>
      </c>
      <c r="CR35" s="469"/>
      <c r="CS35" s="470">
        <f t="shared" si="39"/>
        <v>1178712.5999999999</v>
      </c>
      <c r="CT35" s="465">
        <f t="shared" si="40"/>
        <v>0</v>
      </c>
      <c r="CU35" s="471">
        <f t="shared" si="41"/>
        <v>1039072.4002470454</v>
      </c>
      <c r="CV35" s="472">
        <f t="shared" si="42"/>
        <v>0.2644594789892919</v>
      </c>
      <c r="CY35" s="473">
        <v>0</v>
      </c>
      <c r="CZ35" s="474">
        <f t="shared" si="61"/>
        <v>1039072.4002470454</v>
      </c>
      <c r="DA35" s="475">
        <f t="shared" si="62"/>
        <v>0.2644594789892919</v>
      </c>
      <c r="DB35" s="1">
        <f t="shared" si="63"/>
        <v>0</v>
      </c>
      <c r="DC35" s="293">
        <f t="shared" si="64"/>
        <v>0.26749253552090241</v>
      </c>
      <c r="DF35" s="476"/>
    </row>
    <row r="36" spans="1:110">
      <c r="A36" s="477" t="s">
        <v>112</v>
      </c>
      <c r="B36" s="428" t="s">
        <v>114</v>
      </c>
      <c r="C36" s="429"/>
      <c r="D36" s="91">
        <f>'Sizing - Reimb Exp-26'!B27</f>
        <v>74193463</v>
      </c>
      <c r="E36" s="92">
        <f>'Ridership-26'!$E27</f>
        <v>10824111</v>
      </c>
      <c r="F36" s="92">
        <f>'Revenue Hours-26'!$E27</f>
        <v>633650.79</v>
      </c>
      <c r="G36" s="92">
        <f>'Revenue Miles-26'!$E27</f>
        <v>7725466.0599999996</v>
      </c>
      <c r="H36" s="478">
        <f t="shared" si="0"/>
        <v>0.15487192680007283</v>
      </c>
      <c r="I36" s="431">
        <f t="shared" si="1"/>
        <v>0.15487192680007283</v>
      </c>
      <c r="J36" s="432"/>
      <c r="K36" s="433">
        <f>'Ridership-26'!B27/'Revenue Hours-26'!B27</f>
        <v>12.685908078458269</v>
      </c>
      <c r="L36" s="434">
        <f>'Ridership-26'!C27/'Revenue Hours-26'!C27</f>
        <v>14.999735241854868</v>
      </c>
      <c r="M36" s="434">
        <f>'Ridership-26'!D27/'Revenue Hours-26'!D27</f>
        <v>16.489050494667865</v>
      </c>
      <c r="N36" s="434">
        <f>'Ridership-26'!E27/'Revenue Hours-26'!E27</f>
        <v>17.082139201625552</v>
      </c>
      <c r="O36" s="435">
        <f t="shared" si="2"/>
        <v>0.93821685004918709</v>
      </c>
      <c r="P36" s="436">
        <f t="shared" si="3"/>
        <v>0.1453034513234126</v>
      </c>
      <c r="Q36" s="437">
        <f t="shared" si="4"/>
        <v>0.14043481960025281</v>
      </c>
      <c r="R36" s="438">
        <f>'Ridership-26'!B27/'Revenue Miles-26'!B27</f>
        <v>1.0554722157446399</v>
      </c>
      <c r="S36" s="434">
        <f>'Ridership-26'!C27/'Revenue Miles-26'!C27</f>
        <v>1.2009259173704827</v>
      </c>
      <c r="T36" s="434">
        <f>'Ridership-26'!D27/'Revenue Miles-26'!D27</f>
        <v>1.3706452252341543</v>
      </c>
      <c r="U36" s="434">
        <f>'Ridership-26'!E27/'Revenue Miles-26'!E27</f>
        <v>1.4010948874714233</v>
      </c>
      <c r="V36" s="435">
        <f t="shared" si="5"/>
        <v>0.93828620848089661</v>
      </c>
      <c r="W36" s="436">
        <f t="shared" si="6"/>
        <v>0.14531419299737131</v>
      </c>
      <c r="X36" s="437">
        <f t="shared" si="7"/>
        <v>0.14064158603289723</v>
      </c>
      <c r="Y36" s="438">
        <f>'Op Cost-26'!B27/'Revenue Hours-26'!B27</f>
        <v>106.94058914595765</v>
      </c>
      <c r="Z36" s="434">
        <f>'Op Cost-26'!C27/'Revenue Hours-26'!C27</f>
        <v>99.059409351732896</v>
      </c>
      <c r="AA36" s="434">
        <f>'Op Cost-26'!D27/'Revenue Hours-26'!D27</f>
        <v>117.86879438091567</v>
      </c>
      <c r="AB36" s="434">
        <f>'Op Cost-26'!E27/'Revenue Hours-26'!E27</f>
        <v>120.78064796541956</v>
      </c>
      <c r="AC36" s="435">
        <f t="shared" si="8"/>
        <v>0.99770100373043302</v>
      </c>
      <c r="AD36" s="436">
        <f t="shared" si="9"/>
        <v>0.15522879722582436</v>
      </c>
      <c r="AE36" s="437">
        <f t="shared" si="10"/>
        <v>0.15550465423243759</v>
      </c>
      <c r="AF36" s="438">
        <f>'Op Cost-26'!B27/'Revenue Miles-26'!B27</f>
        <v>8.897496330640184</v>
      </c>
      <c r="AG36" s="434">
        <f>'Op Cost-26'!C27/'Revenue Miles-26'!C27</f>
        <v>7.9310074565820816</v>
      </c>
      <c r="AH36" s="434">
        <f>'Op Cost-26'!D27/'Revenue Miles-26'!D27</f>
        <v>9.7977928004133119</v>
      </c>
      <c r="AI36" s="434">
        <f>'Op Cost-26'!E27/'Revenue Miles-26'!E27</f>
        <v>9.9065548156715355</v>
      </c>
      <c r="AJ36" s="435">
        <f t="shared" si="11"/>
        <v>0.99958570531382751</v>
      </c>
      <c r="AK36" s="436">
        <f t="shared" si="12"/>
        <v>0.15493611600963184</v>
      </c>
      <c r="AL36" s="437">
        <f t="shared" si="13"/>
        <v>0.15519779029268446</v>
      </c>
      <c r="AM36" s="438">
        <f>'Op Cost-26'!B27/'Ridership-26'!B27</f>
        <v>8.4298726180707302</v>
      </c>
      <c r="AN36" s="434">
        <f>'Op Cost-26'!C27/'Ridership-26'!C27</f>
        <v>6.6040771889973175</v>
      </c>
      <c r="AO36" s="434">
        <f>'Op Cost-26'!D27/'Ridership-26'!D27</f>
        <v>7.148306957943479</v>
      </c>
      <c r="AP36" s="434">
        <f>'Op Cost-26'!E27/'Ridership-26'!E27</f>
        <v>7.0705809465553333</v>
      </c>
      <c r="AQ36" s="435">
        <f t="shared" si="14"/>
        <v>1.0639513252329815</v>
      </c>
      <c r="AR36" s="436">
        <f t="shared" si="15"/>
        <v>0.145562981244616</v>
      </c>
      <c r="AS36" s="440">
        <f t="shared" si="16"/>
        <v>0.14641335571066183</v>
      </c>
      <c r="AT36" s="432"/>
      <c r="AU36" s="441">
        <f t="shared" si="17"/>
        <v>0</v>
      </c>
      <c r="AV36" s="442">
        <f t="shared" si="18"/>
        <v>0</v>
      </c>
      <c r="AW36" s="442">
        <f t="shared" si="19"/>
        <v>0</v>
      </c>
      <c r="AX36" s="442">
        <f t="shared" si="20"/>
        <v>0</v>
      </c>
      <c r="AY36" s="443">
        <f t="shared" si="21"/>
        <v>0</v>
      </c>
      <c r="AZ36" s="444">
        <f t="shared" si="43"/>
        <v>-1</v>
      </c>
      <c r="BA36" s="445">
        <f t="shared" si="22"/>
        <v>0</v>
      </c>
      <c r="BB36" s="446">
        <f t="shared" si="22"/>
        <v>0</v>
      </c>
      <c r="BC36" s="446">
        <f t="shared" si="22"/>
        <v>0</v>
      </c>
      <c r="BD36" s="446">
        <f t="shared" si="22"/>
        <v>0</v>
      </c>
      <c r="BE36" s="446">
        <f t="shared" si="22"/>
        <v>0</v>
      </c>
      <c r="BF36" s="447">
        <f t="shared" si="44"/>
        <v>18641875.837131776</v>
      </c>
      <c r="BG36" s="301"/>
      <c r="BH36" s="448">
        <f>'Op Cost-26'!E27</f>
        <v>76532753</v>
      </c>
      <c r="BI36" s="449">
        <f t="shared" si="23"/>
        <v>0.24358036404533592</v>
      </c>
      <c r="BJ36" s="461">
        <f t="shared" si="24"/>
        <v>18641875.837131776</v>
      </c>
      <c r="BK36" s="451">
        <f t="shared" si="25"/>
        <v>0</v>
      </c>
      <c r="BL36" s="1">
        <f t="shared" si="45"/>
        <v>1.5862402694460322</v>
      </c>
      <c r="BM36" s="112">
        <f t="shared" si="46"/>
        <v>1.5063112541062293</v>
      </c>
      <c r="BN36" s="112">
        <f t="shared" si="47"/>
        <v>1.7419967780083756</v>
      </c>
      <c r="BO36" s="113">
        <f t="shared" si="48"/>
        <v>1.5483265228347618</v>
      </c>
      <c r="BP36" s="452">
        <f t="shared" si="26"/>
        <v>18641875.837131776</v>
      </c>
      <c r="BQ36" s="115">
        <f t="shared" si="49"/>
        <v>0.24566408689697372</v>
      </c>
      <c r="BR36" s="116">
        <f t="shared" si="50"/>
        <v>0.24566408689697372</v>
      </c>
      <c r="BS36" s="453">
        <f t="shared" si="51"/>
        <v>0.25830866964423044</v>
      </c>
      <c r="BT36" s="118">
        <f t="shared" si="52"/>
        <v>20575149.526869774</v>
      </c>
      <c r="BU36" s="119">
        <f t="shared" si="53"/>
        <v>22959825.899999999</v>
      </c>
      <c r="BV36" s="119">
        <f t="shared" si="54"/>
        <v>20575149.526869774</v>
      </c>
      <c r="BW36" s="119">
        <f t="shared" si="65"/>
        <v>0</v>
      </c>
      <c r="BX36" s="120">
        <f t="shared" si="55"/>
        <v>0.24566408689697372</v>
      </c>
      <c r="BY36" s="454">
        <f t="shared" si="56"/>
        <v>0.27815827301824264</v>
      </c>
      <c r="BZ36" s="122">
        <f t="shared" si="57"/>
        <v>20652349.894985009</v>
      </c>
      <c r="CA36" s="455">
        <f t="shared" si="27"/>
        <v>0.16559280200884802</v>
      </c>
      <c r="CB36" s="456">
        <f t="shared" si="28"/>
        <v>1239355.2557667692</v>
      </c>
      <c r="CC36" s="456">
        <f t="shared" si="29"/>
        <v>19881231.092898544</v>
      </c>
      <c r="CD36" s="457">
        <f t="shared" si="30"/>
        <v>0.25977415307271834</v>
      </c>
      <c r="CE36" s="458">
        <f t="shared" si="31"/>
        <v>0</v>
      </c>
      <c r="CF36" s="17"/>
      <c r="CG36" s="459">
        <f t="shared" si="32"/>
        <v>76532753</v>
      </c>
      <c r="CH36" s="460">
        <f t="shared" si="58"/>
        <v>0.25977415307271834</v>
      </c>
      <c r="CI36" s="461">
        <f t="shared" si="33"/>
        <v>19881231.092898544</v>
      </c>
      <c r="CJ36" s="462">
        <f t="shared" si="34"/>
        <v>0</v>
      </c>
      <c r="CL36" s="463">
        <f t="shared" si="35"/>
        <v>19881231.092898544</v>
      </c>
      <c r="CM36" s="464">
        <f t="shared" si="36"/>
        <v>0.17094319666295368</v>
      </c>
      <c r="CN36" s="465">
        <f t="shared" si="37"/>
        <v>26059.645500157945</v>
      </c>
      <c r="CO36" s="466">
        <f t="shared" si="59"/>
        <v>19907290.738398701</v>
      </c>
      <c r="CP36" s="467">
        <f t="shared" si="60"/>
        <v>0.26011465624918395</v>
      </c>
      <c r="CQ36" s="468">
        <f t="shared" si="38"/>
        <v>0</v>
      </c>
      <c r="CR36" s="469"/>
      <c r="CS36" s="470">
        <f t="shared" si="39"/>
        <v>22959825.899999999</v>
      </c>
      <c r="CT36" s="465">
        <f t="shared" si="40"/>
        <v>0</v>
      </c>
      <c r="CU36" s="471">
        <f t="shared" si="41"/>
        <v>19907290.738398701</v>
      </c>
      <c r="CV36" s="472">
        <f t="shared" si="42"/>
        <v>0.26011465624918395</v>
      </c>
      <c r="CY36" s="473">
        <v>370745.59999999998</v>
      </c>
      <c r="CZ36" s="474">
        <f t="shared" si="61"/>
        <v>20278036.338398702</v>
      </c>
      <c r="DA36" s="475">
        <f t="shared" si="62"/>
        <v>0.26495892991591069</v>
      </c>
      <c r="DB36" s="1">
        <f t="shared" si="63"/>
        <v>0</v>
      </c>
      <c r="DC36" s="293">
        <f t="shared" si="64"/>
        <v>0.2698498235779524</v>
      </c>
      <c r="DF36" s="476"/>
    </row>
    <row r="37" spans="1:110">
      <c r="A37" s="477" t="s">
        <v>115</v>
      </c>
      <c r="B37" s="428" t="s">
        <v>116</v>
      </c>
      <c r="C37" s="429"/>
      <c r="D37" s="91">
        <f>'Sizing - Reimb Exp-26'!B28</f>
        <v>12808994</v>
      </c>
      <c r="E37" s="92">
        <f>'Ridership-26'!$E28</f>
        <v>3791431</v>
      </c>
      <c r="F37" s="92">
        <f>'Revenue Hours-26'!$E28</f>
        <v>99331.900000000009</v>
      </c>
      <c r="G37" s="92">
        <f>'Revenue Miles-26'!$E28</f>
        <v>1022384</v>
      </c>
      <c r="H37" s="478">
        <f t="shared" si="0"/>
        <v>3.8382149811633182E-2</v>
      </c>
      <c r="I37" s="431">
        <f t="shared" si="1"/>
        <v>3.8382149811633182E-2</v>
      </c>
      <c r="J37" s="432"/>
      <c r="K37" s="433">
        <f>'Ridership-26'!B28/'Revenue Hours-26'!B28</f>
        <v>7.7359808402431227</v>
      </c>
      <c r="L37" s="434">
        <f>'Ridership-26'!C28/'Revenue Hours-26'!C28</f>
        <v>32.633977790205321</v>
      </c>
      <c r="M37" s="434">
        <f>'Ridership-26'!D28/'Revenue Hours-26'!D28</f>
        <v>37.897163158744682</v>
      </c>
      <c r="N37" s="434">
        <f>'Ridership-26'!E28/'Revenue Hours-26'!E28</f>
        <v>38.169319221720308</v>
      </c>
      <c r="O37" s="435">
        <f t="shared" si="2"/>
        <v>1.7360665328826819</v>
      </c>
      <c r="P37" s="436">
        <f t="shared" si="3"/>
        <v>6.6633965748065696E-2</v>
      </c>
      <c r="Q37" s="437">
        <f t="shared" si="4"/>
        <v>6.4401284854898891E-2</v>
      </c>
      <c r="R37" s="438">
        <f>'Ridership-26'!B28/'Revenue Miles-26'!B28</f>
        <v>0.74890286156611607</v>
      </c>
      <c r="S37" s="434">
        <f>'Ridership-26'!C28/'Revenue Miles-26'!C28</f>
        <v>3.1121743743196539</v>
      </c>
      <c r="T37" s="434">
        <f>'Ridership-26'!D28/'Revenue Miles-26'!D28</f>
        <v>3.6271477751754029</v>
      </c>
      <c r="U37" s="434">
        <f>'Ridership-26'!E28/'Revenue Miles-26'!E28</f>
        <v>3.7084216889153194</v>
      </c>
      <c r="V37" s="435">
        <f t="shared" si="5"/>
        <v>1.7450415348457822</v>
      </c>
      <c r="W37" s="436">
        <f t="shared" si="6"/>
        <v>6.6978445617973115E-2</v>
      </c>
      <c r="X37" s="437">
        <f t="shared" si="7"/>
        <v>6.4824740291543975E-2</v>
      </c>
      <c r="Y37" s="438">
        <f>'Op Cost-26'!B28/'Revenue Hours-26'!B28</f>
        <v>94.638769882541524</v>
      </c>
      <c r="Z37" s="434">
        <f>'Op Cost-26'!C28/'Revenue Hours-26'!C28</f>
        <v>99.879114404410004</v>
      </c>
      <c r="AA37" s="434">
        <f>'Op Cost-26'!D28/'Revenue Hours-26'!D28</f>
        <v>129.41512623136137</v>
      </c>
      <c r="AB37" s="434">
        <f>'Op Cost-26'!E28/'Revenue Hours-26'!E28</f>
        <v>128.95146473590054</v>
      </c>
      <c r="AC37" s="435">
        <f t="shared" si="8"/>
        <v>1.0634476998773559</v>
      </c>
      <c r="AD37" s="436">
        <f t="shared" si="9"/>
        <v>3.6092183768002578E-2</v>
      </c>
      <c r="AE37" s="437">
        <f t="shared" si="10"/>
        <v>3.6156323167098041E-2</v>
      </c>
      <c r="AF37" s="438">
        <f>'Op Cost-26'!B28/'Revenue Miles-26'!B28</f>
        <v>9.1617659148578081</v>
      </c>
      <c r="AG37" s="434">
        <f>'Op Cost-26'!C28/'Revenue Miles-26'!C28</f>
        <v>9.5250791177666656</v>
      </c>
      <c r="AH37" s="434">
        <f>'Op Cost-26'!D28/'Revenue Miles-26'!D28</f>
        <v>12.386356868398249</v>
      </c>
      <c r="AI37" s="434">
        <f>'Op Cost-26'!E28/'Revenue Miles-26'!E28</f>
        <v>12.528554828714064</v>
      </c>
      <c r="AJ37" s="435">
        <f t="shared" si="11"/>
        <v>1.0693597112593702</v>
      </c>
      <c r="AK37" s="436">
        <f t="shared" si="12"/>
        <v>3.5892646232604977E-2</v>
      </c>
      <c r="AL37" s="437">
        <f t="shared" si="13"/>
        <v>3.5953265942919616E-2</v>
      </c>
      <c r="AM37" s="438">
        <f>'Op Cost-26'!B28/'Ridership-26'!B28</f>
        <v>12.233583799771571</v>
      </c>
      <c r="AN37" s="434">
        <f>'Op Cost-26'!C28/'Ridership-26'!C28</f>
        <v>3.0605865777841972</v>
      </c>
      <c r="AO37" s="434">
        <f>'Op Cost-26'!D28/'Ridership-26'!D28</f>
        <v>3.4149027379506931</v>
      </c>
      <c r="AP37" s="434">
        <f>'Op Cost-26'!E28/'Ridership-26'!E28</f>
        <v>3.3784062007194646</v>
      </c>
      <c r="AQ37" s="435">
        <f t="shared" si="14"/>
        <v>0.85035846976223872</v>
      </c>
      <c r="AR37" s="436">
        <f t="shared" si="15"/>
        <v>4.5136435017063894E-2</v>
      </c>
      <c r="AS37" s="440">
        <f t="shared" si="16"/>
        <v>4.5400120684248375E-2</v>
      </c>
      <c r="AT37" s="432"/>
      <c r="AU37" s="441">
        <f t="shared" si="17"/>
        <v>0</v>
      </c>
      <c r="AV37" s="442">
        <f t="shared" si="18"/>
        <v>0</v>
      </c>
      <c r="AW37" s="442">
        <f t="shared" si="19"/>
        <v>0</v>
      </c>
      <c r="AX37" s="442">
        <f t="shared" si="20"/>
        <v>0</v>
      </c>
      <c r="AY37" s="443">
        <f t="shared" si="21"/>
        <v>0</v>
      </c>
      <c r="AZ37" s="444">
        <f t="shared" si="43"/>
        <v>-1</v>
      </c>
      <c r="BA37" s="445">
        <f t="shared" si="22"/>
        <v>0</v>
      </c>
      <c r="BB37" s="446">
        <f t="shared" si="22"/>
        <v>0</v>
      </c>
      <c r="BC37" s="446">
        <f t="shared" si="22"/>
        <v>0</v>
      </c>
      <c r="BD37" s="446">
        <f t="shared" si="22"/>
        <v>0</v>
      </c>
      <c r="BE37" s="446">
        <f t="shared" si="22"/>
        <v>0</v>
      </c>
      <c r="BF37" s="447">
        <f t="shared" si="44"/>
        <v>4620045.0006302893</v>
      </c>
      <c r="BH37" s="448">
        <f>'Op Cost-26'!E28</f>
        <v>12808994</v>
      </c>
      <c r="BI37" s="449">
        <f t="shared" si="23"/>
        <v>0.36068757629446069</v>
      </c>
      <c r="BJ37" s="450">
        <f t="shared" si="24"/>
        <v>3842698.1999999997</v>
      </c>
      <c r="BK37" s="451">
        <f t="shared" si="25"/>
        <v>777346.8006302896</v>
      </c>
      <c r="BL37" s="1">
        <f t="shared" si="45"/>
        <v>3.6143543868566934</v>
      </c>
      <c r="BM37" s="112">
        <f t="shared" si="46"/>
        <v>3.3657889346657042</v>
      </c>
      <c r="BN37" s="112">
        <f t="shared" si="47"/>
        <v>4.6107217229558444</v>
      </c>
      <c r="BO37" s="113">
        <f t="shared" si="48"/>
        <v>3.2404534449026126</v>
      </c>
      <c r="BP37" s="452">
        <f t="shared" si="26"/>
        <v>0</v>
      </c>
      <c r="BQ37" s="115">
        <f t="shared" si="49"/>
        <v>0.13872669154866721</v>
      </c>
      <c r="BR37" s="116">
        <f t="shared" si="50"/>
        <v>0</v>
      </c>
      <c r="BS37" s="453">
        <f t="shared" si="51"/>
        <v>0</v>
      </c>
      <c r="BT37" s="118">
        <f t="shared" si="52"/>
        <v>3842698.1999999997</v>
      </c>
      <c r="BU37" s="119">
        <f t="shared" si="53"/>
        <v>3842698.1999999997</v>
      </c>
      <c r="BV37" s="119">
        <f t="shared" si="54"/>
        <v>3842698.1999999997</v>
      </c>
      <c r="BW37" s="119">
        <f t="shared" si="65"/>
        <v>0</v>
      </c>
      <c r="BX37" s="120">
        <f t="shared" si="55"/>
        <v>0</v>
      </c>
      <c r="BY37" s="454">
        <f t="shared" si="56"/>
        <v>0</v>
      </c>
      <c r="BZ37" s="122">
        <f t="shared" si="57"/>
        <v>3842698.1999999997</v>
      </c>
      <c r="CA37" s="455">
        <f t="shared" si="27"/>
        <v>0</v>
      </c>
      <c r="CB37" s="456">
        <f t="shared" si="28"/>
        <v>0</v>
      </c>
      <c r="CC37" s="456">
        <f t="shared" si="29"/>
        <v>3842698.1999999997</v>
      </c>
      <c r="CD37" s="457">
        <f t="shared" si="30"/>
        <v>0.3</v>
      </c>
      <c r="CE37" s="458">
        <f t="shared" si="31"/>
        <v>0</v>
      </c>
      <c r="CF37" s="17"/>
      <c r="CG37" s="459">
        <f t="shared" si="32"/>
        <v>12808994</v>
      </c>
      <c r="CH37" s="460">
        <f t="shared" si="58"/>
        <v>0.3</v>
      </c>
      <c r="CI37" s="461">
        <f t="shared" si="33"/>
        <v>3842698.1999999997</v>
      </c>
      <c r="CJ37" s="462">
        <f t="shared" si="34"/>
        <v>0</v>
      </c>
      <c r="CL37" s="463">
        <f t="shared" si="35"/>
        <v>0</v>
      </c>
      <c r="CM37" s="464">
        <f t="shared" si="36"/>
        <v>0</v>
      </c>
      <c r="CN37" s="465">
        <f t="shared" si="37"/>
        <v>0</v>
      </c>
      <c r="CO37" s="466">
        <f t="shared" si="59"/>
        <v>3842698.1999999997</v>
      </c>
      <c r="CP37" s="467">
        <f t="shared" si="60"/>
        <v>0.3</v>
      </c>
      <c r="CQ37" s="468">
        <f t="shared" si="38"/>
        <v>0</v>
      </c>
      <c r="CR37" s="469"/>
      <c r="CS37" s="470">
        <f t="shared" si="39"/>
        <v>3842698.1999999997</v>
      </c>
      <c r="CT37" s="465">
        <f t="shared" si="40"/>
        <v>0</v>
      </c>
      <c r="CU37" s="471">
        <f t="shared" si="41"/>
        <v>3842698.1999999997</v>
      </c>
      <c r="CV37" s="472">
        <f t="shared" si="42"/>
        <v>0.3</v>
      </c>
      <c r="CY37" s="473">
        <v>0</v>
      </c>
      <c r="CZ37" s="474">
        <f t="shared" si="61"/>
        <v>3842698.1999999997</v>
      </c>
      <c r="DA37" s="475">
        <f t="shared" si="62"/>
        <v>0.3</v>
      </c>
      <c r="DB37" s="1">
        <f t="shared" si="63"/>
        <v>0</v>
      </c>
      <c r="DC37" s="293">
        <f t="shared" si="64"/>
        <v>0.3</v>
      </c>
      <c r="DF37" s="476"/>
    </row>
    <row r="38" spans="1:110">
      <c r="A38" s="477" t="s">
        <v>115</v>
      </c>
      <c r="B38" s="428" t="s">
        <v>117</v>
      </c>
      <c r="C38" s="429"/>
      <c r="D38" s="91">
        <f>'Sizing - Reimb Exp-26'!B29</f>
        <v>2846110</v>
      </c>
      <c r="E38" s="92">
        <f>'Ridership-26'!$E29</f>
        <v>90833</v>
      </c>
      <c r="F38" s="92">
        <f>'Revenue Hours-26'!$E29</f>
        <v>36673.339999999997</v>
      </c>
      <c r="G38" s="92">
        <f>'Revenue Miles-26'!$E29</f>
        <v>438033</v>
      </c>
      <c r="H38" s="478">
        <f t="shared" si="0"/>
        <v>4.5207609440009351E-3</v>
      </c>
      <c r="I38" s="431">
        <f t="shared" si="1"/>
        <v>4.5207609440009351E-3</v>
      </c>
      <c r="J38" s="432"/>
      <c r="K38" s="433">
        <f>'Ridership-26'!B29/'Revenue Hours-26'!B29</f>
        <v>3.353975911522431</v>
      </c>
      <c r="L38" s="434">
        <f>'Ridership-26'!C29/'Revenue Hours-26'!C29</f>
        <v>4.039822296622992</v>
      </c>
      <c r="M38" s="434">
        <f>'Ridership-26'!D29/'Revenue Hours-26'!D29</f>
        <v>3.7461598379809939</v>
      </c>
      <c r="N38" s="434">
        <f>'Ridership-26'!E29/'Revenue Hours-26'!E29</f>
        <v>2.4768128564237677</v>
      </c>
      <c r="O38" s="435">
        <f t="shared" si="2"/>
        <v>0.77907852184148563</v>
      </c>
      <c r="P38" s="436">
        <f t="shared" si="3"/>
        <v>3.5220277538509678E-3</v>
      </c>
      <c r="Q38" s="437">
        <f t="shared" si="4"/>
        <v>3.4040164065906628E-3</v>
      </c>
      <c r="R38" s="438">
        <f>'Ridership-26'!B29/'Revenue Miles-26'!B29</f>
        <v>0.29134203947124609</v>
      </c>
      <c r="S38" s="434">
        <f>'Ridership-26'!C29/'Revenue Miles-26'!C29</f>
        <v>0.3358526722031458</v>
      </c>
      <c r="T38" s="434">
        <f>'Ridership-26'!D29/'Revenue Miles-26'!D29</f>
        <v>0.30962589842834592</v>
      </c>
      <c r="U38" s="434">
        <f>'Ridership-26'!E29/'Revenue Miles-26'!E29</f>
        <v>0.20736565509904506</v>
      </c>
      <c r="V38" s="435">
        <f t="shared" si="5"/>
        <v>0.77142009613882967</v>
      </c>
      <c r="W38" s="436">
        <f t="shared" si="6"/>
        <v>3.4874058420418679E-3</v>
      </c>
      <c r="X38" s="437">
        <f t="shared" si="7"/>
        <v>3.3752676090905466E-3</v>
      </c>
      <c r="Y38" s="438">
        <f>'Op Cost-26'!B29/'Revenue Hours-26'!B29</f>
        <v>54.975878704341831</v>
      </c>
      <c r="Z38" s="434">
        <f>'Op Cost-26'!C29/'Revenue Hours-26'!C29</f>
        <v>56.597366641985644</v>
      </c>
      <c r="AA38" s="434">
        <f>'Op Cost-26'!D29/'Revenue Hours-26'!D29</f>
        <v>81.316934101885025</v>
      </c>
      <c r="AB38" s="434">
        <f>'Op Cost-26'!E29/'Revenue Hours-26'!E29</f>
        <v>77.607057333747079</v>
      </c>
      <c r="AC38" s="435">
        <f t="shared" si="8"/>
        <v>1.084327821452679</v>
      </c>
      <c r="AD38" s="436">
        <f t="shared" si="9"/>
        <v>4.1691828380318145E-3</v>
      </c>
      <c r="AE38" s="437">
        <f t="shared" si="10"/>
        <v>4.1765918904645887E-3</v>
      </c>
      <c r="AF38" s="438">
        <f>'Op Cost-26'!B29/'Revenue Miles-26'!B29</f>
        <v>4.775462032515458</v>
      </c>
      <c r="AG38" s="434">
        <f>'Op Cost-26'!C29/'Revenue Miles-26'!C29</f>
        <v>4.7052507339893959</v>
      </c>
      <c r="AH38" s="434">
        <f>'Op Cost-26'!D29/'Revenue Miles-26'!D29</f>
        <v>6.7209702382331962</v>
      </c>
      <c r="AI38" s="434">
        <f>'Op Cost-26'!E29/'Revenue Miles-26'!E29</f>
        <v>6.4974785004782749</v>
      </c>
      <c r="AJ38" s="435">
        <f t="shared" si="11"/>
        <v>1.0755645694817073</v>
      </c>
      <c r="AK38" s="436">
        <f t="shared" si="12"/>
        <v>4.2031516026782081E-3</v>
      </c>
      <c r="AL38" s="437">
        <f t="shared" si="13"/>
        <v>4.2102503780349102E-3</v>
      </c>
      <c r="AM38" s="438">
        <f>'Op Cost-26'!B29/'Ridership-26'!B29</f>
        <v>16.391256274523233</v>
      </c>
      <c r="AN38" s="434">
        <f>'Op Cost-26'!C29/'Ridership-26'!C29</f>
        <v>14.009865406529656</v>
      </c>
      <c r="AO38" s="434">
        <f>'Op Cost-26'!D29/'Ridership-26'!D29</f>
        <v>21.706744404614373</v>
      </c>
      <c r="AP38" s="434">
        <f>'Op Cost-26'!E29/'Ridership-26'!E29</f>
        <v>31.333436086003985</v>
      </c>
      <c r="AQ38" s="439">
        <f t="shared" si="14"/>
        <v>1.4195954903170527</v>
      </c>
      <c r="AR38" s="436">
        <f t="shared" si="15"/>
        <v>3.184541635160638E-3</v>
      </c>
      <c r="AS38" s="440">
        <f t="shared" si="16"/>
        <v>3.2031456295927778E-3</v>
      </c>
      <c r="AT38" s="432"/>
      <c r="AU38" s="441">
        <f t="shared" si="17"/>
        <v>0</v>
      </c>
      <c r="AV38" s="442">
        <f t="shared" si="18"/>
        <v>0</v>
      </c>
      <c r="AW38" s="442">
        <f t="shared" si="19"/>
        <v>0</v>
      </c>
      <c r="AX38" s="442">
        <f t="shared" si="20"/>
        <v>0</v>
      </c>
      <c r="AY38" s="443">
        <f t="shared" si="21"/>
        <v>0</v>
      </c>
      <c r="AZ38" s="444">
        <f t="shared" si="43"/>
        <v>-1</v>
      </c>
      <c r="BA38" s="445">
        <f t="shared" si="22"/>
        <v>0</v>
      </c>
      <c r="BB38" s="446">
        <f t="shared" si="22"/>
        <v>0</v>
      </c>
      <c r="BC38" s="446">
        <f t="shared" si="22"/>
        <v>0</v>
      </c>
      <c r="BD38" s="446">
        <f t="shared" si="22"/>
        <v>0</v>
      </c>
      <c r="BE38" s="446">
        <f t="shared" si="22"/>
        <v>0</v>
      </c>
      <c r="BF38" s="447">
        <f t="shared" si="44"/>
        <v>544162.30203045707</v>
      </c>
      <c r="BH38" s="448">
        <f>'Op Cost-26'!E29</f>
        <v>2846110</v>
      </c>
      <c r="BI38" s="449">
        <f t="shared" si="23"/>
        <v>0.19119510561097677</v>
      </c>
      <c r="BJ38" s="450">
        <f t="shared" si="24"/>
        <v>544162.30203045707</v>
      </c>
      <c r="BK38" s="451">
        <f t="shared" si="25"/>
        <v>0</v>
      </c>
      <c r="BL38" s="1">
        <f t="shared" si="45"/>
        <v>0.29375130211875078</v>
      </c>
      <c r="BM38" s="112">
        <f t="shared" si="46"/>
        <v>0.21840654943211602</v>
      </c>
      <c r="BN38" s="112">
        <f t="shared" si="47"/>
        <v>0.25782001367805307</v>
      </c>
      <c r="BO38" s="113">
        <f t="shared" si="48"/>
        <v>0.34938932268241701</v>
      </c>
      <c r="BP38" s="452">
        <f t="shared" si="26"/>
        <v>544162.30203045707</v>
      </c>
      <c r="BQ38" s="115">
        <f t="shared" si="49"/>
        <v>1.3279794138678677E-3</v>
      </c>
      <c r="BR38" s="116">
        <f t="shared" si="50"/>
        <v>1.3279794138678677E-3</v>
      </c>
      <c r="BS38" s="453">
        <f t="shared" si="51"/>
        <v>1.3963318775812466E-3</v>
      </c>
      <c r="BT38" s="118">
        <f t="shared" si="52"/>
        <v>554612.94499489304</v>
      </c>
      <c r="BU38" s="119">
        <f t="shared" si="53"/>
        <v>853833</v>
      </c>
      <c r="BV38" s="119">
        <f t="shared" si="54"/>
        <v>554612.94499489304</v>
      </c>
      <c r="BW38" s="119">
        <f t="shared" si="65"/>
        <v>0</v>
      </c>
      <c r="BX38" s="120">
        <f t="shared" si="55"/>
        <v>1.3279794138678677E-3</v>
      </c>
      <c r="BY38" s="454">
        <f t="shared" si="56"/>
        <v>1.5036323177354688E-3</v>
      </c>
      <c r="BZ38" s="122">
        <f t="shared" si="57"/>
        <v>555030.26484369556</v>
      </c>
      <c r="CA38" s="455">
        <f t="shared" si="27"/>
        <v>4.8337067110662928E-3</v>
      </c>
      <c r="CB38" s="456">
        <f t="shared" si="28"/>
        <v>36177.175242647427</v>
      </c>
      <c r="CC38" s="456">
        <f t="shared" si="29"/>
        <v>580339.47727310448</v>
      </c>
      <c r="CD38" s="457">
        <f t="shared" si="30"/>
        <v>0.20390620084013072</v>
      </c>
      <c r="CE38" s="458">
        <f t="shared" si="31"/>
        <v>0</v>
      </c>
      <c r="CF38" s="17"/>
      <c r="CG38" s="459">
        <f t="shared" si="32"/>
        <v>2846110</v>
      </c>
      <c r="CH38" s="460">
        <f t="shared" si="58"/>
        <v>0.20390620084013072</v>
      </c>
      <c r="CI38" s="461">
        <f t="shared" si="33"/>
        <v>580339.47727310448</v>
      </c>
      <c r="CJ38" s="462">
        <f t="shared" si="34"/>
        <v>0</v>
      </c>
      <c r="CL38" s="463">
        <f t="shared" si="35"/>
        <v>580339.47727310448</v>
      </c>
      <c r="CM38" s="464">
        <f t="shared" si="36"/>
        <v>4.9898864376767644E-3</v>
      </c>
      <c r="CN38" s="465">
        <f t="shared" si="37"/>
        <v>760.68936459805423</v>
      </c>
      <c r="CO38" s="466">
        <f t="shared" si="59"/>
        <v>581100.1666377025</v>
      </c>
      <c r="CP38" s="467">
        <f t="shared" si="60"/>
        <v>0.20417347419379522</v>
      </c>
      <c r="CQ38" s="468">
        <f t="shared" si="38"/>
        <v>0</v>
      </c>
      <c r="CR38" s="469"/>
      <c r="CS38" s="470">
        <f t="shared" si="39"/>
        <v>853833</v>
      </c>
      <c r="CT38" s="465">
        <f t="shared" si="40"/>
        <v>0</v>
      </c>
      <c r="CU38" s="471">
        <f t="shared" si="41"/>
        <v>581100.1666377025</v>
      </c>
      <c r="CV38" s="472">
        <f t="shared" si="42"/>
        <v>0.20417347419379522</v>
      </c>
      <c r="CY38" s="473">
        <v>0</v>
      </c>
      <c r="CZ38" s="474">
        <f t="shared" si="61"/>
        <v>581100.1666377025</v>
      </c>
      <c r="DA38" s="475">
        <f t="shared" si="62"/>
        <v>0.20417347419379522</v>
      </c>
      <c r="DB38" s="1">
        <f t="shared" si="63"/>
        <v>0</v>
      </c>
      <c r="DC38" s="293">
        <f t="shared" si="64"/>
        <v>0.19501363785788164</v>
      </c>
      <c r="DF38" s="476"/>
    </row>
    <row r="39" spans="1:110">
      <c r="A39" s="477" t="s">
        <v>115</v>
      </c>
      <c r="B39" s="428" t="s">
        <v>118</v>
      </c>
      <c r="C39" s="429"/>
      <c r="D39" s="91">
        <f>'Sizing - Reimb Exp-26'!B30</f>
        <v>14257696</v>
      </c>
      <c r="E39" s="92">
        <f>'Ridership-26'!$E30</f>
        <v>1396636</v>
      </c>
      <c r="F39" s="92">
        <f>'Revenue Hours-26'!$E30</f>
        <v>143067</v>
      </c>
      <c r="G39" s="92">
        <f>'Revenue Miles-26'!$E30</f>
        <v>2359994</v>
      </c>
      <c r="H39" s="478">
        <f t="shared" si="0"/>
        <v>2.792800926360255E-2</v>
      </c>
      <c r="I39" s="431">
        <f t="shared" si="1"/>
        <v>2.792800926360255E-2</v>
      </c>
      <c r="J39" s="432"/>
      <c r="K39" s="433">
        <f>'Ridership-26'!B30/'Revenue Hours-26'!B30</f>
        <v>7.5369057433360815</v>
      </c>
      <c r="L39" s="434">
        <f>'Ridership-26'!C30/'Revenue Hours-26'!C30</f>
        <v>7.2816302952503209</v>
      </c>
      <c r="M39" s="434">
        <f>'Ridership-26'!D30/'Revenue Hours-26'!D30</f>
        <v>9.0953319765962863</v>
      </c>
      <c r="N39" s="434">
        <f>'Ridership-26'!E30/'Revenue Hours-26'!E30</f>
        <v>9.762111458267805</v>
      </c>
      <c r="O39" s="435">
        <f t="shared" si="2"/>
        <v>0.93562893210464482</v>
      </c>
      <c r="P39" s="436">
        <f t="shared" si="3"/>
        <v>2.613025348311308E-2</v>
      </c>
      <c r="Q39" s="437">
        <f t="shared" si="4"/>
        <v>2.5254716254758253E-2</v>
      </c>
      <c r="R39" s="438">
        <f>'Ridership-26'!B30/'Revenue Miles-26'!B30</f>
        <v>0.4322966250764449</v>
      </c>
      <c r="S39" s="434">
        <f>'Ridership-26'!C30/'Revenue Miles-26'!C30</f>
        <v>0.43926607650153893</v>
      </c>
      <c r="T39" s="434">
        <f>'Ridership-26'!D30/'Revenue Miles-26'!D30</f>
        <v>0.56790094587284767</v>
      </c>
      <c r="U39" s="434">
        <f>'Ridership-26'!E30/'Revenue Miles-26'!E30</f>
        <v>0.59179641982140629</v>
      </c>
      <c r="V39" s="435">
        <f t="shared" si="5"/>
        <v>0.95458036924452949</v>
      </c>
      <c r="W39" s="436">
        <f t="shared" si="6"/>
        <v>2.6659529395114363E-2</v>
      </c>
      <c r="X39" s="437">
        <f t="shared" si="7"/>
        <v>2.5802286890774358E-2</v>
      </c>
      <c r="Y39" s="438">
        <f>'Op Cost-26'!B30/'Revenue Hours-26'!B30</f>
        <v>71.568899422918378</v>
      </c>
      <c r="Z39" s="434">
        <f>'Op Cost-26'!C30/'Revenue Hours-26'!C30</f>
        <v>68.191964056482675</v>
      </c>
      <c r="AA39" s="434">
        <f>'Op Cost-26'!D30/'Revenue Hours-26'!D30</f>
        <v>90.06116622855366</v>
      </c>
      <c r="AB39" s="434">
        <f>'Op Cost-26'!E30/'Revenue Hours-26'!E30</f>
        <v>100.1120523950317</v>
      </c>
      <c r="AC39" s="435">
        <f t="shared" si="8"/>
        <v>1.0742332216255097</v>
      </c>
      <c r="AD39" s="436">
        <f t="shared" si="9"/>
        <v>2.5998087474284594E-2</v>
      </c>
      <c r="AE39" s="437">
        <f t="shared" si="10"/>
        <v>2.6044288660639799E-2</v>
      </c>
      <c r="AF39" s="438">
        <f>'Op Cost-26'!B30/'Revenue Miles-26'!B30</f>
        <v>4.104999416812201</v>
      </c>
      <c r="AG39" s="434">
        <f>'Op Cost-26'!C30/'Revenue Miles-26'!C30</f>
        <v>4.1136964231161048</v>
      </c>
      <c r="AH39" s="434">
        <f>'Op Cost-26'!D30/'Revenue Miles-26'!D30</f>
        <v>5.6233045279945362</v>
      </c>
      <c r="AI39" s="434">
        <f>'Op Cost-26'!E30/'Revenue Miles-26'!E30</f>
        <v>6.0689692431421438</v>
      </c>
      <c r="AJ39" s="435">
        <f t="shared" si="11"/>
        <v>1.0986857066039803</v>
      </c>
      <c r="AK39" s="436">
        <f t="shared" si="12"/>
        <v>2.5419470823851504E-2</v>
      </c>
      <c r="AL39" s="437">
        <f t="shared" si="13"/>
        <v>2.5462402207280497E-2</v>
      </c>
      <c r="AM39" s="438">
        <f>'Op Cost-26'!B30/'Ridership-26'!B30</f>
        <v>9.4957933481120662</v>
      </c>
      <c r="AN39" s="434">
        <f>'Op Cost-26'!C30/'Ridership-26'!C30</f>
        <v>9.3649308316247648</v>
      </c>
      <c r="AO39" s="434">
        <f>'Op Cost-26'!D30/'Ridership-26'!D30</f>
        <v>9.9019108329740089</v>
      </c>
      <c r="AP39" s="434">
        <f>'Op Cost-26'!E30/'Ridership-26'!E30</f>
        <v>10.255163836532926</v>
      </c>
      <c r="AQ39" s="435">
        <f t="shared" si="14"/>
        <v>1.1567680100553506</v>
      </c>
      <c r="AR39" s="436">
        <f t="shared" si="15"/>
        <v>2.414313762209435E-2</v>
      </c>
      <c r="AS39" s="440">
        <f t="shared" si="16"/>
        <v>2.4284181090622643E-2</v>
      </c>
      <c r="AT39" s="432"/>
      <c r="AU39" s="441">
        <f t="shared" si="17"/>
        <v>0</v>
      </c>
      <c r="AV39" s="442">
        <f t="shared" si="18"/>
        <v>0</v>
      </c>
      <c r="AW39" s="442">
        <f t="shared" si="19"/>
        <v>0</v>
      </c>
      <c r="AX39" s="442">
        <f t="shared" si="20"/>
        <v>0</v>
      </c>
      <c r="AY39" s="443">
        <f t="shared" si="21"/>
        <v>0</v>
      </c>
      <c r="AZ39" s="444">
        <f t="shared" si="43"/>
        <v>-1</v>
      </c>
      <c r="BA39" s="445">
        <f t="shared" si="22"/>
        <v>0</v>
      </c>
      <c r="BB39" s="446">
        <f t="shared" si="22"/>
        <v>0</v>
      </c>
      <c r="BC39" s="446">
        <f t="shared" si="22"/>
        <v>0</v>
      </c>
      <c r="BD39" s="446">
        <f t="shared" si="22"/>
        <v>0</v>
      </c>
      <c r="BE39" s="446">
        <f t="shared" si="22"/>
        <v>0</v>
      </c>
      <c r="BF39" s="447">
        <f t="shared" si="44"/>
        <v>3361684.0174167701</v>
      </c>
      <c r="BH39" s="448">
        <f>'Op Cost-26'!E30</f>
        <v>14322731</v>
      </c>
      <c r="BI39" s="449">
        <f t="shared" si="23"/>
        <v>0.23470970846389352</v>
      </c>
      <c r="BJ39" s="450">
        <f t="shared" si="24"/>
        <v>3361684.0174167701</v>
      </c>
      <c r="BK39" s="451">
        <f t="shared" si="25"/>
        <v>0</v>
      </c>
      <c r="BL39" s="1">
        <f t="shared" si="45"/>
        <v>0.93291248687172268</v>
      </c>
      <c r="BM39" s="112">
        <f t="shared" si="46"/>
        <v>0.86082768556463052</v>
      </c>
      <c r="BN39" s="112">
        <f t="shared" si="47"/>
        <v>0.73578703754053076</v>
      </c>
      <c r="BO39" s="113">
        <f t="shared" si="48"/>
        <v>1.0675176121908647</v>
      </c>
      <c r="BP39" s="452">
        <f t="shared" si="26"/>
        <v>3361684.0174167701</v>
      </c>
      <c r="BQ39" s="115">
        <f t="shared" si="49"/>
        <v>2.6054388575483964E-2</v>
      </c>
      <c r="BR39" s="116">
        <f t="shared" si="50"/>
        <v>2.6054388575483964E-2</v>
      </c>
      <c r="BS39" s="453">
        <f t="shared" si="51"/>
        <v>2.7395434702466498E-2</v>
      </c>
      <c r="BT39" s="118">
        <f t="shared" si="52"/>
        <v>3566721.1661975668</v>
      </c>
      <c r="BU39" s="119">
        <f t="shared" si="53"/>
        <v>4296819.3</v>
      </c>
      <c r="BV39" s="119">
        <f t="shared" si="54"/>
        <v>3566721.1661975668</v>
      </c>
      <c r="BW39" s="119">
        <f t="shared" si="65"/>
        <v>0</v>
      </c>
      <c r="BX39" s="120">
        <f t="shared" si="55"/>
        <v>2.6054388575483964E-2</v>
      </c>
      <c r="BY39" s="454">
        <f t="shared" si="56"/>
        <v>2.9500623482431074E-2</v>
      </c>
      <c r="BZ39" s="122">
        <f t="shared" si="57"/>
        <v>3574908.8032854749</v>
      </c>
      <c r="CA39" s="455">
        <f t="shared" si="27"/>
        <v>2.9861301554406923E-2</v>
      </c>
      <c r="CB39" s="456">
        <f t="shared" si="28"/>
        <v>223492.57079129049</v>
      </c>
      <c r="CC39" s="456">
        <f t="shared" si="29"/>
        <v>3585176.5882080607</v>
      </c>
      <c r="CD39" s="457">
        <f t="shared" si="30"/>
        <v>0.25031375568025821</v>
      </c>
      <c r="CE39" s="458">
        <f t="shared" si="31"/>
        <v>0</v>
      </c>
      <c r="CF39" s="17"/>
      <c r="CG39" s="459">
        <f t="shared" si="32"/>
        <v>14322731</v>
      </c>
      <c r="CH39" s="460">
        <f t="shared" si="58"/>
        <v>0.25031375568025821</v>
      </c>
      <c r="CI39" s="461">
        <f t="shared" si="33"/>
        <v>3585176.5882080607</v>
      </c>
      <c r="CJ39" s="462">
        <f t="shared" si="34"/>
        <v>0</v>
      </c>
      <c r="CL39" s="463">
        <f t="shared" si="35"/>
        <v>3585176.5882080607</v>
      </c>
      <c r="CM39" s="464">
        <f t="shared" si="36"/>
        <v>3.0826136657522093E-2</v>
      </c>
      <c r="CN39" s="465">
        <f t="shared" si="37"/>
        <v>4699.3282512338928</v>
      </c>
      <c r="CO39" s="466">
        <f t="shared" si="59"/>
        <v>3589875.9164592945</v>
      </c>
      <c r="CP39" s="467">
        <f t="shared" si="60"/>
        <v>0.25064185848769305</v>
      </c>
      <c r="CQ39" s="468">
        <f t="shared" si="38"/>
        <v>0</v>
      </c>
      <c r="CR39" s="469"/>
      <c r="CS39" s="470">
        <f t="shared" si="39"/>
        <v>4296819.3</v>
      </c>
      <c r="CT39" s="465">
        <f t="shared" si="40"/>
        <v>0</v>
      </c>
      <c r="CU39" s="471">
        <f t="shared" si="41"/>
        <v>3589875.9164592945</v>
      </c>
      <c r="CV39" s="472">
        <f t="shared" si="42"/>
        <v>0.25064185848769305</v>
      </c>
      <c r="CY39" s="473">
        <v>0</v>
      </c>
      <c r="CZ39" s="474">
        <f t="shared" si="61"/>
        <v>3589875.9164592945</v>
      </c>
      <c r="DA39" s="475">
        <f t="shared" si="62"/>
        <v>0.25064185848769305</v>
      </c>
      <c r="DB39" s="1">
        <f t="shared" si="63"/>
        <v>0</v>
      </c>
      <c r="DC39" s="293">
        <f t="shared" si="64"/>
        <v>0.24959686831271738</v>
      </c>
      <c r="DF39" s="476"/>
    </row>
    <row r="40" spans="1:110">
      <c r="A40" s="477" t="s">
        <v>115</v>
      </c>
      <c r="B40" s="428" t="s">
        <v>119</v>
      </c>
      <c r="C40" s="429"/>
      <c r="D40" s="91">
        <f>'Sizing - Reimb Exp-26'!B31</f>
        <v>744369</v>
      </c>
      <c r="E40" s="92">
        <f>'Ridership-26'!$E31</f>
        <v>28456</v>
      </c>
      <c r="F40" s="92">
        <f>'Revenue Hours-26'!$E31</f>
        <v>18710.25</v>
      </c>
      <c r="G40" s="92">
        <f>'Revenue Miles-26'!$E31</f>
        <v>231250</v>
      </c>
      <c r="H40" s="478">
        <f t="shared" si="0"/>
        <v>1.7706242603158051E-3</v>
      </c>
      <c r="I40" s="431">
        <f t="shared" si="1"/>
        <v>1.7706242603158051E-3</v>
      </c>
      <c r="J40" s="432"/>
      <c r="K40" s="433">
        <f>'Ridership-26'!B31/'Revenue Hours-26'!B31</f>
        <v>2.0660778541053322</v>
      </c>
      <c r="L40" s="434">
        <f>'Ridership-26'!C31/'Revenue Hours-26'!C31</f>
        <v>1.5442640125720273</v>
      </c>
      <c r="M40" s="434">
        <f>'Ridership-26'!D31/'Revenue Hours-26'!D31</f>
        <v>1.4436910689691704</v>
      </c>
      <c r="N40" s="434">
        <f>'Ridership-26'!E31/'Revenue Hours-26'!E31</f>
        <v>1.5208775938322576</v>
      </c>
      <c r="O40" s="435">
        <f t="shared" si="2"/>
        <v>0.78444065442179911</v>
      </c>
      <c r="P40" s="436">
        <f t="shared" si="3"/>
        <v>1.3889496534972442E-3</v>
      </c>
      <c r="Q40" s="437">
        <f t="shared" si="4"/>
        <v>1.3424106051587628E-3</v>
      </c>
      <c r="R40" s="438">
        <f>'Ridership-26'!B31/'Revenue Miles-26'!B31</f>
        <v>0.17929853281414856</v>
      </c>
      <c r="S40" s="434">
        <f>'Ridership-26'!C31/'Revenue Miles-26'!C31</f>
        <v>0.13392938268912755</v>
      </c>
      <c r="T40" s="434">
        <f>'Ridership-26'!D31/'Revenue Miles-26'!D31</f>
        <v>0.11958963737845332</v>
      </c>
      <c r="U40" s="434">
        <f>'Ridership-26'!E31/'Revenue Miles-26'!E31</f>
        <v>0.12305297297297298</v>
      </c>
      <c r="V40" s="435">
        <f t="shared" si="5"/>
        <v>0.76729798078618916</v>
      </c>
      <c r="W40" s="436">
        <f t="shared" si="6"/>
        <v>1.358596419671357E-3</v>
      </c>
      <c r="X40" s="437">
        <f t="shared" si="7"/>
        <v>1.3149104798362799E-3</v>
      </c>
      <c r="Y40" s="438">
        <f>'Op Cost-26'!B31/'Revenue Hours-26'!B31</f>
        <v>43.551303020390364</v>
      </c>
      <c r="Z40" s="434">
        <f>'Op Cost-26'!C31/'Revenue Hours-26'!C31</f>
        <v>41.282399161864852</v>
      </c>
      <c r="AA40" s="434">
        <f>'Op Cost-26'!D31/'Revenue Hours-26'!D31</f>
        <v>39.012660239432144</v>
      </c>
      <c r="AB40" s="434">
        <f>'Op Cost-26'!E31/'Revenue Hours-26'!E31</f>
        <v>39.784022126909051</v>
      </c>
      <c r="AC40" s="435">
        <f t="shared" si="8"/>
        <v>0.92869241192469454</v>
      </c>
      <c r="AD40" s="436">
        <f t="shared" si="9"/>
        <v>1.9065777189308842E-3</v>
      </c>
      <c r="AE40" s="437">
        <f t="shared" si="10"/>
        <v>1.9099658971028415E-3</v>
      </c>
      <c r="AF40" s="438">
        <f>'Op Cost-26'!B31/'Revenue Miles-26'!B31</f>
        <v>3.7794726458078038</v>
      </c>
      <c r="AG40" s="434">
        <f>'Op Cost-26'!C31/'Revenue Miles-26'!C31</f>
        <v>3.5802985698449907</v>
      </c>
      <c r="AH40" s="434">
        <f>'Op Cost-26'!D31/'Revenue Miles-26'!D31</f>
        <v>3.2316539123108785</v>
      </c>
      <c r="AI40" s="434">
        <f>'Op Cost-26'!E31/'Revenue Miles-26'!E31</f>
        <v>3.2188929729729732</v>
      </c>
      <c r="AJ40" s="435">
        <f t="shared" si="11"/>
        <v>0.91256401539541976</v>
      </c>
      <c r="AK40" s="436">
        <f t="shared" si="12"/>
        <v>1.9402740305824817E-3</v>
      </c>
      <c r="AL40" s="437">
        <f t="shared" si="13"/>
        <v>1.943550992913503E-3</v>
      </c>
      <c r="AM40" s="438">
        <f>'Op Cost-26'!B31/'Ridership-26'!B31</f>
        <v>21.079216803884314</v>
      </c>
      <c r="AN40" s="434">
        <f>'Op Cost-26'!C31/'Ridership-26'!C31</f>
        <v>26.732734056987788</v>
      </c>
      <c r="AO40" s="434">
        <f>'Op Cost-26'!D31/'Ridership-26'!D31</f>
        <v>27.022859029867174</v>
      </c>
      <c r="AP40" s="434">
        <f>'Op Cost-26'!E31/'Ridership-26'!E31</f>
        <v>26.158595726736014</v>
      </c>
      <c r="AQ40" s="439">
        <f t="shared" si="14"/>
        <v>1.2360109324116764</v>
      </c>
      <c r="AR40" s="436">
        <f t="shared" si="15"/>
        <v>1.4325312292028059E-3</v>
      </c>
      <c r="AS40" s="440">
        <f t="shared" si="16"/>
        <v>1.4409000326493374E-3</v>
      </c>
      <c r="AT40" s="432"/>
      <c r="AU40" s="441">
        <f t="shared" si="17"/>
        <v>0</v>
      </c>
      <c r="AV40" s="442">
        <f t="shared" si="18"/>
        <v>0</v>
      </c>
      <c r="AW40" s="442">
        <f t="shared" si="19"/>
        <v>0</v>
      </c>
      <c r="AX40" s="442">
        <f t="shared" si="20"/>
        <v>0</v>
      </c>
      <c r="AY40" s="443">
        <f t="shared" si="21"/>
        <v>0</v>
      </c>
      <c r="AZ40" s="444">
        <f t="shared" si="43"/>
        <v>-1</v>
      </c>
      <c r="BA40" s="445">
        <f t="shared" si="22"/>
        <v>0</v>
      </c>
      <c r="BB40" s="446">
        <f t="shared" si="22"/>
        <v>0</v>
      </c>
      <c r="BC40" s="446">
        <f t="shared" si="22"/>
        <v>0</v>
      </c>
      <c r="BD40" s="446">
        <f t="shared" si="22"/>
        <v>0</v>
      </c>
      <c r="BE40" s="446">
        <f t="shared" si="22"/>
        <v>0</v>
      </c>
      <c r="BF40" s="447">
        <f t="shared" si="44"/>
        <v>213129.37920395916</v>
      </c>
      <c r="BH40" s="448">
        <f>'Op Cost-26'!E31</f>
        <v>744369</v>
      </c>
      <c r="BI40" s="449">
        <f t="shared" si="23"/>
        <v>0.2863222127788223</v>
      </c>
      <c r="BJ40" s="450">
        <f t="shared" si="24"/>
        <v>213129.37920395916</v>
      </c>
      <c r="BK40" s="451">
        <f t="shared" si="25"/>
        <v>0</v>
      </c>
      <c r="BL40" s="1">
        <f t="shared" si="45"/>
        <v>0.28102995089168731</v>
      </c>
      <c r="BM40" s="112">
        <f t="shared" si="46"/>
        <v>0.13411171801535998</v>
      </c>
      <c r="BN40" s="112">
        <f t="shared" si="47"/>
        <v>0.1529931229926372</v>
      </c>
      <c r="BO40" s="113">
        <f t="shared" si="48"/>
        <v>0.41850748127937604</v>
      </c>
      <c r="BP40" s="452">
        <f t="shared" si="26"/>
        <v>213129.37920395916</v>
      </c>
      <c r="BQ40" s="115">
        <f t="shared" si="49"/>
        <v>4.9759844892418084E-4</v>
      </c>
      <c r="BR40" s="116">
        <f t="shared" si="50"/>
        <v>4.9759844892418084E-4</v>
      </c>
      <c r="BS40" s="453">
        <f t="shared" si="51"/>
        <v>5.232103519166077E-4</v>
      </c>
      <c r="BT40" s="118">
        <f t="shared" si="52"/>
        <v>217045.27102807831</v>
      </c>
      <c r="BU40" s="119">
        <f t="shared" si="53"/>
        <v>223310.69999999998</v>
      </c>
      <c r="BV40" s="119">
        <f t="shared" si="54"/>
        <v>217045.27102807831</v>
      </c>
      <c r="BW40" s="119">
        <f t="shared" si="65"/>
        <v>0</v>
      </c>
      <c r="BX40" s="120">
        <f t="shared" si="55"/>
        <v>4.9759844892418084E-4</v>
      </c>
      <c r="BY40" s="454">
        <f t="shared" si="56"/>
        <v>5.6341619549524571E-4</v>
      </c>
      <c r="BZ40" s="122">
        <f t="shared" si="57"/>
        <v>217201.64220921326</v>
      </c>
      <c r="CA40" s="455">
        <f t="shared" si="27"/>
        <v>1.8931941936064308E-3</v>
      </c>
      <c r="CB40" s="456">
        <f t="shared" si="28"/>
        <v>14169.336743923748</v>
      </c>
      <c r="CC40" s="456">
        <f t="shared" si="29"/>
        <v>227298.71594788291</v>
      </c>
      <c r="CD40" s="457">
        <f t="shared" si="30"/>
        <v>0.30535757930258101</v>
      </c>
      <c r="CE40" s="458">
        <f t="shared" si="31"/>
        <v>1</v>
      </c>
      <c r="CF40" s="17"/>
      <c r="CG40" s="459">
        <f t="shared" si="32"/>
        <v>744369</v>
      </c>
      <c r="CH40" s="460">
        <f t="shared" si="58"/>
        <v>0.30535757930258101</v>
      </c>
      <c r="CI40" s="461">
        <f t="shared" si="33"/>
        <v>223310.69999999998</v>
      </c>
      <c r="CJ40" s="462">
        <f t="shared" si="34"/>
        <v>3988.01594788293</v>
      </c>
      <c r="CL40" s="463">
        <f t="shared" si="35"/>
        <v>0</v>
      </c>
      <c r="CM40" s="464">
        <f t="shared" si="36"/>
        <v>0</v>
      </c>
      <c r="CN40" s="465">
        <f t="shared" si="37"/>
        <v>0</v>
      </c>
      <c r="CO40" s="466">
        <f t="shared" si="59"/>
        <v>223310.69999999998</v>
      </c>
      <c r="CP40" s="467">
        <f t="shared" si="60"/>
        <v>0.3</v>
      </c>
      <c r="CQ40" s="468">
        <f t="shared" si="38"/>
        <v>0</v>
      </c>
      <c r="CR40" s="469"/>
      <c r="CS40" s="470">
        <f t="shared" si="39"/>
        <v>223310.69999999998</v>
      </c>
      <c r="CT40" s="465">
        <f t="shared" si="40"/>
        <v>0</v>
      </c>
      <c r="CU40" s="471">
        <f t="shared" si="41"/>
        <v>223310.69999999998</v>
      </c>
      <c r="CV40" s="472">
        <f t="shared" si="42"/>
        <v>0.3</v>
      </c>
      <c r="CY40" s="473">
        <v>0</v>
      </c>
      <c r="CZ40" s="474">
        <f t="shared" si="61"/>
        <v>223310.69999999998</v>
      </c>
      <c r="DA40" s="475">
        <f t="shared" si="62"/>
        <v>0.3</v>
      </c>
      <c r="DB40" s="1">
        <f t="shared" si="63"/>
        <v>0</v>
      </c>
      <c r="DC40" s="293">
        <f t="shared" si="64"/>
        <v>0.29179297124035697</v>
      </c>
      <c r="DF40" s="476"/>
    </row>
    <row r="41" spans="1:110">
      <c r="A41" s="477" t="s">
        <v>120</v>
      </c>
      <c r="B41" s="428" t="s">
        <v>121</v>
      </c>
      <c r="C41" s="429"/>
      <c r="D41" s="91">
        <f>'Sizing - Reimb Exp-26'!B32</f>
        <v>2428469</v>
      </c>
      <c r="E41" s="92">
        <f>'Ridership-26'!$E32</f>
        <v>212642</v>
      </c>
      <c r="F41" s="92">
        <f>'Revenue Hours-26'!$E32</f>
        <v>36534.629999999997</v>
      </c>
      <c r="G41" s="92">
        <f>'Revenue Miles-26'!$E32</f>
        <v>705618.94</v>
      </c>
      <c r="H41" s="478">
        <f t="shared" si="0"/>
        <v>5.6702484862446237E-3</v>
      </c>
      <c r="I41" s="431">
        <f t="shared" si="1"/>
        <v>5.6702484862446237E-3</v>
      </c>
      <c r="J41" s="432"/>
      <c r="K41" s="433">
        <f>'Ridership-26'!B32/'Revenue Hours-26'!B32</f>
        <v>4.4820247253569612</v>
      </c>
      <c r="L41" s="434">
        <f>'Ridership-26'!C32/'Revenue Hours-26'!C32</f>
        <v>4.4056907707718551</v>
      </c>
      <c r="M41" s="434">
        <f>'Ridership-26'!D32/'Revenue Hours-26'!D32</f>
        <v>5.2133876816389186</v>
      </c>
      <c r="N41" s="434">
        <f>'Ridership-26'!E32/'Revenue Hours-26'!E32</f>
        <v>5.8202861230563991</v>
      </c>
      <c r="O41" s="435">
        <f t="shared" si="2"/>
        <v>0.93497400249378815</v>
      </c>
      <c r="P41" s="436">
        <f t="shared" si="3"/>
        <v>5.3015349223184795E-3</v>
      </c>
      <c r="Q41" s="437">
        <f t="shared" si="4"/>
        <v>5.123898253201864E-3</v>
      </c>
      <c r="R41" s="438">
        <f>'Ridership-26'!B32/'Revenue Miles-26'!B32</f>
        <v>0.24753017027607868</v>
      </c>
      <c r="S41" s="434">
        <f>'Ridership-26'!C32/'Revenue Miles-26'!C32</f>
        <v>0.22914428374898088</v>
      </c>
      <c r="T41" s="434">
        <f>'Ridership-26'!D32/'Revenue Miles-26'!D32</f>
        <v>0.26595741807949275</v>
      </c>
      <c r="U41" s="434">
        <f>'Ridership-26'!E32/'Revenue Miles-26'!E32</f>
        <v>0.30135528958448876</v>
      </c>
      <c r="V41" s="435">
        <f t="shared" si="5"/>
        <v>0.92190780884659318</v>
      </c>
      <c r="W41" s="436">
        <f t="shared" si="6"/>
        <v>5.2274463575694933E-3</v>
      </c>
      <c r="X41" s="437">
        <f t="shared" si="7"/>
        <v>5.0593567735242803E-3</v>
      </c>
      <c r="Y41" s="438">
        <f>'Op Cost-26'!B32/'Revenue Hours-26'!B32</f>
        <v>68.510851019247468</v>
      </c>
      <c r="Z41" s="434">
        <f>'Op Cost-26'!C32/'Revenue Hours-26'!C32</f>
        <v>68.297046322116032</v>
      </c>
      <c r="AA41" s="434">
        <f>'Op Cost-26'!D32/'Revenue Hours-26'!D32</f>
        <v>80.659776077922771</v>
      </c>
      <c r="AB41" s="434">
        <f>'Op Cost-26'!E32/'Revenue Hours-26'!E32</f>
        <v>92.151528563447897</v>
      </c>
      <c r="AC41" s="435">
        <f t="shared" si="8"/>
        <v>1.0561797921469089</v>
      </c>
      <c r="AD41" s="436">
        <f t="shared" si="9"/>
        <v>5.3686394384791659E-3</v>
      </c>
      <c r="AE41" s="437">
        <f t="shared" si="10"/>
        <v>5.3781800445493787E-3</v>
      </c>
      <c r="AF41" s="438">
        <f>'Op Cost-26'!B32/'Revenue Miles-26'!B32</f>
        <v>3.7836700281038187</v>
      </c>
      <c r="AG41" s="434">
        <f>'Op Cost-26'!C32/'Revenue Miles-26'!C32</f>
        <v>3.5521961426517614</v>
      </c>
      <c r="AH41" s="434">
        <f>'Op Cost-26'!D32/'Revenue Miles-26'!D32</f>
        <v>4.1148034826005002</v>
      </c>
      <c r="AI41" s="434">
        <f>'Op Cost-26'!E32/'Revenue Miles-26'!E32</f>
        <v>4.7713033326458048</v>
      </c>
      <c r="AJ41" s="435">
        <f t="shared" si="11"/>
        <v>1.0398241904816219</v>
      </c>
      <c r="AK41" s="436">
        <f t="shared" si="12"/>
        <v>5.4530838368150479E-3</v>
      </c>
      <c r="AL41" s="437">
        <f t="shared" si="13"/>
        <v>5.4622936443161976E-3</v>
      </c>
      <c r="AM41" s="438">
        <f>'Op Cost-26'!B32/'Ridership-26'!B32</f>
        <v>15.285692341599267</v>
      </c>
      <c r="AN41" s="434">
        <f>'Op Cost-26'!C32/'Ridership-26'!C32</f>
        <v>15.502006353966314</v>
      </c>
      <c r="AO41" s="434">
        <f>'Op Cost-26'!D32/'Ridership-26'!D32</f>
        <v>15.471662765844025</v>
      </c>
      <c r="AP41" s="434">
        <f>'Op Cost-26'!E32/'Ridership-26'!E32</f>
        <v>15.832817599533488</v>
      </c>
      <c r="AQ41" s="439">
        <f t="shared" si="14"/>
        <v>1.1428923483074012</v>
      </c>
      <c r="AR41" s="436">
        <f t="shared" si="15"/>
        <v>4.9613145933141813E-3</v>
      </c>
      <c r="AS41" s="440">
        <f t="shared" si="16"/>
        <v>4.9902984408013735E-3</v>
      </c>
      <c r="AT41" s="432"/>
      <c r="AU41" s="441">
        <f t="shared" si="17"/>
        <v>0</v>
      </c>
      <c r="AV41" s="442">
        <f t="shared" si="18"/>
        <v>0</v>
      </c>
      <c r="AW41" s="442">
        <f t="shared" si="19"/>
        <v>0</v>
      </c>
      <c r="AX41" s="442">
        <f t="shared" si="20"/>
        <v>0</v>
      </c>
      <c r="AY41" s="443">
        <f t="shared" si="21"/>
        <v>0</v>
      </c>
      <c r="AZ41" s="444">
        <f t="shared" si="43"/>
        <v>-1</v>
      </c>
      <c r="BA41" s="445">
        <f t="shared" si="22"/>
        <v>0</v>
      </c>
      <c r="BB41" s="446">
        <f t="shared" si="22"/>
        <v>0</v>
      </c>
      <c r="BC41" s="446">
        <f t="shared" si="22"/>
        <v>0</v>
      </c>
      <c r="BD41" s="446">
        <f t="shared" si="22"/>
        <v>0</v>
      </c>
      <c r="BE41" s="446">
        <f t="shared" si="22"/>
        <v>0</v>
      </c>
      <c r="BF41" s="447">
        <f t="shared" si="44"/>
        <v>682525.68706471962</v>
      </c>
      <c r="BH41" s="448">
        <f>'Op Cost-26'!E32</f>
        <v>3366722</v>
      </c>
      <c r="BI41" s="449">
        <f t="shared" si="23"/>
        <v>0.20272707014856575</v>
      </c>
      <c r="BJ41" s="450">
        <f t="shared" si="24"/>
        <v>682525.68706471962</v>
      </c>
      <c r="BK41" s="451">
        <f t="shared" si="25"/>
        <v>0</v>
      </c>
      <c r="BL41" s="1">
        <f t="shared" si="45"/>
        <v>0.56770243448241919</v>
      </c>
      <c r="BM41" s="112">
        <f t="shared" si="46"/>
        <v>0.5132356308420597</v>
      </c>
      <c r="BN41" s="112">
        <f t="shared" si="47"/>
        <v>0.37467836631633383</v>
      </c>
      <c r="BO41" s="113">
        <f t="shared" si="48"/>
        <v>0.69144787038564159</v>
      </c>
      <c r="BP41" s="452">
        <f t="shared" si="26"/>
        <v>682525.68706471962</v>
      </c>
      <c r="BQ41" s="115">
        <f t="shared" si="49"/>
        <v>3.2190138697613252E-3</v>
      </c>
      <c r="BR41" s="116">
        <f t="shared" si="50"/>
        <v>3.2190138697613252E-3</v>
      </c>
      <c r="BS41" s="453">
        <f t="shared" si="51"/>
        <v>3.3846998182240902E-3</v>
      </c>
      <c r="BT41" s="118">
        <f t="shared" si="52"/>
        <v>707857.98084814579</v>
      </c>
      <c r="BU41" s="119">
        <f t="shared" si="53"/>
        <v>1010016.6</v>
      </c>
      <c r="BV41" s="119">
        <f t="shared" si="54"/>
        <v>707857.98084814579</v>
      </c>
      <c r="BW41" s="119">
        <f t="shared" si="65"/>
        <v>0</v>
      </c>
      <c r="BX41" s="120">
        <f t="shared" si="55"/>
        <v>3.2190138697613252E-3</v>
      </c>
      <c r="BY41" s="454">
        <f t="shared" si="56"/>
        <v>3.6447954202198478E-3</v>
      </c>
      <c r="BZ41" s="122">
        <f t="shared" si="57"/>
        <v>708869.56157552265</v>
      </c>
      <c r="CA41" s="455">
        <f t="shared" si="27"/>
        <v>6.0627665344138697E-3</v>
      </c>
      <c r="CB41" s="456">
        <f t="shared" si="28"/>
        <v>45375.894832139042</v>
      </c>
      <c r="CC41" s="456">
        <f t="shared" si="29"/>
        <v>727901.58189685864</v>
      </c>
      <c r="CD41" s="457">
        <f t="shared" si="30"/>
        <v>0.2162048371967922</v>
      </c>
      <c r="CE41" s="458">
        <f t="shared" si="31"/>
        <v>0</v>
      </c>
      <c r="CF41" s="17"/>
      <c r="CG41" s="459">
        <f t="shared" si="32"/>
        <v>3366722</v>
      </c>
      <c r="CH41" s="460">
        <f t="shared" si="58"/>
        <v>0.2162048371967922</v>
      </c>
      <c r="CI41" s="461">
        <f t="shared" si="33"/>
        <v>727901.58189685864</v>
      </c>
      <c r="CJ41" s="462">
        <f t="shared" si="34"/>
        <v>0</v>
      </c>
      <c r="CL41" s="463">
        <f t="shared" si="35"/>
        <v>727901.58189685864</v>
      </c>
      <c r="CM41" s="464">
        <f t="shared" si="36"/>
        <v>6.2586578609769988E-3</v>
      </c>
      <c r="CN41" s="465">
        <f t="shared" si="37"/>
        <v>954.10878202667675</v>
      </c>
      <c r="CO41" s="466">
        <f t="shared" si="59"/>
        <v>728855.69067888532</v>
      </c>
      <c r="CP41" s="467">
        <f t="shared" si="60"/>
        <v>0.21648823118715632</v>
      </c>
      <c r="CQ41" s="468">
        <f t="shared" si="38"/>
        <v>0</v>
      </c>
      <c r="CR41" s="469"/>
      <c r="CS41" s="470">
        <f t="shared" si="39"/>
        <v>1010016.6</v>
      </c>
      <c r="CT41" s="465">
        <f t="shared" si="40"/>
        <v>0</v>
      </c>
      <c r="CU41" s="471">
        <f t="shared" si="41"/>
        <v>728855.69067888532</v>
      </c>
      <c r="CV41" s="472">
        <f t="shared" si="42"/>
        <v>0.21648823118715632</v>
      </c>
      <c r="CY41" s="473">
        <v>0</v>
      </c>
      <c r="CZ41" s="474">
        <f t="shared" si="61"/>
        <v>728855.69067888532</v>
      </c>
      <c r="DA41" s="475">
        <f t="shared" si="62"/>
        <v>0.21648823118715632</v>
      </c>
      <c r="DB41" s="1">
        <f t="shared" si="63"/>
        <v>0</v>
      </c>
      <c r="DC41" s="293">
        <f t="shared" si="64"/>
        <v>0.21055185476422544</v>
      </c>
      <c r="DF41" s="476"/>
    </row>
    <row r="42" spans="1:110">
      <c r="A42" s="477" t="s">
        <v>120</v>
      </c>
      <c r="B42" s="428" t="s">
        <v>122</v>
      </c>
      <c r="C42" s="429"/>
      <c r="D42" s="91">
        <f>'Sizing - Reimb Exp-26'!B33</f>
        <v>7144704</v>
      </c>
      <c r="E42" s="92">
        <f>'Ridership-26'!$E33</f>
        <v>1877126</v>
      </c>
      <c r="F42" s="92">
        <f>'Revenue Hours-26'!$E33</f>
        <v>76614</v>
      </c>
      <c r="G42" s="92">
        <f>'Revenue Miles-26'!$E33</f>
        <v>768657</v>
      </c>
      <c r="H42" s="478">
        <f t="shared" si="0"/>
        <v>2.0972505324955166E-2</v>
      </c>
      <c r="I42" s="431">
        <f t="shared" si="1"/>
        <v>2.0972505324955166E-2</v>
      </c>
      <c r="J42" s="432"/>
      <c r="K42" s="433">
        <f>'Ridership-26'!B33/'Revenue Hours-26'!B33</f>
        <v>6.5232631919715116</v>
      </c>
      <c r="L42" s="434">
        <f>'Ridership-26'!C33/'Revenue Hours-26'!C33</f>
        <v>18.24961092626382</v>
      </c>
      <c r="M42" s="434">
        <f>'Ridership-26'!D33/'Revenue Hours-26'!D33</f>
        <v>21.145138445302301</v>
      </c>
      <c r="N42" s="434">
        <f>'Ridership-26'!E33/'Revenue Hours-26'!E33</f>
        <v>24.501083352912001</v>
      </c>
      <c r="O42" s="435">
        <f t="shared" si="2"/>
        <v>1.4130477342171865</v>
      </c>
      <c r="P42" s="436">
        <f t="shared" si="3"/>
        <v>2.9635151130285777E-2</v>
      </c>
      <c r="Q42" s="437">
        <f t="shared" si="4"/>
        <v>2.8642176527140229E-2</v>
      </c>
      <c r="R42" s="438">
        <f>'Ridership-26'!B33/'Revenue Miles-26'!B33</f>
        <v>0.66929775146545356</v>
      </c>
      <c r="S42" s="434">
        <f>'Ridership-26'!C33/'Revenue Miles-26'!C33</f>
        <v>1.8049204125068334</v>
      </c>
      <c r="T42" s="434">
        <f>'Ridership-26'!D33/'Revenue Miles-26'!D33</f>
        <v>2.1042721223804488</v>
      </c>
      <c r="U42" s="434">
        <f>'Ridership-26'!E33/'Revenue Miles-26'!E33</f>
        <v>2.4420853514636569</v>
      </c>
      <c r="V42" s="435">
        <f t="shared" si="5"/>
        <v>1.4013283640407588</v>
      </c>
      <c r="W42" s="436">
        <f t="shared" si="6"/>
        <v>2.9389366576855525E-2</v>
      </c>
      <c r="X42" s="437">
        <f t="shared" si="7"/>
        <v>2.8444345611484432E-2</v>
      </c>
      <c r="Y42" s="438">
        <f>'Op Cost-26'!B33/'Revenue Hours-26'!B33</f>
        <v>76.682473292327614</v>
      </c>
      <c r="Z42" s="434">
        <f>'Op Cost-26'!C33/'Revenue Hours-26'!C33</f>
        <v>79.970349898035849</v>
      </c>
      <c r="AA42" s="434">
        <f>'Op Cost-26'!D33/'Revenue Hours-26'!D33</f>
        <v>91.352487016413477</v>
      </c>
      <c r="AB42" s="434">
        <f>'Op Cost-26'!E33/'Revenue Hours-26'!E33</f>
        <v>97.052784086459397</v>
      </c>
      <c r="AC42" s="435">
        <f t="shared" si="8"/>
        <v>1.0338380562910368</v>
      </c>
      <c r="AD42" s="436">
        <f t="shared" si="9"/>
        <v>2.0286064337963563E-2</v>
      </c>
      <c r="AE42" s="437">
        <f t="shared" si="10"/>
        <v>2.0322114691275858E-2</v>
      </c>
      <c r="AF42" s="438">
        <f>'Op Cost-26'!B33/'Revenue Miles-26'!B33</f>
        <v>7.8677504557122129</v>
      </c>
      <c r="AG42" s="434">
        <f>'Op Cost-26'!C33/'Revenue Miles-26'!C33</f>
        <v>7.9092161202490328</v>
      </c>
      <c r="AH42" s="434">
        <f>'Op Cost-26'!D33/'Revenue Miles-26'!D33</f>
        <v>9.0910018033704372</v>
      </c>
      <c r="AI42" s="434">
        <f>'Op Cost-26'!E33/'Revenue Miles-26'!E33</f>
        <v>9.6734980622045992</v>
      </c>
      <c r="AJ42" s="435">
        <f t="shared" si="11"/>
        <v>1.0288308715377539</v>
      </c>
      <c r="AK42" s="436">
        <f t="shared" si="12"/>
        <v>2.0384793949279893E-2</v>
      </c>
      <c r="AL42" s="437">
        <f t="shared" si="13"/>
        <v>2.0419222179954798E-2</v>
      </c>
      <c r="AM42" s="438">
        <f>'Op Cost-26'!B33/'Ridership-26'!B33</f>
        <v>11.755232164586637</v>
      </c>
      <c r="AN42" s="434">
        <f>'Op Cost-26'!C33/'Ridership-26'!C33</f>
        <v>4.3820304016973317</v>
      </c>
      <c r="AO42" s="434">
        <f>'Op Cost-26'!D33/'Ridership-26'!D33</f>
        <v>4.3202595836731801</v>
      </c>
      <c r="AP42" s="434">
        <f>'Op Cost-26'!E33/'Ridership-26'!E33</f>
        <v>3.9611629693478223</v>
      </c>
      <c r="AQ42" s="439">
        <f t="shared" si="14"/>
        <v>0.83032174110192136</v>
      </c>
      <c r="AR42" s="436">
        <f t="shared" si="15"/>
        <v>2.525828758515045E-2</v>
      </c>
      <c r="AS42" s="440">
        <f t="shared" si="16"/>
        <v>2.5405845725515543E-2</v>
      </c>
      <c r="AT42" s="432"/>
      <c r="AU42" s="441">
        <f t="shared" si="17"/>
        <v>0</v>
      </c>
      <c r="AV42" s="442">
        <f t="shared" si="18"/>
        <v>0</v>
      </c>
      <c r="AW42" s="442">
        <f t="shared" si="19"/>
        <v>0</v>
      </c>
      <c r="AX42" s="442">
        <f t="shared" si="20"/>
        <v>0</v>
      </c>
      <c r="AY42" s="443">
        <f t="shared" si="21"/>
        <v>0</v>
      </c>
      <c r="AZ42" s="444">
        <f t="shared" si="43"/>
        <v>-1</v>
      </c>
      <c r="BA42" s="445">
        <f t="shared" si="22"/>
        <v>0</v>
      </c>
      <c r="BB42" s="446">
        <f t="shared" si="22"/>
        <v>0</v>
      </c>
      <c r="BC42" s="446">
        <f t="shared" si="22"/>
        <v>0</v>
      </c>
      <c r="BD42" s="446">
        <f t="shared" si="22"/>
        <v>0</v>
      </c>
      <c r="BE42" s="446">
        <f t="shared" si="22"/>
        <v>0</v>
      </c>
      <c r="BF42" s="447">
        <f t="shared" si="44"/>
        <v>2524452.6128102345</v>
      </c>
      <c r="BH42" s="448">
        <f>'Op Cost-26'!E33</f>
        <v>7435602</v>
      </c>
      <c r="BI42" s="449">
        <f t="shared" si="23"/>
        <v>0.33950884041537382</v>
      </c>
      <c r="BJ42" s="450">
        <f t="shared" si="24"/>
        <v>2230680.6</v>
      </c>
      <c r="BK42" s="451">
        <f t="shared" si="25"/>
        <v>293772.01281023445</v>
      </c>
      <c r="BL42" s="1">
        <f t="shared" si="45"/>
        <v>2.6810601291544045</v>
      </c>
      <c r="BM42" s="112">
        <f t="shared" si="46"/>
        <v>2.1605173190939753</v>
      </c>
      <c r="BN42" s="112">
        <f t="shared" si="47"/>
        <v>3.0362717414154496</v>
      </c>
      <c r="BO42" s="113">
        <f t="shared" si="48"/>
        <v>2.7637257280540966</v>
      </c>
      <c r="BP42" s="452">
        <f t="shared" si="26"/>
        <v>0</v>
      </c>
      <c r="BQ42" s="115">
        <f t="shared" si="49"/>
        <v>5.6228547835215734E-2</v>
      </c>
      <c r="BR42" s="116">
        <f t="shared" si="50"/>
        <v>0</v>
      </c>
      <c r="BS42" s="453">
        <f t="shared" si="51"/>
        <v>0</v>
      </c>
      <c r="BT42" s="118">
        <f t="shared" si="52"/>
        <v>2230680.6</v>
      </c>
      <c r="BU42" s="119">
        <f t="shared" si="53"/>
        <v>2230680.6</v>
      </c>
      <c r="BV42" s="119">
        <f t="shared" si="54"/>
        <v>2230680.6</v>
      </c>
      <c r="BW42" s="119">
        <f t="shared" si="65"/>
        <v>0</v>
      </c>
      <c r="BX42" s="120">
        <f t="shared" si="55"/>
        <v>0</v>
      </c>
      <c r="BY42" s="454">
        <f t="shared" si="56"/>
        <v>0</v>
      </c>
      <c r="BZ42" s="122">
        <f t="shared" si="57"/>
        <v>2230680.6</v>
      </c>
      <c r="CA42" s="455">
        <f t="shared" si="27"/>
        <v>0</v>
      </c>
      <c r="CB42" s="456">
        <f t="shared" si="28"/>
        <v>0</v>
      </c>
      <c r="CC42" s="456">
        <f t="shared" si="29"/>
        <v>2230680.6</v>
      </c>
      <c r="CD42" s="457">
        <f t="shared" si="30"/>
        <v>0.3</v>
      </c>
      <c r="CE42" s="458">
        <f t="shared" si="31"/>
        <v>0</v>
      </c>
      <c r="CF42" s="17"/>
      <c r="CG42" s="459">
        <f t="shared" si="32"/>
        <v>7435602</v>
      </c>
      <c r="CH42" s="460">
        <f t="shared" si="58"/>
        <v>0.3</v>
      </c>
      <c r="CI42" s="461">
        <f t="shared" si="33"/>
        <v>2230680.6</v>
      </c>
      <c r="CJ42" s="462">
        <f t="shared" si="34"/>
        <v>0</v>
      </c>
      <c r="CL42" s="463">
        <f t="shared" si="35"/>
        <v>0</v>
      </c>
      <c r="CM42" s="464">
        <f t="shared" si="36"/>
        <v>0</v>
      </c>
      <c r="CN42" s="465">
        <f t="shared" si="37"/>
        <v>0</v>
      </c>
      <c r="CO42" s="466">
        <f t="shared" si="59"/>
        <v>2230680.6</v>
      </c>
      <c r="CP42" s="467">
        <f t="shared" si="60"/>
        <v>0.3</v>
      </c>
      <c r="CQ42" s="468">
        <f t="shared" si="38"/>
        <v>0</v>
      </c>
      <c r="CR42" s="469"/>
      <c r="CS42" s="470">
        <f t="shared" si="39"/>
        <v>2230680.6</v>
      </c>
      <c r="CT42" s="465">
        <f t="shared" si="40"/>
        <v>0</v>
      </c>
      <c r="CU42" s="471">
        <f t="shared" si="41"/>
        <v>2230680.6</v>
      </c>
      <c r="CV42" s="472">
        <f t="shared" si="42"/>
        <v>0.3</v>
      </c>
      <c r="CY42" s="473">
        <v>0</v>
      </c>
      <c r="CZ42" s="474">
        <f t="shared" si="61"/>
        <v>2230680.6</v>
      </c>
      <c r="DA42" s="475">
        <f t="shared" si="62"/>
        <v>0.3</v>
      </c>
      <c r="DB42" s="1">
        <f t="shared" si="63"/>
        <v>0</v>
      </c>
      <c r="DC42" s="293">
        <f t="shared" si="64"/>
        <v>0.3</v>
      </c>
      <c r="DF42" s="476"/>
    </row>
    <row r="43" spans="1:110">
      <c r="A43" s="477" t="s">
        <v>120</v>
      </c>
      <c r="B43" s="428" t="s">
        <v>123</v>
      </c>
      <c r="C43" s="429"/>
      <c r="D43" s="91">
        <f>'Sizing - Reimb Exp-26'!B34</f>
        <v>2376491</v>
      </c>
      <c r="E43" s="92">
        <f>'Ridership-26'!$E34</f>
        <v>181306</v>
      </c>
      <c r="F43" s="92">
        <f>'Revenue Hours-26'!$E34</f>
        <v>25268</v>
      </c>
      <c r="G43" s="92">
        <f>'Revenue Miles-26'!$E34</f>
        <v>331246</v>
      </c>
      <c r="H43" s="430">
        <f t="shared" si="0"/>
        <v>4.2200607362598746E-3</v>
      </c>
      <c r="I43" s="431">
        <f t="shared" si="1"/>
        <v>4.2200607362598746E-3</v>
      </c>
      <c r="J43" s="432"/>
      <c r="K43" s="433">
        <f>'Ridership-26'!B34/'Revenue Hours-26'!B34</f>
        <v>5.1692512721104915</v>
      </c>
      <c r="L43" s="434">
        <f>'Ridership-26'!C34/'Revenue Hours-26'!C34</f>
        <v>7.7540727902946278</v>
      </c>
      <c r="M43" s="434">
        <f>'Ridership-26'!D34/'Revenue Hours-26'!D34</f>
        <v>8.9334289529650324</v>
      </c>
      <c r="N43" s="434">
        <f>'Ridership-26'!E34/'Revenue Hours-26'!E34</f>
        <v>7.1753205635586514</v>
      </c>
      <c r="O43" s="435">
        <f t="shared" si="2"/>
        <v>0.9631888761247418</v>
      </c>
      <c r="P43" s="436">
        <f t="shared" si="3"/>
        <v>4.064715557736299E-3</v>
      </c>
      <c r="Q43" s="437">
        <f t="shared" si="4"/>
        <v>3.9285205607849259E-3</v>
      </c>
      <c r="R43" s="438">
        <f>'Ridership-26'!B34/'Revenue Miles-26'!B34</f>
        <v>0.48672727894958989</v>
      </c>
      <c r="S43" s="434">
        <f>'Ridership-26'!C34/'Revenue Miles-26'!C34</f>
        <v>0.72460145651246777</v>
      </c>
      <c r="T43" s="434">
        <f>'Ridership-26'!D34/'Revenue Miles-26'!D34</f>
        <v>0.79643813026090104</v>
      </c>
      <c r="U43" s="434">
        <f>'Ridership-26'!E34/'Revenue Miles-26'!E34</f>
        <v>0.54734547737934947</v>
      </c>
      <c r="V43" s="435">
        <f t="shared" si="5"/>
        <v>0.91548196708866847</v>
      </c>
      <c r="W43" s="436">
        <f t="shared" si="6"/>
        <v>3.8633895040648446E-3</v>
      </c>
      <c r="X43" s="437">
        <f t="shared" si="7"/>
        <v>3.7391614411976747E-3</v>
      </c>
      <c r="Y43" s="438">
        <f>'Op Cost-26'!B34/'Revenue Hours-26'!B34</f>
        <v>76.918100314998782</v>
      </c>
      <c r="Z43" s="434">
        <f>'Op Cost-26'!C34/'Revenue Hours-26'!C34</f>
        <v>82.248006932409012</v>
      </c>
      <c r="AA43" s="434">
        <f>'Op Cost-26'!D34/'Revenue Hours-26'!D34</f>
        <v>95.121865571986746</v>
      </c>
      <c r="AB43" s="434">
        <f>'Op Cost-26'!E34/'Revenue Hours-26'!E34</f>
        <v>94.216123159727715</v>
      </c>
      <c r="AC43" s="435">
        <f t="shared" si="8"/>
        <v>1.0237533675916397</v>
      </c>
      <c r="AD43" s="436">
        <f t="shared" si="9"/>
        <v>4.1221458896760332E-3</v>
      </c>
      <c r="AE43" s="437">
        <f t="shared" si="10"/>
        <v>4.1294713527748337E-3</v>
      </c>
      <c r="AF43" s="438">
        <f>'Op Cost-26'!B34/'Revenue Miles-26'!B34</f>
        <v>7.2424681443287211</v>
      </c>
      <c r="AG43" s="434">
        <f>'Op Cost-26'!C34/'Revenue Miles-26'!C34</f>
        <v>7.6858996852680619</v>
      </c>
      <c r="AH43" s="434">
        <f>'Op Cost-26'!D34/'Revenue Miles-26'!D34</f>
        <v>8.480358568020776</v>
      </c>
      <c r="AI43" s="434">
        <f>'Op Cost-26'!E34/'Revenue Miles-26'!E34</f>
        <v>7.1869637671096402</v>
      </c>
      <c r="AJ43" s="435">
        <f t="shared" si="11"/>
        <v>0.96417599187899372</v>
      </c>
      <c r="AK43" s="436">
        <f t="shared" si="12"/>
        <v>4.3768573080063804E-3</v>
      </c>
      <c r="AL43" s="437">
        <f t="shared" si="13"/>
        <v>4.384249457929805E-3</v>
      </c>
      <c r="AM43" s="438">
        <f>'Op Cost-26'!B34/'Ridership-26'!B34</f>
        <v>14.879930625541988</v>
      </c>
      <c r="AN43" s="434">
        <f>'Op Cost-26'!C34/'Ridership-26'!C34</f>
        <v>10.607071813325586</v>
      </c>
      <c r="AO43" s="434">
        <f>'Op Cost-26'!D34/'Ridership-26'!D34</f>
        <v>10.647856055363322</v>
      </c>
      <c r="AP43" s="434">
        <f>'Op Cost-26'!E34/'Ridership-26'!E34</f>
        <v>13.13058034483139</v>
      </c>
      <c r="AQ43" s="439">
        <f t="shared" si="14"/>
        <v>1.0897265159750711</v>
      </c>
      <c r="AR43" s="436">
        <f t="shared" si="15"/>
        <v>3.8725869971915172E-3</v>
      </c>
      <c r="AS43" s="440">
        <f t="shared" si="16"/>
        <v>3.8952105314980778E-3</v>
      </c>
      <c r="AT43" s="432"/>
      <c r="AU43" s="441">
        <f t="shared" si="17"/>
        <v>0</v>
      </c>
      <c r="AV43" s="442">
        <f t="shared" si="18"/>
        <v>0</v>
      </c>
      <c r="AW43" s="442">
        <f t="shared" si="19"/>
        <v>0</v>
      </c>
      <c r="AX43" s="442">
        <f t="shared" si="20"/>
        <v>0</v>
      </c>
      <c r="AY43" s="443">
        <f t="shared" si="21"/>
        <v>0</v>
      </c>
      <c r="AZ43" s="444">
        <f t="shared" si="43"/>
        <v>-1</v>
      </c>
      <c r="BA43" s="445">
        <f t="shared" si="22"/>
        <v>0</v>
      </c>
      <c r="BB43" s="446">
        <f t="shared" si="22"/>
        <v>0</v>
      </c>
      <c r="BC43" s="446">
        <f t="shared" si="22"/>
        <v>0</v>
      </c>
      <c r="BD43" s="446">
        <f t="shared" si="22"/>
        <v>0</v>
      </c>
      <c r="BE43" s="446">
        <f t="shared" si="22"/>
        <v>0</v>
      </c>
      <c r="BF43" s="447">
        <f t="shared" si="44"/>
        <v>507967.13062185841</v>
      </c>
      <c r="BH43" s="448">
        <f>'Op Cost-26'!E34</f>
        <v>2380653</v>
      </c>
      <c r="BI43" s="449">
        <f t="shared" si="23"/>
        <v>0.21337302438526673</v>
      </c>
      <c r="BJ43" s="450">
        <f t="shared" si="24"/>
        <v>507967.13062185841</v>
      </c>
      <c r="BK43" s="451">
        <f t="shared" si="25"/>
        <v>0</v>
      </c>
      <c r="BL43" s="1">
        <f t="shared" si="45"/>
        <v>0.74518394561845747</v>
      </c>
      <c r="BM43" s="112">
        <f t="shared" si="46"/>
        <v>0.63272321979905921</v>
      </c>
      <c r="BN43" s="112">
        <f t="shared" si="47"/>
        <v>0.68052068891139261</v>
      </c>
      <c r="BO43" s="113">
        <f t="shared" si="48"/>
        <v>0.83374593688168896</v>
      </c>
      <c r="BP43" s="452">
        <f t="shared" si="26"/>
        <v>507967.13062185841</v>
      </c>
      <c r="BQ43" s="115">
        <f t="shared" si="49"/>
        <v>3.1447215101956657E-3</v>
      </c>
      <c r="BR43" s="116">
        <f t="shared" si="50"/>
        <v>3.1447215101956657E-3</v>
      </c>
      <c r="BS43" s="453">
        <f t="shared" si="51"/>
        <v>3.3065835546442842E-3</v>
      </c>
      <c r="BT43" s="118">
        <f t="shared" si="52"/>
        <v>532714.7745856425</v>
      </c>
      <c r="BU43" s="119">
        <f t="shared" si="53"/>
        <v>714195.9</v>
      </c>
      <c r="BV43" s="119">
        <f t="shared" si="54"/>
        <v>532714.7745856425</v>
      </c>
      <c r="BW43" s="119">
        <f t="shared" si="65"/>
        <v>0</v>
      </c>
      <c r="BX43" s="120">
        <f t="shared" si="55"/>
        <v>3.1447215101956657E-3</v>
      </c>
      <c r="BY43" s="454">
        <f t="shared" si="56"/>
        <v>3.5606763505737393E-3</v>
      </c>
      <c r="BZ43" s="122">
        <f t="shared" si="57"/>
        <v>533703.00880934822</v>
      </c>
      <c r="CA43" s="455">
        <f t="shared" si="27"/>
        <v>4.5121907914718743E-3</v>
      </c>
      <c r="CB43" s="456">
        <f t="shared" si="28"/>
        <v>33770.836078577137</v>
      </c>
      <c r="CC43" s="456">
        <f t="shared" si="29"/>
        <v>541737.9667004355</v>
      </c>
      <c r="CD43" s="457">
        <f t="shared" si="30"/>
        <v>0.22755855922742016</v>
      </c>
      <c r="CE43" s="458">
        <f t="shared" si="31"/>
        <v>0</v>
      </c>
      <c r="CF43" s="17"/>
      <c r="CG43" s="459">
        <f t="shared" si="32"/>
        <v>2380653</v>
      </c>
      <c r="CH43" s="460">
        <f t="shared" si="58"/>
        <v>0.22755855922742016</v>
      </c>
      <c r="CI43" s="461">
        <f t="shared" si="33"/>
        <v>541737.9667004355</v>
      </c>
      <c r="CJ43" s="462">
        <f t="shared" si="34"/>
        <v>0</v>
      </c>
      <c r="CL43" s="463">
        <f t="shared" si="35"/>
        <v>541737.9667004355</v>
      </c>
      <c r="CM43" s="464">
        <f t="shared" si="36"/>
        <v>4.657982161604653E-3</v>
      </c>
      <c r="CN43" s="465">
        <f t="shared" si="37"/>
        <v>710.0918097185845</v>
      </c>
      <c r="CO43" s="466">
        <f t="shared" si="59"/>
        <v>542448.05851015414</v>
      </c>
      <c r="CP43" s="467">
        <f t="shared" si="60"/>
        <v>0.22785683529273446</v>
      </c>
      <c r="CQ43" s="468">
        <f t="shared" si="38"/>
        <v>0</v>
      </c>
      <c r="CR43" s="469"/>
      <c r="CS43" s="470">
        <f t="shared" si="39"/>
        <v>714195.9</v>
      </c>
      <c r="CT43" s="465">
        <f t="shared" si="40"/>
        <v>0</v>
      </c>
      <c r="CU43" s="471">
        <f t="shared" si="41"/>
        <v>542448.05851015414</v>
      </c>
      <c r="CV43" s="472">
        <f t="shared" si="42"/>
        <v>0.22785683529273446</v>
      </c>
      <c r="CY43" s="473">
        <v>0</v>
      </c>
      <c r="CZ43" s="474">
        <f t="shared" si="61"/>
        <v>542448.05851015414</v>
      </c>
      <c r="DA43" s="475">
        <f t="shared" si="62"/>
        <v>0.22785683529273446</v>
      </c>
      <c r="DB43" s="1">
        <f t="shared" si="63"/>
        <v>0</v>
      </c>
      <c r="DC43" s="293">
        <f t="shared" si="64"/>
        <v>0.22418345252724703</v>
      </c>
      <c r="DF43" s="476"/>
    </row>
    <row r="44" spans="1:110">
      <c r="A44" s="477" t="s">
        <v>124</v>
      </c>
      <c r="B44" s="428" t="s">
        <v>125</v>
      </c>
      <c r="C44" s="429"/>
      <c r="D44" s="91">
        <f>'Sizing - Reimb Exp-26'!B35</f>
        <v>5173162</v>
      </c>
      <c r="E44" s="92">
        <f>'Ridership-26'!$E35</f>
        <v>131277</v>
      </c>
      <c r="F44" s="92">
        <f>'Revenue Hours-26'!$E35</f>
        <v>61710.71</v>
      </c>
      <c r="G44" s="92">
        <f>'Revenue Miles-26'!$E35</f>
        <v>1392527</v>
      </c>
      <c r="H44" s="478">
        <f t="shared" si="0"/>
        <v>9.1906277955202675E-3</v>
      </c>
      <c r="I44" s="431">
        <f t="shared" si="1"/>
        <v>9.1906277955202675E-3</v>
      </c>
      <c r="J44" s="432"/>
      <c r="K44" s="433">
        <f>'Ridership-26'!B35/'Revenue Hours-26'!B35</f>
        <v>1.944317205840252</v>
      </c>
      <c r="L44" s="434">
        <f>'Ridership-26'!C35/'Revenue Hours-26'!C35</f>
        <v>2.0984220777077214</v>
      </c>
      <c r="M44" s="434">
        <f>'Ridership-26'!D35/'Revenue Hours-26'!D35</f>
        <v>2.1059981833517161</v>
      </c>
      <c r="N44" s="434">
        <f>'Ridership-26'!E35/'Revenue Hours-26'!E35</f>
        <v>2.1272968662976006</v>
      </c>
      <c r="O44" s="435">
        <f t="shared" si="2"/>
        <v>0.87651228790853652</v>
      </c>
      <c r="P44" s="436">
        <f t="shared" si="3"/>
        <v>8.0556981963672593E-3</v>
      </c>
      <c r="Q44" s="437">
        <f t="shared" si="4"/>
        <v>7.7857787454951709E-3</v>
      </c>
      <c r="R44" s="438">
        <f>'Ridership-26'!B35/'Revenue Miles-26'!B35</f>
        <v>8.4847547858705061E-2</v>
      </c>
      <c r="S44" s="434">
        <f>'Ridership-26'!C35/'Revenue Miles-26'!C35</f>
        <v>9.06701755136681E-2</v>
      </c>
      <c r="T44" s="434">
        <f>'Ridership-26'!D35/'Revenue Miles-26'!D35</f>
        <v>9.3205239748349655E-2</v>
      </c>
      <c r="U44" s="434">
        <f>'Ridership-26'!E35/'Revenue Miles-26'!E35</f>
        <v>9.4272498845623817E-2</v>
      </c>
      <c r="V44" s="435">
        <f t="shared" si="5"/>
        <v>0.8848941187265198</v>
      </c>
      <c r="W44" s="436">
        <f t="shared" si="6"/>
        <v>8.1327324836603654E-3</v>
      </c>
      <c r="X44" s="437">
        <f t="shared" si="7"/>
        <v>7.871222842657552E-3</v>
      </c>
      <c r="Y44" s="438">
        <f>'Op Cost-26'!B35/'Revenue Hours-26'!B35</f>
        <v>69.859111079301456</v>
      </c>
      <c r="Z44" s="434">
        <f>'Op Cost-26'!C35/'Revenue Hours-26'!C35</f>
        <v>76.546396857359781</v>
      </c>
      <c r="AA44" s="434">
        <f>'Op Cost-26'!D35/'Revenue Hours-26'!D35</f>
        <v>81.113410757153048</v>
      </c>
      <c r="AB44" s="434">
        <f>'Op Cost-26'!E35/'Revenue Hours-26'!E35</f>
        <v>94.049687647411616</v>
      </c>
      <c r="AC44" s="435">
        <f t="shared" si="8"/>
        <v>1.0573411582619359</v>
      </c>
      <c r="AD44" s="436">
        <f t="shared" si="9"/>
        <v>8.6922066011578328E-3</v>
      </c>
      <c r="AE44" s="437">
        <f t="shared" si="10"/>
        <v>8.7076535165286368E-3</v>
      </c>
      <c r="AF44" s="438">
        <f>'Op Cost-26'!B35/'Revenue Miles-26'!B35</f>
        <v>3.0485633994613872</v>
      </c>
      <c r="AG44" s="434">
        <f>'Op Cost-26'!C35/'Revenue Miles-26'!C35</f>
        <v>3.3074734162048824</v>
      </c>
      <c r="AH44" s="434">
        <f>'Op Cost-26'!D35/'Revenue Miles-26'!D35</f>
        <v>3.5898392297730726</v>
      </c>
      <c r="AI44" s="434">
        <f>'Op Cost-26'!E35/'Revenue Miles-26'!E35</f>
        <v>4.1678710717996852</v>
      </c>
      <c r="AJ44" s="435">
        <f t="shared" si="11"/>
        <v>1.0673150531526312</v>
      </c>
      <c r="AK44" s="436">
        <f t="shared" si="12"/>
        <v>8.6109792683735E-3</v>
      </c>
      <c r="AL44" s="437">
        <f t="shared" si="13"/>
        <v>8.6255225000257812E-3</v>
      </c>
      <c r="AM44" s="438">
        <f>'Op Cost-26'!B35/'Ridership-26'!B35</f>
        <v>35.929893985128473</v>
      </c>
      <c r="AN44" s="434">
        <f>'Op Cost-26'!C35/'Ridership-26'!C35</f>
        <v>36.47807448774924</v>
      </c>
      <c r="AO44" s="434">
        <f>'Op Cost-26'!D35/'Ridership-26'!D35</f>
        <v>38.515422946880371</v>
      </c>
      <c r="AP44" s="434">
        <f>'Op Cost-26'!E35/'Ridership-26'!E35</f>
        <v>44.210889950257851</v>
      </c>
      <c r="AQ44" s="439">
        <f t="shared" si="14"/>
        <v>1.2071736239215365</v>
      </c>
      <c r="AR44" s="436">
        <f t="shared" si="15"/>
        <v>7.61334377540843E-3</v>
      </c>
      <c r="AS44" s="440">
        <f t="shared" si="16"/>
        <v>7.6578206959309397E-3</v>
      </c>
      <c r="AT44" s="432"/>
      <c r="AU44" s="441">
        <f t="shared" si="17"/>
        <v>0</v>
      </c>
      <c r="AV44" s="442">
        <f t="shared" si="18"/>
        <v>0</v>
      </c>
      <c r="AW44" s="442">
        <f t="shared" si="19"/>
        <v>0</v>
      </c>
      <c r="AX44" s="442">
        <f t="shared" si="20"/>
        <v>0</v>
      </c>
      <c r="AY44" s="443">
        <f t="shared" si="21"/>
        <v>0</v>
      </c>
      <c r="AZ44" s="444">
        <f t="shared" si="43"/>
        <v>-1</v>
      </c>
      <c r="BA44" s="445">
        <f t="shared" si="22"/>
        <v>0</v>
      </c>
      <c r="BB44" s="446">
        <f t="shared" si="22"/>
        <v>0</v>
      </c>
      <c r="BC44" s="446">
        <f t="shared" si="22"/>
        <v>0</v>
      </c>
      <c r="BD44" s="446">
        <f t="shared" si="22"/>
        <v>0</v>
      </c>
      <c r="BE44" s="446">
        <f t="shared" si="22"/>
        <v>0</v>
      </c>
      <c r="BF44" s="447">
        <f t="shared" si="44"/>
        <v>1106272.4263161966</v>
      </c>
      <c r="BH44" s="448">
        <f>'Op Cost-26'!E35</f>
        <v>5803873</v>
      </c>
      <c r="BI44" s="449">
        <f t="shared" si="23"/>
        <v>0.19060934419416078</v>
      </c>
      <c r="BJ44" s="450">
        <f t="shared" si="24"/>
        <v>1106272.4263161966</v>
      </c>
      <c r="BK44" s="451">
        <f t="shared" si="25"/>
        <v>0</v>
      </c>
      <c r="BL44" s="1">
        <f t="shared" si="45"/>
        <v>0.20000978829866403</v>
      </c>
      <c r="BM44" s="112">
        <f t="shared" si="46"/>
        <v>0.18758606124835114</v>
      </c>
      <c r="BN44" s="112">
        <f t="shared" si="47"/>
        <v>0.11721004102744931</v>
      </c>
      <c r="BO44" s="113">
        <f t="shared" si="48"/>
        <v>0.24762152545942784</v>
      </c>
      <c r="BP44" s="452">
        <f t="shared" si="26"/>
        <v>1106272.4263161966</v>
      </c>
      <c r="BQ44" s="115">
        <f t="shared" si="49"/>
        <v>1.838215519713826E-3</v>
      </c>
      <c r="BR44" s="116">
        <f t="shared" si="50"/>
        <v>1.838215519713826E-3</v>
      </c>
      <c r="BS44" s="453">
        <f t="shared" si="51"/>
        <v>1.9328303595950041E-3</v>
      </c>
      <c r="BT44" s="118">
        <f t="shared" si="52"/>
        <v>1120738.4141828772</v>
      </c>
      <c r="BU44" s="119">
        <f t="shared" si="53"/>
        <v>1741161.9</v>
      </c>
      <c r="BV44" s="119">
        <f t="shared" si="54"/>
        <v>1120738.4141828772</v>
      </c>
      <c r="BW44" s="119">
        <f t="shared" si="65"/>
        <v>0</v>
      </c>
      <c r="BX44" s="120">
        <f t="shared" si="55"/>
        <v>1.838215519713826E-3</v>
      </c>
      <c r="BY44" s="454">
        <f t="shared" si="56"/>
        <v>2.0813577631856456E-3</v>
      </c>
      <c r="BZ44" s="122">
        <f t="shared" si="57"/>
        <v>1121316.0766185613</v>
      </c>
      <c r="CA44" s="455">
        <f t="shared" si="27"/>
        <v>9.8268410571610929E-3</v>
      </c>
      <c r="CB44" s="456">
        <f t="shared" si="28"/>
        <v>73547.563444977059</v>
      </c>
      <c r="CC44" s="456">
        <f t="shared" si="29"/>
        <v>1179819.9897611737</v>
      </c>
      <c r="CD44" s="457">
        <f t="shared" si="30"/>
        <v>0.20328149664218595</v>
      </c>
      <c r="CE44" s="458">
        <f t="shared" si="31"/>
        <v>0</v>
      </c>
      <c r="CF44" s="17"/>
      <c r="CG44" s="459">
        <f t="shared" si="32"/>
        <v>5803873</v>
      </c>
      <c r="CH44" s="460">
        <f t="shared" si="58"/>
        <v>0.20328149664218595</v>
      </c>
      <c r="CI44" s="461">
        <f t="shared" si="33"/>
        <v>1179819.9897611737</v>
      </c>
      <c r="CJ44" s="462">
        <f t="shared" si="34"/>
        <v>0</v>
      </c>
      <c r="CL44" s="463">
        <f t="shared" si="35"/>
        <v>1179819.9897611737</v>
      </c>
      <c r="CM44" s="464">
        <f t="shared" si="36"/>
        <v>1.0144351705094761E-2</v>
      </c>
      <c r="CN44" s="465">
        <f t="shared" si="37"/>
        <v>1546.4681509666846</v>
      </c>
      <c r="CO44" s="466">
        <f t="shared" si="59"/>
        <v>1181366.4579121405</v>
      </c>
      <c r="CP44" s="467">
        <f t="shared" si="60"/>
        <v>0.20354795115471006</v>
      </c>
      <c r="CQ44" s="468">
        <f t="shared" si="38"/>
        <v>0</v>
      </c>
      <c r="CR44" s="469"/>
      <c r="CS44" s="470">
        <f t="shared" si="39"/>
        <v>1741161.9</v>
      </c>
      <c r="CT44" s="465">
        <f t="shared" si="40"/>
        <v>0</v>
      </c>
      <c r="CU44" s="471">
        <f t="shared" si="41"/>
        <v>1181366.4579121405</v>
      </c>
      <c r="CV44" s="472">
        <f t="shared" si="42"/>
        <v>0.20354795115471006</v>
      </c>
      <c r="CY44" s="473">
        <v>0</v>
      </c>
      <c r="CZ44" s="474">
        <f t="shared" si="61"/>
        <v>1181366.4579121405</v>
      </c>
      <c r="DA44" s="475">
        <f t="shared" si="62"/>
        <v>0.20354795115471006</v>
      </c>
      <c r="DB44" s="1">
        <f t="shared" si="63"/>
        <v>0</v>
      </c>
      <c r="DC44" s="293">
        <f t="shared" si="64"/>
        <v>0.19320134617324694</v>
      </c>
      <c r="DF44" s="476"/>
    </row>
    <row r="45" spans="1:110">
      <c r="A45" s="477" t="s">
        <v>124</v>
      </c>
      <c r="B45" s="428" t="s">
        <v>126</v>
      </c>
      <c r="C45" s="429"/>
      <c r="D45" s="91">
        <f>'Sizing - Reimb Exp-26'!B36</f>
        <v>604843</v>
      </c>
      <c r="E45" s="92">
        <f>'Ridership-26'!$E36</f>
        <v>28882</v>
      </c>
      <c r="F45" s="92">
        <f>'Revenue Hours-26'!$E36</f>
        <v>15534</v>
      </c>
      <c r="G45" s="92">
        <f>'Revenue Miles-26'!$E36</f>
        <v>413556</v>
      </c>
      <c r="H45" s="478">
        <f t="shared" si="0"/>
        <v>2.000041928521097E-3</v>
      </c>
      <c r="I45" s="431">
        <f t="shared" si="1"/>
        <v>2.000041928521097E-3</v>
      </c>
      <c r="J45" s="432"/>
      <c r="K45" s="433">
        <f>'Ridership-26'!B36/'Revenue Hours-26'!B36</f>
        <v>1.3983089137029627</v>
      </c>
      <c r="L45" s="434">
        <f>'Ridership-26'!C36/'Revenue Hours-26'!C36</f>
        <v>1.5445728965960179</v>
      </c>
      <c r="M45" s="434">
        <f>'Ridership-26'!D36/'Revenue Hours-26'!D36</f>
        <v>1.8291929463251384</v>
      </c>
      <c r="N45" s="434">
        <f>'Ridership-26'!E36/'Revenue Hours-26'!E36</f>
        <v>1.8592764259044676</v>
      </c>
      <c r="O45" s="435">
        <f t="shared" si="2"/>
        <v>0.93575618620058609</v>
      </c>
      <c r="P45" s="436">
        <f t="shared" si="3"/>
        <v>1.8715516072741669E-3</v>
      </c>
      <c r="Q45" s="437">
        <f t="shared" si="4"/>
        <v>1.8088421847262833E-3</v>
      </c>
      <c r="R45" s="438">
        <f>'Ridership-26'!B36/'Revenue Miles-26'!B36</f>
        <v>5.2832581392513109E-2</v>
      </c>
      <c r="S45" s="434">
        <f>'Ridership-26'!C36/'Revenue Miles-26'!C36</f>
        <v>5.8014121779238044E-2</v>
      </c>
      <c r="T45" s="434">
        <f>'Ridership-26'!D36/'Revenue Miles-26'!D36</f>
        <v>6.7953110393320887E-2</v>
      </c>
      <c r="U45" s="434">
        <f>'Ridership-26'!E36/'Revenue Miles-26'!E36</f>
        <v>6.9838183946067764E-2</v>
      </c>
      <c r="V45" s="435">
        <f t="shared" si="5"/>
        <v>0.93786015683866342</v>
      </c>
      <c r="W45" s="436">
        <f t="shared" si="6"/>
        <v>1.8757596367666989E-3</v>
      </c>
      <c r="X45" s="437">
        <f t="shared" si="7"/>
        <v>1.8154442101614393E-3</v>
      </c>
      <c r="Y45" s="438">
        <f>'Op Cost-26'!B36/'Revenue Hours-26'!B36</f>
        <v>37.360937197444009</v>
      </c>
      <c r="Z45" s="434">
        <f>'Op Cost-26'!C36/'Revenue Hours-26'!C36</f>
        <v>36.826011560693644</v>
      </c>
      <c r="AA45" s="434">
        <f>'Op Cost-26'!D36/'Revenue Hours-26'!D36</f>
        <v>46.109795340455655</v>
      </c>
      <c r="AB45" s="434">
        <f>'Op Cost-26'!E36/'Revenue Hours-26'!E36</f>
        <v>38.936719454100682</v>
      </c>
      <c r="AC45" s="435">
        <f t="shared" si="8"/>
        <v>0.97827769072150195</v>
      </c>
      <c r="AD45" s="436">
        <f t="shared" si="9"/>
        <v>2.0444521504380019E-3</v>
      </c>
      <c r="AE45" s="437">
        <f t="shared" si="10"/>
        <v>2.0480853451831965E-3</v>
      </c>
      <c r="AF45" s="438">
        <f>'Op Cost-26'!B36/'Revenue Miles-26'!B36</f>
        <v>1.4116156566272406</v>
      </c>
      <c r="AG45" s="434">
        <f>'Op Cost-26'!C36/'Revenue Miles-26'!C36</f>
        <v>1.3831841307289821</v>
      </c>
      <c r="AH45" s="434">
        <f>'Op Cost-26'!D36/'Revenue Miles-26'!D36</f>
        <v>1.712943415443541</v>
      </c>
      <c r="AI45" s="434">
        <f>'Op Cost-26'!E36/'Revenue Miles-26'!E36</f>
        <v>1.4625419532058537</v>
      </c>
      <c r="AJ45" s="435">
        <f t="shared" si="11"/>
        <v>0.97981392718326255</v>
      </c>
      <c r="AK45" s="436">
        <f t="shared" si="12"/>
        <v>2.0412466826949002E-3</v>
      </c>
      <c r="AL45" s="437">
        <f t="shared" si="13"/>
        <v>2.0446941794825088E-3</v>
      </c>
      <c r="AM45" s="438">
        <f>'Op Cost-26'!B36/'Ridership-26'!B36</f>
        <v>26.718657680945348</v>
      </c>
      <c r="AN45" s="434">
        <f>'Op Cost-26'!C36/'Ridership-26'!C36</f>
        <v>23.842197180755957</v>
      </c>
      <c r="AO45" s="434">
        <f>'Op Cost-26'!D36/'Ridership-26'!D36</f>
        <v>25.207726409119697</v>
      </c>
      <c r="AP45" s="434">
        <f>'Op Cost-26'!E36/'Ridership-26'!E36</f>
        <v>20.941866906723909</v>
      </c>
      <c r="AQ45" s="439">
        <f t="shared" si="14"/>
        <v>1.0464177737850957</v>
      </c>
      <c r="AR45" s="436">
        <f t="shared" si="15"/>
        <v>1.9113225889565676E-3</v>
      </c>
      <c r="AS45" s="440">
        <f t="shared" si="16"/>
        <v>1.9224884768226174E-3</v>
      </c>
      <c r="AT45" s="432"/>
      <c r="AU45" s="441">
        <f t="shared" si="17"/>
        <v>0</v>
      </c>
      <c r="AV45" s="442">
        <f t="shared" si="18"/>
        <v>0</v>
      </c>
      <c r="AW45" s="442">
        <f t="shared" si="19"/>
        <v>0</v>
      </c>
      <c r="AX45" s="442">
        <f t="shared" si="20"/>
        <v>0</v>
      </c>
      <c r="AY45" s="443">
        <f t="shared" si="21"/>
        <v>0</v>
      </c>
      <c r="AZ45" s="444">
        <f t="shared" si="43"/>
        <v>-1</v>
      </c>
      <c r="BA45" s="445">
        <f t="shared" si="22"/>
        <v>0</v>
      </c>
      <c r="BB45" s="446">
        <f t="shared" si="22"/>
        <v>0</v>
      </c>
      <c r="BC45" s="446">
        <f t="shared" si="22"/>
        <v>0</v>
      </c>
      <c r="BD45" s="446">
        <f t="shared" si="22"/>
        <v>0</v>
      </c>
      <c r="BE45" s="446">
        <f t="shared" si="22"/>
        <v>0</v>
      </c>
      <c r="BF45" s="447">
        <f t="shared" si="44"/>
        <v>240744.2980203843</v>
      </c>
      <c r="BH45" s="448">
        <f>'Op Cost-26'!E36</f>
        <v>604843</v>
      </c>
      <c r="BI45" s="449">
        <f t="shared" si="23"/>
        <v>0.39802774938353308</v>
      </c>
      <c r="BJ45" s="450">
        <f t="shared" si="24"/>
        <v>181452.9</v>
      </c>
      <c r="BK45" s="451">
        <f t="shared" si="25"/>
        <v>59291.398020384309</v>
      </c>
      <c r="BL45" s="1">
        <f t="shared" si="45"/>
        <v>0.3240755634982842</v>
      </c>
      <c r="BM45" s="112">
        <f t="shared" si="46"/>
        <v>0.163951889852753</v>
      </c>
      <c r="BN45" s="112">
        <f t="shared" si="47"/>
        <v>8.6830586924461703E-2</v>
      </c>
      <c r="BO45" s="113">
        <f t="shared" si="48"/>
        <v>0.52275988860796108</v>
      </c>
      <c r="BP45" s="452">
        <f t="shared" si="26"/>
        <v>0</v>
      </c>
      <c r="BQ45" s="115">
        <f t="shared" si="49"/>
        <v>6.4816471500566959E-4</v>
      </c>
      <c r="BR45" s="116">
        <f t="shared" si="50"/>
        <v>0</v>
      </c>
      <c r="BS45" s="453">
        <f t="shared" si="51"/>
        <v>0</v>
      </c>
      <c r="BT45" s="118">
        <f t="shared" si="52"/>
        <v>181452.9</v>
      </c>
      <c r="BU45" s="119">
        <f t="shared" si="53"/>
        <v>181452.9</v>
      </c>
      <c r="BV45" s="119">
        <f t="shared" si="54"/>
        <v>181452.9</v>
      </c>
      <c r="BW45" s="119">
        <f t="shared" si="65"/>
        <v>0</v>
      </c>
      <c r="BX45" s="120">
        <f t="shared" si="55"/>
        <v>0</v>
      </c>
      <c r="BY45" s="454">
        <f t="shared" si="56"/>
        <v>0</v>
      </c>
      <c r="BZ45" s="122">
        <f t="shared" si="57"/>
        <v>181452.9</v>
      </c>
      <c r="CA45" s="455">
        <f t="shared" si="27"/>
        <v>0</v>
      </c>
      <c r="CB45" s="456">
        <f t="shared" si="28"/>
        <v>0</v>
      </c>
      <c r="CC45" s="456">
        <f t="shared" si="29"/>
        <v>181452.9</v>
      </c>
      <c r="CD45" s="457">
        <f t="shared" si="30"/>
        <v>0.3</v>
      </c>
      <c r="CE45" s="458">
        <f t="shared" si="31"/>
        <v>0</v>
      </c>
      <c r="CF45" s="17"/>
      <c r="CG45" s="459">
        <f t="shared" si="32"/>
        <v>604843</v>
      </c>
      <c r="CH45" s="460">
        <f t="shared" si="58"/>
        <v>0.3</v>
      </c>
      <c r="CI45" s="461">
        <f t="shared" si="33"/>
        <v>181452.9</v>
      </c>
      <c r="CJ45" s="462">
        <f t="shared" si="34"/>
        <v>0</v>
      </c>
      <c r="CL45" s="463">
        <f t="shared" si="35"/>
        <v>0</v>
      </c>
      <c r="CM45" s="464">
        <f t="shared" si="36"/>
        <v>0</v>
      </c>
      <c r="CN45" s="465">
        <f t="shared" si="37"/>
        <v>0</v>
      </c>
      <c r="CO45" s="466">
        <f t="shared" si="59"/>
        <v>181452.9</v>
      </c>
      <c r="CP45" s="467">
        <f t="shared" si="60"/>
        <v>0.3</v>
      </c>
      <c r="CQ45" s="468">
        <f t="shared" si="38"/>
        <v>0</v>
      </c>
      <c r="CR45" s="469"/>
      <c r="CS45" s="470">
        <f t="shared" si="39"/>
        <v>181452.9</v>
      </c>
      <c r="CT45" s="465">
        <f t="shared" si="40"/>
        <v>0</v>
      </c>
      <c r="CU45" s="471">
        <f t="shared" si="41"/>
        <v>181452.9</v>
      </c>
      <c r="CV45" s="472">
        <f t="shared" si="42"/>
        <v>0.3</v>
      </c>
      <c r="CY45" s="473">
        <v>0</v>
      </c>
      <c r="CZ45" s="474">
        <f t="shared" si="61"/>
        <v>181452.9</v>
      </c>
      <c r="DA45" s="475">
        <f t="shared" si="62"/>
        <v>0.3</v>
      </c>
      <c r="DB45" s="1">
        <f t="shared" si="63"/>
        <v>0</v>
      </c>
      <c r="DC45" s="293">
        <f t="shared" si="64"/>
        <v>0.3</v>
      </c>
      <c r="DF45" s="476"/>
    </row>
    <row r="46" spans="1:110">
      <c r="A46" s="477" t="s">
        <v>124</v>
      </c>
      <c r="B46" s="428" t="s">
        <v>127</v>
      </c>
      <c r="C46" s="429"/>
      <c r="D46" s="91">
        <f>'Sizing - Reimb Exp-26'!B37</f>
        <v>4844103</v>
      </c>
      <c r="E46" s="92">
        <f>'Ridership-26'!$E37</f>
        <v>125848</v>
      </c>
      <c r="F46" s="92">
        <f>'Revenue Hours-26'!$E37</f>
        <v>46101.396664300002</v>
      </c>
      <c r="G46" s="92">
        <f>'Revenue Miles-26'!$E37</f>
        <v>906466.02099999995</v>
      </c>
      <c r="H46" s="478">
        <f t="shared" si="0"/>
        <v>7.3477645101618127E-3</v>
      </c>
      <c r="I46" s="431">
        <f t="shared" si="1"/>
        <v>7.3477645101618127E-3</v>
      </c>
      <c r="J46" s="432"/>
      <c r="K46" s="433">
        <f>'Ridership-26'!B37/'Revenue Hours-26'!B37</f>
        <v>2.0644874296866029</v>
      </c>
      <c r="L46" s="434">
        <f>'Ridership-26'!C37/'Revenue Hours-26'!C37</f>
        <v>2.271031556749429</v>
      </c>
      <c r="M46" s="434">
        <f>'Ridership-26'!D37/'Revenue Hours-26'!D37</f>
        <v>2.6724711742855303</v>
      </c>
      <c r="N46" s="434">
        <f>'Ridership-26'!E37/'Revenue Hours-26'!E37</f>
        <v>2.7298088367343145</v>
      </c>
      <c r="O46" s="435">
        <f t="shared" si="2"/>
        <v>0.93402485678415115</v>
      </c>
      <c r="P46" s="436">
        <f t="shared" si="3"/>
        <v>6.8629946942875553E-3</v>
      </c>
      <c r="Q46" s="437">
        <f t="shared" si="4"/>
        <v>6.6330387408662208E-3</v>
      </c>
      <c r="R46" s="438">
        <f>'Ridership-26'!B37/'Revenue Miles-26'!B37</f>
        <v>9.9364322496519109E-2</v>
      </c>
      <c r="S46" s="434">
        <f>'Ridership-26'!C37/'Revenue Miles-26'!C37</f>
        <v>0.11118198611423494</v>
      </c>
      <c r="T46" s="434">
        <f>'Ridership-26'!D37/'Revenue Miles-26'!D37</f>
        <v>0.13217419191779745</v>
      </c>
      <c r="U46" s="434">
        <f>'Ridership-26'!E37/'Revenue Miles-26'!E37</f>
        <v>0.13883366511760292</v>
      </c>
      <c r="V46" s="435">
        <f t="shared" si="5"/>
        <v>0.95531263932332255</v>
      </c>
      <c r="W46" s="436">
        <f t="shared" si="6"/>
        <v>7.0194123073289219E-3</v>
      </c>
      <c r="X46" s="437">
        <f t="shared" si="7"/>
        <v>6.793701699457786E-3</v>
      </c>
      <c r="Y46" s="438">
        <f>'Op Cost-26'!B37/'Revenue Hours-26'!B37</f>
        <v>134.38379634944323</v>
      </c>
      <c r="Z46" s="434">
        <f>'Op Cost-26'!C37/'Revenue Hours-26'!C37</f>
        <v>98.371300178244169</v>
      </c>
      <c r="AA46" s="434">
        <f>'Op Cost-26'!D37/'Revenue Hours-26'!D37</f>
        <v>93.44738367723788</v>
      </c>
      <c r="AB46" s="434">
        <f>'Op Cost-26'!E37/'Revenue Hours-26'!E37</f>
        <v>108.95381405851531</v>
      </c>
      <c r="AC46" s="435">
        <f t="shared" si="8"/>
        <v>0.90591383740562093</v>
      </c>
      <c r="AD46" s="436">
        <f t="shared" si="9"/>
        <v>8.1108867165607355E-3</v>
      </c>
      <c r="AE46" s="437">
        <f t="shared" si="10"/>
        <v>8.1253005686976829E-3</v>
      </c>
      <c r="AF46" s="438">
        <f>'Op Cost-26'!B37/'Revenue Miles-26'!B37</f>
        <v>6.4679274316529272</v>
      </c>
      <c r="AG46" s="434">
        <f>'Op Cost-26'!C37/'Revenue Miles-26'!C37</f>
        <v>4.8159245070602568</v>
      </c>
      <c r="AH46" s="434">
        <f>'Op Cost-26'!D37/'Revenue Miles-26'!D37</f>
        <v>4.6216896717972462</v>
      </c>
      <c r="AI46" s="434">
        <f>'Op Cost-26'!E37/'Revenue Miles-26'!E37</f>
        <v>5.5412148758304092</v>
      </c>
      <c r="AJ46" s="435">
        <f t="shared" si="11"/>
        <v>0.92676229872522475</v>
      </c>
      <c r="AK46" s="436">
        <f t="shared" si="12"/>
        <v>7.9284240632886884E-3</v>
      </c>
      <c r="AL46" s="437">
        <f t="shared" si="13"/>
        <v>7.941814515663068E-3</v>
      </c>
      <c r="AM46" s="438">
        <f>'Op Cost-26'!B37/'Ridership-26'!B37</f>
        <v>65.093056231319935</v>
      </c>
      <c r="AN46" s="434">
        <f>'Op Cost-26'!C37/'Ridership-26'!C37</f>
        <v>43.315690566204594</v>
      </c>
      <c r="AO46" s="434">
        <f>'Op Cost-26'!D37/'Ridership-26'!D37</f>
        <v>34.966657293214958</v>
      </c>
      <c r="AP46" s="434">
        <f>'Op Cost-26'!E37/'Ridership-26'!E37</f>
        <v>39.912616807577393</v>
      </c>
      <c r="AQ46" s="439">
        <f t="shared" si="14"/>
        <v>0.96694396142407157</v>
      </c>
      <c r="AR46" s="436">
        <f t="shared" si="15"/>
        <v>7.5989558891710286E-3</v>
      </c>
      <c r="AS46" s="440">
        <f t="shared" si="16"/>
        <v>7.6433487561040061E-3</v>
      </c>
      <c r="AT46" s="432"/>
      <c r="AU46" s="441">
        <f t="shared" si="17"/>
        <v>0</v>
      </c>
      <c r="AV46" s="442">
        <f t="shared" si="18"/>
        <v>0</v>
      </c>
      <c r="AW46" s="442">
        <f t="shared" si="19"/>
        <v>0</v>
      </c>
      <c r="AX46" s="442">
        <f t="shared" si="20"/>
        <v>0</v>
      </c>
      <c r="AY46" s="443">
        <f t="shared" si="21"/>
        <v>0</v>
      </c>
      <c r="AZ46" s="444">
        <f t="shared" si="43"/>
        <v>-1</v>
      </c>
      <c r="BA46" s="445">
        <f t="shared" si="22"/>
        <v>0</v>
      </c>
      <c r="BB46" s="446">
        <f t="shared" si="22"/>
        <v>0</v>
      </c>
      <c r="BC46" s="446">
        <f t="shared" si="22"/>
        <v>0</v>
      </c>
      <c r="BD46" s="446">
        <f t="shared" si="22"/>
        <v>0</v>
      </c>
      <c r="BE46" s="446">
        <f t="shared" si="22"/>
        <v>0</v>
      </c>
      <c r="BF46" s="447">
        <f t="shared" si="44"/>
        <v>884447.66271775658</v>
      </c>
      <c r="BH46" s="448">
        <f>'Op Cost-26'!E37</f>
        <v>5022923</v>
      </c>
      <c r="BI46" s="449">
        <f t="shared" si="23"/>
        <v>0.17608226578782046</v>
      </c>
      <c r="BJ46" s="450">
        <f t="shared" si="24"/>
        <v>884447.66271775658</v>
      </c>
      <c r="BK46" s="451">
        <f t="shared" si="25"/>
        <v>0</v>
      </c>
      <c r="BL46" s="1">
        <f t="shared" si="45"/>
        <v>0.24047652481677084</v>
      </c>
      <c r="BM46" s="112">
        <f t="shared" si="46"/>
        <v>0.24071585670840551</v>
      </c>
      <c r="BN46" s="112">
        <f t="shared" si="47"/>
        <v>0.17261343216405878</v>
      </c>
      <c r="BO46" s="113">
        <f t="shared" si="48"/>
        <v>0.27428840519730957</v>
      </c>
      <c r="BP46" s="452">
        <f t="shared" si="26"/>
        <v>884447.66271775658</v>
      </c>
      <c r="BQ46" s="115">
        <f t="shared" si="49"/>
        <v>1.7669648745757152E-3</v>
      </c>
      <c r="BR46" s="116">
        <f t="shared" si="50"/>
        <v>1.7669648745757152E-3</v>
      </c>
      <c r="BS46" s="453">
        <f t="shared" si="51"/>
        <v>1.8579123706069065E-3</v>
      </c>
      <c r="BT46" s="118">
        <f t="shared" si="52"/>
        <v>898352.93778606982</v>
      </c>
      <c r="BU46" s="119">
        <f t="shared" si="53"/>
        <v>1506876.9</v>
      </c>
      <c r="BV46" s="119">
        <f t="shared" si="54"/>
        <v>898352.93778606982</v>
      </c>
      <c r="BW46" s="119">
        <f t="shared" si="65"/>
        <v>0</v>
      </c>
      <c r="BX46" s="120">
        <f t="shared" si="55"/>
        <v>1.7669648745757152E-3</v>
      </c>
      <c r="BY46" s="454">
        <f t="shared" si="56"/>
        <v>2.0006827379778942E-3</v>
      </c>
      <c r="BZ46" s="122">
        <f t="shared" si="57"/>
        <v>898908.20958215103</v>
      </c>
      <c r="CA46" s="455">
        <f t="shared" si="27"/>
        <v>7.8564071544714141E-3</v>
      </c>
      <c r="CB46" s="456">
        <f t="shared" si="28"/>
        <v>58800.137326123207</v>
      </c>
      <c r="CC46" s="456">
        <f t="shared" si="29"/>
        <v>943247.80004387978</v>
      </c>
      <c r="CD46" s="457">
        <f t="shared" si="30"/>
        <v>0.18778862428189319</v>
      </c>
      <c r="CE46" s="458">
        <f t="shared" si="31"/>
        <v>0</v>
      </c>
      <c r="CF46" s="17"/>
      <c r="CG46" s="459">
        <f t="shared" si="32"/>
        <v>5022923</v>
      </c>
      <c r="CH46" s="460">
        <f t="shared" si="58"/>
        <v>0.18778862428189319</v>
      </c>
      <c r="CI46" s="461">
        <f t="shared" si="33"/>
        <v>943247.80004387978</v>
      </c>
      <c r="CJ46" s="462">
        <f t="shared" si="34"/>
        <v>0</v>
      </c>
      <c r="CL46" s="463">
        <f t="shared" si="35"/>
        <v>943247.80004387978</v>
      </c>
      <c r="CM46" s="464">
        <f t="shared" si="36"/>
        <v>8.1102519975432483E-3</v>
      </c>
      <c r="CN46" s="465">
        <f t="shared" si="37"/>
        <v>1236.3773235716501</v>
      </c>
      <c r="CO46" s="466">
        <f t="shared" si="59"/>
        <v>944484.17736745137</v>
      </c>
      <c r="CP46" s="467">
        <f t="shared" si="60"/>
        <v>0.18803477126116633</v>
      </c>
      <c r="CQ46" s="468">
        <f t="shared" si="38"/>
        <v>0</v>
      </c>
      <c r="CR46" s="469"/>
      <c r="CS46" s="470">
        <f t="shared" si="39"/>
        <v>1506876.9</v>
      </c>
      <c r="CT46" s="465">
        <f t="shared" si="40"/>
        <v>0</v>
      </c>
      <c r="CU46" s="471">
        <f t="shared" si="41"/>
        <v>944484.17736745137</v>
      </c>
      <c r="CV46" s="472">
        <f t="shared" si="42"/>
        <v>0.18803477126116633</v>
      </c>
      <c r="CY46" s="473">
        <v>0</v>
      </c>
      <c r="CZ46" s="474">
        <f t="shared" si="61"/>
        <v>944484.17736745137</v>
      </c>
      <c r="DA46" s="475">
        <f t="shared" si="62"/>
        <v>0.18803477126116633</v>
      </c>
      <c r="DB46" s="1">
        <f t="shared" si="63"/>
        <v>0</v>
      </c>
      <c r="DC46" s="293">
        <f t="shared" si="64"/>
        <v>0.17896117650661797</v>
      </c>
      <c r="DF46" s="476"/>
    </row>
    <row r="47" spans="1:110" ht="16.5" customHeight="1">
      <c r="A47" s="477" t="s">
        <v>124</v>
      </c>
      <c r="B47" s="428" t="s">
        <v>128</v>
      </c>
      <c r="C47" s="429"/>
      <c r="D47" s="91">
        <f>'Sizing - Reimb Exp-26'!B38</f>
        <v>457239</v>
      </c>
      <c r="E47" s="92">
        <f>'Ridership-26'!$E38</f>
        <v>12090</v>
      </c>
      <c r="F47" s="92">
        <f>'Revenue Hours-26'!$E38</f>
        <v>5064</v>
      </c>
      <c r="G47" s="92">
        <f>'Revenue Miles-26'!$E38</f>
        <v>59926</v>
      </c>
      <c r="H47" s="430">
        <f t="shared" si="0"/>
        <v>6.5952695118819875E-4</v>
      </c>
      <c r="I47" s="431">
        <f t="shared" si="1"/>
        <v>6.5952695118819875E-4</v>
      </c>
      <c r="J47" s="432"/>
      <c r="K47" s="433">
        <f>'Ridership-26'!B38/'Revenue Hours-26'!B38</f>
        <v>2.06749490079733</v>
      </c>
      <c r="L47" s="434">
        <f>'Ridership-26'!C38/'Revenue Hours-26'!C38</f>
        <v>2.1966604823747682</v>
      </c>
      <c r="M47" s="434">
        <f>'Ridership-26'!D38/'Revenue Hours-26'!D38</f>
        <v>2.1937241638481773</v>
      </c>
      <c r="N47" s="434">
        <f>'Ridership-26'!E38/'Revenue Hours-26'!E38</f>
        <v>2.3874407582938391</v>
      </c>
      <c r="O47" s="435">
        <f t="shared" si="2"/>
        <v>0.89509204736198367</v>
      </c>
      <c r="P47" s="436">
        <f t="shared" si="3"/>
        <v>5.9033732902945193E-4</v>
      </c>
      <c r="Q47" s="437">
        <f t="shared" si="4"/>
        <v>5.7055710343053591E-4</v>
      </c>
      <c r="R47" s="438">
        <f>'Ridership-26'!B38/'Revenue Miles-26'!B38</f>
        <v>0.21433239783168659</v>
      </c>
      <c r="S47" s="434">
        <f>'Ridership-26'!C38/'Revenue Miles-26'!C38</f>
        <v>0.21260549470281917</v>
      </c>
      <c r="T47" s="434">
        <f>'Ridership-26'!D38/'Revenue Miles-26'!D38</f>
        <v>0.19288275041715541</v>
      </c>
      <c r="U47" s="434">
        <f>'Ridership-26'!E38/'Revenue Miles-26'!E38</f>
        <v>0.20174882354904383</v>
      </c>
      <c r="V47" s="435">
        <f t="shared" si="5"/>
        <v>0.84151676129837449</v>
      </c>
      <c r="W47" s="436">
        <f t="shared" si="6"/>
        <v>5.5500298395288409E-4</v>
      </c>
      <c r="X47" s="437">
        <f t="shared" si="7"/>
        <v>5.3715675190472436E-4</v>
      </c>
      <c r="Y47" s="438">
        <f>'Op Cost-26'!B38/'Revenue Hours-26'!B38</f>
        <v>27.145188206934915</v>
      </c>
      <c r="Z47" s="434">
        <f>'Op Cost-26'!C38/'Revenue Hours-26'!C38</f>
        <v>30.05751391465677</v>
      </c>
      <c r="AA47" s="434">
        <f>'Op Cost-26'!D38/'Revenue Hours-26'!D38</f>
        <v>32.056181886508831</v>
      </c>
      <c r="AB47" s="434">
        <f>'Op Cost-26'!E38/'Revenue Hours-26'!E38</f>
        <v>90.292061611374407</v>
      </c>
      <c r="AC47" s="435">
        <f t="shared" si="8"/>
        <v>1.5961923046443367</v>
      </c>
      <c r="AD47" s="436">
        <f t="shared" si="9"/>
        <v>4.1318765243336669E-4</v>
      </c>
      <c r="AE47" s="437">
        <f t="shared" si="10"/>
        <v>4.1392192797377425E-4</v>
      </c>
      <c r="AF47" s="438">
        <f>'Op Cost-26'!B38/'Revenue Miles-26'!B38</f>
        <v>2.8140786590288722</v>
      </c>
      <c r="AG47" s="434">
        <f>'Op Cost-26'!C38/'Revenue Miles-26'!C38</f>
        <v>2.9091398814868019</v>
      </c>
      <c r="AH47" s="434">
        <f>'Op Cost-26'!D38/'Revenue Miles-26'!D38</f>
        <v>2.8185332650465065</v>
      </c>
      <c r="AI47" s="434">
        <f>'Op Cost-26'!E38/'Revenue Miles-26'!E38</f>
        <v>7.6300604078363312</v>
      </c>
      <c r="AJ47" s="435">
        <f t="shared" si="11"/>
        <v>1.5109100097087511</v>
      </c>
      <c r="AK47" s="436">
        <f t="shared" si="12"/>
        <v>4.3650975038237502E-4</v>
      </c>
      <c r="AL47" s="437">
        <f t="shared" si="13"/>
        <v>4.3724697924107242E-4</v>
      </c>
      <c r="AM47" s="438">
        <f>'Op Cost-26'!B38/'Ridership-26'!B38</f>
        <v>13.129506726457398</v>
      </c>
      <c r="AN47" s="434">
        <f>'Op Cost-26'!C38/'Ridership-26'!C38</f>
        <v>13.683277027027026</v>
      </c>
      <c r="AO47" s="434">
        <f>'Op Cost-26'!D38/'Ridership-26'!D38</f>
        <v>14.612676659528908</v>
      </c>
      <c r="AP47" s="434">
        <f>'Op Cost-26'!E38/'Ridership-26'!E38</f>
        <v>37.819602977667493</v>
      </c>
      <c r="AQ47" s="439">
        <f t="shared" si="14"/>
        <v>1.7190933112114191</v>
      </c>
      <c r="AR47" s="436">
        <f t="shared" si="15"/>
        <v>3.8364813991594216E-4</v>
      </c>
      <c r="AS47" s="440">
        <f t="shared" si="16"/>
        <v>3.8588940056711181E-4</v>
      </c>
      <c r="AT47" s="432"/>
      <c r="AU47" s="441">
        <f t="shared" si="17"/>
        <v>0</v>
      </c>
      <c r="AV47" s="442">
        <f t="shared" si="18"/>
        <v>0</v>
      </c>
      <c r="AW47" s="442">
        <f t="shared" si="19"/>
        <v>0</v>
      </c>
      <c r="AX47" s="442">
        <f t="shared" si="20"/>
        <v>0</v>
      </c>
      <c r="AY47" s="443">
        <f t="shared" si="21"/>
        <v>0</v>
      </c>
      <c r="AZ47" s="444">
        <f t="shared" si="43"/>
        <v>-1</v>
      </c>
      <c r="BA47" s="445">
        <f t="shared" si="22"/>
        <v>0</v>
      </c>
      <c r="BB47" s="446">
        <f t="shared" si="22"/>
        <v>0</v>
      </c>
      <c r="BC47" s="446">
        <f t="shared" si="22"/>
        <v>0</v>
      </c>
      <c r="BD47" s="446">
        <f t="shared" si="22"/>
        <v>0</v>
      </c>
      <c r="BE47" s="446">
        <f t="shared" si="22"/>
        <v>0</v>
      </c>
      <c r="BF47" s="447">
        <f t="shared" si="44"/>
        <v>79387.012154656608</v>
      </c>
      <c r="BH47" s="448">
        <f>'Op Cost-26'!E38</f>
        <v>457239</v>
      </c>
      <c r="BI47" s="449">
        <f t="shared" si="23"/>
        <v>0.17362257409069787</v>
      </c>
      <c r="BJ47" s="450">
        <f t="shared" si="24"/>
        <v>79387.012154656608</v>
      </c>
      <c r="BK47" s="451">
        <f t="shared" si="25"/>
        <v>0</v>
      </c>
      <c r="BL47" s="1">
        <f t="shared" si="45"/>
        <v>0.26007459691578361</v>
      </c>
      <c r="BM47" s="112">
        <f t="shared" si="46"/>
        <v>0.21052567481640119</v>
      </c>
      <c r="BN47" s="112">
        <f t="shared" si="47"/>
        <v>0.25083654485648299</v>
      </c>
      <c r="BO47" s="113">
        <f t="shared" si="48"/>
        <v>0.28946808399512508</v>
      </c>
      <c r="BP47" s="452">
        <f t="shared" si="26"/>
        <v>79387.012154656608</v>
      </c>
      <c r="BQ47" s="115">
        <f t="shared" si="49"/>
        <v>1.7152620598536648E-4</v>
      </c>
      <c r="BR47" s="116">
        <f t="shared" si="50"/>
        <v>1.7152620598536648E-4</v>
      </c>
      <c r="BS47" s="453">
        <f t="shared" si="51"/>
        <v>1.8035483589338617E-4</v>
      </c>
      <c r="BT47" s="118">
        <f t="shared" si="52"/>
        <v>80736.851707196329</v>
      </c>
      <c r="BU47" s="119">
        <f t="shared" si="53"/>
        <v>137171.69999999998</v>
      </c>
      <c r="BV47" s="119">
        <f t="shared" si="54"/>
        <v>80736.851707196329</v>
      </c>
      <c r="BW47" s="119">
        <f t="shared" si="65"/>
        <v>0</v>
      </c>
      <c r="BX47" s="120">
        <f t="shared" si="55"/>
        <v>1.7152620598536648E-4</v>
      </c>
      <c r="BY47" s="454">
        <f t="shared" si="56"/>
        <v>1.9421411504185412E-4</v>
      </c>
      <c r="BZ47" s="122">
        <f t="shared" si="57"/>
        <v>80790.754116827055</v>
      </c>
      <c r="CA47" s="455">
        <f t="shared" si="27"/>
        <v>7.0518213406482397E-4</v>
      </c>
      <c r="CB47" s="456">
        <f t="shared" si="28"/>
        <v>5277.8331758609147</v>
      </c>
      <c r="CC47" s="456">
        <f t="shared" si="29"/>
        <v>84664.845330517521</v>
      </c>
      <c r="CD47" s="457">
        <f t="shared" si="30"/>
        <v>0.18516540656093972</v>
      </c>
      <c r="CE47" s="458">
        <f t="shared" si="31"/>
        <v>0</v>
      </c>
      <c r="CF47" s="17"/>
      <c r="CG47" s="459">
        <f t="shared" si="32"/>
        <v>457239</v>
      </c>
      <c r="CH47" s="460">
        <f t="shared" si="58"/>
        <v>0.18516540656093972</v>
      </c>
      <c r="CI47" s="461">
        <f t="shared" si="33"/>
        <v>84664.845330517521</v>
      </c>
      <c r="CJ47" s="462">
        <f t="shared" si="34"/>
        <v>0</v>
      </c>
      <c r="CL47" s="463">
        <f t="shared" si="35"/>
        <v>84664.845330517521</v>
      </c>
      <c r="CM47" s="464">
        <f t="shared" si="36"/>
        <v>7.2796695728479497E-4</v>
      </c>
      <c r="CN47" s="465">
        <f t="shared" si="37"/>
        <v>110.97581660459041</v>
      </c>
      <c r="CO47" s="466">
        <f t="shared" si="59"/>
        <v>84775.821147122115</v>
      </c>
      <c r="CP47" s="467">
        <f t="shared" si="60"/>
        <v>0.18540811511511948</v>
      </c>
      <c r="CQ47" s="468">
        <f t="shared" si="38"/>
        <v>0</v>
      </c>
      <c r="CR47" s="469"/>
      <c r="CS47" s="470">
        <f t="shared" si="39"/>
        <v>137171.69999999998</v>
      </c>
      <c r="CT47" s="465">
        <f t="shared" si="40"/>
        <v>0</v>
      </c>
      <c r="CU47" s="471">
        <f t="shared" si="41"/>
        <v>84775.821147122115</v>
      </c>
      <c r="CV47" s="472">
        <f t="shared" si="42"/>
        <v>0.18540811511511948</v>
      </c>
      <c r="CY47" s="473">
        <v>0</v>
      </c>
      <c r="CZ47" s="474">
        <f t="shared" si="61"/>
        <v>84775.821147122115</v>
      </c>
      <c r="DA47" s="475">
        <f t="shared" si="62"/>
        <v>0.18540811511511948</v>
      </c>
      <c r="DB47" s="1">
        <f t="shared" si="63"/>
        <v>0</v>
      </c>
      <c r="DC47" s="293">
        <f t="shared" si="64"/>
        <v>0.17669261396518463</v>
      </c>
      <c r="DF47" s="476"/>
    </row>
    <row r="48" spans="1:110">
      <c r="A48" s="477" t="s">
        <v>124</v>
      </c>
      <c r="B48" s="428" t="s">
        <v>129</v>
      </c>
      <c r="C48" s="429"/>
      <c r="D48" s="91">
        <f>'Sizing - Reimb Exp-26'!B39</f>
        <v>1214573</v>
      </c>
      <c r="E48" s="92">
        <f>'Ridership-26'!$E39</f>
        <v>62326</v>
      </c>
      <c r="F48" s="92">
        <f>'Revenue Hours-26'!$E39</f>
        <v>18443</v>
      </c>
      <c r="G48" s="92">
        <f>'Revenue Miles-26'!$E39</f>
        <v>310461</v>
      </c>
      <c r="H48" s="478">
        <f t="shared" si="0"/>
        <v>2.454721788138943E-3</v>
      </c>
      <c r="I48" s="431">
        <f t="shared" si="1"/>
        <v>2.454721788138943E-3</v>
      </c>
      <c r="J48" s="432"/>
      <c r="K48" s="433">
        <f>'Ridership-26'!B39/'Revenue Hours-26'!B39</f>
        <v>1.8714498597475455</v>
      </c>
      <c r="L48" s="434">
        <f>'Ridership-26'!C39/'Revenue Hours-26'!C39</f>
        <v>2.7255388346838654</v>
      </c>
      <c r="M48" s="434">
        <f>'Ridership-26'!D39/'Revenue Hours-26'!D39</f>
        <v>3.379350030141941</v>
      </c>
      <c r="N48" s="434">
        <f>'Ridership-26'!E39/'Revenue Hours-26'!E39</f>
        <v>3.379385132570623</v>
      </c>
      <c r="O48" s="435">
        <f t="shared" si="2"/>
        <v>1.0377100683979792</v>
      </c>
      <c r="P48" s="436">
        <f t="shared" si="3"/>
        <v>2.5472895146676725E-3</v>
      </c>
      <c r="Q48" s="437">
        <f t="shared" si="4"/>
        <v>2.4619383793282944E-3</v>
      </c>
      <c r="R48" s="438">
        <f>'Ridership-26'!B39/'Revenue Miles-26'!B39</f>
        <v>0.12054951539089166</v>
      </c>
      <c r="S48" s="434">
        <f>'Ridership-26'!C39/'Revenue Miles-26'!C39</f>
        <v>0.1590504069225078</v>
      </c>
      <c r="T48" s="434">
        <f>'Ridership-26'!D39/'Revenue Miles-26'!D39</f>
        <v>0.19664325941233121</v>
      </c>
      <c r="U48" s="434">
        <f>'Ridership-26'!E39/'Revenue Miles-26'!E39</f>
        <v>0.20075307365498404</v>
      </c>
      <c r="V48" s="435">
        <f t="shared" si="5"/>
        <v>1.0125894313685293</v>
      </c>
      <c r="W48" s="436">
        <f t="shared" si="6"/>
        <v>2.4856253396195517E-3</v>
      </c>
      <c r="X48" s="437">
        <f t="shared" si="7"/>
        <v>2.4056995592576175E-3</v>
      </c>
      <c r="Y48" s="438">
        <f>'Op Cost-26'!B39/'Revenue Hours-26'!B39</f>
        <v>53.352691093969142</v>
      </c>
      <c r="Z48" s="434">
        <f>'Op Cost-26'!C39/'Revenue Hours-26'!C39</f>
        <v>79.509949837384923</v>
      </c>
      <c r="AA48" s="434">
        <f>'Op Cost-26'!D39/'Revenue Hours-26'!D39</f>
        <v>73.872855811914292</v>
      </c>
      <c r="AB48" s="434">
        <f>'Op Cost-26'!E39/'Revenue Hours-26'!E39</f>
        <v>66.185056661063825</v>
      </c>
      <c r="AC48" s="435">
        <f t="shared" si="8"/>
        <v>1.0631089096658457</v>
      </c>
      <c r="AD48" s="436">
        <f t="shared" si="9"/>
        <v>2.3090031188907128E-3</v>
      </c>
      <c r="AE48" s="437">
        <f t="shared" si="10"/>
        <v>2.3131064470103733E-3</v>
      </c>
      <c r="AF48" s="438">
        <f>'Op Cost-26'!B39/'Revenue Miles-26'!B39</f>
        <v>3.4367156686984583</v>
      </c>
      <c r="AG48" s="434">
        <f>'Op Cost-26'!C39/'Revenue Miles-26'!C39</f>
        <v>4.639849454756007</v>
      </c>
      <c r="AH48" s="434">
        <f>'Op Cost-26'!D39/'Revenue Miles-26'!D39</f>
        <v>4.2986370217298404</v>
      </c>
      <c r="AI48" s="434">
        <f>'Op Cost-26'!E39/'Revenue Miles-26'!E39</f>
        <v>3.9317369975616905</v>
      </c>
      <c r="AJ48" s="435">
        <f t="shared" si="11"/>
        <v>1.0292620787887317</v>
      </c>
      <c r="AK48" s="436">
        <f t="shared" si="12"/>
        <v>2.3849336711479138E-3</v>
      </c>
      <c r="AL48" s="437">
        <f t="shared" si="13"/>
        <v>2.3889616268279626E-3</v>
      </c>
      <c r="AM48" s="438">
        <f>'Op Cost-26'!B39/'Ridership-26'!B39</f>
        <v>28.508747277453804</v>
      </c>
      <c r="AN48" s="434">
        <f>'Op Cost-26'!C39/'Ridership-26'!C39</f>
        <v>29.17219480624545</v>
      </c>
      <c r="AO48" s="434">
        <f>'Op Cost-26'!D39/'Ridership-26'!D39</f>
        <v>21.860078166809917</v>
      </c>
      <c r="AP48" s="434">
        <f>'Op Cost-26'!E39/'Ridership-26'!E39</f>
        <v>19.584940474280398</v>
      </c>
      <c r="AQ48" s="439">
        <f t="shared" si="14"/>
        <v>1.01288844997681</v>
      </c>
      <c r="AR48" s="436">
        <f t="shared" si="15"/>
        <v>2.4234867997508943E-3</v>
      </c>
      <c r="AS48" s="440">
        <f t="shared" si="16"/>
        <v>2.4376447352073278E-3</v>
      </c>
      <c r="AT48" s="432"/>
      <c r="AU48" s="441">
        <f t="shared" si="17"/>
        <v>0</v>
      </c>
      <c r="AV48" s="442">
        <f t="shared" si="18"/>
        <v>0</v>
      </c>
      <c r="AW48" s="442">
        <f t="shared" si="19"/>
        <v>0</v>
      </c>
      <c r="AX48" s="442">
        <f t="shared" si="20"/>
        <v>0</v>
      </c>
      <c r="AY48" s="443">
        <f t="shared" si="21"/>
        <v>0</v>
      </c>
      <c r="AZ48" s="444">
        <f t="shared" si="43"/>
        <v>-1</v>
      </c>
      <c r="BA48" s="445">
        <f t="shared" si="22"/>
        <v>0</v>
      </c>
      <c r="BB48" s="446">
        <f t="shared" si="22"/>
        <v>0</v>
      </c>
      <c r="BC48" s="446">
        <f t="shared" si="22"/>
        <v>0</v>
      </c>
      <c r="BD48" s="446">
        <f t="shared" si="22"/>
        <v>0</v>
      </c>
      <c r="BE48" s="446">
        <f t="shared" si="22"/>
        <v>0</v>
      </c>
      <c r="BF48" s="447">
        <f t="shared" si="44"/>
        <v>295473.94246771099</v>
      </c>
      <c r="BH48" s="448">
        <f>'Op Cost-26'!E39</f>
        <v>1220651</v>
      </c>
      <c r="BI48" s="449">
        <f t="shared" si="23"/>
        <v>0.24206258993578916</v>
      </c>
      <c r="BJ48" s="450">
        <f t="shared" si="24"/>
        <v>295473.94246771099</v>
      </c>
      <c r="BK48" s="451">
        <f t="shared" si="25"/>
        <v>0</v>
      </c>
      <c r="BL48" s="1">
        <f t="shared" si="45"/>
        <v>0.41638801921881408</v>
      </c>
      <c r="BM48" s="112">
        <f t="shared" si="46"/>
        <v>0.29799580702784545</v>
      </c>
      <c r="BN48" s="112">
        <f t="shared" si="47"/>
        <v>0.24959851799430183</v>
      </c>
      <c r="BO48" s="113">
        <f t="shared" si="48"/>
        <v>0.55897887592655449</v>
      </c>
      <c r="BP48" s="452">
        <f t="shared" si="26"/>
        <v>295473.94246771099</v>
      </c>
      <c r="BQ48" s="115">
        <f t="shared" si="49"/>
        <v>1.0221167430964398E-3</v>
      </c>
      <c r="BR48" s="116">
        <f t="shared" si="50"/>
        <v>1.0221167430964398E-3</v>
      </c>
      <c r="BS48" s="453">
        <f t="shared" si="51"/>
        <v>1.0747261411516778E-3</v>
      </c>
      <c r="BT48" s="118">
        <f t="shared" si="52"/>
        <v>303517.57404702989</v>
      </c>
      <c r="BU48" s="119">
        <f t="shared" si="53"/>
        <v>366195.3</v>
      </c>
      <c r="BV48" s="119">
        <f t="shared" si="54"/>
        <v>303517.57404702989</v>
      </c>
      <c r="BW48" s="119">
        <f t="shared" si="65"/>
        <v>0</v>
      </c>
      <c r="BX48" s="120">
        <f t="shared" si="55"/>
        <v>1.0221167430964398E-3</v>
      </c>
      <c r="BY48" s="454">
        <f t="shared" si="56"/>
        <v>1.1573129457948413E-3</v>
      </c>
      <c r="BZ48" s="122">
        <f t="shared" si="57"/>
        <v>303838.77601765771</v>
      </c>
      <c r="CA48" s="455">
        <f t="shared" si="27"/>
        <v>2.6246477812265855E-3</v>
      </c>
      <c r="CB48" s="456">
        <f t="shared" si="28"/>
        <v>19643.794795053651</v>
      </c>
      <c r="CC48" s="456">
        <f t="shared" si="29"/>
        <v>315117.73726276465</v>
      </c>
      <c r="CD48" s="457">
        <f t="shared" si="30"/>
        <v>0.25815547381091292</v>
      </c>
      <c r="CE48" s="458">
        <f t="shared" si="31"/>
        <v>0</v>
      </c>
      <c r="CF48" s="17"/>
      <c r="CG48" s="459">
        <f t="shared" si="32"/>
        <v>1220651</v>
      </c>
      <c r="CH48" s="460">
        <f t="shared" si="58"/>
        <v>0.25815547381091292</v>
      </c>
      <c r="CI48" s="461">
        <f t="shared" si="33"/>
        <v>315117.73726276465</v>
      </c>
      <c r="CJ48" s="462">
        <f t="shared" si="34"/>
        <v>0</v>
      </c>
      <c r="CL48" s="463">
        <f t="shared" si="35"/>
        <v>315117.73726276465</v>
      </c>
      <c r="CM48" s="464">
        <f t="shared" si="36"/>
        <v>2.7094515968950636E-3</v>
      </c>
      <c r="CN48" s="465">
        <f t="shared" si="37"/>
        <v>413.04567536628986</v>
      </c>
      <c r="CO48" s="466">
        <f t="shared" si="59"/>
        <v>315530.78293813096</v>
      </c>
      <c r="CP48" s="467">
        <f t="shared" si="60"/>
        <v>0.25849385527733232</v>
      </c>
      <c r="CQ48" s="468">
        <f t="shared" si="38"/>
        <v>0</v>
      </c>
      <c r="CR48" s="469"/>
      <c r="CS48" s="470">
        <f t="shared" si="39"/>
        <v>366195.3</v>
      </c>
      <c r="CT48" s="465">
        <f t="shared" si="40"/>
        <v>0</v>
      </c>
      <c r="CU48" s="471">
        <f t="shared" si="41"/>
        <v>315530.78293813096</v>
      </c>
      <c r="CV48" s="472">
        <f t="shared" si="42"/>
        <v>0.25849385527733232</v>
      </c>
      <c r="CY48" s="473">
        <v>0</v>
      </c>
      <c r="CZ48" s="474">
        <f t="shared" si="61"/>
        <v>315530.78293813096</v>
      </c>
      <c r="DA48" s="475">
        <f t="shared" si="62"/>
        <v>0.25849385527733232</v>
      </c>
      <c r="DB48" s="1">
        <f t="shared" si="63"/>
        <v>0</v>
      </c>
      <c r="DC48" s="293">
        <f t="shared" si="64"/>
        <v>0.24891535419842176</v>
      </c>
      <c r="DF48" s="476"/>
    </row>
    <row r="49" spans="1:110">
      <c r="A49" s="477" t="s">
        <v>124</v>
      </c>
      <c r="B49" s="428" t="s">
        <v>130</v>
      </c>
      <c r="C49" s="429"/>
      <c r="D49" s="91">
        <f>'Sizing - Reimb Exp-26'!B40</f>
        <v>4861903</v>
      </c>
      <c r="E49" s="92">
        <f>'Ridership-26'!$E40</f>
        <v>192152</v>
      </c>
      <c r="F49" s="92">
        <f>'Revenue Hours-26'!$E40</f>
        <v>63064.05</v>
      </c>
      <c r="G49" s="92">
        <f>'Revenue Miles-26'!$E40</f>
        <v>985112</v>
      </c>
      <c r="H49" s="478">
        <f t="shared" si="0"/>
        <v>8.5179450349820891E-3</v>
      </c>
      <c r="I49" s="431">
        <f t="shared" si="1"/>
        <v>8.5179450349820891E-3</v>
      </c>
      <c r="J49" s="432"/>
      <c r="K49" s="433">
        <f>'Ridership-26'!B40/'Revenue Hours-26'!B40</f>
        <v>2.6052602436323364</v>
      </c>
      <c r="L49" s="434">
        <f>'Ridership-26'!C40/'Revenue Hours-26'!C40</f>
        <v>2.7993357457988401</v>
      </c>
      <c r="M49" s="434">
        <f>'Ridership-26'!D40/'Revenue Hours-26'!D40</f>
        <v>2.9370912341787041</v>
      </c>
      <c r="N49" s="434">
        <f>'Ridership-26'!E40/'Revenue Hours-26'!E40</f>
        <v>3.0469340297681482</v>
      </c>
      <c r="O49" s="435">
        <f t="shared" si="2"/>
        <v>0.89655682269168502</v>
      </c>
      <c r="P49" s="436">
        <f t="shared" si="3"/>
        <v>7.636821736425956E-3</v>
      </c>
      <c r="Q49" s="437">
        <f t="shared" si="4"/>
        <v>7.380937432017223E-3</v>
      </c>
      <c r="R49" s="438">
        <f>'Ridership-26'!B40/'Revenue Miles-26'!B40</f>
        <v>0.16890249812434263</v>
      </c>
      <c r="S49" s="434">
        <f>'Ridership-26'!C40/'Revenue Miles-26'!C40</f>
        <v>0.1810610173694088</v>
      </c>
      <c r="T49" s="434">
        <f>'Ridership-26'!D40/'Revenue Miles-26'!D40</f>
        <v>0.18826739427012279</v>
      </c>
      <c r="U49" s="434">
        <f>'Ridership-26'!E40/'Revenue Miles-26'!E40</f>
        <v>0.19505599363321124</v>
      </c>
      <c r="V49" s="435">
        <f t="shared" si="5"/>
        <v>0.89673887950738995</v>
      </c>
      <c r="W49" s="436">
        <f t="shared" si="6"/>
        <v>7.638372486375374E-3</v>
      </c>
      <c r="X49" s="437">
        <f t="shared" si="7"/>
        <v>7.3927590900450483E-3</v>
      </c>
      <c r="Y49" s="438">
        <f>'Op Cost-26'!B40/'Revenue Hours-26'!B40</f>
        <v>61.375230712440015</v>
      </c>
      <c r="Z49" s="434">
        <f>'Op Cost-26'!C40/'Revenue Hours-26'!C40</f>
        <v>66.464250896412693</v>
      </c>
      <c r="AA49" s="434">
        <f>'Op Cost-26'!D40/'Revenue Hours-26'!D40</f>
        <v>73.070531219122003</v>
      </c>
      <c r="AB49" s="434">
        <f>'Op Cost-26'!E40/'Revenue Hours-26'!E40</f>
        <v>77.638416815919683</v>
      </c>
      <c r="AC49" s="435">
        <f t="shared" si="8"/>
        <v>1.0340237832501058</v>
      </c>
      <c r="AD49" s="436">
        <f t="shared" si="9"/>
        <v>8.2376683911551778E-3</v>
      </c>
      <c r="AE49" s="437">
        <f t="shared" si="10"/>
        <v>8.2523075469334087E-3</v>
      </c>
      <c r="AF49" s="438">
        <f>'Op Cost-26'!B40/'Revenue Miles-26'!B40</f>
        <v>3.9790381078535897</v>
      </c>
      <c r="AG49" s="434">
        <f>'Op Cost-26'!C40/'Revenue Miles-26'!C40</f>
        <v>4.2989073047277451</v>
      </c>
      <c r="AH49" s="434">
        <f>'Op Cost-26'!D40/'Revenue Miles-26'!D40</f>
        <v>4.6838172238134641</v>
      </c>
      <c r="AI49" s="434">
        <f>'Op Cost-26'!E40/'Revenue Miles-26'!E40</f>
        <v>4.9701891764591233</v>
      </c>
      <c r="AJ49" s="435">
        <f t="shared" si="11"/>
        <v>1.0349971909494167</v>
      </c>
      <c r="AK49" s="436">
        <f t="shared" si="12"/>
        <v>8.2299209210108734E-3</v>
      </c>
      <c r="AL49" s="437">
        <f t="shared" si="13"/>
        <v>8.2438205766370114E-3</v>
      </c>
      <c r="AM49" s="438">
        <f>'Op Cost-26'!B40/'Ridership-26'!B40</f>
        <v>23.558195716704567</v>
      </c>
      <c r="AN49" s="434">
        <f>'Op Cost-26'!C40/'Ridership-26'!C40</f>
        <v>23.742865069386646</v>
      </c>
      <c r="AO49" s="434">
        <f>'Op Cost-26'!D40/'Ridership-26'!D40</f>
        <v>24.878536413443978</v>
      </c>
      <c r="AP49" s="434">
        <f>'Op Cost-26'!E40/'Ridership-26'!E40</f>
        <v>25.48083288230151</v>
      </c>
      <c r="AQ49" s="439">
        <f t="shared" si="14"/>
        <v>1.1585307516945786</v>
      </c>
      <c r="AR49" s="436">
        <f t="shared" si="15"/>
        <v>7.3523685258444138E-3</v>
      </c>
      <c r="AS49" s="440">
        <f t="shared" si="16"/>
        <v>7.3953208369737823E-3</v>
      </c>
      <c r="AT49" s="432"/>
      <c r="AU49" s="441">
        <f t="shared" si="17"/>
        <v>0</v>
      </c>
      <c r="AV49" s="442">
        <f t="shared" si="18"/>
        <v>0</v>
      </c>
      <c r="AW49" s="442">
        <f t="shared" si="19"/>
        <v>0</v>
      </c>
      <c r="AX49" s="442">
        <f t="shared" si="20"/>
        <v>0</v>
      </c>
      <c r="AY49" s="443">
        <f t="shared" si="21"/>
        <v>0</v>
      </c>
      <c r="AZ49" s="444">
        <f t="shared" si="43"/>
        <v>-1</v>
      </c>
      <c r="BA49" s="445">
        <f t="shared" si="22"/>
        <v>0</v>
      </c>
      <c r="BB49" s="446">
        <f t="shared" si="22"/>
        <v>0</v>
      </c>
      <c r="BC49" s="446">
        <f t="shared" si="22"/>
        <v>0</v>
      </c>
      <c r="BD49" s="446">
        <f t="shared" si="22"/>
        <v>0</v>
      </c>
      <c r="BE49" s="446">
        <f t="shared" si="22"/>
        <v>0</v>
      </c>
      <c r="BF49" s="447">
        <f t="shared" si="44"/>
        <v>1025301.8543162757</v>
      </c>
      <c r="BH49" s="448">
        <f>'Op Cost-26'!E40</f>
        <v>4896193</v>
      </c>
      <c r="BI49" s="449">
        <f t="shared" si="23"/>
        <v>0.20940797356564084</v>
      </c>
      <c r="BJ49" s="450">
        <f t="shared" si="24"/>
        <v>1025301.8543162757</v>
      </c>
      <c r="BK49" s="451">
        <f t="shared" si="25"/>
        <v>0</v>
      </c>
      <c r="BL49" s="1">
        <f t="shared" si="45"/>
        <v>0.34261851190830711</v>
      </c>
      <c r="BM49" s="112">
        <f t="shared" si="46"/>
        <v>0.26868010881928966</v>
      </c>
      <c r="BN49" s="112">
        <f t="shared" si="47"/>
        <v>0.24251527535975434</v>
      </c>
      <c r="BO49" s="113">
        <f t="shared" si="48"/>
        <v>0.42963933172709223</v>
      </c>
      <c r="BP49" s="452">
        <f t="shared" si="26"/>
        <v>1025301.8543162757</v>
      </c>
      <c r="BQ49" s="115">
        <f t="shared" si="49"/>
        <v>2.9184056524023164E-3</v>
      </c>
      <c r="BR49" s="116">
        <f t="shared" si="50"/>
        <v>2.9184056524023164E-3</v>
      </c>
      <c r="BS49" s="453">
        <f t="shared" si="51"/>
        <v>3.0686189873182124E-3</v>
      </c>
      <c r="BT49" s="118">
        <f t="shared" si="52"/>
        <v>1048268.4870668666</v>
      </c>
      <c r="BU49" s="119">
        <f t="shared" si="53"/>
        <v>1468857.9</v>
      </c>
      <c r="BV49" s="119">
        <f t="shared" si="54"/>
        <v>1048268.4870668666</v>
      </c>
      <c r="BW49" s="119">
        <f t="shared" si="65"/>
        <v>0</v>
      </c>
      <c r="BX49" s="120">
        <f t="shared" si="55"/>
        <v>2.9184056524023164E-3</v>
      </c>
      <c r="BY49" s="454">
        <f t="shared" si="56"/>
        <v>3.3044255124655185E-3</v>
      </c>
      <c r="BZ49" s="122">
        <f t="shared" si="57"/>
        <v>1049185.6011372253</v>
      </c>
      <c r="CA49" s="455">
        <f t="shared" si="27"/>
        <v>9.1075924142203918E-3</v>
      </c>
      <c r="CB49" s="456">
        <f t="shared" si="28"/>
        <v>68164.45152816776</v>
      </c>
      <c r="CC49" s="456">
        <f t="shared" si="29"/>
        <v>1093466.3058444434</v>
      </c>
      <c r="CD49" s="457">
        <f t="shared" si="30"/>
        <v>0.22332990260891336</v>
      </c>
      <c r="CE49" s="458">
        <f t="shared" si="31"/>
        <v>0</v>
      </c>
      <c r="CF49" s="17"/>
      <c r="CG49" s="459">
        <f t="shared" si="32"/>
        <v>4896193</v>
      </c>
      <c r="CH49" s="460">
        <f t="shared" si="58"/>
        <v>0.22332990260891336</v>
      </c>
      <c r="CI49" s="461">
        <f t="shared" si="33"/>
        <v>1093466.3058444434</v>
      </c>
      <c r="CJ49" s="462">
        <f t="shared" si="34"/>
        <v>0</v>
      </c>
      <c r="CL49" s="463">
        <f t="shared" si="35"/>
        <v>1093466.3058444434</v>
      </c>
      <c r="CM49" s="464">
        <f t="shared" si="36"/>
        <v>9.4018637422833978E-3</v>
      </c>
      <c r="CN49" s="465">
        <f t="shared" si="37"/>
        <v>1433.2786618456364</v>
      </c>
      <c r="CO49" s="466">
        <f t="shared" si="59"/>
        <v>1094899.5845062891</v>
      </c>
      <c r="CP49" s="467">
        <f t="shared" si="60"/>
        <v>0.2236226358941098</v>
      </c>
      <c r="CQ49" s="468">
        <f t="shared" si="38"/>
        <v>0</v>
      </c>
      <c r="CR49" s="469"/>
      <c r="CS49" s="470">
        <f t="shared" si="39"/>
        <v>1468857.9</v>
      </c>
      <c r="CT49" s="465">
        <f t="shared" si="40"/>
        <v>0</v>
      </c>
      <c r="CU49" s="471">
        <f t="shared" si="41"/>
        <v>1094899.5845062891</v>
      </c>
      <c r="CV49" s="472">
        <f t="shared" si="42"/>
        <v>0.2236226358941098</v>
      </c>
      <c r="CY49" s="473">
        <v>4766</v>
      </c>
      <c r="CZ49" s="474">
        <f t="shared" si="61"/>
        <v>1099665.5845062891</v>
      </c>
      <c r="DA49" s="475">
        <f t="shared" si="62"/>
        <v>0.22459604523479551</v>
      </c>
      <c r="DB49" s="1">
        <f t="shared" si="63"/>
        <v>0</v>
      </c>
      <c r="DC49" s="293">
        <f t="shared" si="64"/>
        <v>0.21428599753670358</v>
      </c>
      <c r="DF49" s="476"/>
    </row>
    <row r="50" spans="1:110" s="171" customFormat="1" ht="15" thickBot="1">
      <c r="A50" s="479"/>
      <c r="B50" s="480" t="s">
        <v>131</v>
      </c>
      <c r="C50" s="429"/>
      <c r="D50" s="481">
        <f t="shared" ref="D50:I50" si="66">SUM(D12:D49)</f>
        <v>568658897</v>
      </c>
      <c r="E50" s="482">
        <f t="shared" si="66"/>
        <v>53095068</v>
      </c>
      <c r="F50" s="482">
        <f t="shared" si="66"/>
        <v>4681948.6436643004</v>
      </c>
      <c r="G50" s="482">
        <f t="shared" si="66"/>
        <v>66013685.590599991</v>
      </c>
      <c r="H50" s="483">
        <f t="shared" si="66"/>
        <v>1</v>
      </c>
      <c r="I50" s="484">
        <f t="shared" si="66"/>
        <v>1</v>
      </c>
      <c r="J50" s="485"/>
      <c r="K50" s="486">
        <f>'Ridership-26'!B41/'Revenue Hours-26'!B41</f>
        <v>6.9503910166537581</v>
      </c>
      <c r="L50" s="487">
        <f>'Ridership-26'!C41/'Revenue Hours-26'!C41</f>
        <v>8.9103336909540651</v>
      </c>
      <c r="M50" s="487">
        <f>'Ridership-26'!D41/'Revenue Hours-26'!D41</f>
        <v>10.58680012169124</v>
      </c>
      <c r="N50" s="487">
        <f>'Ridership-26'!E41/'Revenue Hours-26'!E41</f>
        <v>11.340378129061545</v>
      </c>
      <c r="O50" s="488"/>
      <c r="P50" s="489">
        <f>SUM(P12:P49)</f>
        <v>1.0346682662961959</v>
      </c>
      <c r="Q50" s="490">
        <f>SUM(Q12:Q49)</f>
        <v>0.99999999999999989</v>
      </c>
      <c r="R50" s="491">
        <f>'Ridership-26'!B41/'Revenue Miles-26'!B41</f>
        <v>0.50001375435483453</v>
      </c>
      <c r="S50" s="487">
        <f>'Ridership-26'!C41/'Revenue Miles-26'!C41</f>
        <v>0.62877909337252769</v>
      </c>
      <c r="T50" s="487">
        <f>'Ridership-26'!D41/'Revenue Miles-26'!D41</f>
        <v>0.74929493676777836</v>
      </c>
      <c r="U50" s="487">
        <f>'Ridership-26'!E41/'Revenue Miles-26'!E41</f>
        <v>0.80430394887026979</v>
      </c>
      <c r="V50" s="488"/>
      <c r="W50" s="489">
        <f>SUM(W12:W49)</f>
        <v>1.0332235087521064</v>
      </c>
      <c r="X50" s="490">
        <f>SUM(X12:X49)</f>
        <v>0.99999999999999967</v>
      </c>
      <c r="Y50" s="492">
        <f>'Op Cost-26'!B41/'Revenue Hours-26'!B41</f>
        <v>108.38174623012041</v>
      </c>
      <c r="Z50" s="493">
        <f>'Op Cost-26'!C41/'Revenue Hours-26'!C41</f>
        <v>109.41026264200019</v>
      </c>
      <c r="AA50" s="493">
        <f>'Op Cost-26'!D41/'Revenue Hours-26'!D41</f>
        <v>119.77918538846754</v>
      </c>
      <c r="AB50" s="493">
        <f>'Op Cost-26'!E41/'Revenue Hours-26'!E41</f>
        <v>124.14956084291406</v>
      </c>
      <c r="AC50" s="488"/>
      <c r="AD50" s="489">
        <f>SUM(AD12:AD49)</f>
        <v>0.99822605305304313</v>
      </c>
      <c r="AE50" s="490">
        <f>SUM(AE12:AE49)</f>
        <v>1</v>
      </c>
      <c r="AF50" s="492">
        <f>'Op Cost-26'!B41/'Revenue Miles-26'!B41</f>
        <v>7.7970237510674849</v>
      </c>
      <c r="AG50" s="493">
        <f>'Op Cost-26'!C41/'Revenue Miles-26'!C41</f>
        <v>7.7207979112531833</v>
      </c>
      <c r="AH50" s="493">
        <f>'Op Cost-26'!D41/'Revenue Miles-26'!D41</f>
        <v>8.4775320314076392</v>
      </c>
      <c r="AI50" s="493">
        <f>'Op Cost-26'!E41/'Revenue Miles-26'!E41</f>
        <v>8.8051721820962641</v>
      </c>
      <c r="AJ50" s="488"/>
      <c r="AK50" s="489">
        <f>SUM(AK12:AK49)</f>
        <v>0.9983139303558437</v>
      </c>
      <c r="AL50" s="490">
        <f>SUM(AL12:AL49)</f>
        <v>0.99999999999999989</v>
      </c>
      <c r="AM50" s="492">
        <f>'Op Cost-26'!B41/'Ridership-26'!B41</f>
        <v>15.593618541809814</v>
      </c>
      <c r="AN50" s="493">
        <f>'Op Cost-26'!C41/'Ridership-26'!C41</f>
        <v>12.279030891185982</v>
      </c>
      <c r="AO50" s="493">
        <f>'Op Cost-26'!D41/'Ridership-26'!D41</f>
        <v>11.314012167194182</v>
      </c>
      <c r="AP50" s="493">
        <f>'Op Cost-26'!E41/'Ridership-26'!E41</f>
        <v>10.947568011401737</v>
      </c>
      <c r="AQ50" s="494"/>
      <c r="AR50" s="489">
        <f>SUM(AR12:AR49)</f>
        <v>0.99419196109591035</v>
      </c>
      <c r="AS50" s="495">
        <f>SUM(AS12:AS49)</f>
        <v>0.99999999999999989</v>
      </c>
      <c r="AT50" s="485"/>
      <c r="AU50" s="496">
        <f>SUM(AU12:AU49)</f>
        <v>0</v>
      </c>
      <c r="AV50" s="497">
        <f>SUM(AV12:AV49)</f>
        <v>0</v>
      </c>
      <c r="AW50" s="497">
        <f>SUM(AW12:AW49)</f>
        <v>0</v>
      </c>
      <c r="AX50" s="497">
        <f>SUM(AX12:AX49)</f>
        <v>0</v>
      </c>
      <c r="AY50" s="498">
        <f>SUM(AY12:AY49)</f>
        <v>0</v>
      </c>
      <c r="AZ50" s="485"/>
      <c r="BA50" s="499">
        <f t="shared" si="22"/>
        <v>0</v>
      </c>
      <c r="BB50" s="500">
        <f t="shared" si="22"/>
        <v>0</v>
      </c>
      <c r="BC50" s="500">
        <f t="shared" si="22"/>
        <v>0</v>
      </c>
      <c r="BD50" s="500">
        <f t="shared" si="22"/>
        <v>0</v>
      </c>
      <c r="BE50" s="500">
        <f t="shared" si="22"/>
        <v>0</v>
      </c>
      <c r="BF50" s="501">
        <f t="shared" ref="BF50" si="67">SUM(BA50:BE50)</f>
        <v>0</v>
      </c>
      <c r="BH50" s="502">
        <f>'Op Cost-26'!E41</f>
        <v>581261868</v>
      </c>
      <c r="BI50" s="503"/>
      <c r="BJ50" s="504">
        <f>SUM(BJ12:BJ49)</f>
        <v>119220514.36180416</v>
      </c>
      <c r="BK50" s="505">
        <f>SUM(BK12:BK49)</f>
        <v>1149111.1881958526</v>
      </c>
      <c r="BP50" s="481">
        <f>SUM(BP12:BP49)</f>
        <v>112576607.26180415</v>
      </c>
      <c r="BQ50" s="506">
        <f>SUM(BQ12:BQ49)</f>
        <v>1.1499951734477034</v>
      </c>
      <c r="BR50" s="507">
        <f>SUM(BR12:BR49)</f>
        <v>0.95104855456585269</v>
      </c>
      <c r="BS50" s="508">
        <f>SUM(BS12:BS49)</f>
        <v>1</v>
      </c>
      <c r="BT50" s="509">
        <f>SUM(BT12:BT49)</f>
        <v>126704868.99999999</v>
      </c>
      <c r="BU50" s="509"/>
      <c r="BV50" s="509">
        <f t="shared" ref="BV50" si="68">SUM(BV12:BV49)</f>
        <v>126427327.84590253</v>
      </c>
      <c r="BW50" s="510">
        <f>SUM(BW12:BW49)</f>
        <v>277541.15409744892</v>
      </c>
      <c r="BX50" s="511">
        <f>SUM(BX12:BX49)</f>
        <v>0.88318094670102498</v>
      </c>
      <c r="BY50" s="512">
        <f>SUM(BY12:BY49)</f>
        <v>1</v>
      </c>
      <c r="BZ50" s="513">
        <f>SUM(BZ12:BZ49)</f>
        <v>126704868.99999999</v>
      </c>
      <c r="CA50" s="514"/>
      <c r="CB50" s="515">
        <f>SUM(CB12:CB49)</f>
        <v>7484354.6381958509</v>
      </c>
      <c r="CC50" s="515">
        <f>SUM(CC12:CC49)</f>
        <v>126704868.99999999</v>
      </c>
      <c r="CD50" s="516"/>
      <c r="CE50" s="517">
        <f>SUM(CE12:CE49)</f>
        <v>4</v>
      </c>
      <c r="CG50" s="518">
        <f>SUM(CG12:CG49)</f>
        <v>581261868</v>
      </c>
      <c r="CH50" s="519"/>
      <c r="CI50" s="520">
        <f>SUM(CI12:CI49)</f>
        <v>126552422.77219521</v>
      </c>
      <c r="CJ50" s="521">
        <f t="shared" si="34"/>
        <v>152446.22780478001</v>
      </c>
      <c r="CK50" s="1"/>
      <c r="CL50" s="522">
        <f>SUM(CL12:CL49)</f>
        <v>116303143.27219521</v>
      </c>
      <c r="CM50" s="523">
        <f t="shared" si="36"/>
        <v>1</v>
      </c>
      <c r="CN50" s="524">
        <f t="shared" si="37"/>
        <v>152446.22780478001</v>
      </c>
      <c r="CO50" s="525">
        <f>(CN50+CI50)</f>
        <v>126704868.99999999</v>
      </c>
      <c r="CP50" s="526">
        <f>CO50/CG50</f>
        <v>0.21798242061872186</v>
      </c>
      <c r="CQ50" s="527">
        <f>SUM(CQ12:CQ49)</f>
        <v>1</v>
      </c>
      <c r="CR50" s="528"/>
      <c r="CS50" s="529">
        <f>SUM(CS12:CS49)</f>
        <v>174378560.39999998</v>
      </c>
      <c r="CT50" s="520">
        <f>SUM(CT12:CT49)</f>
        <v>4.8967683283262886</v>
      </c>
      <c r="CU50" s="530">
        <f>SUM(CU12:CU49)</f>
        <v>126704864.10323165</v>
      </c>
      <c r="CV50" s="531">
        <f>AVERAGE(CV12:CV49)</f>
        <v>0.24642943435515391</v>
      </c>
      <c r="CY50" s="532">
        <f>SUM(CY12:CY49)</f>
        <v>547448.79999999993</v>
      </c>
      <c r="CZ50" s="533">
        <f>SUM(CZ12:CZ49)</f>
        <v>127252312.90323167</v>
      </c>
      <c r="DA50" s="534">
        <f>AVERAGE(DA12:DA49)</f>
        <v>0.24682026945922492</v>
      </c>
      <c r="DB50" s="1">
        <f>SUM(DB12:DB49)</f>
        <v>0</v>
      </c>
    </row>
    <row r="51" spans="1:110">
      <c r="BL51" s="1">
        <f>MEDIAN(BL12:BL49)</f>
        <v>0.66493828941318767</v>
      </c>
      <c r="BS51" s="535"/>
    </row>
    <row r="52" spans="1:110">
      <c r="BS52" s="535"/>
      <c r="CU52" s="301"/>
    </row>
    <row r="53" spans="1:110">
      <c r="BS53" s="535"/>
    </row>
    <row r="54" spans="1:110">
      <c r="BS54" s="535">
        <v>0.03</v>
      </c>
    </row>
    <row r="55" spans="1:110">
      <c r="BS55" s="535"/>
    </row>
    <row r="56" spans="1:110">
      <c r="BS56" s="535"/>
    </row>
    <row r="57" spans="1:110">
      <c r="BS57" s="535"/>
    </row>
    <row r="58" spans="1:110">
      <c r="BS58" s="535"/>
    </row>
    <row r="59" spans="1:110">
      <c r="BS59" s="535"/>
    </row>
    <row r="60" spans="1:110">
      <c r="BS60" s="535"/>
    </row>
    <row r="61" spans="1:110">
      <c r="BS61" s="535"/>
    </row>
    <row r="62" spans="1:110">
      <c r="BS62" s="535"/>
    </row>
    <row r="63" spans="1:110">
      <c r="BS63" s="535"/>
    </row>
    <row r="64" spans="1:110">
      <c r="BS64" s="535"/>
    </row>
    <row r="65" spans="71:71">
      <c r="BS65" s="535"/>
    </row>
    <row r="66" spans="71:71">
      <c r="BS66" s="535"/>
    </row>
    <row r="67" spans="71:71">
      <c r="BS67" s="535"/>
    </row>
    <row r="68" spans="71:71">
      <c r="BS68" s="535"/>
    </row>
    <row r="69" spans="71:71">
      <c r="BS69" s="535"/>
    </row>
    <row r="70" spans="71:71">
      <c r="BS70" s="535"/>
    </row>
    <row r="71" spans="71:71">
      <c r="BS71" s="535"/>
    </row>
    <row r="72" spans="71:71">
      <c r="BS72" s="535"/>
    </row>
    <row r="73" spans="71:71">
      <c r="BS73" s="535"/>
    </row>
    <row r="74" spans="71:71">
      <c r="BS74" s="535"/>
    </row>
    <row r="75" spans="71:71">
      <c r="BS75" s="535"/>
    </row>
    <row r="76" spans="71:71">
      <c r="BS76" s="535"/>
    </row>
    <row r="77" spans="71:71">
      <c r="BS77" s="535"/>
    </row>
    <row r="78" spans="71:71">
      <c r="BS78" s="535"/>
    </row>
    <row r="79" spans="71:71">
      <c r="BS79" s="535"/>
    </row>
    <row r="80" spans="71:71">
      <c r="BS80" s="535"/>
    </row>
    <row r="81" spans="71:71">
      <c r="BS81" s="535"/>
    </row>
    <row r="82" spans="71:71">
      <c r="BS82" s="535"/>
    </row>
    <row r="83" spans="71:71">
      <c r="BS83" s="535"/>
    </row>
    <row r="84" spans="71:71">
      <c r="BS84" s="535"/>
    </row>
    <row r="85" spans="71:71">
      <c r="BS85" s="535"/>
    </row>
    <row r="86" spans="71:71">
      <c r="BS86" s="535"/>
    </row>
    <row r="87" spans="71:71">
      <c r="BS87" s="538"/>
    </row>
  </sheetData>
  <autoFilter ref="A11:CO11" xr:uid="{00000000-0001-0000-0F00-000000000000}"/>
  <mergeCells count="11">
    <mergeCell ref="CS3:CV3"/>
    <mergeCell ref="CY3:CZ3"/>
    <mergeCell ref="AU5:AY5"/>
    <mergeCell ref="A9:A11"/>
    <mergeCell ref="B9:B11"/>
    <mergeCell ref="D3:I3"/>
    <mergeCell ref="K3:AS3"/>
    <mergeCell ref="AU3:AY3"/>
    <mergeCell ref="BA3:BF3"/>
    <mergeCell ref="BH3:CE3"/>
    <mergeCell ref="CG3:CQ3"/>
  </mergeCells>
  <conditionalFormatting sqref="BI12:BI49">
    <cfRule type="cellIs" dxfId="66" priority="5" operator="greaterThan">
      <formula>$BJ$6</formula>
    </cfRule>
  </conditionalFormatting>
  <conditionalFormatting sqref="BL12:BL49">
    <cfRule type="cellIs" dxfId="65" priority="1" operator="greaterThan">
      <formula>$BL$51</formula>
    </cfRule>
  </conditionalFormatting>
  <conditionalFormatting sqref="BS51:BS86">
    <cfRule type="cellIs" dxfId="64" priority="2" operator="greaterThan">
      <formula>0.04</formula>
    </cfRule>
  </conditionalFormatting>
  <conditionalFormatting sqref="CD12:CD49">
    <cfRule type="cellIs" dxfId="63" priority="7" operator="greaterThan">
      <formula>$BJ$6</formula>
    </cfRule>
  </conditionalFormatting>
  <conditionalFormatting sqref="CE12:CE49 CQ12:CR49">
    <cfRule type="cellIs" dxfId="62" priority="8" operator="greaterThan">
      <formula>0</formula>
    </cfRule>
  </conditionalFormatting>
  <conditionalFormatting sqref="CP12:CP49">
    <cfRule type="cellIs" dxfId="61" priority="6" operator="greaterThan">
      <formula>$BJ$6</formula>
    </cfRule>
  </conditionalFormatting>
  <conditionalFormatting sqref="CV12:CV49">
    <cfRule type="cellIs" dxfId="60" priority="3" operator="equal">
      <formula>$BJ$6</formula>
    </cfRule>
    <cfRule type="cellIs" dxfId="59" priority="4" operator="greaterThan">
      <formula>$BJ$6</formula>
    </cfRule>
  </conditionalFormatting>
  <printOptions horizontalCentered="1"/>
  <pageMargins left="0.25" right="0.25" top="0.75" bottom="0.75" header="0.3" footer="0.3"/>
  <pageSetup paperSize="17" scale="18" orientation="landscape" r:id="rId1"/>
  <headerFooter alignWithMargins="0">
    <oddFooter>&amp;L&amp;F&amp;R&amp;D</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1D854-839D-4CFD-B10B-189D6F65B9CB}">
  <sheetPr>
    <tabColor theme="5"/>
    <pageSetUpPr fitToPage="1"/>
  </sheetPr>
  <dimension ref="A1:DF87"/>
  <sheetViews>
    <sheetView zoomScale="80" zoomScaleNormal="80" workbookViewId="0">
      <pane xSplit="2" topLeftCell="C1" activePane="topRight" state="frozen"/>
      <selection activeCell="A2" sqref="A2"/>
      <selection pane="topRight" activeCell="A2" sqref="A2"/>
    </sheetView>
  </sheetViews>
  <sheetFormatPr defaultColWidth="9.28515625" defaultRowHeight="14.25"/>
  <cols>
    <col min="1" max="1" width="21.28515625" style="10" customWidth="1"/>
    <col min="2" max="2" width="49.42578125" style="1" bestFit="1" customWidth="1"/>
    <col min="3" max="3" width="5.85546875" style="1" customWidth="1"/>
    <col min="4" max="4" width="21.28515625" style="1" customWidth="1"/>
    <col min="5" max="5" width="17.42578125" style="1" customWidth="1"/>
    <col min="6" max="6" width="14.28515625" style="1" customWidth="1"/>
    <col min="7" max="7" width="13.5703125" style="1" customWidth="1"/>
    <col min="8" max="8" width="16.28515625" style="1" customWidth="1"/>
    <col min="9" max="9" width="17.42578125" style="4" customWidth="1"/>
    <col min="10" max="10" width="8" style="1" customWidth="1"/>
    <col min="11" max="11" width="8.7109375" style="1" customWidth="1"/>
    <col min="12" max="12" width="11.5703125" style="1" customWidth="1"/>
    <col min="13" max="14" width="8.7109375" style="1" customWidth="1"/>
    <col min="15" max="17" width="15.7109375" style="1" customWidth="1"/>
    <col min="18" max="21" width="8.7109375" style="1" customWidth="1"/>
    <col min="22" max="23" width="15.7109375" style="1" customWidth="1"/>
    <col min="24" max="24" width="15.7109375" style="5" customWidth="1"/>
    <col min="25" max="28" width="10.7109375" style="1" customWidth="1"/>
    <col min="29" max="30" width="15.7109375" style="1" customWidth="1"/>
    <col min="31" max="31" width="15.7109375" style="5" customWidth="1"/>
    <col min="32" max="35" width="8.7109375" style="1" customWidth="1"/>
    <col min="36" max="37" width="15.7109375" style="1" customWidth="1"/>
    <col min="38" max="38" width="15.7109375" style="5" customWidth="1"/>
    <col min="39" max="41" width="8.7109375" style="1" customWidth="1"/>
    <col min="42" max="42" width="9.28515625" style="1" customWidth="1"/>
    <col min="43" max="44" width="15.7109375" style="1" customWidth="1"/>
    <col min="45" max="45" width="15.7109375" style="5" customWidth="1"/>
    <col min="46" max="46" width="9.28515625" style="1" customWidth="1"/>
    <col min="47" max="51" width="17.7109375" style="1" customWidth="1"/>
    <col min="52" max="52" width="9.28515625" style="1" customWidth="1"/>
    <col min="53" max="53" width="20.28515625" style="1" customWidth="1"/>
    <col min="54" max="58" width="17.7109375" style="1" customWidth="1"/>
    <col min="59" max="59" width="14.28515625" style="1" bestFit="1" customWidth="1"/>
    <col min="60" max="60" width="15.7109375" style="6" customWidth="1"/>
    <col min="61" max="61" width="18.5703125" style="1" customWidth="1"/>
    <col min="62" max="62" width="23.5703125" style="1" customWidth="1"/>
    <col min="63" max="63" width="24.85546875" style="1" customWidth="1"/>
    <col min="64" max="64" width="9.28515625" style="1" customWidth="1"/>
    <col min="65" max="67" width="16.5703125" style="1" customWidth="1"/>
    <col min="68" max="68" width="23.140625" style="1" customWidth="1"/>
    <col min="69" max="69" width="23.28515625" style="1" customWidth="1"/>
    <col min="70" max="70" width="22.5703125" style="1" customWidth="1"/>
    <col min="71" max="74" width="21.7109375" style="1" customWidth="1"/>
    <col min="75" max="76" width="23.85546875" style="1" customWidth="1"/>
    <col min="77" max="77" width="26.7109375" style="1" customWidth="1"/>
    <col min="78" max="78" width="21.7109375" style="1" customWidth="1"/>
    <col min="79" max="79" width="21.7109375" style="1" hidden="1" customWidth="1"/>
    <col min="80" max="80" width="18.42578125" style="1" hidden="1" customWidth="1"/>
    <col min="81" max="81" width="18.42578125" style="8" hidden="1" customWidth="1"/>
    <col min="82" max="82" width="20.5703125" style="8" hidden="1" customWidth="1"/>
    <col min="83" max="83" width="22.42578125" style="1" hidden="1" customWidth="1"/>
    <col min="84" max="84" width="12.42578125" style="1" hidden="1" customWidth="1"/>
    <col min="85" max="85" width="16.85546875" style="1" hidden="1" customWidth="1"/>
    <col min="86" max="86" width="15.140625" style="1" hidden="1" customWidth="1"/>
    <col min="87" max="87" width="18.28515625" style="1" hidden="1" customWidth="1"/>
    <col min="88" max="88" width="15.85546875" style="1" hidden="1" customWidth="1"/>
    <col min="89" max="89" width="9.28515625" style="1" hidden="1" customWidth="1"/>
    <col min="90" max="91" width="21.7109375" style="1" hidden="1" customWidth="1"/>
    <col min="92" max="92" width="18.42578125" style="1" hidden="1" customWidth="1"/>
    <col min="93" max="93" width="18.42578125" style="8" hidden="1" customWidth="1"/>
    <col min="94" max="94" width="19.140625" style="536" hidden="1" customWidth="1"/>
    <col min="95" max="96" width="18" style="537" hidden="1" customWidth="1"/>
    <col min="97" max="97" width="22.42578125" style="1" hidden="1" customWidth="1"/>
    <col min="98" max="98" width="17.5703125" style="1" hidden="1" customWidth="1"/>
    <col min="99" max="99" width="18.5703125" style="1" hidden="1" customWidth="1"/>
    <col min="100" max="100" width="17.28515625" style="1" hidden="1" customWidth="1"/>
    <col min="101" max="102" width="9.28515625" style="1" hidden="1" customWidth="1"/>
    <col min="103" max="103" width="17.140625" style="1" hidden="1" customWidth="1"/>
    <col min="104" max="104" width="20.28515625" style="1" hidden="1" customWidth="1"/>
    <col min="105" max="105" width="17.140625" style="1" hidden="1" customWidth="1"/>
    <col min="106" max="109" width="9.28515625" style="1"/>
    <col min="110" max="110" width="13.85546875" style="1" customWidth="1"/>
    <col min="111" max="16384" width="9.28515625" style="1"/>
  </cols>
  <sheetData>
    <row r="1" spans="1:110" s="371" customFormat="1" ht="20.25">
      <c r="A1" s="370" t="s">
        <v>438</v>
      </c>
      <c r="D1" s="372"/>
      <c r="G1" s="373"/>
      <c r="I1" s="374"/>
      <c r="X1" s="375"/>
      <c r="AE1" s="375"/>
      <c r="AL1" s="375"/>
      <c r="AS1" s="375"/>
      <c r="BH1" s="376"/>
      <c r="BP1" s="377"/>
      <c r="BQ1" s="377"/>
      <c r="BR1" s="377"/>
      <c r="BS1" s="377"/>
      <c r="BT1" s="377"/>
      <c r="BU1" s="377"/>
      <c r="BV1" s="377"/>
      <c r="BW1" s="377"/>
      <c r="BX1" s="377"/>
      <c r="BY1" s="377"/>
      <c r="BZ1" s="377"/>
      <c r="CC1" s="378"/>
      <c r="CD1" s="378"/>
      <c r="CM1" s="377"/>
      <c r="CN1" s="377"/>
      <c r="CO1" s="377"/>
      <c r="CP1" s="379"/>
      <c r="CQ1" s="380"/>
      <c r="CR1" s="380"/>
      <c r="CT1" s="379"/>
      <c r="CU1" s="379"/>
      <c r="CV1" s="379"/>
    </row>
    <row r="2" spans="1:110" ht="15" customHeight="1">
      <c r="A2" s="1149" t="str" cm="1">
        <f t="array" aca="1" ref="A2" ca="1">"Scenario "&amp;MID(CELL("filename",A1),FIND("]",CELL("filename",A1))+1,500)</f>
        <v>Scenario S6C-Deadhead-26</v>
      </c>
      <c r="B2" s="11"/>
      <c r="C2" s="11"/>
      <c r="D2" s="381"/>
      <c r="E2" s="13"/>
      <c r="F2" s="10"/>
      <c r="G2" s="382"/>
      <c r="I2" s="15"/>
      <c r="M2" s="16"/>
      <c r="O2" s="17"/>
      <c r="P2" s="17"/>
      <c r="S2" s="16"/>
      <c r="Z2" s="16"/>
      <c r="AG2" s="16"/>
      <c r="AN2" s="16"/>
      <c r="CP2" s="9"/>
      <c r="CQ2" s="379"/>
      <c r="CR2" s="379"/>
      <c r="CS2" s="379"/>
      <c r="CT2" s="379"/>
      <c r="CU2" s="379"/>
      <c r="CV2" s="379"/>
    </row>
    <row r="3" spans="1:110" s="9" customFormat="1" ht="15" customHeight="1">
      <c r="B3" s="383"/>
      <c r="C3" s="383"/>
      <c r="D3" s="1156" t="s">
        <v>157</v>
      </c>
      <c r="E3" s="1156"/>
      <c r="F3" s="1156"/>
      <c r="G3" s="1156"/>
      <c r="H3" s="1156"/>
      <c r="I3" s="1156"/>
      <c r="K3" s="1156" t="s">
        <v>158</v>
      </c>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U3" s="1156" t="s">
        <v>159</v>
      </c>
      <c r="AV3" s="1156"/>
      <c r="AW3" s="1156"/>
      <c r="AX3" s="1156"/>
      <c r="AY3" s="1156"/>
      <c r="AZ3" s="383"/>
      <c r="BA3" s="1156" t="s">
        <v>160</v>
      </c>
      <c r="BB3" s="1156"/>
      <c r="BC3" s="1156"/>
      <c r="BD3" s="1156"/>
      <c r="BE3" s="1156"/>
      <c r="BF3" s="1156"/>
      <c r="BH3" s="1156" t="s">
        <v>161</v>
      </c>
      <c r="BI3" s="1156"/>
      <c r="BJ3" s="1156"/>
      <c r="BK3" s="1156"/>
      <c r="BL3" s="1156"/>
      <c r="BM3" s="1156"/>
      <c r="BN3" s="1156"/>
      <c r="BO3" s="1156"/>
      <c r="BP3" s="1156"/>
      <c r="BQ3" s="1156"/>
      <c r="BR3" s="1156"/>
      <c r="BS3" s="1156"/>
      <c r="BT3" s="1156"/>
      <c r="BU3" s="1156"/>
      <c r="BV3" s="1156"/>
      <c r="BW3" s="1156"/>
      <c r="BX3" s="1156"/>
      <c r="BY3" s="1156"/>
      <c r="BZ3" s="1156"/>
      <c r="CA3" s="1156"/>
      <c r="CB3" s="1156"/>
      <c r="CC3" s="1156"/>
      <c r="CD3" s="1156"/>
      <c r="CE3" s="1156"/>
      <c r="CG3" s="1156" t="s">
        <v>162</v>
      </c>
      <c r="CH3" s="1156"/>
      <c r="CI3" s="1156"/>
      <c r="CJ3" s="1156"/>
      <c r="CK3" s="1156"/>
      <c r="CL3" s="1156"/>
      <c r="CM3" s="1156"/>
      <c r="CN3" s="1156"/>
      <c r="CO3" s="1156"/>
      <c r="CP3" s="1156"/>
      <c r="CQ3" s="1156"/>
      <c r="CR3" s="384"/>
      <c r="CS3" s="1156" t="s">
        <v>163</v>
      </c>
      <c r="CT3" s="1156"/>
      <c r="CU3" s="1156"/>
      <c r="CV3" s="1156"/>
      <c r="CW3" s="383"/>
      <c r="CY3" s="1156" t="s">
        <v>164</v>
      </c>
      <c r="CZ3" s="1156"/>
    </row>
    <row r="4" spans="1:110" s="9" customFormat="1" ht="15" customHeight="1">
      <c r="B4" s="383"/>
      <c r="C4" s="383"/>
      <c r="D4" s="385"/>
      <c r="E4" s="385"/>
      <c r="F4" s="385"/>
      <c r="G4" s="385"/>
      <c r="H4" s="385"/>
      <c r="I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U4" s="385"/>
      <c r="AV4" s="385"/>
      <c r="AW4" s="385"/>
      <c r="AX4" s="385"/>
      <c r="AY4" s="385"/>
      <c r="AZ4" s="383"/>
      <c r="BA4" s="385"/>
      <c r="BB4" s="385"/>
      <c r="BC4" s="385"/>
      <c r="BD4" s="385"/>
      <c r="BE4" s="385"/>
      <c r="BF4" s="385"/>
      <c r="BH4" s="385"/>
      <c r="BI4" s="385"/>
      <c r="BJ4" s="385"/>
      <c r="BK4" s="385"/>
      <c r="BL4" s="385"/>
      <c r="BM4" s="385"/>
      <c r="BN4" s="385"/>
      <c r="BO4" s="385"/>
      <c r="BP4" s="385"/>
      <c r="BQ4" s="385"/>
      <c r="BR4" s="385"/>
      <c r="BS4" s="385"/>
      <c r="BT4" s="385"/>
      <c r="BU4" s="385"/>
      <c r="BV4" s="385"/>
      <c r="BW4" s="385"/>
      <c r="BX4" s="385"/>
      <c r="BY4" s="385"/>
      <c r="BZ4" s="385"/>
      <c r="CA4" s="385"/>
      <c r="CB4" s="385"/>
      <c r="CC4" s="385"/>
      <c r="CD4" s="385"/>
      <c r="CE4" s="385"/>
      <c r="CO4" s="386"/>
      <c r="CP4" s="384"/>
      <c r="CQ4" s="384"/>
      <c r="CR4" s="384"/>
      <c r="CS4" s="384"/>
      <c r="CT4" s="384"/>
      <c r="CU4" s="384"/>
      <c r="CV4" s="384"/>
    </row>
    <row r="5" spans="1:110" ht="15" customHeight="1">
      <c r="B5" s="11"/>
      <c r="C5" s="11"/>
      <c r="D5" s="387" t="s">
        <v>3</v>
      </c>
      <c r="E5" s="13"/>
      <c r="F5" s="10"/>
      <c r="G5" s="382"/>
      <c r="I5" s="15"/>
      <c r="M5" s="16"/>
      <c r="O5" s="17"/>
      <c r="P5" s="17"/>
      <c r="S5" s="16"/>
      <c r="Z5" s="16"/>
      <c r="AG5" s="16"/>
      <c r="AN5" s="16"/>
      <c r="AU5" s="1157" t="s">
        <v>4</v>
      </c>
      <c r="AV5" s="1158"/>
      <c r="AW5" s="1158"/>
      <c r="AX5" s="1158"/>
      <c r="AY5" s="1159"/>
      <c r="BA5" s="25" t="s">
        <v>5</v>
      </c>
      <c r="BJ5" s="25" t="s">
        <v>6</v>
      </c>
      <c r="BP5" s="25" t="s">
        <v>165</v>
      </c>
      <c r="BQ5" s="7"/>
      <c r="BR5" s="7"/>
      <c r="BS5" s="7"/>
      <c r="BT5" s="7"/>
      <c r="BU5" s="7" t="s">
        <v>142</v>
      </c>
      <c r="BV5" s="7"/>
      <c r="BW5" s="7"/>
      <c r="BX5" s="7"/>
      <c r="BY5" s="7"/>
      <c r="BZ5" s="7"/>
      <c r="CM5" s="25" t="s">
        <v>7</v>
      </c>
      <c r="CP5" s="388"/>
      <c r="CQ5" s="388"/>
      <c r="CR5" s="388"/>
      <c r="CS5" s="388"/>
      <c r="CT5" s="388"/>
      <c r="CU5" s="388"/>
      <c r="CV5" s="388"/>
    </row>
    <row r="6" spans="1:110">
      <c r="B6" s="26"/>
      <c r="C6" s="26"/>
      <c r="D6" s="27">
        <v>0.35</v>
      </c>
      <c r="E6" s="27">
        <v>0.35</v>
      </c>
      <c r="F6" s="27">
        <v>0.15</v>
      </c>
      <c r="G6" s="27">
        <v>0.15</v>
      </c>
      <c r="I6" s="15"/>
      <c r="M6" s="16"/>
      <c r="O6" s="17"/>
      <c r="P6" s="17"/>
      <c r="S6" s="16"/>
      <c r="Z6" s="16"/>
      <c r="AG6" s="16"/>
      <c r="AN6" s="16"/>
      <c r="AU6" s="28">
        <v>0</v>
      </c>
      <c r="AV6" s="28">
        <v>0</v>
      </c>
      <c r="AW6" s="28">
        <v>0</v>
      </c>
      <c r="AX6" s="28">
        <v>0</v>
      </c>
      <c r="AY6" s="28">
        <v>0</v>
      </c>
      <c r="AZ6" s="29"/>
      <c r="BA6" s="30">
        <f>126704869*(1-AZ8)</f>
        <v>120369625.55</v>
      </c>
      <c r="BB6" s="1" t="s">
        <v>8</v>
      </c>
      <c r="BJ6" s="284">
        <v>0.3</v>
      </c>
      <c r="BP6" s="31">
        <f>$BK$50+BA8</f>
        <v>7484354.6381958527</v>
      </c>
      <c r="BQ6" s="32"/>
      <c r="BR6" s="32"/>
      <c r="BS6" s="32"/>
      <c r="BT6" s="32"/>
      <c r="BU6" s="33">
        <v>0.3</v>
      </c>
      <c r="BV6" s="32"/>
      <c r="BW6" s="32"/>
      <c r="BX6" s="32"/>
      <c r="BY6" s="32"/>
      <c r="BZ6" s="32"/>
      <c r="CM6" s="31">
        <f>CJ50</f>
        <v>152446.22780478001</v>
      </c>
      <c r="CP6" s="388"/>
      <c r="CQ6" s="388"/>
      <c r="CR6" s="388"/>
      <c r="CS6" s="388"/>
      <c r="CT6" s="388"/>
      <c r="CU6" s="388"/>
      <c r="CV6" s="388"/>
      <c r="DB6" s="32"/>
    </row>
    <row r="7" spans="1:110">
      <c r="B7" s="26"/>
      <c r="C7" s="26"/>
      <c r="D7" s="389"/>
      <c r="E7" s="389"/>
      <c r="F7" s="389"/>
      <c r="G7" s="389"/>
      <c r="I7" s="15"/>
      <c r="M7" s="16"/>
      <c r="O7" s="17"/>
      <c r="P7" s="17"/>
      <c r="S7" s="16"/>
      <c r="Z7" s="16"/>
      <c r="AG7" s="16"/>
      <c r="AN7" s="16"/>
      <c r="AU7" s="390"/>
      <c r="AV7" s="390"/>
      <c r="AW7" s="390"/>
      <c r="AX7" s="390"/>
      <c r="AY7" s="390"/>
      <c r="AZ7" s="29"/>
      <c r="BA7" s="391"/>
      <c r="BJ7" s="392"/>
      <c r="BP7" s="393" t="s">
        <v>145</v>
      </c>
      <c r="BQ7" s="393" t="s">
        <v>144</v>
      </c>
      <c r="BR7" s="393" t="s">
        <v>166</v>
      </c>
      <c r="BT7" s="393"/>
      <c r="BU7" s="393"/>
      <c r="BV7" s="393"/>
      <c r="BW7" s="393"/>
      <c r="BX7" s="393"/>
      <c r="BY7" s="393"/>
      <c r="BZ7" s="393"/>
      <c r="CM7" s="393"/>
      <c r="CP7" s="388"/>
      <c r="CQ7" s="388"/>
      <c r="CR7" s="388"/>
      <c r="CS7" s="388"/>
      <c r="CT7" s="388"/>
      <c r="CU7" s="388"/>
      <c r="CV7" s="388"/>
    </row>
    <row r="8" spans="1:110" ht="15" customHeight="1" thickBot="1">
      <c r="A8" s="1"/>
      <c r="D8" s="34" t="s">
        <v>167</v>
      </c>
      <c r="I8" s="394" t="s">
        <v>168</v>
      </c>
      <c r="K8" s="34" t="s">
        <v>169</v>
      </c>
      <c r="AY8" s="1" t="s">
        <v>16</v>
      </c>
      <c r="AZ8" s="16">
        <v>0.05</v>
      </c>
      <c r="BA8" s="395">
        <f>126704869*AZ8</f>
        <v>6335243.4500000002</v>
      </c>
      <c r="BB8" s="1" t="s">
        <v>170</v>
      </c>
      <c r="BP8" s="16">
        <v>0.25</v>
      </c>
      <c r="BQ8" s="16">
        <v>0.25</v>
      </c>
      <c r="BR8" s="16">
        <v>0.5</v>
      </c>
      <c r="CL8" s="396"/>
      <c r="CP8" s="388"/>
      <c r="CQ8" s="388"/>
      <c r="CR8" s="388"/>
      <c r="CS8" s="388"/>
      <c r="CT8" s="388"/>
      <c r="CU8" s="388"/>
      <c r="CV8" s="388"/>
    </row>
    <row r="9" spans="1:110" s="29" customFormat="1">
      <c r="A9" s="1160" t="s">
        <v>29</v>
      </c>
      <c r="B9" s="1163" t="s">
        <v>171</v>
      </c>
      <c r="C9" s="397"/>
      <c r="D9" s="38" t="s">
        <v>10</v>
      </c>
      <c r="E9" s="39"/>
      <c r="F9" s="39"/>
      <c r="G9" s="39"/>
      <c r="H9" s="40"/>
      <c r="I9" s="398"/>
      <c r="K9" s="43" t="s">
        <v>11</v>
      </c>
      <c r="L9" s="43"/>
      <c r="M9" s="43"/>
      <c r="N9" s="43"/>
      <c r="O9" s="43"/>
      <c r="P9" s="43"/>
      <c r="Q9" s="44"/>
      <c r="R9" s="42" t="s">
        <v>12</v>
      </c>
      <c r="S9" s="43"/>
      <c r="T9" s="43"/>
      <c r="U9" s="43"/>
      <c r="V9" s="43"/>
      <c r="W9" s="43"/>
      <c r="X9" s="44"/>
      <c r="Y9" s="42" t="s">
        <v>13</v>
      </c>
      <c r="Z9" s="43"/>
      <c r="AA9" s="43"/>
      <c r="AB9" s="43"/>
      <c r="AC9" s="43"/>
      <c r="AD9" s="43"/>
      <c r="AE9" s="44"/>
      <c r="AF9" s="42" t="s">
        <v>14</v>
      </c>
      <c r="AG9" s="43"/>
      <c r="AH9" s="43"/>
      <c r="AI9" s="43"/>
      <c r="AJ9" s="43"/>
      <c r="AK9" s="43"/>
      <c r="AL9" s="44"/>
      <c r="AM9" s="42" t="s">
        <v>15</v>
      </c>
      <c r="AN9" s="43"/>
      <c r="AO9" s="43"/>
      <c r="AP9" s="43"/>
      <c r="AQ9" s="43"/>
      <c r="AR9" s="43"/>
      <c r="AS9" s="43"/>
      <c r="BA9" s="46"/>
      <c r="BB9" s="46"/>
      <c r="BC9" s="46"/>
      <c r="BD9" s="46"/>
      <c r="BE9" s="46"/>
      <c r="BH9" s="47"/>
      <c r="BI9" s="396"/>
      <c r="BP9" s="396"/>
      <c r="BQ9" s="396"/>
      <c r="BR9" s="396"/>
      <c r="BS9" s="396"/>
      <c r="BT9" s="396"/>
      <c r="BU9" s="396"/>
      <c r="BV9" s="396"/>
      <c r="BW9" s="396"/>
      <c r="BX9" s="396"/>
      <c r="BY9" s="396"/>
      <c r="BZ9" s="396"/>
      <c r="CA9" s="48"/>
      <c r="CB9" s="48"/>
      <c r="CC9" s="49"/>
      <c r="CD9" s="396"/>
      <c r="CH9" s="396"/>
      <c r="CL9" s="48" t="s">
        <v>17</v>
      </c>
      <c r="CM9" s="48"/>
      <c r="CN9" s="48"/>
      <c r="CO9" s="49"/>
      <c r="CP9" s="396"/>
      <c r="CQ9" s="396"/>
      <c r="CR9" s="399"/>
      <c r="CS9" s="396"/>
      <c r="CT9" s="396"/>
      <c r="CU9" s="396"/>
      <c r="CV9" s="396"/>
    </row>
    <row r="10" spans="1:110" s="403" customFormat="1" ht="15" thickBot="1">
      <c r="A10" s="1161"/>
      <c r="B10" s="1164"/>
      <c r="C10" s="400"/>
      <c r="D10" s="54">
        <f>D$6</f>
        <v>0.35</v>
      </c>
      <c r="E10" s="54">
        <f>E$6</f>
        <v>0.35</v>
      </c>
      <c r="F10" s="54">
        <f>F$6</f>
        <v>0.15</v>
      </c>
      <c r="G10" s="54">
        <f>G$6</f>
        <v>0.15</v>
      </c>
      <c r="H10" s="54"/>
      <c r="I10" s="401"/>
      <c r="J10" s="29"/>
      <c r="K10" s="402" t="s">
        <v>20</v>
      </c>
      <c r="L10" s="57"/>
      <c r="M10" s="57"/>
      <c r="N10" s="57"/>
      <c r="O10" s="57"/>
      <c r="P10" s="57"/>
      <c r="Q10" s="58"/>
      <c r="R10" s="56" t="s">
        <v>21</v>
      </c>
      <c r="S10" s="57"/>
      <c r="T10" s="57"/>
      <c r="U10" s="57"/>
      <c r="V10" s="57"/>
      <c r="W10" s="57"/>
      <c r="X10" s="58"/>
      <c r="Y10" s="56" t="s">
        <v>22</v>
      </c>
      <c r="Z10" s="57"/>
      <c r="AA10" s="57"/>
      <c r="AB10" s="57"/>
      <c r="AC10" s="57"/>
      <c r="AD10" s="57"/>
      <c r="AE10" s="58"/>
      <c r="AF10" s="56" t="s">
        <v>23</v>
      </c>
      <c r="AG10" s="57"/>
      <c r="AH10" s="57"/>
      <c r="AI10" s="57"/>
      <c r="AJ10" s="57"/>
      <c r="AK10" s="57"/>
      <c r="AL10" s="58"/>
      <c r="AM10" s="56" t="s">
        <v>24</v>
      </c>
      <c r="AN10" s="57"/>
      <c r="AO10" s="57"/>
      <c r="AP10" s="57"/>
      <c r="AQ10" s="57"/>
      <c r="AR10" s="57"/>
      <c r="AS10" s="57"/>
      <c r="BH10" s="404" t="s">
        <v>172</v>
      </c>
      <c r="BP10" s="404" t="s">
        <v>173</v>
      </c>
      <c r="BQ10" s="404"/>
      <c r="BR10" s="404"/>
      <c r="BS10" s="404"/>
      <c r="BT10" s="404"/>
      <c r="BU10" s="404"/>
      <c r="BV10" s="404"/>
      <c r="BW10" s="404"/>
      <c r="BX10" s="404"/>
      <c r="BY10" s="404"/>
      <c r="BZ10" s="404"/>
      <c r="CC10" s="405"/>
      <c r="CD10" s="405"/>
      <c r="CE10" s="404"/>
      <c r="CG10" s="404" t="s">
        <v>174</v>
      </c>
      <c r="CL10" s="404" t="s">
        <v>175</v>
      </c>
      <c r="CO10" s="405"/>
      <c r="CQ10" s="406"/>
      <c r="CR10" s="406"/>
      <c r="CS10" s="407" t="s">
        <v>176</v>
      </c>
    </row>
    <row r="11" spans="1:110" s="45" customFormat="1" ht="101.25" customHeight="1">
      <c r="A11" s="1162"/>
      <c r="B11" s="1165"/>
      <c r="C11" s="408"/>
      <c r="D11" s="63" t="s">
        <v>177</v>
      </c>
      <c r="E11" s="64" t="s">
        <v>178</v>
      </c>
      <c r="F11" s="64" t="s">
        <v>179</v>
      </c>
      <c r="G11" s="64" t="s">
        <v>180</v>
      </c>
      <c r="H11" s="64" t="s">
        <v>35</v>
      </c>
      <c r="I11" s="409" t="s">
        <v>36</v>
      </c>
      <c r="K11" s="410">
        <v>2021</v>
      </c>
      <c r="L11" s="66">
        <v>2022</v>
      </c>
      <c r="M11" s="66">
        <v>2023</v>
      </c>
      <c r="N11" s="66">
        <v>2024</v>
      </c>
      <c r="O11" s="67" t="s">
        <v>37</v>
      </c>
      <c r="P11" s="67" t="s">
        <v>38</v>
      </c>
      <c r="Q11" s="68" t="s">
        <v>39</v>
      </c>
      <c r="R11" s="66">
        <v>2021</v>
      </c>
      <c r="S11" s="66">
        <v>2022</v>
      </c>
      <c r="T11" s="66">
        <v>2023</v>
      </c>
      <c r="U11" s="66">
        <v>2024</v>
      </c>
      <c r="V11" s="67" t="s">
        <v>40</v>
      </c>
      <c r="W11" s="67" t="s">
        <v>41</v>
      </c>
      <c r="X11" s="68" t="s">
        <v>39</v>
      </c>
      <c r="Y11" s="66">
        <v>2021</v>
      </c>
      <c r="Z11" s="66">
        <v>2022</v>
      </c>
      <c r="AA11" s="66">
        <v>2023</v>
      </c>
      <c r="AB11" s="66">
        <v>2024</v>
      </c>
      <c r="AC11" s="67" t="s">
        <v>42</v>
      </c>
      <c r="AD11" s="67" t="s">
        <v>43</v>
      </c>
      <c r="AE11" s="68" t="s">
        <v>39</v>
      </c>
      <c r="AF11" s="66">
        <v>2021</v>
      </c>
      <c r="AG11" s="66">
        <v>2022</v>
      </c>
      <c r="AH11" s="66">
        <v>2023</v>
      </c>
      <c r="AI11" s="66">
        <v>2024</v>
      </c>
      <c r="AJ11" s="67" t="s">
        <v>44</v>
      </c>
      <c r="AK11" s="67" t="s">
        <v>45</v>
      </c>
      <c r="AL11" s="68" t="s">
        <v>39</v>
      </c>
      <c r="AM11" s="66">
        <v>2021</v>
      </c>
      <c r="AN11" s="66">
        <v>2022</v>
      </c>
      <c r="AO11" s="66">
        <v>2023</v>
      </c>
      <c r="AP11" s="66">
        <v>2024</v>
      </c>
      <c r="AQ11" s="67" t="s">
        <v>46</v>
      </c>
      <c r="AR11" s="67" t="s">
        <v>47</v>
      </c>
      <c r="AS11" s="411" t="s">
        <v>39</v>
      </c>
      <c r="AU11" s="412" t="s">
        <v>48</v>
      </c>
      <c r="AV11" s="70" t="s">
        <v>49</v>
      </c>
      <c r="AW11" s="70" t="s">
        <v>50</v>
      </c>
      <c r="AX11" s="70" t="s">
        <v>51</v>
      </c>
      <c r="AY11" s="413" t="s">
        <v>52</v>
      </c>
      <c r="BA11" s="414" t="s">
        <v>53</v>
      </c>
      <c r="BB11" s="73" t="s">
        <v>54</v>
      </c>
      <c r="BC11" s="73" t="s">
        <v>55</v>
      </c>
      <c r="BD11" s="73" t="s">
        <v>56</v>
      </c>
      <c r="BE11" s="73" t="s">
        <v>57</v>
      </c>
      <c r="BF11" s="415" t="s">
        <v>181</v>
      </c>
      <c r="BH11" s="416" t="s">
        <v>59</v>
      </c>
      <c r="BI11" s="76" t="s">
        <v>60</v>
      </c>
      <c r="BJ11" s="76" t="s">
        <v>61</v>
      </c>
      <c r="BK11" s="417" t="s">
        <v>62</v>
      </c>
      <c r="BM11" s="78" t="s">
        <v>63</v>
      </c>
      <c r="BN11" s="78" t="s">
        <v>64</v>
      </c>
      <c r="BO11" s="78" t="s">
        <v>65</v>
      </c>
      <c r="BP11" s="416" t="s">
        <v>66</v>
      </c>
      <c r="BQ11" s="79" t="s">
        <v>67</v>
      </c>
      <c r="BR11" s="79" t="s">
        <v>68</v>
      </c>
      <c r="BS11" s="79" t="s">
        <v>69</v>
      </c>
      <c r="BT11" s="79" t="s">
        <v>70</v>
      </c>
      <c r="BU11" s="79" t="s">
        <v>71</v>
      </c>
      <c r="BV11" s="80" t="s">
        <v>72</v>
      </c>
      <c r="BW11" s="80" t="s">
        <v>73</v>
      </c>
      <c r="BX11" s="79" t="s">
        <v>74</v>
      </c>
      <c r="BY11" s="79" t="s">
        <v>75</v>
      </c>
      <c r="BZ11" s="79" t="s">
        <v>76</v>
      </c>
      <c r="CA11" s="76" t="s">
        <v>80</v>
      </c>
      <c r="CB11" s="76" t="s">
        <v>77</v>
      </c>
      <c r="CC11" s="418" t="s">
        <v>182</v>
      </c>
      <c r="CD11" s="76" t="s">
        <v>183</v>
      </c>
      <c r="CE11" s="77" t="s">
        <v>79</v>
      </c>
      <c r="CG11" s="419" t="s">
        <v>59</v>
      </c>
      <c r="CH11" s="84" t="s">
        <v>60</v>
      </c>
      <c r="CI11" s="84" t="s">
        <v>61</v>
      </c>
      <c r="CJ11" s="420" t="s">
        <v>62</v>
      </c>
      <c r="CL11" s="419" t="s">
        <v>66</v>
      </c>
      <c r="CM11" s="84" t="s">
        <v>80</v>
      </c>
      <c r="CN11" s="84" t="s">
        <v>77</v>
      </c>
      <c r="CO11" s="420" t="s">
        <v>184</v>
      </c>
      <c r="CP11" s="84" t="s">
        <v>185</v>
      </c>
      <c r="CQ11" s="420" t="s">
        <v>186</v>
      </c>
      <c r="CR11" s="421"/>
      <c r="CS11" s="422" t="s">
        <v>187</v>
      </c>
      <c r="CT11" s="423" t="s">
        <v>188</v>
      </c>
      <c r="CU11" s="423" t="s">
        <v>189</v>
      </c>
      <c r="CV11" s="424" t="s">
        <v>190</v>
      </c>
      <c r="CY11" s="425" t="s">
        <v>191</v>
      </c>
      <c r="CZ11" s="426" t="s">
        <v>192</v>
      </c>
      <c r="DA11" s="426" t="s">
        <v>193</v>
      </c>
    </row>
    <row r="12" spans="1:110">
      <c r="A12" s="427" t="s">
        <v>82</v>
      </c>
      <c r="B12" s="428" t="s">
        <v>83</v>
      </c>
      <c r="C12" s="429"/>
      <c r="D12" s="91">
        <f>'Sizing - Reimb Exp-26'!B3</f>
        <v>2553471</v>
      </c>
      <c r="E12" s="92">
        <f>'Ridership-26'!$E3</f>
        <v>124617</v>
      </c>
      <c r="F12" s="92">
        <f>'Revenue Hours-26'!$E3</f>
        <v>31601</v>
      </c>
      <c r="G12" s="92">
        <f>'Revenue Miles-26'!$E3</f>
        <v>650766</v>
      </c>
      <c r="H12" s="430">
        <f t="shared" ref="H12:H49" si="0">IFERROR($D$10*(D12/D$50),0) + IFERROR($E$10*(E12/E$50),0) + IFERROR($F$10*(F12/F$50),0) + IFERROR($G$10*(G12/G$50),0)</f>
        <v>4.8842254940669322E-3</v>
      </c>
      <c r="I12" s="431">
        <f t="shared" ref="I12:I49" si="1">H12/(SUM($H$12:$H$49))</f>
        <v>4.8842254940669322E-3</v>
      </c>
      <c r="J12" s="432"/>
      <c r="K12" s="433">
        <f>'Ridership-26'!B3/'Revenue Hours-26'!B3</f>
        <v>3.0233116215289679</v>
      </c>
      <c r="L12" s="434">
        <f>'Ridership-26'!C3/'Revenue Hours-26'!C3</f>
        <v>3.1691372472531043</v>
      </c>
      <c r="M12" s="434">
        <f>'Ridership-26'!D3/'Revenue Hours-26'!D3</f>
        <v>3.6951123254401943</v>
      </c>
      <c r="N12" s="539">
        <f>'Ridership-26'!E3/'Revenue Hours-26'!K3</f>
        <v>3.9434511566089681</v>
      </c>
      <c r="O12" s="435">
        <f t="shared" ref="O12:O49" si="2">IF(K12=0,IF(L12=0,1,AVERAGE(1,(M12/L12)/($M$50/$L$50),(N12/M12)/($N$50/$M$50))), AVERAGE((L12/K12)/($L$50/$K$50),(M12/L12)/($M$50/$L$50),(N12/M12)/($N$50/$M$50)))</f>
        <v>0.93176116753380356</v>
      </c>
      <c r="P12" s="436">
        <f t="shared" ref="P12:P49" si="3">$I12*O12</f>
        <v>4.5509316488501735E-3</v>
      </c>
      <c r="Q12" s="437">
        <f t="shared" ref="Q12:Q49" si="4">P12/SUM($P$12:$P$49)</f>
        <v>4.3647248169367972E-3</v>
      </c>
      <c r="R12" s="438">
        <f>'Ridership-26'!B3/'Revenue Miles-26'!B3</f>
        <v>0.1472857600940598</v>
      </c>
      <c r="S12" s="434">
        <f>'Ridership-26'!C3/'Revenue Miles-26'!C3</f>
        <v>0.15372497942218116</v>
      </c>
      <c r="T12" s="434">
        <f>'Ridership-26'!D3/'Revenue Miles-26'!D3</f>
        <v>0.17586518789083722</v>
      </c>
      <c r="U12" s="539">
        <f>'Ridership-26'!E3/'Revenue Miles-26'!K3</f>
        <v>0.19149279464507979</v>
      </c>
      <c r="V12" s="435">
        <f t="shared" ref="V12:V49" si="5">IF(R12=0,IF(S12=0,1,AVERAGE(1,(T12/S12)/($T$50/$S$50),(U12/T12)/($U$50/$T$50))), AVERAGE((S12/R12)/($S$50/$R$50),(T12/S12)/($T$50/$S$50),(U12/T12)/($U$50/$T$50)))</f>
        <v>0.9347970958451205</v>
      </c>
      <c r="W12" s="436">
        <f t="shared" ref="W12:W49" si="6">$I12*V12</f>
        <v>4.5657598073064673E-3</v>
      </c>
      <c r="X12" s="437">
        <f t="shared" ref="X12:X49" si="7">W12/SUM($W$12:$W$49)</f>
        <v>4.3666604219053792E-3</v>
      </c>
      <c r="Y12" s="438">
        <f>'Op Cost-26'!B3/'Revenue Hours-26'!B3</f>
        <v>64.628076791223862</v>
      </c>
      <c r="Z12" s="434">
        <f>'Op Cost-26'!C3/'Revenue Hours-26'!C3</f>
        <v>74.945094597230351</v>
      </c>
      <c r="AA12" s="434">
        <f>'Op Cost-26'!D3/'Revenue Hours-26'!D3</f>
        <v>75.894444444444446</v>
      </c>
      <c r="AB12" s="434">
        <f>'Op Cost-26'!E3/'Revenue Hours-26'!E3</f>
        <v>80.803487231416725</v>
      </c>
      <c r="AC12" s="435">
        <f t="shared" ref="AC12:AC49" si="8">IF(Y12=0,IF(Z12=0,1,AVERAGE(1,(AA12/Z12)/($AA$50/$AA$50),(AB12/AA12)/($AB$50/$AA$50))), AVERAGE((Z12/Y12)/($Z$50/$Y$50),(AA12/Z12)/($AA$50/$Z$50),(AB12/AA12)/($AB$50/$AA$50)))</f>
        <v>1.0336474299505864</v>
      </c>
      <c r="AD12" s="436">
        <f t="shared" ref="AD12:AD49" si="9">$I12*(1/AC12)</f>
        <v>4.7252335298704536E-3</v>
      </c>
      <c r="AE12" s="437">
        <f t="shared" ref="AE12:AE49" si="10">AD12/SUM($AD$12:$AD$49)</f>
        <v>4.7336307396691106E-3</v>
      </c>
      <c r="AF12" s="438">
        <f>'Op Cost-26'!B3/'Revenue Miles-26'!B3</f>
        <v>3.148466517916789</v>
      </c>
      <c r="AG12" s="434">
        <f>'Op Cost-26'!C3/'Revenue Miles-26'!C3</f>
        <v>3.6353531658304137</v>
      </c>
      <c r="AH12" s="434">
        <f>'Op Cost-26'!D3/'Revenue Miles-26'!D3</f>
        <v>3.61212043276733</v>
      </c>
      <c r="AI12" s="434">
        <f>'Op Cost-26'!E3/'Revenue Miles-26'!E3</f>
        <v>3.9237928840781477</v>
      </c>
      <c r="AJ12" s="435">
        <f t="shared" ref="AJ12:AJ49" si="11">IF(AF12=0,IF(AG12=0,1,AVERAGE(1,(AH12/AG12)/($AH$50/$AG$50),(AI12/AH12)/($AI$50/$AH$50))), AVERAGE((AG12/AF12)/($AG$50/$AF$50),(AH12/AG12)/($AH$50/$AG$50),(AI12/AH12)/($AI$50/$AH$50)))</f>
        <v>1.0389409184023559</v>
      </c>
      <c r="AK12" s="436">
        <f t="shared" ref="AK12:AK49" si="12">$I12*(1/AJ12)</f>
        <v>4.7011580808442015E-3</v>
      </c>
      <c r="AL12" s="437">
        <f t="shared" ref="AL12:AL49" si="13">AK12/SUM($AK$12:$AK$49)</f>
        <v>4.7090979479455916E-3</v>
      </c>
      <c r="AM12" s="438">
        <f>'Op Cost-26'!B3/'Ridership-26'!B3</f>
        <v>21.37658464678535</v>
      </c>
      <c r="AN12" s="434">
        <f>'Op Cost-26'!C3/'Ridership-26'!C3</f>
        <v>23.64842187323698</v>
      </c>
      <c r="AO12" s="434">
        <f>'Op Cost-26'!D3/'Ridership-26'!D3</f>
        <v>20.53914408012028</v>
      </c>
      <c r="AP12" s="434">
        <f>'Op Cost-26'!E3/'Ridership-26'!E3</f>
        <v>20.490551048412335</v>
      </c>
      <c r="AQ12" s="439">
        <f t="shared" ref="AQ12:AQ49" si="14">IF(AM12=0,IF(AN12=0,1,AVERAGE(1,(AO12/AN12)/($AO$50/$AN$50),(AP12/AO12)/($AP$50/$AO$50))), AVERAGE((AN12/AM12)/($AN$50/$AM$50),(AO12/AN12)/($AO$50/$AN$50),(AP12/AO12)/($AP$50/$AO$50)))</f>
        <v>1.1261773463790854</v>
      </c>
      <c r="AR12" s="436">
        <f t="shared" ref="AR12:AR49" si="15">$I12*(1/AQ12)</f>
        <v>4.3369949766533852E-3</v>
      </c>
      <c r="AS12" s="440">
        <f t="shared" ref="AS12:AS49" si="16">AR12/SUM($AR$12:$AR$49)</f>
        <v>4.3623315681135272E-3</v>
      </c>
      <c r="AT12" s="432"/>
      <c r="AU12" s="441">
        <f t="shared" ref="AU12:AU49" si="17">Q12*AU$6</f>
        <v>0</v>
      </c>
      <c r="AV12" s="442">
        <f t="shared" ref="AV12:AV49" si="18">X12*AV$6</f>
        <v>0</v>
      </c>
      <c r="AW12" s="442">
        <f t="shared" ref="AW12:AW49" si="19">AE12*AW$6</f>
        <v>0</v>
      </c>
      <c r="AX12" s="442">
        <f t="shared" ref="AX12:AX49" si="20">AL12*AX$6</f>
        <v>0</v>
      </c>
      <c r="AY12" s="443">
        <f t="shared" ref="AY12:AY49" si="21">AS12*AY$6</f>
        <v>0</v>
      </c>
      <c r="AZ12" s="444">
        <f>(SUM(AU12:AY12)-I12)/I12</f>
        <v>-1</v>
      </c>
      <c r="BA12" s="445">
        <f t="shared" ref="BA12:BE50" si="22">AU12*$BA$6</f>
        <v>0</v>
      </c>
      <c r="BB12" s="446">
        <f t="shared" si="22"/>
        <v>0</v>
      </c>
      <c r="BC12" s="446">
        <f t="shared" si="22"/>
        <v>0</v>
      </c>
      <c r="BD12" s="446">
        <f t="shared" si="22"/>
        <v>0</v>
      </c>
      <c r="BE12" s="446">
        <f t="shared" si="22"/>
        <v>0</v>
      </c>
      <c r="BF12" s="447">
        <f>$BA$6*I12</f>
        <v>587912.39382260037</v>
      </c>
      <c r="BH12" s="448">
        <f>'Op Cost-26'!E3</f>
        <v>2553471</v>
      </c>
      <c r="BI12" s="449">
        <f t="shared" ref="BI12:BI49" si="23">BF12/BH12</f>
        <v>0.23024048200375111</v>
      </c>
      <c r="BJ12" s="450">
        <f t="shared" ref="BJ12:BJ49" si="24">IF(BF12&gt;BH12*$BJ$6,BH12*$BJ$6,BF12)</f>
        <v>587912.39382260037</v>
      </c>
      <c r="BK12" s="451">
        <f t="shared" ref="BK12:BK49" si="25">BF12-BJ12</f>
        <v>0</v>
      </c>
      <c r="BL12" s="1">
        <f>BM12*$BP$8+BN12*$BQ$8+BO12*$BR$8</f>
        <v>0.41359211667458673</v>
      </c>
      <c r="BM12" s="112">
        <f>N12/$N$50</f>
        <v>0.34773542043569428</v>
      </c>
      <c r="BN12" s="112">
        <f>U12/$U$50</f>
        <v>0.23808511062770701</v>
      </c>
      <c r="BO12" s="113">
        <f>(1/AP12)/(1/$AP$50)</f>
        <v>0.53427396781747283</v>
      </c>
      <c r="BP12" s="452">
        <f t="shared" ref="BP12:BP49" si="26">IF(OR(BK12&gt;0,BI12&gt;=$BJ$6),0,BJ12)</f>
        <v>587912.39382260037</v>
      </c>
      <c r="BQ12" s="115">
        <f>(BM12*$BP$8+BN12*$BQ$8+BO12*$BR$8)*I12</f>
        <v>2.0200771604071215E-3</v>
      </c>
      <c r="BR12" s="116">
        <f>IF(BP12=0,0,BQ12)</f>
        <v>2.0200771604071215E-3</v>
      </c>
      <c r="BS12" s="453">
        <f>BR12/$BR$50</f>
        <v>2.1050096796943999E-3</v>
      </c>
      <c r="BT12" s="118">
        <f>$BP$6*BS12+BJ12</f>
        <v>603667.03278226836</v>
      </c>
      <c r="BU12" s="119">
        <f>BH12*$BU$6</f>
        <v>766041.29999999993</v>
      </c>
      <c r="BV12" s="119">
        <f>IF(BT12&lt;BU12,BT12, BU12)</f>
        <v>603667.03278226836</v>
      </c>
      <c r="BW12" s="119">
        <f>BT12-BV12</f>
        <v>0</v>
      </c>
      <c r="BX12" s="120">
        <f>IF(AND(BW12=0,BK12=0),BR12,0)</f>
        <v>2.0200771604071215E-3</v>
      </c>
      <c r="BY12" s="454">
        <f>BX12/$BX$50</f>
        <v>2.2652075273515578E-3</v>
      </c>
      <c r="BZ12" s="122">
        <f>$BW$50*BY12+BV12</f>
        <v>604284.87456882466</v>
      </c>
      <c r="CA12" s="455">
        <f t="shared" ref="CA12:CA49" si="27">BP12/$BP$50</f>
        <v>5.2223317803082505E-3</v>
      </c>
      <c r="CB12" s="456">
        <f t="shared" ref="CB12:CB49" si="28">CA12*$BP$6</f>
        <v>39085.78308214766</v>
      </c>
      <c r="CC12" s="456">
        <f t="shared" ref="CC12:CC49" si="29">(CB12+BJ12)</f>
        <v>626998.17690474808</v>
      </c>
      <c r="CD12" s="457">
        <f t="shared" ref="CD12:CD49" si="30">CC12/BH12</f>
        <v>0.24554740465223537</v>
      </c>
      <c r="CE12" s="458">
        <f t="shared" ref="CE12:CE49" si="31">IF(CC12&gt;($BJ$6*BH12),1,0)</f>
        <v>0</v>
      </c>
      <c r="CF12" s="17"/>
      <c r="CG12" s="459">
        <f t="shared" ref="CG12:CG49" si="32">BH12</f>
        <v>2553471</v>
      </c>
      <c r="CH12" s="460">
        <f>CC12/CG12</f>
        <v>0.24554740465223537</v>
      </c>
      <c r="CI12" s="461">
        <f t="shared" ref="CI12:CI49" si="33">IF(CC12&gt;BH12*$BJ$6,BH12*$BJ$6,CC12)</f>
        <v>626998.17690474808</v>
      </c>
      <c r="CJ12" s="462">
        <f t="shared" ref="CJ12:CJ50" si="34">CC12-CI12</f>
        <v>0</v>
      </c>
      <c r="CL12" s="463">
        <f t="shared" ref="CL12:CL49" si="35">IF(OR(CJ12&gt;0,CH12&gt;=$BJ$6),0,CI12)</f>
        <v>626998.17690474808</v>
      </c>
      <c r="CM12" s="464">
        <f t="shared" ref="CM12:CM50" si="36">CL12/$CL$50</f>
        <v>5.3910681969903873E-3</v>
      </c>
      <c r="CN12" s="465">
        <f t="shared" ref="CN12:CN50" si="37">CM12*$CM$6</f>
        <v>821.84801046950122</v>
      </c>
      <c r="CO12" s="466">
        <f>(CN12+CI12)</f>
        <v>627820.02491521754</v>
      </c>
      <c r="CP12" s="467">
        <f>CO12/CG12</f>
        <v>0.24586925988790065</v>
      </c>
      <c r="CQ12" s="468">
        <f t="shared" ref="CQ12:CQ49" si="38">IF(CP12&gt;$BJ$6,1,0)</f>
        <v>0</v>
      </c>
      <c r="CR12" s="469"/>
      <c r="CS12" s="470">
        <f t="shared" ref="CS12:CS49" si="39">BH12*$BJ$6</f>
        <v>766041.29999999993</v>
      </c>
      <c r="CT12" s="465">
        <f t="shared" ref="CT12:CT49" si="40">IF(CO12&gt;CS12,CO12-CS12,0)</f>
        <v>0</v>
      </c>
      <c r="CU12" s="471">
        <f t="shared" ref="CU12:CU49" si="41">CO12-CT12</f>
        <v>627820.02491521754</v>
      </c>
      <c r="CV12" s="472">
        <f t="shared" ref="CV12:CV49" si="42">CU12/CG12</f>
        <v>0.24586925988790065</v>
      </c>
      <c r="CY12" s="473">
        <v>0</v>
      </c>
      <c r="CZ12" s="474">
        <f>CU12+CY12</f>
        <v>627820.02491521754</v>
      </c>
      <c r="DA12" s="475">
        <f>CZ12/CG12</f>
        <v>0.24586925988790065</v>
      </c>
      <c r="DB12" s="1">
        <f>IF(BZ12&lt;=BH12*$BU$6, 0, 1)</f>
        <v>0</v>
      </c>
      <c r="DC12" s="293">
        <f>BZ12/BH12</f>
        <v>0.23665233502507946</v>
      </c>
      <c r="DF12" s="476"/>
    </row>
    <row r="13" spans="1:110">
      <c r="A13" s="477" t="s">
        <v>82</v>
      </c>
      <c r="B13" s="428" t="s">
        <v>84</v>
      </c>
      <c r="C13" s="429"/>
      <c r="D13" s="91">
        <f>'Sizing - Reimb Exp-26'!B4</f>
        <v>361548</v>
      </c>
      <c r="E13" s="92">
        <f>'Ridership-26'!$E4</f>
        <v>42876</v>
      </c>
      <c r="F13" s="92">
        <f>'Revenue Hours-26'!$E4</f>
        <v>7605</v>
      </c>
      <c r="G13" s="92">
        <f>'Revenue Miles-26'!$E4</f>
        <v>91473</v>
      </c>
      <c r="H13" s="478">
        <f t="shared" si="0"/>
        <v>9.5666177558571906E-4</v>
      </c>
      <c r="I13" s="431">
        <f t="shared" si="1"/>
        <v>9.5666177558571906E-4</v>
      </c>
      <c r="J13" s="432"/>
      <c r="K13" s="433">
        <f>'Ridership-26'!B4/'Revenue Hours-26'!B4</f>
        <v>3.8435006435006436</v>
      </c>
      <c r="L13" s="434">
        <f>'Ridership-26'!C4/'Revenue Hours-26'!C4</f>
        <v>4.8354101054361225</v>
      </c>
      <c r="M13" s="434">
        <f>'Ridership-26'!D4/'Revenue Hours-26'!D4</f>
        <v>5.5493279229013446</v>
      </c>
      <c r="N13" s="539">
        <f>'Ridership-26'!E4/'Revenue Hours-26'!K4</f>
        <v>5.6378698224852073</v>
      </c>
      <c r="O13" s="435">
        <f t="shared" si="2"/>
        <v>0.96523278806967661</v>
      </c>
      <c r="P13" s="436">
        <f t="shared" si="3"/>
        <v>9.2340131288829092E-4</v>
      </c>
      <c r="Q13" s="437">
        <f t="shared" si="4"/>
        <v>8.8561923960643358E-4</v>
      </c>
      <c r="R13" s="438">
        <f>'Ridership-26'!B4/'Revenue Miles-26'!B4</f>
        <v>0.31931227680003421</v>
      </c>
      <c r="S13" s="434">
        <f>'Ridership-26'!C4/'Revenue Miles-26'!C4</f>
        <v>0.41985803797543603</v>
      </c>
      <c r="T13" s="434">
        <f>'Ridership-26'!D4/'Revenue Miles-26'!D4</f>
        <v>0.46390976646560589</v>
      </c>
      <c r="U13" s="539">
        <f>'Ridership-26'!E4/'Revenue Miles-26'!K4</f>
        <v>0.46872847725558364</v>
      </c>
      <c r="V13" s="435">
        <f t="shared" si="5"/>
        <v>0.97136734783700807</v>
      </c>
      <c r="W13" s="436">
        <f t="shared" si="6"/>
        <v>9.2927001172774296E-4</v>
      </c>
      <c r="X13" s="437">
        <f t="shared" si="7"/>
        <v>8.8874727377937835E-4</v>
      </c>
      <c r="Y13" s="438">
        <f>'Op Cost-26'!B4/'Revenue Hours-26'!B4</f>
        <v>108.14491634491634</v>
      </c>
      <c r="Z13" s="434">
        <f>'Op Cost-26'!C4/'Revenue Hours-26'!C4</f>
        <v>62.039983568396551</v>
      </c>
      <c r="AA13" s="434">
        <f>'Op Cost-26'!D4/'Revenue Hours-26'!D4</f>
        <v>50.572406796855184</v>
      </c>
      <c r="AB13" s="434">
        <f>'Op Cost-26'!E4/'Revenue Hours-26'!E4</f>
        <v>47.540828402366863</v>
      </c>
      <c r="AC13" s="435">
        <f t="shared" si="8"/>
        <v>0.73994552647823897</v>
      </c>
      <c r="AD13" s="436">
        <f t="shared" si="9"/>
        <v>1.2928813559275616E-3</v>
      </c>
      <c r="AE13" s="437">
        <f t="shared" si="10"/>
        <v>1.2951789346444368E-3</v>
      </c>
      <c r="AF13" s="438">
        <f>'Op Cost-26'!B4/'Revenue Miles-26'!B4</f>
        <v>8.9845176742296253</v>
      </c>
      <c r="AG13" s="434">
        <f>'Op Cost-26'!C4/'Revenue Miles-26'!C4</f>
        <v>5.3869237994459436</v>
      </c>
      <c r="AH13" s="434">
        <f>'Op Cost-26'!D4/'Revenue Miles-26'!D4</f>
        <v>4.2277251863080787</v>
      </c>
      <c r="AI13" s="434">
        <f>'Op Cost-26'!E4/'Revenue Miles-26'!E4</f>
        <v>3.9525105768915418</v>
      </c>
      <c r="AJ13" s="435">
        <f t="shared" si="11"/>
        <v>0.74012339547458483</v>
      </c>
      <c r="AK13" s="436">
        <f t="shared" si="12"/>
        <v>1.2925706462397187E-3</v>
      </c>
      <c r="AL13" s="437">
        <f t="shared" si="13"/>
        <v>1.2947536911350006E-3</v>
      </c>
      <c r="AM13" s="438">
        <f>'Op Cost-26'!B4/'Ridership-26'!B4</f>
        <v>28.137088132869007</v>
      </c>
      <c r="AN13" s="434">
        <f>'Op Cost-26'!C4/'Ridership-26'!C4</f>
        <v>12.830345765015716</v>
      </c>
      <c r="AO13" s="434">
        <f>'Op Cost-26'!D4/'Ridership-26'!D4</f>
        <v>9.1132489374343031</v>
      </c>
      <c r="AP13" s="434">
        <f>'Op Cost-26'!E4/'Ridership-26'!E4</f>
        <v>8.4324097397145259</v>
      </c>
      <c r="AQ13" s="439">
        <f t="shared" si="14"/>
        <v>0.7687399782462182</v>
      </c>
      <c r="AR13" s="436">
        <f t="shared" si="15"/>
        <v>1.2444543053012807E-3</v>
      </c>
      <c r="AS13" s="440">
        <f t="shared" si="16"/>
        <v>1.2517243691344104E-3</v>
      </c>
      <c r="AT13" s="432"/>
      <c r="AU13" s="441">
        <f t="shared" si="17"/>
        <v>0</v>
      </c>
      <c r="AV13" s="442">
        <f t="shared" si="18"/>
        <v>0</v>
      </c>
      <c r="AW13" s="442">
        <f t="shared" si="19"/>
        <v>0</v>
      </c>
      <c r="AX13" s="442">
        <f t="shared" si="20"/>
        <v>0</v>
      </c>
      <c r="AY13" s="443">
        <f t="shared" si="21"/>
        <v>0</v>
      </c>
      <c r="AZ13" s="444">
        <f t="shared" ref="AZ13:AZ49" si="43">(SUM(AU13:AY13)-I13)/I13</f>
        <v>-1</v>
      </c>
      <c r="BA13" s="445">
        <f t="shared" si="22"/>
        <v>0</v>
      </c>
      <c r="BB13" s="446">
        <f t="shared" si="22"/>
        <v>0</v>
      </c>
      <c r="BC13" s="446">
        <f t="shared" si="22"/>
        <v>0</v>
      </c>
      <c r="BD13" s="446">
        <f t="shared" si="22"/>
        <v>0</v>
      </c>
      <c r="BE13" s="446">
        <f t="shared" si="22"/>
        <v>0</v>
      </c>
      <c r="BF13" s="447">
        <f t="shared" ref="BF13:BF49" si="44">$BA$6*I13</f>
        <v>115153.01970525114</v>
      </c>
      <c r="BH13" s="448">
        <f>'Op Cost-26'!E4</f>
        <v>361548</v>
      </c>
      <c r="BI13" s="449">
        <f t="shared" si="23"/>
        <v>0.31849994939883813</v>
      </c>
      <c r="BJ13" s="450">
        <f t="shared" si="24"/>
        <v>108464.4</v>
      </c>
      <c r="BK13" s="451">
        <f t="shared" si="25"/>
        <v>6688.6197052511416</v>
      </c>
      <c r="BL13" s="1">
        <f t="shared" ref="BL13:BL49" si="45">BM13*$BP$8+BN13*$BQ$8+BO13*$BR$8</f>
        <v>0.91911773270121522</v>
      </c>
      <c r="BM13" s="112">
        <f t="shared" ref="BM13:BM49" si="46">N13/$N$50</f>
        <v>0.49715007368557296</v>
      </c>
      <c r="BN13" s="112">
        <f t="shared" ref="BN13:BN49" si="47">U13/$U$50</f>
        <v>0.58277530268745104</v>
      </c>
      <c r="BO13" s="113">
        <f t="shared" ref="BO13:BO49" si="48">(1/AP13)/(1/$AP$50)</f>
        <v>1.2982727772159184</v>
      </c>
      <c r="BP13" s="452">
        <f t="shared" si="26"/>
        <v>0</v>
      </c>
      <c r="BQ13" s="115">
        <f t="shared" ref="BQ13:BQ49" si="49">(BM13*$BP$8+BN13*$BQ$8+BO13*$BR$8)*I13</f>
        <v>8.7928480213826492E-4</v>
      </c>
      <c r="BR13" s="116">
        <f t="shared" ref="BR13:BR49" si="50">IF(BP13=0,0,BQ13)</f>
        <v>0</v>
      </c>
      <c r="BS13" s="453">
        <f t="shared" ref="BS13:BS49" si="51">BR13/$BR$50</f>
        <v>0</v>
      </c>
      <c r="BT13" s="118">
        <f t="shared" ref="BT13:BT49" si="52">$BP$6*BS13+BJ13</f>
        <v>108464.4</v>
      </c>
      <c r="BU13" s="119">
        <f t="shared" ref="BU13:BU49" si="53">BH13*$BU$6</f>
        <v>108464.4</v>
      </c>
      <c r="BV13" s="119">
        <f t="shared" ref="BV13:BV49" si="54">IF(BT13&lt;BU13,BT13, BU13)</f>
        <v>108464.4</v>
      </c>
      <c r="BW13" s="119">
        <f>BT13-BV13</f>
        <v>0</v>
      </c>
      <c r="BX13" s="120">
        <f t="shared" ref="BX13:BX49" si="55">IF(AND(BW13=0,BK13=0),BR13,0)</f>
        <v>0</v>
      </c>
      <c r="BY13" s="454">
        <f t="shared" ref="BY13:BY49" si="56">BX13/$BX$50</f>
        <v>0</v>
      </c>
      <c r="BZ13" s="122">
        <f t="shared" ref="BZ13:BZ49" si="57">$BW$50*BY13+BV13</f>
        <v>108464.4</v>
      </c>
      <c r="CA13" s="455">
        <f t="shared" si="27"/>
        <v>0</v>
      </c>
      <c r="CB13" s="456">
        <f t="shared" si="28"/>
        <v>0</v>
      </c>
      <c r="CC13" s="456">
        <f t="shared" si="29"/>
        <v>108464.4</v>
      </c>
      <c r="CD13" s="457">
        <f t="shared" si="30"/>
        <v>0.3</v>
      </c>
      <c r="CE13" s="458">
        <f t="shared" si="31"/>
        <v>0</v>
      </c>
      <c r="CF13" s="17"/>
      <c r="CG13" s="459">
        <f t="shared" si="32"/>
        <v>361548</v>
      </c>
      <c r="CH13" s="460">
        <f t="shared" ref="CH13:CH49" si="58">CC13/CG13</f>
        <v>0.3</v>
      </c>
      <c r="CI13" s="461">
        <f t="shared" si="33"/>
        <v>108464.4</v>
      </c>
      <c r="CJ13" s="462">
        <f t="shared" si="34"/>
        <v>0</v>
      </c>
      <c r="CL13" s="463">
        <f t="shared" si="35"/>
        <v>0</v>
      </c>
      <c r="CM13" s="464">
        <f t="shared" si="36"/>
        <v>0</v>
      </c>
      <c r="CN13" s="465">
        <f t="shared" si="37"/>
        <v>0</v>
      </c>
      <c r="CO13" s="466">
        <f t="shared" ref="CO13:CO49" si="59">(CN13+CI13)</f>
        <v>108464.4</v>
      </c>
      <c r="CP13" s="467">
        <f t="shared" ref="CP13:CP49" si="60">CO13/CG13</f>
        <v>0.3</v>
      </c>
      <c r="CQ13" s="468">
        <f t="shared" si="38"/>
        <v>0</v>
      </c>
      <c r="CR13" s="469"/>
      <c r="CS13" s="470">
        <f t="shared" si="39"/>
        <v>108464.4</v>
      </c>
      <c r="CT13" s="465">
        <f t="shared" si="40"/>
        <v>0</v>
      </c>
      <c r="CU13" s="471">
        <f t="shared" si="41"/>
        <v>108464.4</v>
      </c>
      <c r="CV13" s="472">
        <f t="shared" si="42"/>
        <v>0.3</v>
      </c>
      <c r="CY13" s="473">
        <v>0</v>
      </c>
      <c r="CZ13" s="474">
        <f t="shared" ref="CZ13:CZ49" si="61">CU13+CY13</f>
        <v>108464.4</v>
      </c>
      <c r="DA13" s="475">
        <f t="shared" ref="DA13:DA49" si="62">CZ13/CG13</f>
        <v>0.3</v>
      </c>
      <c r="DB13" s="1">
        <f t="shared" ref="DB13:DB49" si="63">IF(BZ13&lt;=BH13*$BU$6, 0, 1)</f>
        <v>0</v>
      </c>
      <c r="DC13" s="293">
        <f t="shared" ref="DC13:DC49" si="64">BZ13/BH13</f>
        <v>0.3</v>
      </c>
      <c r="DF13" s="476"/>
    </row>
    <row r="14" spans="1:110">
      <c r="A14" s="477" t="s">
        <v>82</v>
      </c>
      <c r="B14" s="428" t="s">
        <v>85</v>
      </c>
      <c r="C14" s="429"/>
      <c r="D14" s="91">
        <f>'Sizing - Reimb Exp-26'!B5</f>
        <v>2998198</v>
      </c>
      <c r="E14" s="92">
        <f>'Ridership-26'!$E5</f>
        <v>177659</v>
      </c>
      <c r="F14" s="92">
        <f>'Revenue Hours-26'!$E5</f>
        <v>48302</v>
      </c>
      <c r="G14" s="92">
        <f>'Revenue Miles-26'!$E5</f>
        <v>522054</v>
      </c>
      <c r="H14" s="430">
        <f t="shared" si="0"/>
        <v>5.7501967164149655E-3</v>
      </c>
      <c r="I14" s="431">
        <f t="shared" si="1"/>
        <v>5.7501967164149655E-3</v>
      </c>
      <c r="J14" s="432"/>
      <c r="K14" s="433">
        <f>'Ridership-26'!B5/'Revenue Hours-26'!B5</f>
        <v>3.0037184124655352</v>
      </c>
      <c r="L14" s="434">
        <f>'Ridership-26'!C5/'Revenue Hours-26'!C5</f>
        <v>3.0190503841343577</v>
      </c>
      <c r="M14" s="434">
        <f>'Ridership-26'!D5/'Revenue Hours-26'!D5</f>
        <v>3.4820277878872212</v>
      </c>
      <c r="N14" s="539">
        <f>'Ridership-26'!E5/'Revenue Hours-26'!K5</f>
        <v>3.6780878638565691</v>
      </c>
      <c r="O14" s="435">
        <f t="shared" si="2"/>
        <v>0.91361537754777933</v>
      </c>
      <c r="P14" s="436">
        <f t="shared" si="3"/>
        <v>5.25346814404146E-3</v>
      </c>
      <c r="Q14" s="437">
        <f t="shared" si="4"/>
        <v>5.0385161880157165E-3</v>
      </c>
      <c r="R14" s="438">
        <f>'Ridership-26'!B5/'Revenue Miles-26'!B5</f>
        <v>0.30898734605406614</v>
      </c>
      <c r="S14" s="434">
        <f>'Ridership-26'!C5/'Revenue Miles-26'!C5</f>
        <v>0.30702858129224508</v>
      </c>
      <c r="T14" s="434">
        <f>'Ridership-26'!D5/'Revenue Miles-26'!D5</f>
        <v>0.33183650652455993</v>
      </c>
      <c r="U14" s="539">
        <f>'Ridership-26'!E5/'Revenue Miles-26'!K5</f>
        <v>0.34030770763177753</v>
      </c>
      <c r="V14" s="435">
        <f t="shared" si="5"/>
        <v>0.8841756096309652</v>
      </c>
      <c r="W14" s="436">
        <f t="shared" si="6"/>
        <v>5.0841836872341766E-3</v>
      </c>
      <c r="X14" s="437">
        <f t="shared" si="7"/>
        <v>4.8624773579229695E-3</v>
      </c>
      <c r="Y14" s="438">
        <f>'Op Cost-26'!B5/'Revenue Hours-26'!B5</f>
        <v>61.145979308425872</v>
      </c>
      <c r="Z14" s="434">
        <f>'Op Cost-26'!C5/'Revenue Hours-26'!C5</f>
        <v>58.62645167053779</v>
      </c>
      <c r="AA14" s="434">
        <f>'Op Cost-26'!D5/'Revenue Hours-26'!D5</f>
        <v>57.842499625355913</v>
      </c>
      <c r="AB14" s="434">
        <f>'Op Cost-26'!E5/'Revenue Hours-26'!E5</f>
        <v>62.071922487681668</v>
      </c>
      <c r="AC14" s="435">
        <f t="shared" si="8"/>
        <v>0.96211447539197736</v>
      </c>
      <c r="AD14" s="436">
        <f t="shared" si="9"/>
        <v>5.976624261964528E-3</v>
      </c>
      <c r="AE14" s="437">
        <f t="shared" si="10"/>
        <v>5.9872453175162177E-3</v>
      </c>
      <c r="AF14" s="438">
        <f>'Op Cost-26'!B5/'Revenue Miles-26'!B5</f>
        <v>6.2899817073329398</v>
      </c>
      <c r="AG14" s="434">
        <f>'Op Cost-26'!C5/'Revenue Miles-26'!C5</f>
        <v>5.9621384184897162</v>
      </c>
      <c r="AH14" s="434">
        <f>'Op Cost-26'!D5/'Revenue Miles-26'!D5</f>
        <v>5.5123778940238459</v>
      </c>
      <c r="AI14" s="434">
        <f>'Op Cost-26'!E5/'Revenue Miles-26'!E5</f>
        <v>5.7430802177552511</v>
      </c>
      <c r="AJ14" s="435">
        <f t="shared" si="11"/>
        <v>0.93411840641972699</v>
      </c>
      <c r="AK14" s="436">
        <f t="shared" si="12"/>
        <v>6.1557471482167033E-3</v>
      </c>
      <c r="AL14" s="437">
        <f t="shared" si="13"/>
        <v>6.166143695923906E-3</v>
      </c>
      <c r="AM14" s="438">
        <f>'Op Cost-26'!B5/'Ridership-26'!B5</f>
        <v>20.356761490913378</v>
      </c>
      <c r="AN14" s="434">
        <f>'Op Cost-26'!C5/'Ridership-26'!C5</f>
        <v>19.418838446231348</v>
      </c>
      <c r="AO14" s="434">
        <f>'Op Cost-26'!D5/'Ridership-26'!D5</f>
        <v>16.611728322953109</v>
      </c>
      <c r="AP14" s="434">
        <f>'Op Cost-26'!E5/'Ridership-26'!E5</f>
        <v>16.876139120449849</v>
      </c>
      <c r="AQ14" s="439">
        <f t="shared" si="14"/>
        <v>1.0632527411646482</v>
      </c>
      <c r="AR14" s="436">
        <f t="shared" si="15"/>
        <v>5.4081184028892419E-3</v>
      </c>
      <c r="AS14" s="440">
        <f t="shared" si="16"/>
        <v>5.4397124645101788E-3</v>
      </c>
      <c r="AT14" s="432"/>
      <c r="AU14" s="441">
        <f t="shared" si="17"/>
        <v>0</v>
      </c>
      <c r="AV14" s="442">
        <f t="shared" si="18"/>
        <v>0</v>
      </c>
      <c r="AW14" s="442">
        <f t="shared" si="19"/>
        <v>0</v>
      </c>
      <c r="AX14" s="442">
        <f t="shared" si="20"/>
        <v>0</v>
      </c>
      <c r="AY14" s="443">
        <f t="shared" si="21"/>
        <v>0</v>
      </c>
      <c r="AZ14" s="444">
        <f t="shared" si="43"/>
        <v>-1</v>
      </c>
      <c r="BA14" s="445">
        <f t="shared" si="22"/>
        <v>0</v>
      </c>
      <c r="BB14" s="446">
        <f t="shared" si="22"/>
        <v>0</v>
      </c>
      <c r="BC14" s="446">
        <f t="shared" si="22"/>
        <v>0</v>
      </c>
      <c r="BD14" s="446">
        <f t="shared" si="22"/>
        <v>0</v>
      </c>
      <c r="BE14" s="446">
        <f t="shared" si="22"/>
        <v>0</v>
      </c>
      <c r="BF14" s="447">
        <f t="shared" si="44"/>
        <v>692149.02559370897</v>
      </c>
      <c r="BH14" s="448">
        <f>'Op Cost-26'!E5</f>
        <v>2998198</v>
      </c>
      <c r="BI14" s="449">
        <f t="shared" si="23"/>
        <v>0.23085500877317275</v>
      </c>
      <c r="BJ14" s="450">
        <f t="shared" si="24"/>
        <v>692149.02559370897</v>
      </c>
      <c r="BK14" s="451">
        <f t="shared" si="25"/>
        <v>0</v>
      </c>
      <c r="BL14" s="1">
        <f t="shared" si="45"/>
        <v>0.51121146483023827</v>
      </c>
      <c r="BM14" s="112">
        <f t="shared" si="46"/>
        <v>0.32433555759757926</v>
      </c>
      <c r="BN14" s="112">
        <f t="shared" si="47"/>
        <v>0.42310833871918174</v>
      </c>
      <c r="BO14" s="113">
        <f t="shared" si="48"/>
        <v>0.6487009815020961</v>
      </c>
      <c r="BP14" s="452">
        <f t="shared" si="26"/>
        <v>692149.02559370897</v>
      </c>
      <c r="BQ14" s="115">
        <f t="shared" si="49"/>
        <v>2.9395664864605205E-3</v>
      </c>
      <c r="BR14" s="116">
        <f t="shared" si="50"/>
        <v>2.9395664864605205E-3</v>
      </c>
      <c r="BS14" s="453">
        <f t="shared" si="51"/>
        <v>3.0631581948372586E-3</v>
      </c>
      <c r="BT14" s="118">
        <f t="shared" si="52"/>
        <v>715074.7878367668</v>
      </c>
      <c r="BU14" s="119">
        <f t="shared" si="53"/>
        <v>899459.4</v>
      </c>
      <c r="BV14" s="119">
        <f t="shared" si="54"/>
        <v>715074.7878367668</v>
      </c>
      <c r="BW14" s="119">
        <f t="shared" ref="BW14:BW49" si="65">BT14-BV14</f>
        <v>0</v>
      </c>
      <c r="BX14" s="120">
        <f t="shared" si="55"/>
        <v>2.9395664864605205E-3</v>
      </c>
      <c r="BY14" s="454">
        <f t="shared" si="56"/>
        <v>3.2962741536757723E-3</v>
      </c>
      <c r="BZ14" s="122">
        <f t="shared" si="57"/>
        <v>715973.85597401054</v>
      </c>
      <c r="CA14" s="455">
        <f t="shared" si="27"/>
        <v>6.1482491116833168E-3</v>
      </c>
      <c r="CB14" s="456">
        <f t="shared" si="28"/>
        <v>46015.676755810564</v>
      </c>
      <c r="CC14" s="456">
        <f t="shared" si="29"/>
        <v>738164.70234951959</v>
      </c>
      <c r="CD14" s="457">
        <f t="shared" si="30"/>
        <v>0.24620278659031844</v>
      </c>
      <c r="CE14" s="458">
        <f t="shared" si="31"/>
        <v>0</v>
      </c>
      <c r="CF14" s="17"/>
      <c r="CG14" s="459">
        <f t="shared" si="32"/>
        <v>2998198</v>
      </c>
      <c r="CH14" s="460">
        <f t="shared" si="58"/>
        <v>0.24620278659031844</v>
      </c>
      <c r="CI14" s="461">
        <f t="shared" si="33"/>
        <v>738164.70234951959</v>
      </c>
      <c r="CJ14" s="462">
        <f t="shared" si="34"/>
        <v>0</v>
      </c>
      <c r="CL14" s="463">
        <f t="shared" si="35"/>
        <v>738164.70234951959</v>
      </c>
      <c r="CM14" s="464">
        <f t="shared" si="36"/>
        <v>6.3469024274083732E-3</v>
      </c>
      <c r="CN14" s="465">
        <f t="shared" si="37"/>
        <v>967.56133330340811</v>
      </c>
      <c r="CO14" s="466">
        <f t="shared" si="59"/>
        <v>739132.26368282305</v>
      </c>
      <c r="CP14" s="467">
        <f t="shared" si="60"/>
        <v>0.2465255008784687</v>
      </c>
      <c r="CQ14" s="468">
        <f t="shared" si="38"/>
        <v>0</v>
      </c>
      <c r="CR14" s="469"/>
      <c r="CS14" s="470">
        <f t="shared" si="39"/>
        <v>899459.4</v>
      </c>
      <c r="CT14" s="465">
        <f t="shared" si="40"/>
        <v>0</v>
      </c>
      <c r="CU14" s="471">
        <f t="shared" si="41"/>
        <v>739132.26368282305</v>
      </c>
      <c r="CV14" s="472">
        <f t="shared" si="42"/>
        <v>0.2465255008784687</v>
      </c>
      <c r="CY14" s="473">
        <v>0</v>
      </c>
      <c r="CZ14" s="474">
        <f t="shared" si="61"/>
        <v>739132.26368282305</v>
      </c>
      <c r="DA14" s="475">
        <f t="shared" si="62"/>
        <v>0.2465255008784687</v>
      </c>
      <c r="DB14" s="1">
        <f t="shared" si="63"/>
        <v>0</v>
      </c>
      <c r="DC14" s="293">
        <f t="shared" si="64"/>
        <v>0.23880139202748135</v>
      </c>
      <c r="DF14" s="476"/>
    </row>
    <row r="15" spans="1:110">
      <c r="A15" s="477" t="s">
        <v>82</v>
      </c>
      <c r="B15" s="428" t="s">
        <v>86</v>
      </c>
      <c r="C15" s="429"/>
      <c r="D15" s="91">
        <f>'Sizing - Reimb Exp-26'!B6</f>
        <v>2083701</v>
      </c>
      <c r="E15" s="92">
        <f>'Ridership-26'!$E6</f>
        <v>130896</v>
      </c>
      <c r="F15" s="92">
        <f>'Revenue Hours-26'!$E6</f>
        <v>44163</v>
      </c>
      <c r="G15" s="92">
        <f>'Revenue Miles-26'!$E6</f>
        <v>745438</v>
      </c>
      <c r="H15" s="430">
        <f t="shared" si="0"/>
        <v>5.2540604590085088E-3</v>
      </c>
      <c r="I15" s="431">
        <f t="shared" si="1"/>
        <v>5.2540604590085088E-3</v>
      </c>
      <c r="J15" s="432"/>
      <c r="K15" s="433">
        <f>'Ridership-26'!B6/'Revenue Hours-26'!B6</f>
        <v>1.3455313359222201</v>
      </c>
      <c r="L15" s="434">
        <f>'Ridership-26'!C6/'Revenue Hours-26'!C6</f>
        <v>2.5156324194636741</v>
      </c>
      <c r="M15" s="434">
        <f>'Ridership-26'!D6/'Revenue Hours-26'!D6</f>
        <v>2.7827345119658662</v>
      </c>
      <c r="N15" s="539">
        <f>'Ridership-26'!E6/'Revenue Hours-26'!K6</f>
        <v>2.9639290809048298</v>
      </c>
      <c r="O15" s="435">
        <f t="shared" si="2"/>
        <v>1.1279060361303517</v>
      </c>
      <c r="P15" s="436">
        <f t="shared" si="3"/>
        <v>5.9260865059095032E-3</v>
      </c>
      <c r="Q15" s="437">
        <f t="shared" si="4"/>
        <v>5.6836135621137372E-3</v>
      </c>
      <c r="R15" s="438">
        <f>'Ridership-26'!B6/'Revenue Miles-26'!B6</f>
        <v>8.6154544217069737E-2</v>
      </c>
      <c r="S15" s="434">
        <f>'Ridership-26'!C6/'Revenue Miles-26'!C6</f>
        <v>0.15736959607772016</v>
      </c>
      <c r="T15" s="434">
        <f>'Ridership-26'!D6/'Revenue Miles-26'!D6</f>
        <v>0.16460220997236286</v>
      </c>
      <c r="U15" s="539">
        <f>'Ridership-26'!E6/'Revenue Miles-26'!K6</f>
        <v>0.17559609249863839</v>
      </c>
      <c r="V15" s="435">
        <f t="shared" si="5"/>
        <v>1.108030754011484</v>
      </c>
      <c r="W15" s="436">
        <f t="shared" si="6"/>
        <v>5.8216605720171214E-3</v>
      </c>
      <c r="X15" s="437">
        <f t="shared" si="7"/>
        <v>5.5677950401405874E-3</v>
      </c>
      <c r="Y15" s="438">
        <f>'Op Cost-26'!B6/'Revenue Hours-26'!B6</f>
        <v>42.25856741971144</v>
      </c>
      <c r="Z15" s="434">
        <f>'Op Cost-26'!C6/'Revenue Hours-26'!C6</f>
        <v>54.154224876915002</v>
      </c>
      <c r="AA15" s="434">
        <f>'Op Cost-26'!D6/'Revenue Hours-26'!D6</f>
        <v>45.459899034704179</v>
      </c>
      <c r="AB15" s="434">
        <f>'Op Cost-26'!E6/'Revenue Hours-26'!E6</f>
        <v>48.817313135430112</v>
      </c>
      <c r="AC15" s="435">
        <f t="shared" si="8"/>
        <v>1.024095279002766</v>
      </c>
      <c r="AD15" s="436">
        <f t="shared" si="9"/>
        <v>5.1304410504897152E-3</v>
      </c>
      <c r="AE15" s="437">
        <f t="shared" si="10"/>
        <v>5.1395583543411049E-3</v>
      </c>
      <c r="AF15" s="438">
        <f>'Op Cost-26'!B6/'Revenue Miles-26'!B6</f>
        <v>2.7058214982530968</v>
      </c>
      <c r="AG15" s="434">
        <f>'Op Cost-26'!C6/'Revenue Miles-26'!C6</f>
        <v>3.3877081678725758</v>
      </c>
      <c r="AH15" s="434">
        <f>'Op Cost-26'!D6/'Revenue Miles-26'!D6</f>
        <v>2.689009610531103</v>
      </c>
      <c r="AI15" s="434">
        <f>'Op Cost-26'!E6/'Revenue Miles-26'!E6</f>
        <v>2.8921506550511245</v>
      </c>
      <c r="AJ15" s="435">
        <f t="shared" si="11"/>
        <v>1.0075978281171294</v>
      </c>
      <c r="AK15" s="436">
        <f t="shared" si="12"/>
        <v>5.2144420247775131E-3</v>
      </c>
      <c r="AL15" s="437">
        <f t="shared" si="13"/>
        <v>5.2232487859994632E-3</v>
      </c>
      <c r="AM15" s="438">
        <f>'Op Cost-26'!B6/'Ridership-26'!B6</f>
        <v>31.406602203543365</v>
      </c>
      <c r="AN15" s="434">
        <f>'Op Cost-26'!C6/'Ridership-26'!C6</f>
        <v>21.527081801744522</v>
      </c>
      <c r="AO15" s="434">
        <f>'Op Cost-26'!D6/'Ridership-26'!D6</f>
        <v>16.33641256081917</v>
      </c>
      <c r="AP15" s="434">
        <f>'Op Cost-26'!E6/'Ridership-26'!E6</f>
        <v>16.470472741718616</v>
      </c>
      <c r="AQ15" s="439">
        <f t="shared" si="14"/>
        <v>0.91200498953668374</v>
      </c>
      <c r="AR15" s="436">
        <f t="shared" si="15"/>
        <v>5.7609996867206536E-3</v>
      </c>
      <c r="AS15" s="440">
        <f t="shared" si="16"/>
        <v>5.7946552699643947E-3</v>
      </c>
      <c r="AT15" s="432"/>
      <c r="AU15" s="441">
        <f t="shared" si="17"/>
        <v>0</v>
      </c>
      <c r="AV15" s="442">
        <f t="shared" si="18"/>
        <v>0</v>
      </c>
      <c r="AW15" s="442">
        <f t="shared" si="19"/>
        <v>0</v>
      </c>
      <c r="AX15" s="442">
        <f t="shared" si="20"/>
        <v>0</v>
      </c>
      <c r="AY15" s="443">
        <f t="shared" si="21"/>
        <v>0</v>
      </c>
      <c r="AZ15" s="444">
        <f t="shared" si="43"/>
        <v>-1</v>
      </c>
      <c r="BA15" s="445">
        <f t="shared" si="22"/>
        <v>0</v>
      </c>
      <c r="BB15" s="446">
        <f t="shared" si="22"/>
        <v>0</v>
      </c>
      <c r="BC15" s="446">
        <f t="shared" si="22"/>
        <v>0</v>
      </c>
      <c r="BD15" s="446">
        <f t="shared" si="22"/>
        <v>0</v>
      </c>
      <c r="BE15" s="446">
        <f t="shared" si="22"/>
        <v>0</v>
      </c>
      <c r="BF15" s="447">
        <f t="shared" si="44"/>
        <v>632429.29006791534</v>
      </c>
      <c r="BH15" s="448">
        <f>'Op Cost-26'!E6</f>
        <v>2155919</v>
      </c>
      <c r="BI15" s="449">
        <f t="shared" si="23"/>
        <v>0.29334557099219188</v>
      </c>
      <c r="BJ15" s="450">
        <f t="shared" si="24"/>
        <v>632429.29006791534</v>
      </c>
      <c r="BK15" s="451">
        <f t="shared" si="25"/>
        <v>0</v>
      </c>
      <c r="BL15" s="1">
        <f t="shared" si="45"/>
        <v>0.45225953081623871</v>
      </c>
      <c r="BM15" s="112">
        <f t="shared" si="46"/>
        <v>0.26136069248954619</v>
      </c>
      <c r="BN15" s="112">
        <f t="shared" si="47"/>
        <v>0.21832056493727492</v>
      </c>
      <c r="BO15" s="113">
        <f t="shared" si="48"/>
        <v>0.66467843291906692</v>
      </c>
      <c r="BP15" s="452">
        <f t="shared" si="26"/>
        <v>632429.29006791534</v>
      </c>
      <c r="BQ15" s="115">
        <f t="shared" si="49"/>
        <v>2.3761989180713398E-3</v>
      </c>
      <c r="BR15" s="116">
        <f t="shared" si="50"/>
        <v>2.3761989180713398E-3</v>
      </c>
      <c r="BS15" s="453">
        <f t="shared" si="51"/>
        <v>2.4761042902002096E-3</v>
      </c>
      <c r="BT15" s="118">
        <f t="shared" si="52"/>
        <v>650961.3326969319</v>
      </c>
      <c r="BU15" s="119">
        <f t="shared" si="53"/>
        <v>646775.69999999995</v>
      </c>
      <c r="BV15" s="119">
        <f t="shared" si="54"/>
        <v>646775.69999999995</v>
      </c>
      <c r="BW15" s="119">
        <f t="shared" si="65"/>
        <v>4185.6326969319489</v>
      </c>
      <c r="BX15" s="120">
        <f t="shared" si="55"/>
        <v>0</v>
      </c>
      <c r="BY15" s="454">
        <f t="shared" si="56"/>
        <v>0</v>
      </c>
      <c r="BZ15" s="122">
        <f t="shared" si="57"/>
        <v>646775.69999999995</v>
      </c>
      <c r="CA15" s="455">
        <f t="shared" si="27"/>
        <v>5.617768250886797E-3</v>
      </c>
      <c r="CB15" s="456">
        <f t="shared" si="28"/>
        <v>42045.369864834</v>
      </c>
      <c r="CC15" s="456">
        <f t="shared" si="29"/>
        <v>674474.65993274935</v>
      </c>
      <c r="CD15" s="457">
        <f t="shared" si="30"/>
        <v>0.31284786670220416</v>
      </c>
      <c r="CE15" s="458">
        <f t="shared" si="31"/>
        <v>1</v>
      </c>
      <c r="CF15" s="17"/>
      <c r="CG15" s="459">
        <f t="shared" si="32"/>
        <v>2155919</v>
      </c>
      <c r="CH15" s="460">
        <f t="shared" si="58"/>
        <v>0.31284786670220416</v>
      </c>
      <c r="CI15" s="461">
        <f t="shared" si="33"/>
        <v>646775.69999999995</v>
      </c>
      <c r="CJ15" s="462">
        <f t="shared" si="34"/>
        <v>27698.959932749392</v>
      </c>
      <c r="CL15" s="463">
        <f t="shared" si="35"/>
        <v>0</v>
      </c>
      <c r="CM15" s="464">
        <f t="shared" si="36"/>
        <v>0</v>
      </c>
      <c r="CN15" s="465">
        <f t="shared" si="37"/>
        <v>0</v>
      </c>
      <c r="CO15" s="466">
        <f t="shared" si="59"/>
        <v>646775.69999999995</v>
      </c>
      <c r="CP15" s="467">
        <f t="shared" si="60"/>
        <v>0.3</v>
      </c>
      <c r="CQ15" s="468">
        <f t="shared" si="38"/>
        <v>0</v>
      </c>
      <c r="CR15" s="469"/>
      <c r="CS15" s="470">
        <f t="shared" si="39"/>
        <v>646775.69999999995</v>
      </c>
      <c r="CT15" s="465">
        <f t="shared" si="40"/>
        <v>0</v>
      </c>
      <c r="CU15" s="471">
        <f t="shared" si="41"/>
        <v>646775.69999999995</v>
      </c>
      <c r="CV15" s="472">
        <f t="shared" si="42"/>
        <v>0.3</v>
      </c>
      <c r="CY15" s="473">
        <v>0</v>
      </c>
      <c r="CZ15" s="474">
        <f t="shared" si="61"/>
        <v>646775.69999999995</v>
      </c>
      <c r="DA15" s="475">
        <f t="shared" si="62"/>
        <v>0.3</v>
      </c>
      <c r="DB15" s="1">
        <f t="shared" si="63"/>
        <v>0</v>
      </c>
      <c r="DC15" s="293">
        <f t="shared" si="64"/>
        <v>0.3</v>
      </c>
      <c r="DF15" s="476"/>
    </row>
    <row r="16" spans="1:110">
      <c r="A16" s="477" t="s">
        <v>82</v>
      </c>
      <c r="B16" s="428" t="s">
        <v>87</v>
      </c>
      <c r="C16" s="429"/>
      <c r="D16" s="91">
        <f>'Sizing - Reimb Exp-26'!B7</f>
        <v>447645</v>
      </c>
      <c r="E16" s="92">
        <f>'Ridership-26'!$E7</f>
        <v>33235</v>
      </c>
      <c r="F16" s="92">
        <f>'Revenue Hours-26'!$E7</f>
        <v>8168</v>
      </c>
      <c r="G16" s="92">
        <f>'Revenue Miles-26'!$E7</f>
        <v>126970</v>
      </c>
      <c r="H16" s="430">
        <f t="shared" si="0"/>
        <v>1.0447956855099765E-3</v>
      </c>
      <c r="I16" s="431">
        <f t="shared" si="1"/>
        <v>1.0447956855099765E-3</v>
      </c>
      <c r="J16" s="432"/>
      <c r="K16" s="433">
        <f>'Ridership-26'!B7/'Revenue Hours-26'!B7</f>
        <v>3.8071505958829901</v>
      </c>
      <c r="L16" s="434">
        <f>'Ridership-26'!C7/'Revenue Hours-26'!C7</f>
        <v>3.650582779796967</v>
      </c>
      <c r="M16" s="434">
        <f>'Ridership-26'!D7/'Revenue Hours-26'!D7</f>
        <v>3.815299877600979</v>
      </c>
      <c r="N16" s="539">
        <f>'Ridership-26'!E7/'Revenue Hours-26'!K7</f>
        <v>4.0689275220372183</v>
      </c>
      <c r="O16" s="435">
        <f t="shared" si="2"/>
        <v>0.87439593763301104</v>
      </c>
      <c r="P16" s="436">
        <f t="shared" si="3"/>
        <v>9.135651030664205E-4</v>
      </c>
      <c r="Q16" s="437">
        <f t="shared" si="4"/>
        <v>8.761854901180266E-4</v>
      </c>
      <c r="R16" s="438">
        <f>'Ridership-26'!B7/'Revenue Miles-26'!B7</f>
        <v>0.2437813629741542</v>
      </c>
      <c r="S16" s="434">
        <f>'Ridership-26'!C7/'Revenue Miles-26'!C7</f>
        <v>0.22496138399752857</v>
      </c>
      <c r="T16" s="434">
        <f>'Ridership-26'!D7/'Revenue Miles-26'!D7</f>
        <v>0.23446890772737189</v>
      </c>
      <c r="U16" s="539">
        <f>'Ridership-26'!E7/'Revenue Miles-26'!K7</f>
        <v>0.2617547452154052</v>
      </c>
      <c r="V16" s="435">
        <f t="shared" si="5"/>
        <v>0.88282330624614769</v>
      </c>
      <c r="W16" s="436">
        <f t="shared" si="6"/>
        <v>9.2236998143362787E-4</v>
      </c>
      <c r="X16" s="437">
        <f t="shared" si="7"/>
        <v>8.8214813355587287E-4</v>
      </c>
      <c r="Y16" s="438">
        <f>'Op Cost-26'!B7/'Revenue Hours-26'!B7</f>
        <v>43.683519922956542</v>
      </c>
      <c r="Z16" s="434">
        <f>'Op Cost-26'!C7/'Revenue Hours-26'!C7</f>
        <v>59.664118310565236</v>
      </c>
      <c r="AA16" s="434">
        <f>'Op Cost-26'!D7/'Revenue Hours-26'!D7</f>
        <v>55.822399020807836</v>
      </c>
      <c r="AB16" s="434">
        <f>'Op Cost-26'!E7/'Revenue Hours-26'!E7</f>
        <v>54.804725759059743</v>
      </c>
      <c r="AC16" s="435">
        <f t="shared" si="8"/>
        <v>1.0516045914118244</v>
      </c>
      <c r="AD16" s="436">
        <f t="shared" si="9"/>
        <v>9.935252223531026E-4</v>
      </c>
      <c r="AE16" s="437">
        <f t="shared" si="10"/>
        <v>9.9529081545651592E-4</v>
      </c>
      <c r="AF16" s="438">
        <f>'Op Cost-26'!B7/'Revenue Miles-26'!B7</f>
        <v>2.7971649027603269</v>
      </c>
      <c r="AG16" s="434">
        <f>'Op Cost-26'!C7/'Revenue Miles-26'!C7</f>
        <v>3.6767068273092369</v>
      </c>
      <c r="AH16" s="434">
        <f>'Op Cost-26'!D7/'Revenue Miles-26'!D7</f>
        <v>3.4305604657635227</v>
      </c>
      <c r="AI16" s="434">
        <f>'Op Cost-26'!E7/'Revenue Miles-26'!E7</f>
        <v>3.5255965976214854</v>
      </c>
      <c r="AJ16" s="435">
        <f t="shared" si="11"/>
        <v>1.0555482262779829</v>
      </c>
      <c r="AK16" s="436">
        <f t="shared" si="12"/>
        <v>9.8981331169877332E-4</v>
      </c>
      <c r="AL16" s="437">
        <f t="shared" si="13"/>
        <v>9.9148502450122035E-4</v>
      </c>
      <c r="AM16" s="438">
        <f>'Op Cost-26'!B7/'Ridership-26'!B7</f>
        <v>11.474071966103839</v>
      </c>
      <c r="AN16" s="434">
        <f>'Op Cost-26'!C7/'Ridership-26'!C7</f>
        <v>16.343724251579236</v>
      </c>
      <c r="AO16" s="434">
        <f>'Op Cost-26'!D7/'Ridership-26'!D7</f>
        <v>14.631195662635141</v>
      </c>
      <c r="AP16" s="434">
        <f>'Op Cost-26'!E7/'Ridership-26'!E7</f>
        <v>13.469083797201746</v>
      </c>
      <c r="AQ16" s="439">
        <f t="shared" si="14"/>
        <v>1.2439563207545858</v>
      </c>
      <c r="AR16" s="436">
        <f t="shared" si="15"/>
        <v>8.398974048190067E-4</v>
      </c>
      <c r="AS16" s="440">
        <f t="shared" si="16"/>
        <v>8.4480405966386727E-4</v>
      </c>
      <c r="AT16" s="432"/>
      <c r="AU16" s="441">
        <f t="shared" si="17"/>
        <v>0</v>
      </c>
      <c r="AV16" s="442">
        <f t="shared" si="18"/>
        <v>0</v>
      </c>
      <c r="AW16" s="442">
        <f t="shared" si="19"/>
        <v>0</v>
      </c>
      <c r="AX16" s="442">
        <f t="shared" si="20"/>
        <v>0</v>
      </c>
      <c r="AY16" s="443">
        <f t="shared" si="21"/>
        <v>0</v>
      </c>
      <c r="AZ16" s="444">
        <f t="shared" si="43"/>
        <v>-1</v>
      </c>
      <c r="BA16" s="445">
        <f t="shared" si="22"/>
        <v>0</v>
      </c>
      <c r="BB16" s="446">
        <f t="shared" si="22"/>
        <v>0</v>
      </c>
      <c r="BC16" s="446">
        <f t="shared" si="22"/>
        <v>0</v>
      </c>
      <c r="BD16" s="446">
        <f t="shared" si="22"/>
        <v>0</v>
      </c>
      <c r="BE16" s="446">
        <f t="shared" si="22"/>
        <v>0</v>
      </c>
      <c r="BF16" s="447">
        <f t="shared" si="44"/>
        <v>125761.66544109143</v>
      </c>
      <c r="BH16" s="448">
        <f>'Op Cost-26'!E7</f>
        <v>447645</v>
      </c>
      <c r="BI16" s="449">
        <f t="shared" si="23"/>
        <v>0.2809406235769224</v>
      </c>
      <c r="BJ16" s="450">
        <f t="shared" si="24"/>
        <v>125761.66544109143</v>
      </c>
      <c r="BK16" s="451">
        <f t="shared" si="25"/>
        <v>0</v>
      </c>
      <c r="BL16" s="1">
        <f t="shared" si="45"/>
        <v>0.57745680483054618</v>
      </c>
      <c r="BM16" s="112">
        <f t="shared" si="46"/>
        <v>0.35879998671384128</v>
      </c>
      <c r="BN16" s="112">
        <f t="shared" si="47"/>
        <v>0.32544257128547921</v>
      </c>
      <c r="BO16" s="113">
        <f t="shared" si="48"/>
        <v>0.81279233066143208</v>
      </c>
      <c r="BP16" s="452">
        <f t="shared" si="26"/>
        <v>125761.66544109143</v>
      </c>
      <c r="BQ16" s="115">
        <f t="shared" si="49"/>
        <v>6.0332437825533127E-4</v>
      </c>
      <c r="BR16" s="116">
        <f t="shared" si="50"/>
        <v>6.0332437825533127E-4</v>
      </c>
      <c r="BS16" s="453">
        <f t="shared" si="51"/>
        <v>6.2869066643331804E-4</v>
      </c>
      <c r="BT16" s="118">
        <f t="shared" si="52"/>
        <v>130467.00934640208</v>
      </c>
      <c r="BU16" s="119">
        <f t="shared" si="53"/>
        <v>134293.5</v>
      </c>
      <c r="BV16" s="119">
        <f t="shared" si="54"/>
        <v>130467.00934640208</v>
      </c>
      <c r="BW16" s="119">
        <f t="shared" si="65"/>
        <v>0</v>
      </c>
      <c r="BX16" s="120">
        <f t="shared" si="55"/>
        <v>6.0332437825533127E-4</v>
      </c>
      <c r="BY16" s="454">
        <f t="shared" si="56"/>
        <v>6.7653600062645249E-4</v>
      </c>
      <c r="BZ16" s="122">
        <f t="shared" si="57"/>
        <v>130651.53646201934</v>
      </c>
      <c r="CA16" s="455">
        <f t="shared" si="27"/>
        <v>1.1171207633627169E-3</v>
      </c>
      <c r="CB16" s="456">
        <f t="shared" si="28"/>
        <v>8360.9279666986422</v>
      </c>
      <c r="CC16" s="456">
        <f t="shared" si="29"/>
        <v>134122.59340779009</v>
      </c>
      <c r="CD16" s="457">
        <f t="shared" si="30"/>
        <v>0.2996182095361058</v>
      </c>
      <c r="CE16" s="458">
        <f t="shared" si="31"/>
        <v>0</v>
      </c>
      <c r="CF16" s="17"/>
      <c r="CG16" s="459">
        <f t="shared" si="32"/>
        <v>447645</v>
      </c>
      <c r="CH16" s="460">
        <f t="shared" si="58"/>
        <v>0.2996182095361058</v>
      </c>
      <c r="CI16" s="461">
        <f t="shared" si="33"/>
        <v>134122.59340779009</v>
      </c>
      <c r="CJ16" s="462">
        <f t="shared" si="34"/>
        <v>0</v>
      </c>
      <c r="CL16" s="463">
        <f t="shared" si="35"/>
        <v>134122.59340779009</v>
      </c>
      <c r="CM16" s="464">
        <f t="shared" si="36"/>
        <v>1.1532155506226546E-3</v>
      </c>
      <c r="CN16" s="465">
        <f t="shared" si="37"/>
        <v>175.80336053823601</v>
      </c>
      <c r="CO16" s="466">
        <f t="shared" si="59"/>
        <v>134298.39676832833</v>
      </c>
      <c r="CP16" s="467">
        <f t="shared" si="60"/>
        <v>0.30001093895459197</v>
      </c>
      <c r="CQ16" s="468">
        <f t="shared" si="38"/>
        <v>1</v>
      </c>
      <c r="CR16" s="469"/>
      <c r="CS16" s="470">
        <f t="shared" si="39"/>
        <v>134293.5</v>
      </c>
      <c r="CT16" s="465">
        <f t="shared" si="40"/>
        <v>4.8967683283262886</v>
      </c>
      <c r="CU16" s="471">
        <f t="shared" si="41"/>
        <v>134293.5</v>
      </c>
      <c r="CV16" s="472">
        <f t="shared" si="42"/>
        <v>0.3</v>
      </c>
      <c r="CY16" s="473">
        <v>566</v>
      </c>
      <c r="CZ16" s="474">
        <f t="shared" si="61"/>
        <v>134859.5</v>
      </c>
      <c r="DA16" s="475">
        <f t="shared" si="62"/>
        <v>0.30126439477711131</v>
      </c>
      <c r="DB16" s="1">
        <f t="shared" si="63"/>
        <v>0</v>
      </c>
      <c r="DC16" s="293">
        <f t="shared" si="64"/>
        <v>0.29186417018400596</v>
      </c>
      <c r="DF16" s="476"/>
    </row>
    <row r="17" spans="1:110">
      <c r="A17" s="477" t="s">
        <v>88</v>
      </c>
      <c r="B17" s="428" t="s">
        <v>89</v>
      </c>
      <c r="C17" s="429"/>
      <c r="D17" s="91">
        <f>'Sizing - Reimb Exp-26'!B8</f>
        <v>14466572</v>
      </c>
      <c r="E17" s="92">
        <f>'Ridership-26'!$E8</f>
        <v>1476869</v>
      </c>
      <c r="F17" s="92">
        <f>'Revenue Hours-26'!$E8</f>
        <v>128069</v>
      </c>
      <c r="G17" s="92">
        <f>'Revenue Miles-26'!$E8</f>
        <v>1380275</v>
      </c>
      <c r="H17" s="430">
        <f t="shared" si="0"/>
        <v>2.5878783272557937E-2</v>
      </c>
      <c r="I17" s="431">
        <f t="shared" si="1"/>
        <v>2.5878783272557937E-2</v>
      </c>
      <c r="J17" s="432"/>
      <c r="K17" s="433">
        <f>'Ridership-26'!B8/'Revenue Hours-26'!B8</f>
        <v>6.5903135821469796</v>
      </c>
      <c r="L17" s="434">
        <f>'Ridership-26'!C8/'Revenue Hours-26'!C8</f>
        <v>13.15305492915798</v>
      </c>
      <c r="M17" s="434">
        <f>'Ridership-26'!D8/'Revenue Hours-26'!D8</f>
        <v>10.956321576014718</v>
      </c>
      <c r="N17" s="539">
        <f>'Ridership-26'!E8/'Revenue Hours-26'!K8</f>
        <v>11.531822689331532</v>
      </c>
      <c r="O17" s="435">
        <f t="shared" si="2"/>
        <v>1.0801586609984979</v>
      </c>
      <c r="P17" s="436">
        <f t="shared" si="3"/>
        <v>2.7953191887956506E-2</v>
      </c>
      <c r="Q17" s="437">
        <f t="shared" si="4"/>
        <v>2.6809453483395283E-2</v>
      </c>
      <c r="R17" s="438">
        <f>'Ridership-26'!B8/'Revenue Miles-26'!B8</f>
        <v>0.65665071513529727</v>
      </c>
      <c r="S17" s="434">
        <f>'Ridership-26'!C8/'Revenue Miles-26'!C8</f>
        <v>1.0437083935072138</v>
      </c>
      <c r="T17" s="434">
        <f>'Ridership-26'!D8/'Revenue Miles-26'!D8</f>
        <v>1.0015167534877283</v>
      </c>
      <c r="U17" s="539">
        <f>'Ridership-26'!E8/'Revenue Miles-26'!K8</f>
        <v>1.0699817065439858</v>
      </c>
      <c r="V17" s="435">
        <f t="shared" si="5"/>
        <v>1.0214923032337606</v>
      </c>
      <c r="W17" s="436">
        <f t="shared" si="6"/>
        <v>2.6434977929972524E-2</v>
      </c>
      <c r="X17" s="437">
        <f t="shared" si="7"/>
        <v>2.5282226124998832E-2</v>
      </c>
      <c r="Y17" s="438">
        <f>'Op Cost-26'!B8/'Revenue Hours-26'!B8</f>
        <v>123.85324163139668</v>
      </c>
      <c r="Z17" s="434">
        <f>'Op Cost-26'!C8/'Revenue Hours-26'!C8</f>
        <v>137.78897374803216</v>
      </c>
      <c r="AA17" s="434">
        <f>'Op Cost-26'!D8/'Revenue Hours-26'!D8</f>
        <v>129.86446660739594</v>
      </c>
      <c r="AB17" s="434">
        <f>'Op Cost-26'!E8/'Revenue Hours-26'!E8</f>
        <v>113.07535781492788</v>
      </c>
      <c r="AC17" s="435">
        <f t="shared" si="8"/>
        <v>0.93434210903999049</v>
      </c>
      <c r="AD17" s="436">
        <f t="shared" si="9"/>
        <v>2.7697331654192102E-2</v>
      </c>
      <c r="AE17" s="437">
        <f t="shared" si="10"/>
        <v>2.7746552566405857E-2</v>
      </c>
      <c r="AF17" s="438">
        <f>'Op Cost-26'!B8/'Revenue Miles-26'!B8</f>
        <v>12.340584203670993</v>
      </c>
      <c r="AG17" s="434">
        <f>'Op Cost-26'!C8/'Revenue Miles-26'!C8</f>
        <v>10.933696332002826</v>
      </c>
      <c r="AH17" s="434">
        <f>'Op Cost-26'!D8/'Revenue Miles-26'!D8</f>
        <v>11.870903759778434</v>
      </c>
      <c r="AI17" s="434">
        <f>'Op Cost-26'!E8/'Revenue Miles-26'!E8</f>
        <v>10.491712158808934</v>
      </c>
      <c r="AJ17" s="435">
        <f t="shared" si="11"/>
        <v>0.91149178626529148</v>
      </c>
      <c r="AK17" s="436">
        <f t="shared" si="12"/>
        <v>2.8391680169266898E-2</v>
      </c>
      <c r="AL17" s="437">
        <f t="shared" si="13"/>
        <v>2.8439631368408165E-2</v>
      </c>
      <c r="AM17" s="438">
        <f>'Op Cost-26'!B8/'Ridership-26'!B8</f>
        <v>18.793224341693318</v>
      </c>
      <c r="AN17" s="434">
        <f>'Op Cost-26'!C8/'Ridership-26'!C8</f>
        <v>10.475815275626847</v>
      </c>
      <c r="AO17" s="434">
        <f>'Op Cost-26'!D8/'Ridership-26'!D8</f>
        <v>11.852925793241749</v>
      </c>
      <c r="AP17" s="434">
        <f>'Op Cost-26'!E8/'Ridership-26'!E8</f>
        <v>9.8055061078538444</v>
      </c>
      <c r="AQ17" s="435">
        <f t="shared" si="14"/>
        <v>0.93027130136651037</v>
      </c>
      <c r="AR17" s="436">
        <f t="shared" si="15"/>
        <v>2.7818533404764419E-2</v>
      </c>
      <c r="AS17" s="440">
        <f t="shared" si="16"/>
        <v>2.7981048422579979E-2</v>
      </c>
      <c r="AT17" s="432"/>
      <c r="AU17" s="441">
        <f t="shared" si="17"/>
        <v>0</v>
      </c>
      <c r="AV17" s="442">
        <f t="shared" si="18"/>
        <v>0</v>
      </c>
      <c r="AW17" s="442">
        <f t="shared" si="19"/>
        <v>0</v>
      </c>
      <c r="AX17" s="442">
        <f t="shared" si="20"/>
        <v>0</v>
      </c>
      <c r="AY17" s="443">
        <f t="shared" si="21"/>
        <v>0</v>
      </c>
      <c r="AZ17" s="444">
        <f t="shared" si="43"/>
        <v>-1</v>
      </c>
      <c r="BA17" s="445">
        <f t="shared" si="22"/>
        <v>0</v>
      </c>
      <c r="BB17" s="446">
        <f t="shared" si="22"/>
        <v>0</v>
      </c>
      <c r="BC17" s="446">
        <f t="shared" si="22"/>
        <v>0</v>
      </c>
      <c r="BD17" s="446">
        <f t="shared" si="22"/>
        <v>0</v>
      </c>
      <c r="BE17" s="446">
        <f t="shared" si="22"/>
        <v>0</v>
      </c>
      <c r="BF17" s="447">
        <f t="shared" si="44"/>
        <v>3115019.4522074023</v>
      </c>
      <c r="BH17" s="448">
        <f>'Op Cost-26'!E8</f>
        <v>14481448</v>
      </c>
      <c r="BI17" s="449">
        <f t="shared" si="23"/>
        <v>0.21510414236251804</v>
      </c>
      <c r="BJ17" s="450">
        <f t="shared" si="24"/>
        <v>3115019.4522074023</v>
      </c>
      <c r="BK17" s="451">
        <f t="shared" si="25"/>
        <v>0</v>
      </c>
      <c r="BL17" s="1">
        <f t="shared" si="45"/>
        <v>1.145036187226957</v>
      </c>
      <c r="BM17" s="112">
        <f t="shared" si="46"/>
        <v>1.0168816734407982</v>
      </c>
      <c r="BN17" s="112">
        <f t="shared" si="47"/>
        <v>1.3303200960866706</v>
      </c>
      <c r="BO17" s="113">
        <f t="shared" si="48"/>
        <v>1.1164714896901797</v>
      </c>
      <c r="BP17" s="452">
        <f t="shared" si="26"/>
        <v>3115019.4522074023</v>
      </c>
      <c r="BQ17" s="115">
        <f t="shared" si="49"/>
        <v>2.9632143328482494E-2</v>
      </c>
      <c r="BR17" s="116">
        <f t="shared" si="50"/>
        <v>2.9632143328482494E-2</v>
      </c>
      <c r="BS17" s="453">
        <f t="shared" si="51"/>
        <v>3.08780029590436E-2</v>
      </c>
      <c r="BT17" s="118">
        <f t="shared" si="52"/>
        <v>3346121.3768721456</v>
      </c>
      <c r="BU17" s="119">
        <f t="shared" si="53"/>
        <v>4344434.3999999994</v>
      </c>
      <c r="BV17" s="119">
        <f t="shared" si="54"/>
        <v>3346121.3768721456</v>
      </c>
      <c r="BW17" s="119">
        <f t="shared" si="65"/>
        <v>0</v>
      </c>
      <c r="BX17" s="120">
        <f t="shared" si="55"/>
        <v>2.9632143328482494E-2</v>
      </c>
      <c r="BY17" s="454">
        <f t="shared" si="56"/>
        <v>3.3227915960255192E-2</v>
      </c>
      <c r="BZ17" s="122">
        <f t="shared" si="57"/>
        <v>3355184.3853217205</v>
      </c>
      <c r="CA17" s="455">
        <f t="shared" si="27"/>
        <v>2.7670219666180062E-2</v>
      </c>
      <c r="CB17" s="456">
        <f t="shared" si="28"/>
        <v>207093.73689847285</v>
      </c>
      <c r="CC17" s="456">
        <f t="shared" si="29"/>
        <v>3322113.1891058753</v>
      </c>
      <c r="CD17" s="457">
        <f t="shared" si="30"/>
        <v>0.22940476595336842</v>
      </c>
      <c r="CE17" s="458">
        <f t="shared" si="31"/>
        <v>0</v>
      </c>
      <c r="CF17" s="17"/>
      <c r="CG17" s="459">
        <f t="shared" si="32"/>
        <v>14481448</v>
      </c>
      <c r="CH17" s="460">
        <f t="shared" si="58"/>
        <v>0.22940476595336842</v>
      </c>
      <c r="CI17" s="461">
        <f t="shared" si="33"/>
        <v>3322113.1891058753</v>
      </c>
      <c r="CJ17" s="462">
        <f t="shared" si="34"/>
        <v>0</v>
      </c>
      <c r="CL17" s="463">
        <f t="shared" si="35"/>
        <v>3322113.1891058753</v>
      </c>
      <c r="CM17" s="464">
        <f t="shared" si="36"/>
        <v>2.856425970647088E-2</v>
      </c>
      <c r="CN17" s="465">
        <f t="shared" si="37"/>
        <v>4354.5136422875585</v>
      </c>
      <c r="CO17" s="466">
        <f t="shared" si="59"/>
        <v>3326467.7027481627</v>
      </c>
      <c r="CP17" s="467">
        <f t="shared" si="60"/>
        <v>0.22970546196403582</v>
      </c>
      <c r="CQ17" s="468">
        <f t="shared" si="38"/>
        <v>0</v>
      </c>
      <c r="CR17" s="469"/>
      <c r="CS17" s="470">
        <f t="shared" si="39"/>
        <v>4344434.3999999994</v>
      </c>
      <c r="CT17" s="465">
        <f t="shared" si="40"/>
        <v>0</v>
      </c>
      <c r="CU17" s="471">
        <f t="shared" si="41"/>
        <v>3326467.7027481627</v>
      </c>
      <c r="CV17" s="472">
        <f t="shared" si="42"/>
        <v>0.22970546196403582</v>
      </c>
      <c r="CY17" s="473">
        <v>0</v>
      </c>
      <c r="CZ17" s="474">
        <f t="shared" si="61"/>
        <v>3326467.7027481627</v>
      </c>
      <c r="DA17" s="475">
        <f t="shared" si="62"/>
        <v>0.22970546196403582</v>
      </c>
      <c r="DB17" s="1">
        <f t="shared" si="63"/>
        <v>0</v>
      </c>
      <c r="DC17" s="293">
        <f t="shared" si="64"/>
        <v>0.23168845997456336</v>
      </c>
      <c r="DF17" s="476"/>
    </row>
    <row r="18" spans="1:110">
      <c r="A18" s="477" t="s">
        <v>90</v>
      </c>
      <c r="B18" s="428" t="s">
        <v>91</v>
      </c>
      <c r="C18" s="429"/>
      <c r="D18" s="91">
        <f>'Sizing - Reimb Exp-26'!B9</f>
        <v>5072179</v>
      </c>
      <c r="E18" s="92">
        <f>'Ridership-26'!$E9</f>
        <v>332441</v>
      </c>
      <c r="F18" s="92">
        <f>'Revenue Hours-26'!$E9</f>
        <v>38032</v>
      </c>
      <c r="G18" s="92">
        <f>'Revenue Miles-26'!$E9</f>
        <v>554895</v>
      </c>
      <c r="H18" s="478">
        <f t="shared" si="0"/>
        <v>7.7926057912628393E-3</v>
      </c>
      <c r="I18" s="431">
        <f t="shared" si="1"/>
        <v>7.7926057912628393E-3</v>
      </c>
      <c r="J18" s="444">
        <v>-2.4831122032841661E-2</v>
      </c>
      <c r="K18" s="433">
        <f>'Ridership-26'!B9/'Revenue Hours-26'!B9</f>
        <v>3.4815432129025932</v>
      </c>
      <c r="L18" s="434">
        <f>'Ridership-26'!C9/'Revenue Hours-26'!C9</f>
        <v>4.4669216251117509</v>
      </c>
      <c r="M18" s="434">
        <f>'Ridership-26'!D9/'Revenue Hours-26'!D9</f>
        <v>7.7552782335063606</v>
      </c>
      <c r="N18" s="539">
        <f>'Ridership-26'!E9/'Revenue Hours-26'!K9</f>
        <v>8.7410864535128319</v>
      </c>
      <c r="O18" s="435">
        <f t="shared" si="2"/>
        <v>1.1714187434979995</v>
      </c>
      <c r="P18" s="436">
        <f t="shared" si="3"/>
        <v>9.1284044845763492E-3</v>
      </c>
      <c r="Q18" s="437">
        <f t="shared" si="4"/>
        <v>8.7549048562252443E-3</v>
      </c>
      <c r="R18" s="438">
        <f>'Ridership-26'!B9/'Revenue Miles-26'!B9</f>
        <v>0.23255357049300571</v>
      </c>
      <c r="S18" s="434">
        <f>'Ridership-26'!C9/'Revenue Miles-26'!C9</f>
        <v>0.30066694525699961</v>
      </c>
      <c r="T18" s="434">
        <f>'Ridership-26'!D9/'Revenue Miles-26'!D9</f>
        <v>0.52558774529639718</v>
      </c>
      <c r="U18" s="539">
        <f>'Ridership-26'!E9/'Revenue Miles-26'!K9</f>
        <v>0.59910613719712735</v>
      </c>
      <c r="V18" s="435">
        <f t="shared" si="5"/>
        <v>1.1856531510578938</v>
      </c>
      <c r="W18" s="436">
        <f t="shared" si="6"/>
        <v>9.2393276113627767E-3</v>
      </c>
      <c r="X18" s="437">
        <f t="shared" si="7"/>
        <v>8.8364276502220576E-3</v>
      </c>
      <c r="Y18" s="438">
        <f>'Op Cost-26'!B9/'Revenue Hours-26'!B9</f>
        <v>97.854576204715912</v>
      </c>
      <c r="Z18" s="434">
        <f>'Op Cost-26'!C9/'Revenue Hours-26'!C9</f>
        <v>112.67122777391477</v>
      </c>
      <c r="AA18" s="434">
        <f>'Op Cost-26'!D9/'Revenue Hours-26'!D9</f>
        <v>122.86288695839272</v>
      </c>
      <c r="AB18" s="434">
        <f>'Op Cost-26'!E9/'Revenue Hours-26'!E9</f>
        <v>138.48985065208245</v>
      </c>
      <c r="AC18" s="435">
        <f t="shared" si="8"/>
        <v>1.0747196303588169</v>
      </c>
      <c r="AD18" s="436">
        <f t="shared" si="9"/>
        <v>7.2508267004121997E-3</v>
      </c>
      <c r="AE18" s="437">
        <f t="shared" si="10"/>
        <v>7.2637121403872134E-3</v>
      </c>
      <c r="AF18" s="438">
        <f>'Op Cost-26'!B9/'Revenue Miles-26'!B9</f>
        <v>6.5363057971394145</v>
      </c>
      <c r="AG18" s="434">
        <f>'Op Cost-26'!C9/'Revenue Miles-26'!C9</f>
        <v>7.5838612620142083</v>
      </c>
      <c r="AH18" s="434">
        <f>'Op Cost-26'!D9/'Revenue Miles-26'!D9</f>
        <v>8.3266165046243135</v>
      </c>
      <c r="AI18" s="434">
        <f>'Op Cost-26'!E9/'Revenue Miles-26'!E9</f>
        <v>9.4919687508447552</v>
      </c>
      <c r="AJ18" s="435">
        <f t="shared" si="11"/>
        <v>1.0897309117503498</v>
      </c>
      <c r="AK18" s="436">
        <f t="shared" si="12"/>
        <v>7.1509449784682936E-3</v>
      </c>
      <c r="AL18" s="437">
        <f t="shared" si="13"/>
        <v>7.1630223329843517E-3</v>
      </c>
      <c r="AM18" s="438">
        <f>'Op Cost-26'!B9/'Ridership-26'!B9</f>
        <v>28.106667136018022</v>
      </c>
      <c r="AN18" s="434">
        <f>'Op Cost-26'!C9/'Ridership-26'!C9</f>
        <v>25.223461978940815</v>
      </c>
      <c r="AO18" s="434">
        <f>'Op Cost-26'!D9/'Ridership-26'!D9</f>
        <v>15.842486015210735</v>
      </c>
      <c r="AP18" s="434">
        <f>'Op Cost-26'!E9/'Ridership-26'!E9</f>
        <v>15.843551186526332</v>
      </c>
      <c r="AQ18" s="439">
        <f t="shared" si="14"/>
        <v>0.95162230758164368</v>
      </c>
      <c r="AR18" s="436">
        <f t="shared" si="15"/>
        <v>8.1887590582719501E-3</v>
      </c>
      <c r="AS18" s="440">
        <f t="shared" si="16"/>
        <v>8.236597537205367E-3</v>
      </c>
      <c r="AT18" s="432"/>
      <c r="AU18" s="441">
        <f t="shared" si="17"/>
        <v>0</v>
      </c>
      <c r="AV18" s="442">
        <f t="shared" si="18"/>
        <v>0</v>
      </c>
      <c r="AW18" s="442">
        <f t="shared" si="19"/>
        <v>0</v>
      </c>
      <c r="AX18" s="442">
        <f t="shared" si="20"/>
        <v>0</v>
      </c>
      <c r="AY18" s="443">
        <f t="shared" si="21"/>
        <v>0</v>
      </c>
      <c r="AZ18" s="444">
        <f t="shared" si="43"/>
        <v>-1</v>
      </c>
      <c r="BA18" s="445">
        <f t="shared" si="22"/>
        <v>0</v>
      </c>
      <c r="BB18" s="446">
        <f t="shared" si="22"/>
        <v>0</v>
      </c>
      <c r="BC18" s="446">
        <f t="shared" si="22"/>
        <v>0</v>
      </c>
      <c r="BD18" s="446">
        <f t="shared" si="22"/>
        <v>0</v>
      </c>
      <c r="BE18" s="446">
        <f t="shared" si="22"/>
        <v>0</v>
      </c>
      <c r="BF18" s="447">
        <f t="shared" si="44"/>
        <v>937993.04115306935</v>
      </c>
      <c r="BH18" s="448">
        <f>'Op Cost-26'!E9</f>
        <v>5267046</v>
      </c>
      <c r="BI18" s="449">
        <f t="shared" si="23"/>
        <v>0.17808711774172264</v>
      </c>
      <c r="BJ18" s="450">
        <f t="shared" si="24"/>
        <v>937993.04115306935</v>
      </c>
      <c r="BK18" s="451">
        <f t="shared" si="25"/>
        <v>0</v>
      </c>
      <c r="BL18" s="1">
        <f t="shared" si="45"/>
        <v>0.72440684122028942</v>
      </c>
      <c r="BM18" s="112">
        <f t="shared" si="46"/>
        <v>0.77079320936507312</v>
      </c>
      <c r="BN18" s="112">
        <f t="shared" si="47"/>
        <v>0.74487529004257091</v>
      </c>
      <c r="BO18" s="113">
        <f t="shared" si="48"/>
        <v>0.69097943273675688</v>
      </c>
      <c r="BP18" s="452">
        <f t="shared" si="26"/>
        <v>937993.04115306935</v>
      </c>
      <c r="BQ18" s="115">
        <f t="shared" si="49"/>
        <v>5.6450169461236474E-3</v>
      </c>
      <c r="BR18" s="116">
        <f t="shared" si="50"/>
        <v>5.6450169461236474E-3</v>
      </c>
      <c r="BS18" s="453">
        <f t="shared" si="51"/>
        <v>5.8823571428501106E-3</v>
      </c>
      <c r="BT18" s="118">
        <f t="shared" si="52"/>
        <v>982018.68811868411</v>
      </c>
      <c r="BU18" s="119">
        <f t="shared" si="53"/>
        <v>1580113.8</v>
      </c>
      <c r="BV18" s="119">
        <f t="shared" si="54"/>
        <v>982018.68811868411</v>
      </c>
      <c r="BW18" s="119">
        <f t="shared" si="65"/>
        <v>0</v>
      </c>
      <c r="BX18" s="120">
        <f t="shared" si="55"/>
        <v>5.6450169461236474E-3</v>
      </c>
      <c r="BY18" s="454">
        <f t="shared" si="56"/>
        <v>6.3300229956608682E-3</v>
      </c>
      <c r="BZ18" s="122">
        <f t="shared" si="57"/>
        <v>983745.2198688034</v>
      </c>
      <c r="CA18" s="455">
        <f t="shared" si="27"/>
        <v>8.3320421885845798E-3</v>
      </c>
      <c r="CB18" s="456">
        <f t="shared" si="28"/>
        <v>62359.958599776524</v>
      </c>
      <c r="CC18" s="456">
        <f t="shared" si="29"/>
        <v>1000352.9997528458</v>
      </c>
      <c r="CD18" s="457">
        <f t="shared" si="30"/>
        <v>0.18992676345580536</v>
      </c>
      <c r="CE18" s="458">
        <f t="shared" si="31"/>
        <v>0</v>
      </c>
      <c r="CF18" s="17"/>
      <c r="CG18" s="459">
        <f t="shared" si="32"/>
        <v>5267046</v>
      </c>
      <c r="CH18" s="460">
        <f t="shared" si="58"/>
        <v>0.18992676345580536</v>
      </c>
      <c r="CI18" s="461">
        <f t="shared" si="33"/>
        <v>1000352.9997528458</v>
      </c>
      <c r="CJ18" s="462">
        <f t="shared" si="34"/>
        <v>0</v>
      </c>
      <c r="CL18" s="463">
        <f t="shared" si="35"/>
        <v>1000352.9997528458</v>
      </c>
      <c r="CM18" s="464">
        <f t="shared" si="36"/>
        <v>8.6012550616248219E-3</v>
      </c>
      <c r="CN18" s="465">
        <f t="shared" si="37"/>
        <v>1311.2288885314747</v>
      </c>
      <c r="CO18" s="466">
        <f t="shared" si="59"/>
        <v>1001664.2286413773</v>
      </c>
      <c r="CP18" s="467">
        <f t="shared" si="60"/>
        <v>0.19017571303561376</v>
      </c>
      <c r="CQ18" s="468">
        <f t="shared" si="38"/>
        <v>0</v>
      </c>
      <c r="CR18" s="469"/>
      <c r="CS18" s="470">
        <f t="shared" si="39"/>
        <v>1580113.8</v>
      </c>
      <c r="CT18" s="465">
        <f t="shared" si="40"/>
        <v>0</v>
      </c>
      <c r="CU18" s="471">
        <f t="shared" si="41"/>
        <v>1001664.2286413773</v>
      </c>
      <c r="CV18" s="472">
        <f t="shared" si="42"/>
        <v>0.19017571303561376</v>
      </c>
      <c r="CY18" s="473">
        <v>0</v>
      </c>
      <c r="CZ18" s="474">
        <f t="shared" si="61"/>
        <v>1001664.2286413773</v>
      </c>
      <c r="DA18" s="475">
        <f t="shared" si="62"/>
        <v>0.19017571303561376</v>
      </c>
      <c r="DB18" s="1">
        <f t="shared" si="63"/>
        <v>0</v>
      </c>
      <c r="DC18" s="293">
        <f t="shared" si="64"/>
        <v>0.1867736146349972</v>
      </c>
      <c r="DF18" s="476"/>
    </row>
    <row r="19" spans="1:110">
      <c r="A19" s="477" t="s">
        <v>92</v>
      </c>
      <c r="B19" s="428" t="s">
        <v>93</v>
      </c>
      <c r="C19" s="429"/>
      <c r="D19" s="91">
        <f>'Sizing - Reimb Exp-26'!B10</f>
        <v>2126888</v>
      </c>
      <c r="E19" s="92">
        <f>'Ridership-26'!$E10</f>
        <v>77878</v>
      </c>
      <c r="F19" s="92">
        <f>'Revenue Hours-26'!$E10</f>
        <v>24727.8</v>
      </c>
      <c r="G19" s="92">
        <f>'Revenue Miles-26'!$E10</f>
        <v>463883</v>
      </c>
      <c r="H19" s="478">
        <f t="shared" si="0"/>
        <v>3.668720479145409E-3</v>
      </c>
      <c r="I19" s="431">
        <f t="shared" si="1"/>
        <v>3.668720479145409E-3</v>
      </c>
      <c r="J19" s="432"/>
      <c r="K19" s="433">
        <f>'Ridership-26'!B10/'Revenue Hours-26'!B10</f>
        <v>5.361326293975428</v>
      </c>
      <c r="L19" s="434">
        <f>'Ridership-26'!C10/'Revenue Hours-26'!C10</f>
        <v>3.4816356739753909</v>
      </c>
      <c r="M19" s="434">
        <f>'Ridership-26'!D10/'Revenue Hours-26'!D10</f>
        <v>3.3501561802766622</v>
      </c>
      <c r="N19" s="539">
        <f>'Ridership-26'!E10/'Revenue Hours-26'!K10</f>
        <v>3.1494107846229751</v>
      </c>
      <c r="O19" s="435">
        <f t="shared" si="2"/>
        <v>0.73134212552263556</v>
      </c>
      <c r="P19" s="436">
        <f t="shared" si="3"/>
        <v>2.6830898331666251E-3</v>
      </c>
      <c r="Q19" s="437">
        <f t="shared" si="4"/>
        <v>2.5733079915300503E-3</v>
      </c>
      <c r="R19" s="438">
        <f>'Ridership-26'!B10/'Revenue Miles-26'!B10</f>
        <v>0.29459705668644059</v>
      </c>
      <c r="S19" s="434">
        <f>'Ridership-26'!C10/'Revenue Miles-26'!C10</f>
        <v>0.18135424146189841</v>
      </c>
      <c r="T19" s="434">
        <f>'Ridership-26'!D10/'Revenue Miles-26'!D10</f>
        <v>0.16980829081171064</v>
      </c>
      <c r="U19" s="539">
        <f>'Ridership-26'!E10/'Revenue Miles-26'!K10</f>
        <v>0.16788284977030846</v>
      </c>
      <c r="V19" s="435">
        <f t="shared" si="5"/>
        <v>0.73210443369450051</v>
      </c>
      <c r="W19" s="436">
        <f t="shared" si="6"/>
        <v>2.6858865287681661E-3</v>
      </c>
      <c r="X19" s="437">
        <f t="shared" si="7"/>
        <v>2.5687628999081801E-3</v>
      </c>
      <c r="Y19" s="438">
        <f>'Op Cost-26'!B10/'Revenue Hours-26'!B10</f>
        <v>71.305225243005879</v>
      </c>
      <c r="Z19" s="434">
        <f>'Op Cost-26'!C10/'Revenue Hours-26'!C10</f>
        <v>79.874363955962622</v>
      </c>
      <c r="AA19" s="434">
        <f>'Op Cost-26'!D10/'Revenue Hours-26'!D10</f>
        <v>87.91722445336903</v>
      </c>
      <c r="AB19" s="434">
        <f>'Op Cost-26'!E10/'Revenue Hours-26'!E10</f>
        <v>86.01201886136252</v>
      </c>
      <c r="AC19" s="435">
        <f t="shared" si="8"/>
        <v>1.0196484156589218</v>
      </c>
      <c r="AD19" s="436">
        <f t="shared" si="9"/>
        <v>3.5980249886178577E-3</v>
      </c>
      <c r="AE19" s="437">
        <f t="shared" si="10"/>
        <v>3.6044190367636778E-3</v>
      </c>
      <c r="AF19" s="438">
        <f>'Op Cost-26'!B10/'Revenue Miles-26'!B10</f>
        <v>3.9181180795800845</v>
      </c>
      <c r="AG19" s="434">
        <f>'Op Cost-26'!C10/'Revenue Miles-26'!C10</f>
        <v>4.1605601630756928</v>
      </c>
      <c r="AH19" s="434">
        <f>'Op Cost-26'!D10/'Revenue Miles-26'!D10</f>
        <v>4.456232131871313</v>
      </c>
      <c r="AI19" s="434">
        <f>'Op Cost-26'!E10/'Revenue Miles-26'!E10</f>
        <v>4.5849664678377957</v>
      </c>
      <c r="AJ19" s="435">
        <f t="shared" si="11"/>
        <v>1.0128076498369882</v>
      </c>
      <c r="AK19" s="436">
        <f t="shared" si="12"/>
        <v>3.6223269835450899E-3</v>
      </c>
      <c r="AL19" s="437">
        <f t="shared" si="13"/>
        <v>3.6284447941680336E-3</v>
      </c>
      <c r="AM19" s="438">
        <f>'Op Cost-26'!B10/'Ridership-26'!B10</f>
        <v>13.299922693220932</v>
      </c>
      <c r="AN19" s="434">
        <f>'Op Cost-26'!C10/'Ridership-26'!C10</f>
        <v>22.941620386363031</v>
      </c>
      <c r="AO19" s="434">
        <f>'Op Cost-26'!D10/'Ridership-26'!D10</f>
        <v>26.242724136553139</v>
      </c>
      <c r="AP19" s="434">
        <f>'Op Cost-26'!E10/'Ridership-26'!E10</f>
        <v>27.310511312565808</v>
      </c>
      <c r="AQ19" s="439">
        <f t="shared" si="14"/>
        <v>1.5025184960180014</v>
      </c>
      <c r="AR19" s="436">
        <f t="shared" si="15"/>
        <v>2.4417140214036039E-3</v>
      </c>
      <c r="AS19" s="440">
        <f t="shared" si="16"/>
        <v>2.4559784397291565E-3</v>
      </c>
      <c r="AT19" s="432"/>
      <c r="AU19" s="441">
        <f t="shared" si="17"/>
        <v>0</v>
      </c>
      <c r="AV19" s="442">
        <f t="shared" si="18"/>
        <v>0</v>
      </c>
      <c r="AW19" s="442">
        <f t="shared" si="19"/>
        <v>0</v>
      </c>
      <c r="AX19" s="442">
        <f t="shared" si="20"/>
        <v>0</v>
      </c>
      <c r="AY19" s="443">
        <f t="shared" si="21"/>
        <v>0</v>
      </c>
      <c r="AZ19" s="444">
        <f t="shared" si="43"/>
        <v>-1</v>
      </c>
      <c r="BA19" s="445">
        <f t="shared" si="22"/>
        <v>0</v>
      </c>
      <c r="BB19" s="446">
        <f t="shared" si="22"/>
        <v>0</v>
      </c>
      <c r="BC19" s="446">
        <f t="shared" si="22"/>
        <v>0</v>
      </c>
      <c r="BD19" s="446">
        <f t="shared" si="22"/>
        <v>0</v>
      </c>
      <c r="BE19" s="446">
        <f t="shared" si="22"/>
        <v>0</v>
      </c>
      <c r="BF19" s="447">
        <f t="shared" si="44"/>
        <v>441602.51032234944</v>
      </c>
      <c r="BH19" s="448">
        <f>'Op Cost-26'!E10</f>
        <v>2126888</v>
      </c>
      <c r="BI19" s="449">
        <f t="shared" si="23"/>
        <v>0.20762847424140313</v>
      </c>
      <c r="BJ19" s="450">
        <f t="shared" si="24"/>
        <v>441602.51032234944</v>
      </c>
      <c r="BK19" s="451">
        <f t="shared" si="25"/>
        <v>0</v>
      </c>
      <c r="BL19" s="1">
        <f t="shared" si="45"/>
        <v>0.32203952880637277</v>
      </c>
      <c r="BM19" s="112">
        <f t="shared" si="46"/>
        <v>0.27771655837049231</v>
      </c>
      <c r="BN19" s="112">
        <f t="shared" si="47"/>
        <v>0.20873060489895359</v>
      </c>
      <c r="BO19" s="113">
        <f t="shared" si="48"/>
        <v>0.40085547597802262</v>
      </c>
      <c r="BP19" s="452">
        <f t="shared" si="26"/>
        <v>441602.51032234944</v>
      </c>
      <c r="BQ19" s="115">
        <f t="shared" si="49"/>
        <v>1.1814730144262776E-3</v>
      </c>
      <c r="BR19" s="116">
        <f t="shared" si="50"/>
        <v>1.1814730144262776E-3</v>
      </c>
      <c r="BS19" s="453">
        <f t="shared" si="51"/>
        <v>1.2311470969573308E-3</v>
      </c>
      <c r="BT19" s="118">
        <f t="shared" si="52"/>
        <v>450816.85180776339</v>
      </c>
      <c r="BU19" s="119">
        <f t="shared" si="53"/>
        <v>638066.4</v>
      </c>
      <c r="BV19" s="119">
        <f t="shared" si="54"/>
        <v>450816.85180776339</v>
      </c>
      <c r="BW19" s="119">
        <f t="shared" si="65"/>
        <v>0</v>
      </c>
      <c r="BX19" s="120">
        <f t="shared" si="55"/>
        <v>1.1814730144262776E-3</v>
      </c>
      <c r="BY19" s="454">
        <f t="shared" si="56"/>
        <v>1.3248412575991742E-3</v>
      </c>
      <c r="BZ19" s="122">
        <f t="shared" si="57"/>
        <v>451178.20602348755</v>
      </c>
      <c r="CA19" s="455">
        <f t="shared" si="27"/>
        <v>3.9226844818246688E-3</v>
      </c>
      <c r="CB19" s="456">
        <f t="shared" si="28"/>
        <v>29358.761795723356</v>
      </c>
      <c r="CC19" s="456">
        <f t="shared" si="29"/>
        <v>470961.27211807278</v>
      </c>
      <c r="CD19" s="457">
        <f t="shared" si="30"/>
        <v>0.22143209803152436</v>
      </c>
      <c r="CE19" s="458">
        <f t="shared" si="31"/>
        <v>0</v>
      </c>
      <c r="CF19" s="17"/>
      <c r="CG19" s="459">
        <f t="shared" si="32"/>
        <v>2126888</v>
      </c>
      <c r="CH19" s="460">
        <f t="shared" si="58"/>
        <v>0.22143209803152436</v>
      </c>
      <c r="CI19" s="461">
        <f t="shared" si="33"/>
        <v>470961.27211807278</v>
      </c>
      <c r="CJ19" s="462">
        <f t="shared" si="34"/>
        <v>0</v>
      </c>
      <c r="CL19" s="463">
        <f t="shared" si="35"/>
        <v>470961.27211807278</v>
      </c>
      <c r="CM19" s="464">
        <f t="shared" si="36"/>
        <v>4.0494285783475147E-3</v>
      </c>
      <c r="CN19" s="465">
        <f t="shared" si="37"/>
        <v>617.32011153395172</v>
      </c>
      <c r="CO19" s="466">
        <f t="shared" si="59"/>
        <v>471578.59222960676</v>
      </c>
      <c r="CP19" s="467">
        <f t="shared" si="60"/>
        <v>0.22172234373864855</v>
      </c>
      <c r="CQ19" s="468">
        <f t="shared" si="38"/>
        <v>0</v>
      </c>
      <c r="CR19" s="469"/>
      <c r="CS19" s="470">
        <f t="shared" si="39"/>
        <v>638066.4</v>
      </c>
      <c r="CT19" s="465">
        <f t="shared" si="40"/>
        <v>0</v>
      </c>
      <c r="CU19" s="471">
        <f t="shared" si="41"/>
        <v>471578.59222960676</v>
      </c>
      <c r="CV19" s="472">
        <f t="shared" si="42"/>
        <v>0.22172234373864855</v>
      </c>
      <c r="CY19" s="473">
        <v>0</v>
      </c>
      <c r="CZ19" s="474">
        <f t="shared" si="61"/>
        <v>471578.59222960676</v>
      </c>
      <c r="DA19" s="475">
        <f t="shared" si="62"/>
        <v>0.22172234373864855</v>
      </c>
      <c r="DB19" s="1">
        <f t="shared" si="63"/>
        <v>0</v>
      </c>
      <c r="DC19" s="293">
        <f t="shared" si="64"/>
        <v>0.21213068390224946</v>
      </c>
      <c r="DF19" s="476"/>
    </row>
    <row r="20" spans="1:110">
      <c r="A20" s="477" t="s">
        <v>92</v>
      </c>
      <c r="B20" s="428" t="s">
        <v>94</v>
      </c>
      <c r="C20" s="429"/>
      <c r="D20" s="91">
        <f>'Sizing - Reimb Exp-26'!B11</f>
        <v>225862</v>
      </c>
      <c r="E20" s="92">
        <f>'Ridership-26'!$E11</f>
        <v>11821</v>
      </c>
      <c r="F20" s="92">
        <f>'Revenue Hours-26'!$E11</f>
        <v>2826</v>
      </c>
      <c r="G20" s="92">
        <f>'Revenue Miles-26'!$E11</f>
        <v>53914</v>
      </c>
      <c r="H20" s="478">
        <f t="shared" si="0"/>
        <v>4.299833411547236E-4</v>
      </c>
      <c r="I20" s="431">
        <f t="shared" si="1"/>
        <v>4.299833411547236E-4</v>
      </c>
      <c r="J20" s="432"/>
      <c r="K20" s="433">
        <f>'Ridership-26'!B11/'Revenue Hours-26'!B11</f>
        <v>1.3415032679738561</v>
      </c>
      <c r="L20" s="434">
        <f>'Ridership-26'!C11/'Revenue Hours-26'!C11</f>
        <v>1.759546925566343</v>
      </c>
      <c r="M20" s="434">
        <f>'Ridership-26'!D11/'Revenue Hours-26'!D11</f>
        <v>3.4945302445302446</v>
      </c>
      <c r="N20" s="539">
        <f>'Ridership-26'!E11/'Revenue Hours-26'!K11</f>
        <v>4.1829440905874025</v>
      </c>
      <c r="O20" s="435">
        <f t="shared" si="2"/>
        <v>1.2707041716788596</v>
      </c>
      <c r="P20" s="436">
        <f t="shared" si="3"/>
        <v>5.4638162535772152E-4</v>
      </c>
      <c r="Q20" s="437">
        <f t="shared" si="4"/>
        <v>5.2402576521219549E-4</v>
      </c>
      <c r="R20" s="438">
        <f>'Ridership-26'!B11/'Revenue Miles-26'!B11</f>
        <v>8.4451119157340354E-2</v>
      </c>
      <c r="S20" s="434">
        <f>'Ridership-26'!C11/'Revenue Miles-26'!C11</f>
        <v>0.10382691059084138</v>
      </c>
      <c r="T20" s="434">
        <f>'Ridership-26'!D11/'Revenue Miles-26'!D11</f>
        <v>0.19750504628030041</v>
      </c>
      <c r="U20" s="539">
        <f>'Ridership-26'!E11/'Revenue Miles-26'!K11</f>
        <v>0.21925659383462551</v>
      </c>
      <c r="V20" s="435">
        <f t="shared" si="5"/>
        <v>1.2027212402786347</v>
      </c>
      <c r="W20" s="436">
        <f t="shared" si="6"/>
        <v>5.1715009737276043E-4</v>
      </c>
      <c r="X20" s="437">
        <f t="shared" si="7"/>
        <v>4.9459869938150861E-4</v>
      </c>
      <c r="Y20" s="438">
        <f>'Op Cost-26'!B11/'Revenue Hours-26'!B11</f>
        <v>49.306209150326801</v>
      </c>
      <c r="Z20" s="434">
        <f>'Op Cost-26'!C11/'Revenue Hours-26'!C11</f>
        <v>54.219417475728157</v>
      </c>
      <c r="AA20" s="434">
        <f>'Op Cost-26'!D11/'Revenue Hours-26'!D11</f>
        <v>62.816602316602314</v>
      </c>
      <c r="AB20" s="434">
        <f>'Op Cost-26'!E11/'Revenue Hours-26'!E11</f>
        <v>79.922859164897375</v>
      </c>
      <c r="AC20" s="435">
        <f t="shared" si="8"/>
        <v>1.1250369583058519</v>
      </c>
      <c r="AD20" s="436">
        <f t="shared" si="9"/>
        <v>3.8219485856021856E-4</v>
      </c>
      <c r="AE20" s="437">
        <f t="shared" si="10"/>
        <v>3.8287405682439117E-4</v>
      </c>
      <c r="AF20" s="438">
        <f>'Op Cost-26'!B11/'Revenue Miles-26'!B11</f>
        <v>3.103954081632653</v>
      </c>
      <c r="AG20" s="434">
        <f>'Op Cost-26'!C11/'Revenue Miles-26'!C11</f>
        <v>3.1993660008402398</v>
      </c>
      <c r="AH20" s="434">
        <f>'Op Cost-26'!D11/'Revenue Miles-26'!D11</f>
        <v>3.5502900474623118</v>
      </c>
      <c r="AI20" s="434">
        <f>'Op Cost-26'!E11/'Revenue Miles-26'!E11</f>
        <v>4.1893014801350299</v>
      </c>
      <c r="AJ20" s="435">
        <f t="shared" si="11"/>
        <v>1.0625424592304593</v>
      </c>
      <c r="AK20" s="436">
        <f t="shared" si="12"/>
        <v>4.0467403200634142E-4</v>
      </c>
      <c r="AL20" s="437">
        <f t="shared" si="13"/>
        <v>4.0535749297026987E-4</v>
      </c>
      <c r="AM20" s="438">
        <f>'Op Cost-26'!B11/'Ridership-26'!B11</f>
        <v>36.754445797807549</v>
      </c>
      <c r="AN20" s="434">
        <f>'Op Cost-26'!C11/'Ridership-26'!C11</f>
        <v>30.814419716755562</v>
      </c>
      <c r="AO20" s="434">
        <f>'Op Cost-26'!D11/'Ridership-26'!D11</f>
        <v>17.97569284596262</v>
      </c>
      <c r="AP20" s="434">
        <f>'Op Cost-26'!E11/'Ridership-26'!E11</f>
        <v>19.106843752643602</v>
      </c>
      <c r="AQ20" s="439">
        <f t="shared" si="14"/>
        <v>0.93210492020148372</v>
      </c>
      <c r="AR20" s="436">
        <f t="shared" si="15"/>
        <v>4.6130358486014473E-4</v>
      </c>
      <c r="AS20" s="440">
        <f t="shared" si="16"/>
        <v>4.6399850623580173E-4</v>
      </c>
      <c r="AT20" s="432"/>
      <c r="AU20" s="441">
        <f t="shared" si="17"/>
        <v>0</v>
      </c>
      <c r="AV20" s="442">
        <f t="shared" si="18"/>
        <v>0</v>
      </c>
      <c r="AW20" s="442">
        <f t="shared" si="19"/>
        <v>0</v>
      </c>
      <c r="AX20" s="442">
        <f t="shared" si="20"/>
        <v>0</v>
      </c>
      <c r="AY20" s="443">
        <f t="shared" si="21"/>
        <v>0</v>
      </c>
      <c r="AZ20" s="444">
        <f t="shared" si="43"/>
        <v>-1</v>
      </c>
      <c r="BA20" s="445">
        <f t="shared" si="22"/>
        <v>0</v>
      </c>
      <c r="BB20" s="446">
        <f t="shared" si="22"/>
        <v>0</v>
      </c>
      <c r="BC20" s="446">
        <f t="shared" si="22"/>
        <v>0</v>
      </c>
      <c r="BD20" s="446">
        <f t="shared" si="22"/>
        <v>0</v>
      </c>
      <c r="BE20" s="446">
        <f t="shared" si="22"/>
        <v>0</v>
      </c>
      <c r="BF20" s="447">
        <f t="shared" si="44"/>
        <v>51756.933767531984</v>
      </c>
      <c r="BH20" s="448">
        <f>'Op Cost-26'!E11</f>
        <v>225862</v>
      </c>
      <c r="BI20" s="449">
        <f t="shared" si="23"/>
        <v>0.22915290649835734</v>
      </c>
      <c r="BJ20" s="450">
        <f t="shared" si="24"/>
        <v>51756.933767531984</v>
      </c>
      <c r="BK20" s="451">
        <f t="shared" si="25"/>
        <v>0</v>
      </c>
      <c r="BL20" s="1">
        <f t="shared" si="45"/>
        <v>0.44684744286959338</v>
      </c>
      <c r="BM20" s="112">
        <f t="shared" si="46"/>
        <v>0.36885402258924105</v>
      </c>
      <c r="BN20" s="112">
        <f t="shared" si="47"/>
        <v>0.27260414939227223</v>
      </c>
      <c r="BO20" s="113">
        <f t="shared" si="48"/>
        <v>0.57296579974843009</v>
      </c>
      <c r="BP20" s="452">
        <f t="shared" si="26"/>
        <v>51756.933767531984</v>
      </c>
      <c r="BQ20" s="115">
        <f t="shared" si="49"/>
        <v>1.9213695647151224E-4</v>
      </c>
      <c r="BR20" s="116">
        <f t="shared" si="50"/>
        <v>1.9213695647151224E-4</v>
      </c>
      <c r="BS20" s="453">
        <f t="shared" si="51"/>
        <v>2.0021520025405513E-4</v>
      </c>
      <c r="BT20" s="118">
        <f t="shared" si="52"/>
        <v>53255.415330190735</v>
      </c>
      <c r="BU20" s="119">
        <f t="shared" si="53"/>
        <v>67758.599999999991</v>
      </c>
      <c r="BV20" s="119">
        <f t="shared" si="54"/>
        <v>53255.415330190735</v>
      </c>
      <c r="BW20" s="119">
        <f t="shared" si="65"/>
        <v>0</v>
      </c>
      <c r="BX20" s="120">
        <f t="shared" si="55"/>
        <v>1.9213695647151224E-4</v>
      </c>
      <c r="BY20" s="454">
        <f t="shared" si="56"/>
        <v>2.1545220579295737E-4</v>
      </c>
      <c r="BZ20" s="122">
        <f t="shared" si="57"/>
        <v>53314.180531231832</v>
      </c>
      <c r="CA20" s="455">
        <f t="shared" si="27"/>
        <v>4.5974856612233749E-4</v>
      </c>
      <c r="CB20" s="456">
        <f t="shared" si="28"/>
        <v>3440.9213132616092</v>
      </c>
      <c r="CC20" s="456">
        <f t="shared" si="29"/>
        <v>55197.85508079359</v>
      </c>
      <c r="CD20" s="457">
        <f t="shared" si="30"/>
        <v>0.24438752459817761</v>
      </c>
      <c r="CE20" s="458">
        <f t="shared" si="31"/>
        <v>0</v>
      </c>
      <c r="CF20" s="17"/>
      <c r="CG20" s="459">
        <f t="shared" si="32"/>
        <v>225862</v>
      </c>
      <c r="CH20" s="460">
        <f t="shared" si="58"/>
        <v>0.24438752459817761</v>
      </c>
      <c r="CI20" s="461">
        <f t="shared" si="33"/>
        <v>55197.85508079359</v>
      </c>
      <c r="CJ20" s="462">
        <f t="shared" si="34"/>
        <v>0</v>
      </c>
      <c r="CL20" s="463">
        <f t="shared" si="35"/>
        <v>55197.85508079359</v>
      </c>
      <c r="CM20" s="464">
        <f t="shared" si="36"/>
        <v>4.7460329555847731E-4</v>
      </c>
      <c r="CN20" s="465">
        <f t="shared" si="37"/>
        <v>72.35148211160697</v>
      </c>
      <c r="CO20" s="466">
        <f t="shared" si="59"/>
        <v>55270.206562905194</v>
      </c>
      <c r="CP20" s="467">
        <f t="shared" si="60"/>
        <v>0.24470785950228544</v>
      </c>
      <c r="CQ20" s="468">
        <f t="shared" si="38"/>
        <v>0</v>
      </c>
      <c r="CR20" s="469"/>
      <c r="CS20" s="470">
        <f t="shared" si="39"/>
        <v>67758.599999999991</v>
      </c>
      <c r="CT20" s="465">
        <f t="shared" si="40"/>
        <v>0</v>
      </c>
      <c r="CU20" s="471">
        <f t="shared" si="41"/>
        <v>55270.206562905194</v>
      </c>
      <c r="CV20" s="472">
        <f t="shared" si="42"/>
        <v>0.24470785950228544</v>
      </c>
      <c r="CY20" s="473">
        <v>685.4</v>
      </c>
      <c r="CZ20" s="474">
        <f t="shared" si="61"/>
        <v>55955.606562905195</v>
      </c>
      <c r="DA20" s="475">
        <f t="shared" si="62"/>
        <v>0.24774245584872709</v>
      </c>
      <c r="DB20" s="1">
        <f t="shared" si="63"/>
        <v>0</v>
      </c>
      <c r="DC20" s="293">
        <f t="shared" si="64"/>
        <v>0.23604758893143526</v>
      </c>
      <c r="DF20" s="476"/>
    </row>
    <row r="21" spans="1:110">
      <c r="A21" s="477" t="s">
        <v>92</v>
      </c>
      <c r="B21" s="428" t="s">
        <v>95</v>
      </c>
      <c r="C21" s="429"/>
      <c r="D21" s="91">
        <f>'Sizing - Reimb Exp-26'!B12</f>
        <v>129210017</v>
      </c>
      <c r="E21" s="92">
        <f>'Ridership-26'!$E12</f>
        <v>8574727</v>
      </c>
      <c r="F21" s="92">
        <f>'Revenue Hours-26'!$E12</f>
        <v>1002985.3500000001</v>
      </c>
      <c r="G21" s="92">
        <f>'Revenue Miles-26'!$E12</f>
        <v>13608118.7366</v>
      </c>
      <c r="H21" s="478">
        <f t="shared" si="0"/>
        <v>0.19910547903123477</v>
      </c>
      <c r="I21" s="431">
        <f t="shared" si="1"/>
        <v>0.19910547903123477</v>
      </c>
      <c r="J21" s="432"/>
      <c r="K21" s="433">
        <f>'Ridership-26'!B12/'Revenue Hours-26'!B12</f>
        <v>6.640780447028594</v>
      </c>
      <c r="L21" s="434">
        <f>'Ridership-26'!C12/'Revenue Hours-26'!C12</f>
        <v>7.1961861955660096</v>
      </c>
      <c r="M21" s="434">
        <f>'Ridership-26'!D12/'Revenue Hours-26'!D12</f>
        <v>7.4695517602798605</v>
      </c>
      <c r="N21" s="539">
        <f>'Ridership-26'!E12/'Revenue Hours-26'!K12</f>
        <v>8.5492046319520014</v>
      </c>
      <c r="O21" s="435">
        <f t="shared" si="2"/>
        <v>0.92912615428559064</v>
      </c>
      <c r="P21" s="436">
        <f t="shared" si="3"/>
        <v>0.18499410802948146</v>
      </c>
      <c r="Q21" s="437">
        <f t="shared" si="4"/>
        <v>0.17742485200966979</v>
      </c>
      <c r="R21" s="438">
        <f>'Ridership-26'!B12/'Revenue Miles-26'!B12</f>
        <v>0.46622665154015291</v>
      </c>
      <c r="S21" s="434">
        <f>'Ridership-26'!C12/'Revenue Miles-26'!C12</f>
        <v>0.49455273703023678</v>
      </c>
      <c r="T21" s="434">
        <f>'Ridership-26'!D12/'Revenue Miles-26'!D12</f>
        <v>0.51854760762331398</v>
      </c>
      <c r="U21" s="539">
        <f>'Ridership-26'!E12/'Revenue Miles-26'!K12</f>
        <v>0.6301184730948638</v>
      </c>
      <c r="V21" s="435">
        <f t="shared" si="5"/>
        <v>0.95181830349680541</v>
      </c>
      <c r="W21" s="436">
        <f t="shared" si="6"/>
        <v>0.18951223926842864</v>
      </c>
      <c r="X21" s="437">
        <f t="shared" si="7"/>
        <v>0.18124816670290583</v>
      </c>
      <c r="Y21" s="438">
        <f>'Op Cost-26'!B12/'Revenue Hours-26'!B12</f>
        <v>107.97198556298591</v>
      </c>
      <c r="Z21" s="434">
        <f>'Op Cost-26'!C12/'Revenue Hours-26'!C12</f>
        <v>112.49719845156518</v>
      </c>
      <c r="AA21" s="434">
        <f>'Op Cost-26'!D12/'Revenue Hours-26'!D12</f>
        <v>125.82563161812979</v>
      </c>
      <c r="AB21" s="434">
        <f>'Op Cost-26'!E12/'Revenue Hours-26'!E12</f>
        <v>129.05743638229609</v>
      </c>
      <c r="AC21" s="435">
        <f t="shared" si="8"/>
        <v>1.0144497417422516</v>
      </c>
      <c r="AD21" s="436">
        <f t="shared" si="9"/>
        <v>0.19626943636387942</v>
      </c>
      <c r="AE21" s="437">
        <f t="shared" si="10"/>
        <v>0.19661822666679105</v>
      </c>
      <c r="AF21" s="438">
        <f>'Op Cost-26'!B12/'Revenue Miles-26'!B12</f>
        <v>7.5803465708156237</v>
      </c>
      <c r="AG21" s="434">
        <f>'Op Cost-26'!C12/'Revenue Miles-26'!C12</f>
        <v>7.7312893094311175</v>
      </c>
      <c r="AH21" s="434">
        <f>'Op Cost-26'!D12/'Revenue Miles-26'!D12</f>
        <v>8.735006108429328</v>
      </c>
      <c r="AI21" s="434">
        <f>'Op Cost-26'!E12/'Revenue Miles-26'!E12</f>
        <v>9.512168471300491</v>
      </c>
      <c r="AJ21" s="435">
        <f t="shared" si="11"/>
        <v>1.0358017781168538</v>
      </c>
      <c r="AK21" s="436">
        <f t="shared" si="12"/>
        <v>0.19222353469330763</v>
      </c>
      <c r="AL21" s="437">
        <f t="shared" si="13"/>
        <v>0.19254818434196402</v>
      </c>
      <c r="AM21" s="438">
        <f>'Op Cost-26'!B12/'Ridership-26'!B12</f>
        <v>16.258930170067252</v>
      </c>
      <c r="AN21" s="434">
        <f>'Op Cost-26'!C12/'Ridership-26'!C12</f>
        <v>15.632891561488677</v>
      </c>
      <c r="AO21" s="434">
        <f>'Op Cost-26'!D12/'Ridership-26'!D12</f>
        <v>16.845138189847084</v>
      </c>
      <c r="AP21" s="434">
        <f>'Op Cost-26'!E12/'Ridership-26'!E12</f>
        <v>15.095841302002967</v>
      </c>
      <c r="AQ21" s="435">
        <f t="shared" si="14"/>
        <v>1.105548154721899</v>
      </c>
      <c r="AR21" s="436">
        <f t="shared" si="15"/>
        <v>0.18009661377556169</v>
      </c>
      <c r="AS21" s="440">
        <f t="shared" si="16"/>
        <v>0.18114873266229081</v>
      </c>
      <c r="AT21" s="432"/>
      <c r="AU21" s="441">
        <f t="shared" si="17"/>
        <v>0</v>
      </c>
      <c r="AV21" s="442">
        <f t="shared" si="18"/>
        <v>0</v>
      </c>
      <c r="AW21" s="442">
        <f t="shared" si="19"/>
        <v>0</v>
      </c>
      <c r="AX21" s="442">
        <f t="shared" si="20"/>
        <v>0</v>
      </c>
      <c r="AY21" s="443">
        <f t="shared" si="21"/>
        <v>0</v>
      </c>
      <c r="AZ21" s="444">
        <f t="shared" si="43"/>
        <v>-1</v>
      </c>
      <c r="BA21" s="445">
        <f t="shared" si="22"/>
        <v>0</v>
      </c>
      <c r="BB21" s="446">
        <f t="shared" si="22"/>
        <v>0</v>
      </c>
      <c r="BC21" s="446">
        <f t="shared" si="22"/>
        <v>0</v>
      </c>
      <c r="BD21" s="446">
        <f t="shared" si="22"/>
        <v>0</v>
      </c>
      <c r="BE21" s="446">
        <f t="shared" si="22"/>
        <v>0</v>
      </c>
      <c r="BF21" s="447">
        <f t="shared" si="44"/>
        <v>23966251.955943104</v>
      </c>
      <c r="BH21" s="448">
        <f>'Op Cost-26'!E12</f>
        <v>129442718</v>
      </c>
      <c r="BI21" s="449">
        <f t="shared" si="23"/>
        <v>0.18514948021983826</v>
      </c>
      <c r="BJ21" s="450">
        <f t="shared" si="24"/>
        <v>23966251.955943104</v>
      </c>
      <c r="BK21" s="451">
        <f t="shared" si="25"/>
        <v>0</v>
      </c>
      <c r="BL21" s="1">
        <f t="shared" si="45"/>
        <v>0.74692867856452327</v>
      </c>
      <c r="BM21" s="112">
        <f t="shared" si="46"/>
        <v>0.75387297801325404</v>
      </c>
      <c r="BN21" s="112">
        <f t="shared" si="47"/>
        <v>0.78343327044450306</v>
      </c>
      <c r="BO21" s="113">
        <f t="shared" si="48"/>
        <v>0.72520423290016811</v>
      </c>
      <c r="BP21" s="452">
        <f t="shared" si="26"/>
        <v>23966251.955943104</v>
      </c>
      <c r="BQ21" s="115">
        <f t="shared" si="49"/>
        <v>0.14871759234775658</v>
      </c>
      <c r="BR21" s="116">
        <f t="shared" si="50"/>
        <v>0.14871759234775658</v>
      </c>
      <c r="BS21" s="453">
        <f t="shared" si="51"/>
        <v>0.1549703038916502</v>
      </c>
      <c r="BT21" s="118">
        <f t="shared" si="52"/>
        <v>25126104.668657199</v>
      </c>
      <c r="BU21" s="119">
        <f t="shared" si="53"/>
        <v>38832815.399999999</v>
      </c>
      <c r="BV21" s="119">
        <f t="shared" si="54"/>
        <v>25126104.668657199</v>
      </c>
      <c r="BW21" s="119">
        <f t="shared" si="65"/>
        <v>0</v>
      </c>
      <c r="BX21" s="120">
        <f t="shared" si="55"/>
        <v>0.14871759234775658</v>
      </c>
      <c r="BY21" s="454">
        <f t="shared" si="56"/>
        <v>0.16676403072041338</v>
      </c>
      <c r="BZ21" s="122">
        <f t="shared" si="57"/>
        <v>25171590.031666785</v>
      </c>
      <c r="CA21" s="455">
        <f t="shared" si="27"/>
        <v>0.21288838364268733</v>
      </c>
      <c r="CB21" s="456">
        <f t="shared" si="28"/>
        <v>1593332.161534165</v>
      </c>
      <c r="CC21" s="456">
        <f t="shared" si="29"/>
        <v>25559584.117477268</v>
      </c>
      <c r="CD21" s="457">
        <f t="shared" si="30"/>
        <v>0.19745864821439602</v>
      </c>
      <c r="CE21" s="458">
        <f t="shared" si="31"/>
        <v>0</v>
      </c>
      <c r="CF21" s="17"/>
      <c r="CG21" s="459">
        <f t="shared" si="32"/>
        <v>129442718</v>
      </c>
      <c r="CH21" s="460">
        <f t="shared" si="58"/>
        <v>0.19745864821439602</v>
      </c>
      <c r="CI21" s="461">
        <f t="shared" si="33"/>
        <v>25559584.117477268</v>
      </c>
      <c r="CJ21" s="462">
        <f t="shared" si="34"/>
        <v>0</v>
      </c>
      <c r="CL21" s="463">
        <f t="shared" si="35"/>
        <v>25559584.117477268</v>
      </c>
      <c r="CM21" s="464">
        <f t="shared" si="36"/>
        <v>0.2197669245934116</v>
      </c>
      <c r="CN21" s="465">
        <f t="shared" si="37"/>
        <v>33502.638650523135</v>
      </c>
      <c r="CO21" s="466">
        <f t="shared" si="59"/>
        <v>25593086.75612779</v>
      </c>
      <c r="CP21" s="467">
        <f t="shared" si="60"/>
        <v>0.19771747033408082</v>
      </c>
      <c r="CQ21" s="468">
        <f t="shared" si="38"/>
        <v>0</v>
      </c>
      <c r="CR21" s="469"/>
      <c r="CS21" s="470">
        <f t="shared" si="39"/>
        <v>38832815.399999999</v>
      </c>
      <c r="CT21" s="465">
        <f t="shared" si="40"/>
        <v>0</v>
      </c>
      <c r="CU21" s="471">
        <f t="shared" si="41"/>
        <v>25593086.75612779</v>
      </c>
      <c r="CV21" s="472">
        <f t="shared" si="42"/>
        <v>0.19771747033408082</v>
      </c>
      <c r="CY21" s="473">
        <v>0</v>
      </c>
      <c r="CZ21" s="474">
        <f t="shared" si="61"/>
        <v>25593086.75612779</v>
      </c>
      <c r="DA21" s="475">
        <f t="shared" si="62"/>
        <v>0.19771747033408082</v>
      </c>
      <c r="DB21" s="1">
        <f t="shared" si="63"/>
        <v>0</v>
      </c>
      <c r="DC21" s="293">
        <f t="shared" si="64"/>
        <v>0.19446122903311397</v>
      </c>
      <c r="DF21" s="476"/>
    </row>
    <row r="22" spans="1:110">
      <c r="A22" s="477" t="s">
        <v>92</v>
      </c>
      <c r="B22" s="428" t="s">
        <v>96</v>
      </c>
      <c r="C22" s="429"/>
      <c r="D22" s="91">
        <f>'Sizing - Reimb Exp-26'!B13</f>
        <v>1304126</v>
      </c>
      <c r="E22" s="92">
        <f>'Ridership-26'!$E13</f>
        <v>101901</v>
      </c>
      <c r="F22" s="92">
        <f>'Revenue Hours-26'!$E13</f>
        <v>20119</v>
      </c>
      <c r="G22" s="92">
        <f>'Revenue Miles-26'!$E13</f>
        <v>529269</v>
      </c>
      <c r="H22" s="478">
        <f t="shared" si="0"/>
        <v>3.3215999564184069E-3</v>
      </c>
      <c r="I22" s="431">
        <f t="shared" si="1"/>
        <v>3.3215999564184069E-3</v>
      </c>
      <c r="J22" s="432"/>
      <c r="K22" s="433">
        <f>'Ridership-26'!B13/'Revenue Hours-26'!B13</f>
        <v>2.5445369916707494</v>
      </c>
      <c r="L22" s="434">
        <f>'Ridership-26'!C13/'Revenue Hours-26'!C13</f>
        <v>3.1323175227328584</v>
      </c>
      <c r="M22" s="434">
        <f>'Ridership-26'!D13/'Revenue Hours-26'!D13</f>
        <v>4.5268015794669303</v>
      </c>
      <c r="N22" s="539">
        <f>'Ridership-26'!E13/'Revenue Hours-26'!K13</f>
        <v>5.0649137631094989</v>
      </c>
      <c r="O22" s="435">
        <f t="shared" si="2"/>
        <v>1.073695224756283</v>
      </c>
      <c r="P22" s="436">
        <f t="shared" si="3"/>
        <v>3.5663860117571213E-3</v>
      </c>
      <c r="Q22" s="437">
        <f t="shared" si="4"/>
        <v>3.420463046555642E-3</v>
      </c>
      <c r="R22" s="438">
        <f>'Ridership-26'!B13/'Revenue Miles-26'!B13</f>
        <v>0.1120356208297289</v>
      </c>
      <c r="S22" s="434">
        <f>'Ridership-26'!C13/'Revenue Miles-26'!C13</f>
        <v>0.13193504175827817</v>
      </c>
      <c r="T22" s="434">
        <f>'Ridership-26'!D13/'Revenue Miles-26'!D13</f>
        <v>0.17952070654971744</v>
      </c>
      <c r="U22" s="539">
        <f>'Ridership-26'!E13/'Revenue Miles-26'!K13</f>
        <v>0.1925315860176961</v>
      </c>
      <c r="V22" s="435">
        <f t="shared" si="5"/>
        <v>1.025802652359719</v>
      </c>
      <c r="W22" s="436">
        <f t="shared" si="6"/>
        <v>3.407306045371929E-3</v>
      </c>
      <c r="X22" s="437">
        <f t="shared" si="7"/>
        <v>3.2587234286470305E-3</v>
      </c>
      <c r="Y22" s="438">
        <f>'Op Cost-26'!B13/'Revenue Hours-26'!B13</f>
        <v>48.696570308672221</v>
      </c>
      <c r="Z22" s="434">
        <f>'Op Cost-26'!C13/'Revenue Hours-26'!C13</f>
        <v>59.030916687146721</v>
      </c>
      <c r="AA22" s="434">
        <f>'Op Cost-26'!D13/'Revenue Hours-26'!D13</f>
        <v>61.540424481737411</v>
      </c>
      <c r="AB22" s="434">
        <f>'Op Cost-26'!E13/'Revenue Hours-26'!E13</f>
        <v>66.988568020279331</v>
      </c>
      <c r="AC22" s="435">
        <f t="shared" si="8"/>
        <v>1.0677662862612751</v>
      </c>
      <c r="AD22" s="436">
        <f t="shared" si="9"/>
        <v>3.1107930631981331E-3</v>
      </c>
      <c r="AE22" s="437">
        <f t="shared" si="10"/>
        <v>3.1163212517684447E-3</v>
      </c>
      <c r="AF22" s="438">
        <f>'Op Cost-26'!B13/'Revenue Miles-26'!B13</f>
        <v>2.1441034281165527</v>
      </c>
      <c r="AG22" s="434">
        <f>'Op Cost-26'!C13/'Revenue Miles-26'!C13</f>
        <v>2.4864166552799274</v>
      </c>
      <c r="AH22" s="434">
        <f>'Op Cost-26'!D13/'Revenue Miles-26'!D13</f>
        <v>2.4405267804187702</v>
      </c>
      <c r="AI22" s="434">
        <f>'Op Cost-26'!E13/'Revenue Miles-26'!E13</f>
        <v>2.5464234633050489</v>
      </c>
      <c r="AJ22" s="435">
        <f t="shared" si="11"/>
        <v>1.0231988179124334</v>
      </c>
      <c r="AK22" s="436">
        <f t="shared" si="12"/>
        <v>3.2462898688597522E-3</v>
      </c>
      <c r="AL22" s="437">
        <f t="shared" si="13"/>
        <v>3.251772583903171E-3</v>
      </c>
      <c r="AM22" s="438">
        <f>'Op Cost-26'!B13/'Ridership-26'!B13</f>
        <v>19.13769399622598</v>
      </c>
      <c r="AN22" s="434">
        <f>'Op Cost-26'!C13/'Ridership-26'!C13</f>
        <v>18.84576396189998</v>
      </c>
      <c r="AO22" s="434">
        <f>'Op Cost-26'!D13/'Ridership-26'!D13</f>
        <v>13.594681233849073</v>
      </c>
      <c r="AP22" s="434">
        <f>'Op Cost-26'!E13/'Ridership-26'!E13</f>
        <v>13.226003670228948</v>
      </c>
      <c r="AQ22" s="439">
        <f t="shared" si="14"/>
        <v>1.0129687350188592</v>
      </c>
      <c r="AR22" s="436">
        <f t="shared" si="15"/>
        <v>3.2790745080168403E-3</v>
      </c>
      <c r="AS22" s="440">
        <f t="shared" si="16"/>
        <v>3.2982307605890064E-3</v>
      </c>
      <c r="AT22" s="432"/>
      <c r="AU22" s="441">
        <f t="shared" si="17"/>
        <v>0</v>
      </c>
      <c r="AV22" s="442">
        <f t="shared" si="18"/>
        <v>0</v>
      </c>
      <c r="AW22" s="442">
        <f t="shared" si="19"/>
        <v>0</v>
      </c>
      <c r="AX22" s="442">
        <f t="shared" si="20"/>
        <v>0</v>
      </c>
      <c r="AY22" s="443">
        <f t="shared" si="21"/>
        <v>0</v>
      </c>
      <c r="AZ22" s="444">
        <f t="shared" si="43"/>
        <v>-1</v>
      </c>
      <c r="BA22" s="445">
        <f t="shared" si="22"/>
        <v>0</v>
      </c>
      <c r="BB22" s="446">
        <f t="shared" si="22"/>
        <v>0</v>
      </c>
      <c r="BC22" s="446">
        <f t="shared" si="22"/>
        <v>0</v>
      </c>
      <c r="BD22" s="446">
        <f t="shared" si="22"/>
        <v>0</v>
      </c>
      <c r="BE22" s="446">
        <f t="shared" si="22"/>
        <v>0</v>
      </c>
      <c r="BF22" s="447">
        <f t="shared" si="44"/>
        <v>399819.74298097997</v>
      </c>
      <c r="BH22" s="448">
        <f>'Op Cost-26'!E13</f>
        <v>1347743</v>
      </c>
      <c r="BI22" s="449">
        <f t="shared" si="23"/>
        <v>0.29665874204576093</v>
      </c>
      <c r="BJ22" s="450">
        <f t="shared" si="24"/>
        <v>399819.74298097997</v>
      </c>
      <c r="BK22" s="451">
        <f t="shared" si="25"/>
        <v>0</v>
      </c>
      <c r="BL22" s="1">
        <f t="shared" si="45"/>
        <v>0.58536609821678254</v>
      </c>
      <c r="BM22" s="112">
        <f t="shared" si="46"/>
        <v>0.44662653268411234</v>
      </c>
      <c r="BN22" s="112">
        <f t="shared" si="47"/>
        <v>0.23937665143647141</v>
      </c>
      <c r="BO22" s="113">
        <f t="shared" si="48"/>
        <v>0.82773060437327328</v>
      </c>
      <c r="BP22" s="452">
        <f t="shared" si="26"/>
        <v>399819.74298097997</v>
      </c>
      <c r="BQ22" s="115">
        <f t="shared" si="49"/>
        <v>1.9443520063256777E-3</v>
      </c>
      <c r="BR22" s="116">
        <f t="shared" si="50"/>
        <v>1.9443520063256777E-3</v>
      </c>
      <c r="BS22" s="453">
        <f t="shared" si="51"/>
        <v>2.0261007224218652E-3</v>
      </c>
      <c r="BT22" s="118">
        <f t="shared" si="52"/>
        <v>414983.79932029004</v>
      </c>
      <c r="BU22" s="119">
        <f t="shared" si="53"/>
        <v>404322.89999999997</v>
      </c>
      <c r="BV22" s="119">
        <f t="shared" si="54"/>
        <v>404322.89999999997</v>
      </c>
      <c r="BW22" s="119">
        <f t="shared" si="65"/>
        <v>10660.899320290075</v>
      </c>
      <c r="BX22" s="120">
        <f t="shared" si="55"/>
        <v>0</v>
      </c>
      <c r="BY22" s="454">
        <f t="shared" si="56"/>
        <v>0</v>
      </c>
      <c r="BZ22" s="122">
        <f t="shared" si="57"/>
        <v>404322.89999999997</v>
      </c>
      <c r="CA22" s="455">
        <f t="shared" si="27"/>
        <v>3.5515348410809131E-3</v>
      </c>
      <c r="CB22" s="456">
        <f t="shared" si="28"/>
        <v>26580.946260558103</v>
      </c>
      <c r="CC22" s="456">
        <f t="shared" si="29"/>
        <v>426400.68924153806</v>
      </c>
      <c r="CD22" s="457">
        <f t="shared" si="30"/>
        <v>0.31638130507191509</v>
      </c>
      <c r="CE22" s="458">
        <f t="shared" si="31"/>
        <v>1</v>
      </c>
      <c r="CF22" s="17"/>
      <c r="CG22" s="459">
        <f t="shared" si="32"/>
        <v>1347743</v>
      </c>
      <c r="CH22" s="460">
        <f t="shared" si="58"/>
        <v>0.31638130507191509</v>
      </c>
      <c r="CI22" s="461">
        <f t="shared" si="33"/>
        <v>404322.89999999997</v>
      </c>
      <c r="CJ22" s="462">
        <f t="shared" si="34"/>
        <v>22077.789241538092</v>
      </c>
      <c r="CL22" s="463">
        <f t="shared" si="35"/>
        <v>0</v>
      </c>
      <c r="CM22" s="464">
        <f t="shared" si="36"/>
        <v>0</v>
      </c>
      <c r="CN22" s="465">
        <f t="shared" si="37"/>
        <v>0</v>
      </c>
      <c r="CO22" s="466">
        <f t="shared" si="59"/>
        <v>404322.89999999997</v>
      </c>
      <c r="CP22" s="467">
        <f t="shared" si="60"/>
        <v>0.3</v>
      </c>
      <c r="CQ22" s="468">
        <f t="shared" si="38"/>
        <v>0</v>
      </c>
      <c r="CR22" s="469"/>
      <c r="CS22" s="470">
        <f t="shared" si="39"/>
        <v>404322.89999999997</v>
      </c>
      <c r="CT22" s="465">
        <f t="shared" si="40"/>
        <v>0</v>
      </c>
      <c r="CU22" s="471">
        <f t="shared" si="41"/>
        <v>404322.89999999997</v>
      </c>
      <c r="CV22" s="472">
        <f t="shared" si="42"/>
        <v>0.3</v>
      </c>
      <c r="CY22" s="473">
        <v>0</v>
      </c>
      <c r="CZ22" s="474">
        <f t="shared" si="61"/>
        <v>404322.89999999997</v>
      </c>
      <c r="DA22" s="475">
        <f t="shared" si="62"/>
        <v>0.3</v>
      </c>
      <c r="DB22" s="1">
        <f t="shared" si="63"/>
        <v>0</v>
      </c>
      <c r="DC22" s="293">
        <f t="shared" si="64"/>
        <v>0.3</v>
      </c>
      <c r="DF22" s="476"/>
    </row>
    <row r="23" spans="1:110">
      <c r="A23" s="477" t="s">
        <v>92</v>
      </c>
      <c r="B23" s="428" t="s">
        <v>97</v>
      </c>
      <c r="C23" s="429"/>
      <c r="D23" s="91">
        <f>'Sizing - Reimb Exp-26'!B14</f>
        <v>69734</v>
      </c>
      <c r="E23" s="92">
        <f>'Ridership-26'!$E14</f>
        <v>6243</v>
      </c>
      <c r="F23" s="92">
        <f>'Revenue Hours-26'!$E14</f>
        <v>3135</v>
      </c>
      <c r="G23" s="92">
        <f>'Revenue Miles-26'!$E14</f>
        <v>11686</v>
      </c>
      <c r="H23" s="430">
        <f t="shared" si="0"/>
        <v>2.1106617927306914E-4</v>
      </c>
      <c r="I23" s="431">
        <f t="shared" si="1"/>
        <v>2.1106617927306914E-4</v>
      </c>
      <c r="J23" s="432"/>
      <c r="K23" s="433">
        <f>'Ridership-26'!B14/'Revenue Hours-26'!B14</f>
        <v>1.0119225037257824</v>
      </c>
      <c r="L23" s="434">
        <f>'Ridership-26'!C14/'Revenue Hours-26'!C14</f>
        <v>3.4102272727272727</v>
      </c>
      <c r="M23" s="434">
        <f>'Ridership-26'!D14/'Revenue Hours-26'!D14</f>
        <v>6.2649402390438249</v>
      </c>
      <c r="N23" s="539">
        <f>'Ridership-26'!E14/'Revenue Hours-26'!K14</f>
        <v>1.9913875598086124</v>
      </c>
      <c r="O23" s="435">
        <f t="shared" si="2"/>
        <v>1.4905641336229849</v>
      </c>
      <c r="P23" s="436">
        <f t="shared" si="3"/>
        <v>3.1460767664527589E-4</v>
      </c>
      <c r="Q23" s="437">
        <f t="shared" si="4"/>
        <v>3.0173512586140596E-4</v>
      </c>
      <c r="R23" s="438">
        <f>'Ridership-26'!B14/'Revenue Miles-26'!B14</f>
        <v>0.14279705573080967</v>
      </c>
      <c r="S23" s="434">
        <f>'Ridership-26'!C14/'Revenue Miles-26'!C14</f>
        <v>0.44282130736314002</v>
      </c>
      <c r="T23" s="434">
        <f>'Ridership-26'!D14/'Revenue Miles-26'!D14</f>
        <v>0.67765567765567769</v>
      </c>
      <c r="U23" s="539">
        <f>'Ridership-26'!E14/'Revenue Miles-26'!K14</f>
        <v>0.53422899195618689</v>
      </c>
      <c r="V23" s="435">
        <f t="shared" si="5"/>
        <v>1.4948703613430017</v>
      </c>
      <c r="W23" s="436">
        <f t="shared" si="6"/>
        <v>3.1551657567721966E-4</v>
      </c>
      <c r="X23" s="437">
        <f t="shared" si="7"/>
        <v>3.0175782380405665E-4</v>
      </c>
      <c r="Y23" s="438">
        <f>'Op Cost-26'!B14/'Revenue Hours-26'!B14</f>
        <v>58.488077496274215</v>
      </c>
      <c r="Z23" s="434">
        <f>'Op Cost-26'!C14/'Revenue Hours-26'!C14</f>
        <v>76.226136363636357</v>
      </c>
      <c r="AA23" s="434">
        <f>'Op Cost-26'!D14/'Revenue Hours-26'!D14</f>
        <v>100.44621513944223</v>
      </c>
      <c r="AB23" s="434">
        <f>'Op Cost-26'!E14/'Revenue Hours-26'!E14</f>
        <v>22.741307814992027</v>
      </c>
      <c r="AC23" s="435">
        <f t="shared" si="8"/>
        <v>0.90437497433822445</v>
      </c>
      <c r="AD23" s="436">
        <f t="shared" si="9"/>
        <v>2.333834805938948E-4</v>
      </c>
      <c r="AE23" s="437">
        <f t="shared" si="10"/>
        <v>2.3379822624354347E-4</v>
      </c>
      <c r="AF23" s="438">
        <f>'Op Cost-26'!B14/'Revenue Miles-26'!B14</f>
        <v>8.2535226077812833</v>
      </c>
      <c r="AG23" s="434">
        <f>'Op Cost-26'!C14/'Revenue Miles-26'!C14</f>
        <v>9.8980374797107871</v>
      </c>
      <c r="AH23" s="434">
        <f>'Op Cost-26'!D14/'Revenue Miles-26'!D14</f>
        <v>10.864899806076277</v>
      </c>
      <c r="AI23" s="434">
        <f>'Op Cost-26'!E14/'Revenue Miles-26'!E14</f>
        <v>6.1008043813109705</v>
      </c>
      <c r="AJ23" s="435">
        <f t="shared" si="11"/>
        <v>0.91713678138535648</v>
      </c>
      <c r="AK23" s="436">
        <f t="shared" si="12"/>
        <v>2.3013598795399828E-4</v>
      </c>
      <c r="AL23" s="437">
        <f t="shared" si="13"/>
        <v>2.3052466859995385E-4</v>
      </c>
      <c r="AM23" s="438">
        <f>'Op Cost-26'!B14/'Ridership-26'!B14</f>
        <v>57.798969072164951</v>
      </c>
      <c r="AN23" s="434">
        <f>'Op Cost-26'!C14/'Ridership-26'!C14</f>
        <v>22.352215928023991</v>
      </c>
      <c r="AO23" s="434">
        <f>'Op Cost-26'!D14/'Ridership-26'!D14</f>
        <v>16.033068362480126</v>
      </c>
      <c r="AP23" s="434">
        <f>'Op Cost-26'!E14/'Ridership-26'!E14</f>
        <v>11.419830209835014</v>
      </c>
      <c r="AQ23" s="439">
        <f t="shared" si="14"/>
        <v>0.66856560434544443</v>
      </c>
      <c r="AR23" s="436">
        <f t="shared" si="15"/>
        <v>3.1570002689520999E-4</v>
      </c>
      <c r="AS23" s="440">
        <f t="shared" si="16"/>
        <v>3.1754433675686725E-4</v>
      </c>
      <c r="AT23" s="432"/>
      <c r="AU23" s="441">
        <f t="shared" si="17"/>
        <v>0</v>
      </c>
      <c r="AV23" s="442">
        <f t="shared" si="18"/>
        <v>0</v>
      </c>
      <c r="AW23" s="442">
        <f t="shared" si="19"/>
        <v>0</v>
      </c>
      <c r="AX23" s="442">
        <f t="shared" si="20"/>
        <v>0</v>
      </c>
      <c r="AY23" s="443">
        <f t="shared" si="21"/>
        <v>0</v>
      </c>
      <c r="AZ23" s="444">
        <f t="shared" si="43"/>
        <v>-1</v>
      </c>
      <c r="BA23" s="445">
        <f t="shared" si="22"/>
        <v>0</v>
      </c>
      <c r="BB23" s="446">
        <f t="shared" si="22"/>
        <v>0</v>
      </c>
      <c r="BC23" s="446">
        <f t="shared" si="22"/>
        <v>0</v>
      </c>
      <c r="BD23" s="446">
        <f t="shared" si="22"/>
        <v>0</v>
      </c>
      <c r="BE23" s="446">
        <f t="shared" si="22"/>
        <v>0</v>
      </c>
      <c r="BF23" s="447">
        <f t="shared" si="44"/>
        <v>25405.956965368503</v>
      </c>
      <c r="BH23" s="448">
        <f>'Op Cost-26'!E14</f>
        <v>71294</v>
      </c>
      <c r="BI23" s="449">
        <f t="shared" si="23"/>
        <v>0.35635476990165377</v>
      </c>
      <c r="BJ23" s="450">
        <f t="shared" si="24"/>
        <v>21388.2</v>
      </c>
      <c r="BK23" s="451">
        <f t="shared" si="25"/>
        <v>4017.7569653685023</v>
      </c>
      <c r="BL23" s="1">
        <f t="shared" si="45"/>
        <v>0.68927629632035203</v>
      </c>
      <c r="BM23" s="112">
        <f t="shared" si="46"/>
        <v>0.17560151320751477</v>
      </c>
      <c r="BN23" s="112">
        <f t="shared" si="47"/>
        <v>0.66421281743869121</v>
      </c>
      <c r="BO23" s="113">
        <f t="shared" si="48"/>
        <v>0.95864542731760105</v>
      </c>
      <c r="BP23" s="452">
        <f t="shared" si="26"/>
        <v>0</v>
      </c>
      <c r="BQ23" s="115">
        <f t="shared" si="49"/>
        <v>1.4548291432782854E-4</v>
      </c>
      <c r="BR23" s="116">
        <f t="shared" si="50"/>
        <v>0</v>
      </c>
      <c r="BS23" s="453">
        <f t="shared" si="51"/>
        <v>0</v>
      </c>
      <c r="BT23" s="118">
        <f t="shared" si="52"/>
        <v>21388.2</v>
      </c>
      <c r="BU23" s="119">
        <f t="shared" si="53"/>
        <v>21388.2</v>
      </c>
      <c r="BV23" s="119">
        <f t="shared" si="54"/>
        <v>21388.2</v>
      </c>
      <c r="BW23" s="119">
        <f t="shared" si="65"/>
        <v>0</v>
      </c>
      <c r="BX23" s="120">
        <f t="shared" si="55"/>
        <v>0</v>
      </c>
      <c r="BY23" s="454">
        <f t="shared" si="56"/>
        <v>0</v>
      </c>
      <c r="BZ23" s="122">
        <f t="shared" si="57"/>
        <v>21388.2</v>
      </c>
      <c r="CA23" s="455">
        <f t="shared" si="27"/>
        <v>0</v>
      </c>
      <c r="CB23" s="456">
        <f t="shared" si="28"/>
        <v>0</v>
      </c>
      <c r="CC23" s="456">
        <f t="shared" si="29"/>
        <v>21388.2</v>
      </c>
      <c r="CD23" s="457">
        <f t="shared" si="30"/>
        <v>0.3</v>
      </c>
      <c r="CE23" s="458">
        <f t="shared" si="31"/>
        <v>0</v>
      </c>
      <c r="CF23" s="17"/>
      <c r="CG23" s="459">
        <f t="shared" si="32"/>
        <v>71294</v>
      </c>
      <c r="CH23" s="460">
        <f t="shared" si="58"/>
        <v>0.3</v>
      </c>
      <c r="CI23" s="461">
        <f t="shared" si="33"/>
        <v>21388.2</v>
      </c>
      <c r="CJ23" s="462">
        <f t="shared" si="34"/>
        <v>0</v>
      </c>
      <c r="CL23" s="463">
        <f t="shared" si="35"/>
        <v>0</v>
      </c>
      <c r="CM23" s="464">
        <f t="shared" si="36"/>
        <v>0</v>
      </c>
      <c r="CN23" s="465">
        <f t="shared" si="37"/>
        <v>0</v>
      </c>
      <c r="CO23" s="466">
        <f t="shared" si="59"/>
        <v>21388.2</v>
      </c>
      <c r="CP23" s="467">
        <f t="shared" si="60"/>
        <v>0.3</v>
      </c>
      <c r="CQ23" s="468">
        <f t="shared" si="38"/>
        <v>0</v>
      </c>
      <c r="CR23" s="469"/>
      <c r="CS23" s="470">
        <f t="shared" si="39"/>
        <v>21388.2</v>
      </c>
      <c r="CT23" s="465">
        <f t="shared" si="40"/>
        <v>0</v>
      </c>
      <c r="CU23" s="471">
        <f t="shared" si="41"/>
        <v>21388.2</v>
      </c>
      <c r="CV23" s="472">
        <f t="shared" si="42"/>
        <v>0.3</v>
      </c>
      <c r="CY23" s="473">
        <v>0</v>
      </c>
      <c r="CZ23" s="474">
        <f t="shared" si="61"/>
        <v>21388.2</v>
      </c>
      <c r="DA23" s="475">
        <f t="shared" si="62"/>
        <v>0.3</v>
      </c>
      <c r="DB23" s="1">
        <f t="shared" si="63"/>
        <v>0</v>
      </c>
      <c r="DC23" s="293">
        <f t="shared" si="64"/>
        <v>0.3</v>
      </c>
      <c r="DF23" s="476"/>
    </row>
    <row r="24" spans="1:110">
      <c r="A24" s="477" t="s">
        <v>92</v>
      </c>
      <c r="B24" s="428" t="s">
        <v>98</v>
      </c>
      <c r="C24" s="429"/>
      <c r="D24" s="91">
        <f>'Sizing - Reimb Exp-26'!B15</f>
        <v>7769877</v>
      </c>
      <c r="E24" s="92">
        <f>'Ridership-26'!$E15</f>
        <v>1423486</v>
      </c>
      <c r="F24" s="92">
        <f>'Revenue Hours-26'!$E15</f>
        <v>68607</v>
      </c>
      <c r="G24" s="92">
        <f>'Revenue Miles-26'!$E15</f>
        <v>1127856</v>
      </c>
      <c r="H24" s="478">
        <f t="shared" si="0"/>
        <v>1.8926581211380963E-2</v>
      </c>
      <c r="I24" s="431">
        <f t="shared" si="1"/>
        <v>1.8926581211380963E-2</v>
      </c>
      <c r="J24" s="432"/>
      <c r="K24" s="433">
        <f>'Ridership-26'!B15/'Revenue Hours-26'!B15</f>
        <v>14.316342020333447</v>
      </c>
      <c r="L24" s="434">
        <f>'Ridership-26'!C15/'Revenue Hours-26'!C15</f>
        <v>19.466079261836335</v>
      </c>
      <c r="M24" s="434">
        <f>'Ridership-26'!D15/'Revenue Hours-26'!D15</f>
        <v>23.218467236227433</v>
      </c>
      <c r="N24" s="539">
        <f>'Ridership-26'!E15/'Revenue Hours-26'!K15</f>
        <v>20.748407596892445</v>
      </c>
      <c r="O24" s="435">
        <f t="shared" si="2"/>
        <v>0.96624846266131004</v>
      </c>
      <c r="P24" s="436">
        <f t="shared" si="3"/>
        <v>1.8287779998931289E-2</v>
      </c>
      <c r="Q24" s="437">
        <f t="shared" si="4"/>
        <v>1.7539513525364238E-2</v>
      </c>
      <c r="R24" s="438">
        <f>'Ridership-26'!B15/'Revenue Miles-26'!B15</f>
        <v>1.0462325686324412</v>
      </c>
      <c r="S24" s="434">
        <f>'Ridership-26'!C15/'Revenue Miles-26'!C15</f>
        <v>1.4050534441156883</v>
      </c>
      <c r="T24" s="434">
        <f>'Ridership-26'!D15/'Revenue Miles-26'!D15</f>
        <v>1.5050852081552479</v>
      </c>
      <c r="U24" s="539">
        <f>'Ridership-26'!E15/'Revenue Miles-26'!K15</f>
        <v>1.2621167950518506</v>
      </c>
      <c r="V24" s="435">
        <f t="shared" si="5"/>
        <v>0.91602143366124933</v>
      </c>
      <c r="W24" s="436">
        <f t="shared" si="6"/>
        <v>1.7337154055555255E-2</v>
      </c>
      <c r="X24" s="437">
        <f t="shared" si="7"/>
        <v>1.658113164904557E-2</v>
      </c>
      <c r="Y24" s="438">
        <f>'Op Cost-26'!B15/'Revenue Hours-26'!B15</f>
        <v>90.654407919074401</v>
      </c>
      <c r="Z24" s="434">
        <f>'Op Cost-26'!C15/'Revenue Hours-26'!C15</f>
        <v>94.089194776382797</v>
      </c>
      <c r="AA24" s="434">
        <f>'Op Cost-26'!D15/'Revenue Hours-26'!D15</f>
        <v>110.97560428152575</v>
      </c>
      <c r="AB24" s="434">
        <f>'Op Cost-26'!E15/'Revenue Hours-26'!E15</f>
        <v>113.25195679741134</v>
      </c>
      <c r="AC24" s="435">
        <f t="shared" si="8"/>
        <v>1.0300295581458903</v>
      </c>
      <c r="AD24" s="436">
        <f t="shared" si="9"/>
        <v>1.8374794258768503E-2</v>
      </c>
      <c r="AE24" s="437">
        <f t="shared" si="10"/>
        <v>1.8407448095118104E-2</v>
      </c>
      <c r="AF24" s="438">
        <f>'Op Cost-26'!B15/'Revenue Miles-26'!B15</f>
        <v>6.6249879976545323</v>
      </c>
      <c r="AG24" s="434">
        <f>'Op Cost-26'!C15/'Revenue Miles-26'!C15</f>
        <v>6.7913186521237527</v>
      </c>
      <c r="AH24" s="434">
        <f>'Op Cost-26'!D15/'Revenue Miles-26'!D15</f>
        <v>7.1937453394685633</v>
      </c>
      <c r="AI24" s="434">
        <f>'Op Cost-26'!E15/'Revenue Miles-26'!E15</f>
        <v>6.8890682853130185</v>
      </c>
      <c r="AJ24" s="435">
        <f t="shared" si="11"/>
        <v>0.97398110528978188</v>
      </c>
      <c r="AK24" s="436">
        <f t="shared" si="12"/>
        <v>1.9432185191877893E-2</v>
      </c>
      <c r="AL24" s="437">
        <f t="shared" si="13"/>
        <v>1.9465004545164859E-2</v>
      </c>
      <c r="AM24" s="438">
        <f>'Op Cost-26'!B15/'Ridership-26'!B15</f>
        <v>6.3322326185221254</v>
      </c>
      <c r="AN24" s="434">
        <f>'Op Cost-26'!C15/'Ridership-26'!C15</f>
        <v>4.833494896984555</v>
      </c>
      <c r="AO24" s="434">
        <f>'Op Cost-26'!D15/'Ridership-26'!D15</f>
        <v>4.779626628771263</v>
      </c>
      <c r="AP24" s="434">
        <f>'Op Cost-26'!E15/'Ridership-26'!E15</f>
        <v>5.4583445148037981</v>
      </c>
      <c r="AQ24" s="435">
        <f t="shared" si="14"/>
        <v>1.0742638725165357</v>
      </c>
      <c r="AR24" s="436">
        <f t="shared" si="15"/>
        <v>1.7618186458271345E-2</v>
      </c>
      <c r="AS24" s="440">
        <f t="shared" si="16"/>
        <v>1.7721111362488384E-2</v>
      </c>
      <c r="AT24" s="432"/>
      <c r="AU24" s="441">
        <f t="shared" si="17"/>
        <v>0</v>
      </c>
      <c r="AV24" s="442">
        <f t="shared" si="18"/>
        <v>0</v>
      </c>
      <c r="AW24" s="442">
        <f t="shared" si="19"/>
        <v>0</v>
      </c>
      <c r="AX24" s="442">
        <f t="shared" si="20"/>
        <v>0</v>
      </c>
      <c r="AY24" s="443">
        <f t="shared" si="21"/>
        <v>0</v>
      </c>
      <c r="AZ24" s="444">
        <f t="shared" si="43"/>
        <v>-1</v>
      </c>
      <c r="BA24" s="445">
        <f t="shared" si="22"/>
        <v>0</v>
      </c>
      <c r="BB24" s="446">
        <f t="shared" si="22"/>
        <v>0</v>
      </c>
      <c r="BC24" s="446">
        <f t="shared" si="22"/>
        <v>0</v>
      </c>
      <c r="BD24" s="446">
        <f t="shared" si="22"/>
        <v>0</v>
      </c>
      <c r="BE24" s="446">
        <f t="shared" si="22"/>
        <v>0</v>
      </c>
      <c r="BF24" s="447">
        <f t="shared" si="44"/>
        <v>2278185.4933555918</v>
      </c>
      <c r="BH24" s="448">
        <f>'Op Cost-26'!E15</f>
        <v>7769877</v>
      </c>
      <c r="BI24" s="449">
        <f t="shared" si="23"/>
        <v>0.29320740770485709</v>
      </c>
      <c r="BJ24" s="450">
        <f t="shared" si="24"/>
        <v>2278185.4933555918</v>
      </c>
      <c r="BK24" s="451">
        <f t="shared" si="25"/>
        <v>0</v>
      </c>
      <c r="BL24" s="1">
        <f t="shared" si="45"/>
        <v>1.8525306889893849</v>
      </c>
      <c r="BM24" s="112">
        <f t="shared" si="46"/>
        <v>1.8296045652764708</v>
      </c>
      <c r="BN24" s="112">
        <f t="shared" si="47"/>
        <v>1.5692037777815557</v>
      </c>
      <c r="BO24" s="113">
        <f t="shared" si="48"/>
        <v>2.0056572064497566</v>
      </c>
      <c r="BP24" s="452">
        <f t="shared" si="26"/>
        <v>2278185.4933555918</v>
      </c>
      <c r="BQ24" s="115">
        <f t="shared" si="49"/>
        <v>3.5062072531733122E-2</v>
      </c>
      <c r="BR24" s="116">
        <f t="shared" si="50"/>
        <v>3.5062072531733122E-2</v>
      </c>
      <c r="BS24" s="453">
        <f t="shared" si="51"/>
        <v>3.6536229167885188E-2</v>
      </c>
      <c r="BT24" s="118">
        <f t="shared" si="52"/>
        <v>2551635.58959044</v>
      </c>
      <c r="BU24" s="119">
        <f t="shared" si="53"/>
        <v>2330963.1</v>
      </c>
      <c r="BV24" s="119">
        <f t="shared" si="54"/>
        <v>2330963.1</v>
      </c>
      <c r="BW24" s="119">
        <f t="shared" si="65"/>
        <v>220672.48959043995</v>
      </c>
      <c r="BX24" s="120">
        <f t="shared" si="55"/>
        <v>0</v>
      </c>
      <c r="BY24" s="454">
        <f t="shared" si="56"/>
        <v>0</v>
      </c>
      <c r="BZ24" s="122">
        <f t="shared" si="57"/>
        <v>2330963.1</v>
      </c>
      <c r="CA24" s="455">
        <f t="shared" si="27"/>
        <v>2.0236757429165766E-2</v>
      </c>
      <c r="CB24" s="456">
        <f t="shared" si="28"/>
        <v>151459.06932702119</v>
      </c>
      <c r="CC24" s="456">
        <f t="shared" si="29"/>
        <v>2429644.5626826128</v>
      </c>
      <c r="CD24" s="457">
        <f t="shared" si="30"/>
        <v>0.31270051799824022</v>
      </c>
      <c r="CE24" s="458">
        <f t="shared" si="31"/>
        <v>1</v>
      </c>
      <c r="CF24" s="17"/>
      <c r="CG24" s="459">
        <f t="shared" si="32"/>
        <v>7769877</v>
      </c>
      <c r="CH24" s="460">
        <f t="shared" si="58"/>
        <v>0.31270051799824022</v>
      </c>
      <c r="CI24" s="461">
        <f t="shared" si="33"/>
        <v>2330963.1</v>
      </c>
      <c r="CJ24" s="462">
        <f t="shared" si="34"/>
        <v>98681.462682612706</v>
      </c>
      <c r="CL24" s="463">
        <f t="shared" si="35"/>
        <v>0</v>
      </c>
      <c r="CM24" s="464">
        <f t="shared" si="36"/>
        <v>0</v>
      </c>
      <c r="CN24" s="465">
        <f t="shared" si="37"/>
        <v>0</v>
      </c>
      <c r="CO24" s="466">
        <f t="shared" si="59"/>
        <v>2330963.1</v>
      </c>
      <c r="CP24" s="467">
        <f t="shared" si="60"/>
        <v>0.3</v>
      </c>
      <c r="CQ24" s="468">
        <f t="shared" si="38"/>
        <v>0</v>
      </c>
      <c r="CR24" s="469"/>
      <c r="CS24" s="470">
        <f t="shared" si="39"/>
        <v>2330963.1</v>
      </c>
      <c r="CT24" s="465">
        <f t="shared" si="40"/>
        <v>0</v>
      </c>
      <c r="CU24" s="471">
        <f t="shared" si="41"/>
        <v>2330963.1</v>
      </c>
      <c r="CV24" s="472">
        <f t="shared" si="42"/>
        <v>0.3</v>
      </c>
      <c r="CY24" s="473">
        <v>0</v>
      </c>
      <c r="CZ24" s="474">
        <f t="shared" si="61"/>
        <v>2330963.1</v>
      </c>
      <c r="DA24" s="475">
        <f t="shared" si="62"/>
        <v>0.3</v>
      </c>
      <c r="DB24" s="1">
        <f t="shared" si="63"/>
        <v>0</v>
      </c>
      <c r="DC24" s="293">
        <f t="shared" si="64"/>
        <v>0.3</v>
      </c>
      <c r="DF24" s="476"/>
    </row>
    <row r="25" spans="1:110">
      <c r="A25" s="477" t="s">
        <v>99</v>
      </c>
      <c r="B25" s="428" t="s">
        <v>100</v>
      </c>
      <c r="C25" s="429"/>
      <c r="D25" s="91">
        <f>'Sizing - Reimb Exp-26'!B16</f>
        <v>4067447</v>
      </c>
      <c r="E25" s="92">
        <f>'Ridership-26'!$E16</f>
        <v>259346</v>
      </c>
      <c r="F25" s="92">
        <f>'Revenue Hours-26'!$E16</f>
        <v>34940</v>
      </c>
      <c r="G25" s="92">
        <f>'Revenue Miles-26'!$E16</f>
        <v>565576</v>
      </c>
      <c r="H25" s="430">
        <f t="shared" si="0"/>
        <v>6.6175802316312017E-3</v>
      </c>
      <c r="I25" s="431">
        <f t="shared" si="1"/>
        <v>6.6175802316312017E-3</v>
      </c>
      <c r="J25" s="432"/>
      <c r="K25" s="433">
        <f>'Ridership-26'!B16/'Revenue Hours-26'!B16</f>
        <v>5.7639186016175321</v>
      </c>
      <c r="L25" s="434">
        <f>'Ridership-26'!C16/'Revenue Hours-26'!C16</f>
        <v>6.4797153630255435</v>
      </c>
      <c r="M25" s="434">
        <f>'Ridership-26'!D16/'Revenue Hours-26'!D16</f>
        <v>7.8693923906871097</v>
      </c>
      <c r="N25" s="539">
        <f>'Ridership-26'!E16/'Revenue Hours-26'!K16</f>
        <v>7.4226101888952494</v>
      </c>
      <c r="O25" s="435">
        <f t="shared" si="2"/>
        <v>0.92653452379767975</v>
      </c>
      <c r="P25" s="436">
        <f t="shared" si="3"/>
        <v>6.1314165486073546E-3</v>
      </c>
      <c r="Q25" s="437">
        <f t="shared" si="4"/>
        <v>5.8805422796110521E-3</v>
      </c>
      <c r="R25" s="438">
        <f>'Ridership-26'!B16/'Revenue Miles-26'!B16</f>
        <v>0.39323250859241093</v>
      </c>
      <c r="S25" s="434">
        <f>'Ridership-26'!C16/'Revenue Miles-26'!C16</f>
        <v>0.42963025620782347</v>
      </c>
      <c r="T25" s="434">
        <f>'Ridership-26'!D16/'Revenue Miles-26'!D16</f>
        <v>0.50038763229943484</v>
      </c>
      <c r="U25" s="539">
        <f>'Ridership-26'!E16/'Revenue Miles-26'!K16</f>
        <v>0.45855198947621539</v>
      </c>
      <c r="V25" s="435">
        <f t="shared" si="5"/>
        <v>0.89996760816377319</v>
      </c>
      <c r="W25" s="436">
        <f t="shared" si="6"/>
        <v>5.9556078528930009E-3</v>
      </c>
      <c r="X25" s="437">
        <f t="shared" si="7"/>
        <v>5.695901273211925E-3</v>
      </c>
      <c r="Y25" s="438">
        <f>'Op Cost-26'!B16/'Revenue Hours-26'!B16</f>
        <v>72.997808505087406</v>
      </c>
      <c r="Z25" s="434">
        <f>'Op Cost-26'!C16/'Revenue Hours-26'!C16</f>
        <v>89.842457403679873</v>
      </c>
      <c r="AA25" s="434">
        <f>'Op Cost-26'!D16/'Revenue Hours-26'!D16</f>
        <v>122.89167251227578</v>
      </c>
      <c r="AB25" s="434">
        <f>'Op Cost-26'!E16/'Revenue Hours-26'!E16</f>
        <v>116.41233543216943</v>
      </c>
      <c r="AC25" s="435">
        <f t="shared" si="8"/>
        <v>1.1275204801752217</v>
      </c>
      <c r="AD25" s="436">
        <f t="shared" si="9"/>
        <v>5.8691441512466365E-3</v>
      </c>
      <c r="AE25" s="437">
        <f t="shared" si="10"/>
        <v>5.879574203955149E-3</v>
      </c>
      <c r="AF25" s="438">
        <f>'Op Cost-26'!B16/'Revenue Miles-26'!B16</f>
        <v>4.9801382261276927</v>
      </c>
      <c r="AG25" s="434">
        <f>'Op Cost-26'!C16/'Revenue Miles-26'!C16</f>
        <v>5.9569033252504751</v>
      </c>
      <c r="AH25" s="434">
        <f>'Op Cost-26'!D16/'Revenue Miles-26'!D16</f>
        <v>7.8142593461864411</v>
      </c>
      <c r="AI25" s="434">
        <f>'Op Cost-26'!E16/'Revenue Miles-26'!E16</f>
        <v>7.1916895342093721</v>
      </c>
      <c r="AJ25" s="435">
        <f t="shared" si="11"/>
        <v>1.0962426841958166</v>
      </c>
      <c r="AK25" s="436">
        <f t="shared" si="12"/>
        <v>6.0366014998638152E-3</v>
      </c>
      <c r="AL25" s="437">
        <f t="shared" si="13"/>
        <v>6.0467968204271179E-3</v>
      </c>
      <c r="AM25" s="438">
        <f>'Op Cost-26'!B16/'Ridership-26'!B16</f>
        <v>12.664614743969837</v>
      </c>
      <c r="AN25" s="434">
        <f>'Op Cost-26'!C16/'Ridership-26'!C16</f>
        <v>13.865185794477576</v>
      </c>
      <c r="AO25" s="434">
        <f>'Op Cost-26'!D16/'Ridership-26'!D16</f>
        <v>15.616411841111102</v>
      </c>
      <c r="AP25" s="434">
        <f>'Op Cost-26'!E16/'Ridership-26'!E16</f>
        <v>15.683476899585882</v>
      </c>
      <c r="AQ25" s="439">
        <f t="shared" si="14"/>
        <v>1.21686915565862</v>
      </c>
      <c r="AR25" s="436">
        <f t="shared" si="15"/>
        <v>5.4382019635048542E-3</v>
      </c>
      <c r="AS25" s="440">
        <f t="shared" si="16"/>
        <v>5.4699717723630109E-3</v>
      </c>
      <c r="AT25" s="432"/>
      <c r="AU25" s="441">
        <f t="shared" si="17"/>
        <v>0</v>
      </c>
      <c r="AV25" s="442">
        <f t="shared" si="18"/>
        <v>0</v>
      </c>
      <c r="AW25" s="442">
        <f t="shared" si="19"/>
        <v>0</v>
      </c>
      <c r="AX25" s="442">
        <f t="shared" si="20"/>
        <v>0</v>
      </c>
      <c r="AY25" s="443">
        <f t="shared" si="21"/>
        <v>0</v>
      </c>
      <c r="AZ25" s="444">
        <f t="shared" si="43"/>
        <v>-1</v>
      </c>
      <c r="BA25" s="445">
        <f t="shared" si="22"/>
        <v>0</v>
      </c>
      <c r="BB25" s="446">
        <f t="shared" si="22"/>
        <v>0</v>
      </c>
      <c r="BC25" s="446">
        <f t="shared" si="22"/>
        <v>0</v>
      </c>
      <c r="BD25" s="446">
        <f t="shared" si="22"/>
        <v>0</v>
      </c>
      <c r="BE25" s="446">
        <f t="shared" si="22"/>
        <v>0</v>
      </c>
      <c r="BF25" s="447">
        <f t="shared" si="44"/>
        <v>796555.65452852997</v>
      </c>
      <c r="BH25" s="448">
        <f>'Op Cost-26'!E16</f>
        <v>4067447</v>
      </c>
      <c r="BI25" s="449">
        <f t="shared" si="23"/>
        <v>0.19583676309206485</v>
      </c>
      <c r="BJ25" s="450">
        <f t="shared" si="24"/>
        <v>796555.65452852997</v>
      </c>
      <c r="BK25" s="451">
        <f t="shared" si="25"/>
        <v>0</v>
      </c>
      <c r="BL25" s="1">
        <f t="shared" si="45"/>
        <v>0.65517900173493193</v>
      </c>
      <c r="BM25" s="112">
        <f t="shared" si="46"/>
        <v>0.65452933794805446</v>
      </c>
      <c r="BN25" s="112">
        <f t="shared" si="47"/>
        <v>0.57012276281908136</v>
      </c>
      <c r="BO25" s="113">
        <f t="shared" si="48"/>
        <v>0.69803195308629595</v>
      </c>
      <c r="BP25" s="452">
        <f t="shared" si="26"/>
        <v>796555.65452852997</v>
      </c>
      <c r="BQ25" s="115">
        <f t="shared" si="49"/>
        <v>4.3356996100609507E-3</v>
      </c>
      <c r="BR25" s="116">
        <f t="shared" si="50"/>
        <v>4.3356996100609507E-3</v>
      </c>
      <c r="BS25" s="453">
        <f t="shared" si="51"/>
        <v>4.5179906125893555E-3</v>
      </c>
      <c r="BT25" s="118">
        <f t="shared" si="52"/>
        <v>830369.89852518844</v>
      </c>
      <c r="BU25" s="119">
        <f t="shared" si="53"/>
        <v>1220234.0999999999</v>
      </c>
      <c r="BV25" s="119">
        <f t="shared" si="54"/>
        <v>830369.89852518844</v>
      </c>
      <c r="BW25" s="119">
        <f t="shared" si="65"/>
        <v>0</v>
      </c>
      <c r="BX25" s="120">
        <f t="shared" si="55"/>
        <v>4.3356996100609507E-3</v>
      </c>
      <c r="BY25" s="454">
        <f t="shared" si="56"/>
        <v>4.8618238874924584E-3</v>
      </c>
      <c r="BZ25" s="122">
        <f t="shared" si="57"/>
        <v>831695.97479868669</v>
      </c>
      <c r="CA25" s="455">
        <f t="shared" si="27"/>
        <v>7.0756765006791201E-3</v>
      </c>
      <c r="CB25" s="456">
        <f t="shared" si="28"/>
        <v>52956.872236231175</v>
      </c>
      <c r="CC25" s="456">
        <f t="shared" si="29"/>
        <v>849512.52676476119</v>
      </c>
      <c r="CD25" s="457">
        <f t="shared" si="30"/>
        <v>0.20885644650434565</v>
      </c>
      <c r="CE25" s="458">
        <f t="shared" si="31"/>
        <v>0</v>
      </c>
      <c r="CF25" s="17"/>
      <c r="CG25" s="459">
        <f t="shared" si="32"/>
        <v>4067447</v>
      </c>
      <c r="CH25" s="460">
        <f t="shared" si="58"/>
        <v>0.20885644650434565</v>
      </c>
      <c r="CI25" s="461">
        <f t="shared" si="33"/>
        <v>849512.52676476119</v>
      </c>
      <c r="CJ25" s="462">
        <f t="shared" si="34"/>
        <v>0</v>
      </c>
      <c r="CL25" s="463">
        <f t="shared" si="35"/>
        <v>849512.52676476119</v>
      </c>
      <c r="CM25" s="464">
        <f t="shared" si="36"/>
        <v>7.3042955062406784E-3</v>
      </c>
      <c r="CN25" s="465">
        <f t="shared" si="37"/>
        <v>1113.5122966977974</v>
      </c>
      <c r="CO25" s="466">
        <f t="shared" si="59"/>
        <v>850626.03906145901</v>
      </c>
      <c r="CP25" s="467">
        <f t="shared" si="60"/>
        <v>0.20913020847265104</v>
      </c>
      <c r="CQ25" s="468">
        <f t="shared" si="38"/>
        <v>0</v>
      </c>
      <c r="CR25" s="469"/>
      <c r="CS25" s="470">
        <f t="shared" si="39"/>
        <v>1220234.0999999999</v>
      </c>
      <c r="CT25" s="465">
        <f t="shared" si="40"/>
        <v>0</v>
      </c>
      <c r="CU25" s="471">
        <f t="shared" si="41"/>
        <v>850626.03906145901</v>
      </c>
      <c r="CV25" s="472">
        <f t="shared" si="42"/>
        <v>0.20913020847265104</v>
      </c>
      <c r="CY25" s="473">
        <v>0</v>
      </c>
      <c r="CZ25" s="474">
        <f t="shared" si="61"/>
        <v>850626.03906145901</v>
      </c>
      <c r="DA25" s="475">
        <f t="shared" si="62"/>
        <v>0.20913020847265104</v>
      </c>
      <c r="DB25" s="1">
        <f t="shared" si="63"/>
        <v>0</v>
      </c>
      <c r="DC25" s="293">
        <f t="shared" si="64"/>
        <v>0.20447616767930515</v>
      </c>
      <c r="DF25" s="476"/>
    </row>
    <row r="26" spans="1:110">
      <c r="A26" s="477" t="s">
        <v>99</v>
      </c>
      <c r="B26" s="428" t="s">
        <v>101</v>
      </c>
      <c r="C26" s="429"/>
      <c r="D26" s="91">
        <f>'Sizing - Reimb Exp-26'!B17</f>
        <v>698366</v>
      </c>
      <c r="E26" s="92">
        <f>'Ridership-26'!$E17</f>
        <v>96178</v>
      </c>
      <c r="F26" s="92">
        <f>'Revenue Hours-26'!$E17</f>
        <v>11193</v>
      </c>
      <c r="G26" s="92">
        <f>'Revenue Miles-26'!$E17</f>
        <v>168612</v>
      </c>
      <c r="H26" s="430">
        <f t="shared" si="0"/>
        <v>1.8055633828733177E-3</v>
      </c>
      <c r="I26" s="431">
        <f t="shared" si="1"/>
        <v>1.8055633828733177E-3</v>
      </c>
      <c r="J26" s="432"/>
      <c r="K26" s="433">
        <f>'Ridership-26'!B17/'Revenue Hours-26'!B17</f>
        <v>6.5520235467255334</v>
      </c>
      <c r="L26" s="434">
        <f>'Ridership-26'!C17/'Revenue Hours-26'!C17</f>
        <v>6.5625580805947452</v>
      </c>
      <c r="M26" s="434">
        <f>'Ridership-26'!D17/'Revenue Hours-26'!D17</f>
        <v>7.7980103806228378</v>
      </c>
      <c r="N26" s="539">
        <f>'Ridership-26'!E17/'Revenue Hours-26'!K17</f>
        <v>8.5926918609845444</v>
      </c>
      <c r="O26" s="435">
        <f t="shared" si="2"/>
        <v>0.93668954813722882</v>
      </c>
      <c r="P26" s="436">
        <f t="shared" si="3"/>
        <v>1.6912523492367342E-3</v>
      </c>
      <c r="Q26" s="437">
        <f t="shared" si="4"/>
        <v>1.6220527289794195E-3</v>
      </c>
      <c r="R26" s="438">
        <f>'Ridership-26'!B17/'Revenue Miles-26'!B17</f>
        <v>0.47317713453679738</v>
      </c>
      <c r="S26" s="434">
        <f>'Ridership-26'!C17/'Revenue Miles-26'!C17</f>
        <v>0.44629120011030743</v>
      </c>
      <c r="T26" s="434">
        <f>'Ridership-26'!D17/'Revenue Miles-26'!D17</f>
        <v>0.52648024202497345</v>
      </c>
      <c r="U26" s="539">
        <f>'Ridership-26'!E17/'Revenue Miles-26'!K17</f>
        <v>0.57041017246696557</v>
      </c>
      <c r="V26" s="435">
        <f t="shared" si="5"/>
        <v>0.91643691347378609</v>
      </c>
      <c r="W26" s="436">
        <f t="shared" si="6"/>
        <v>1.6546849336817112E-3</v>
      </c>
      <c r="X26" s="437">
        <f t="shared" si="7"/>
        <v>1.5825289799670055E-3</v>
      </c>
      <c r="Y26" s="438">
        <f>'Op Cost-26'!B17/'Revenue Hours-26'!B17</f>
        <v>45.519278881530539</v>
      </c>
      <c r="Z26" s="434">
        <f>'Op Cost-26'!C17/'Revenue Hours-26'!C17</f>
        <v>51.194390470558417</v>
      </c>
      <c r="AA26" s="434">
        <f>'Op Cost-26'!D17/'Revenue Hours-26'!D17</f>
        <v>60.816435986159171</v>
      </c>
      <c r="AB26" s="434">
        <f>'Op Cost-26'!E17/'Revenue Hours-26'!E17</f>
        <v>62.393102832127219</v>
      </c>
      <c r="AC26" s="435">
        <f t="shared" si="8"/>
        <v>1.0630086809606323</v>
      </c>
      <c r="AD26" s="436">
        <f t="shared" si="9"/>
        <v>1.6985405812882401E-3</v>
      </c>
      <c r="AE26" s="437">
        <f t="shared" si="10"/>
        <v>1.7015590567820856E-3</v>
      </c>
      <c r="AF26" s="438">
        <f>'Op Cost-26'!B17/'Revenue Miles-26'!B17</f>
        <v>3.2873328054671349</v>
      </c>
      <c r="AG26" s="434">
        <f>'Op Cost-26'!C17/'Revenue Miles-26'!C17</f>
        <v>3.4815091434513583</v>
      </c>
      <c r="AH26" s="434">
        <f>'Op Cost-26'!D17/'Revenue Miles-26'!D17</f>
        <v>4.1060027332936189</v>
      </c>
      <c r="AI26" s="434">
        <f>'Op Cost-26'!E17/'Revenue Miles-26'!E17</f>
        <v>4.1418522999549259</v>
      </c>
      <c r="AJ26" s="435">
        <f t="shared" si="11"/>
        <v>1.0382731642613201</v>
      </c>
      <c r="AK26" s="436">
        <f t="shared" si="12"/>
        <v>1.7390061161388936E-3</v>
      </c>
      <c r="AL26" s="437">
        <f t="shared" si="13"/>
        <v>1.7419431536120447E-3</v>
      </c>
      <c r="AM26" s="438">
        <f>'Op Cost-26'!B17/'Ridership-26'!B17</f>
        <v>6.9473619190943596</v>
      </c>
      <c r="AN26" s="434">
        <f>'Op Cost-26'!C17/'Ridership-26'!C17</f>
        <v>7.8009809348489334</v>
      </c>
      <c r="AO26" s="434">
        <f>'Op Cost-26'!D17/'Ridership-26'!D17</f>
        <v>7.7989683288035945</v>
      </c>
      <c r="AP26" s="434">
        <f>'Op Cost-26'!E17/'Ridership-26'!E17</f>
        <v>7.261182390983385</v>
      </c>
      <c r="AQ26" s="439">
        <f t="shared" si="14"/>
        <v>1.1577327465899605</v>
      </c>
      <c r="AR26" s="436">
        <f t="shared" si="15"/>
        <v>1.559568378964409E-3</v>
      </c>
      <c r="AS26" s="440">
        <f t="shared" si="16"/>
        <v>1.5686793295384093E-3</v>
      </c>
      <c r="AT26" s="432"/>
      <c r="AU26" s="441">
        <f t="shared" si="17"/>
        <v>0</v>
      </c>
      <c r="AV26" s="442">
        <f t="shared" si="18"/>
        <v>0</v>
      </c>
      <c r="AW26" s="442">
        <f t="shared" si="19"/>
        <v>0</v>
      </c>
      <c r="AX26" s="442">
        <f t="shared" si="20"/>
        <v>0</v>
      </c>
      <c r="AY26" s="443">
        <f t="shared" si="21"/>
        <v>0</v>
      </c>
      <c r="AZ26" s="444">
        <f t="shared" si="43"/>
        <v>-1</v>
      </c>
      <c r="BA26" s="445">
        <f t="shared" si="22"/>
        <v>0</v>
      </c>
      <c r="BB26" s="446">
        <f t="shared" si="22"/>
        <v>0</v>
      </c>
      <c r="BC26" s="446">
        <f t="shared" si="22"/>
        <v>0</v>
      </c>
      <c r="BD26" s="446">
        <f t="shared" si="22"/>
        <v>0</v>
      </c>
      <c r="BE26" s="446">
        <f t="shared" si="22"/>
        <v>0</v>
      </c>
      <c r="BF26" s="447">
        <f t="shared" si="44"/>
        <v>217334.98830325252</v>
      </c>
      <c r="BH26" s="448">
        <f>'Op Cost-26'!E17</f>
        <v>698366</v>
      </c>
      <c r="BI26" s="449">
        <f t="shared" si="23"/>
        <v>0.31120499609553232</v>
      </c>
      <c r="BJ26" s="450">
        <f t="shared" si="24"/>
        <v>209509.8</v>
      </c>
      <c r="BK26" s="451">
        <f t="shared" si="25"/>
        <v>7825.1883032525366</v>
      </c>
      <c r="BL26" s="1">
        <f t="shared" si="45"/>
        <v>1.1205682111163711</v>
      </c>
      <c r="BM26" s="112">
        <f t="shared" si="46"/>
        <v>0.75770770279382382</v>
      </c>
      <c r="BN26" s="112">
        <f t="shared" si="47"/>
        <v>0.70919727954608103</v>
      </c>
      <c r="BO26" s="113">
        <f t="shared" si="48"/>
        <v>1.5076839310627899</v>
      </c>
      <c r="BP26" s="452">
        <f t="shared" si="26"/>
        <v>0</v>
      </c>
      <c r="BQ26" s="115">
        <f t="shared" si="49"/>
        <v>2.0232569300035769E-3</v>
      </c>
      <c r="BR26" s="116">
        <f t="shared" si="50"/>
        <v>0</v>
      </c>
      <c r="BS26" s="453">
        <f t="shared" si="51"/>
        <v>0</v>
      </c>
      <c r="BT26" s="118">
        <f t="shared" si="52"/>
        <v>209509.8</v>
      </c>
      <c r="BU26" s="119">
        <f t="shared" si="53"/>
        <v>209509.8</v>
      </c>
      <c r="BV26" s="119">
        <f t="shared" si="54"/>
        <v>209509.8</v>
      </c>
      <c r="BW26" s="119">
        <f>BT26-BV26</f>
        <v>0</v>
      </c>
      <c r="BX26" s="120">
        <f t="shared" si="55"/>
        <v>0</v>
      </c>
      <c r="BY26" s="454">
        <f t="shared" si="56"/>
        <v>0</v>
      </c>
      <c r="BZ26" s="122">
        <f t="shared" si="57"/>
        <v>209509.8</v>
      </c>
      <c r="CA26" s="455">
        <f t="shared" si="27"/>
        <v>0</v>
      </c>
      <c r="CB26" s="456">
        <f t="shared" si="28"/>
        <v>0</v>
      </c>
      <c r="CC26" s="456">
        <f t="shared" si="29"/>
        <v>209509.8</v>
      </c>
      <c r="CD26" s="457">
        <f t="shared" si="30"/>
        <v>0.3</v>
      </c>
      <c r="CE26" s="458">
        <f t="shared" si="31"/>
        <v>0</v>
      </c>
      <c r="CF26" s="17"/>
      <c r="CG26" s="459">
        <f t="shared" si="32"/>
        <v>698366</v>
      </c>
      <c r="CH26" s="460">
        <f t="shared" si="58"/>
        <v>0.3</v>
      </c>
      <c r="CI26" s="461">
        <f t="shared" si="33"/>
        <v>209509.8</v>
      </c>
      <c r="CJ26" s="462">
        <f t="shared" si="34"/>
        <v>0</v>
      </c>
      <c r="CL26" s="463">
        <f t="shared" si="35"/>
        <v>0</v>
      </c>
      <c r="CM26" s="464">
        <f t="shared" si="36"/>
        <v>0</v>
      </c>
      <c r="CN26" s="465">
        <f t="shared" si="37"/>
        <v>0</v>
      </c>
      <c r="CO26" s="466">
        <f t="shared" si="59"/>
        <v>209509.8</v>
      </c>
      <c r="CP26" s="467">
        <f t="shared" si="60"/>
        <v>0.3</v>
      </c>
      <c r="CQ26" s="468">
        <f t="shared" si="38"/>
        <v>0</v>
      </c>
      <c r="CR26" s="469"/>
      <c r="CS26" s="470">
        <f t="shared" si="39"/>
        <v>209509.8</v>
      </c>
      <c r="CT26" s="465">
        <f t="shared" si="40"/>
        <v>0</v>
      </c>
      <c r="CU26" s="471">
        <f t="shared" si="41"/>
        <v>209509.8</v>
      </c>
      <c r="CV26" s="472">
        <f t="shared" si="42"/>
        <v>0.3</v>
      </c>
      <c r="CY26" s="473">
        <v>0</v>
      </c>
      <c r="CZ26" s="474">
        <f t="shared" si="61"/>
        <v>209509.8</v>
      </c>
      <c r="DA26" s="475">
        <f t="shared" si="62"/>
        <v>0.3</v>
      </c>
      <c r="DB26" s="1">
        <f t="shared" si="63"/>
        <v>0</v>
      </c>
      <c r="DC26" s="293">
        <f t="shared" si="64"/>
        <v>0.3</v>
      </c>
      <c r="DF26" s="476"/>
    </row>
    <row r="27" spans="1:110">
      <c r="A27" s="477" t="s">
        <v>99</v>
      </c>
      <c r="B27" s="428" t="s">
        <v>102</v>
      </c>
      <c r="C27" s="429"/>
      <c r="D27" s="91">
        <f>'Sizing - Reimb Exp-26'!B18</f>
        <v>8378754</v>
      </c>
      <c r="E27" s="92">
        <f>'Ridership-26'!$E18</f>
        <v>585649</v>
      </c>
      <c r="F27" s="92">
        <f>'Revenue Hours-26'!$E18</f>
        <v>80007.260000000009</v>
      </c>
      <c r="G27" s="92">
        <f>'Revenue Miles-26'!$E18</f>
        <v>1157573.97</v>
      </c>
      <c r="H27" s="430">
        <f t="shared" si="0"/>
        <v>1.4211123404390978E-2</v>
      </c>
      <c r="I27" s="431">
        <f t="shared" si="1"/>
        <v>1.4211123404390978E-2</v>
      </c>
      <c r="J27" s="432"/>
      <c r="K27" s="433">
        <f>'Ridership-26'!B18/'Revenue Hours-26'!B18</f>
        <v>6.2106387495687709</v>
      </c>
      <c r="L27" s="434">
        <f>'Ridership-26'!C18/'Revenue Hours-26'!C18</f>
        <v>5.9993407953505891</v>
      </c>
      <c r="M27" s="434">
        <f>'Ridership-26'!D18/'Revenue Hours-26'!D18</f>
        <v>6.5244789507405869</v>
      </c>
      <c r="N27" s="539">
        <f>'Ridership-26'!E18/'Revenue Hours-26'!K18</f>
        <v>7.3199482146995152</v>
      </c>
      <c r="O27" s="435">
        <f t="shared" si="2"/>
        <v>0.90539464268492109</v>
      </c>
      <c r="P27" s="436">
        <f t="shared" si="3"/>
        <v>1.2866674996869889E-2</v>
      </c>
      <c r="Q27" s="437">
        <f t="shared" si="4"/>
        <v>1.2340219542626464E-2</v>
      </c>
      <c r="R27" s="438">
        <f>'Ridership-26'!B18/'Revenue Miles-26'!B18</f>
        <v>0.43710720015539234</v>
      </c>
      <c r="S27" s="434">
        <f>'Ridership-26'!C18/'Revenue Miles-26'!C18</f>
        <v>0.41539215330115964</v>
      </c>
      <c r="T27" s="434">
        <f>'Ridership-26'!D18/'Revenue Miles-26'!D18</f>
        <v>0.45126387982562621</v>
      </c>
      <c r="U27" s="539">
        <f>'Ridership-26'!E18/'Revenue Miles-26'!K18</f>
        <v>0.50592792787142582</v>
      </c>
      <c r="V27" s="435">
        <f t="shared" si="5"/>
        <v>0.90393113365152045</v>
      </c>
      <c r="W27" s="436">
        <f t="shared" si="6"/>
        <v>1.2845876889392791E-2</v>
      </c>
      <c r="X27" s="437">
        <f t="shared" si="7"/>
        <v>1.2285705898898882E-2</v>
      </c>
      <c r="Y27" s="438">
        <f>'Op Cost-26'!B18/'Revenue Hours-26'!B18</f>
        <v>88.890998593530242</v>
      </c>
      <c r="Z27" s="434">
        <f>'Op Cost-26'!C18/'Revenue Hours-26'!C18</f>
        <v>103.53699617930367</v>
      </c>
      <c r="AA27" s="434">
        <f>'Op Cost-26'!D18/'Revenue Hours-26'!D18</f>
        <v>108.98527619693715</v>
      </c>
      <c r="AB27" s="434">
        <f>'Op Cost-26'!E18/'Revenue Hours-26'!E18</f>
        <v>112.5272881486005</v>
      </c>
      <c r="AC27" s="435">
        <f t="shared" si="8"/>
        <v>1.0371555930389649</v>
      </c>
      <c r="AD27" s="436">
        <f t="shared" si="9"/>
        <v>1.3702016842768045E-2</v>
      </c>
      <c r="AE27" s="437">
        <f t="shared" si="10"/>
        <v>1.3726366689048895E-2</v>
      </c>
      <c r="AF27" s="438">
        <f>'Op Cost-26'!B18/'Revenue Miles-26'!B18</f>
        <v>6.2561834749980854</v>
      </c>
      <c r="AG27" s="434">
        <f>'Op Cost-26'!C18/'Revenue Miles-26'!C18</f>
        <v>7.168863589577354</v>
      </c>
      <c r="AH27" s="434">
        <f>'Op Cost-26'!D18/'Revenue Miles-26'!D18</f>
        <v>7.537938117635405</v>
      </c>
      <c r="AI27" s="434">
        <f>'Op Cost-26'!E18/'Revenue Miles-26'!E18</f>
        <v>7.7774727432753172</v>
      </c>
      <c r="AJ27" s="435">
        <f t="shared" si="11"/>
        <v>1.0360687752653082</v>
      </c>
      <c r="AK27" s="436">
        <f t="shared" si="12"/>
        <v>1.3716390015471615E-2</v>
      </c>
      <c r="AL27" s="437">
        <f t="shared" si="13"/>
        <v>1.3739555863537315E-2</v>
      </c>
      <c r="AM27" s="438">
        <f>'Op Cost-26'!B18/'Ridership-26'!B18</f>
        <v>14.312698287225656</v>
      </c>
      <c r="AN27" s="434">
        <f>'Op Cost-26'!C18/'Ridership-26'!C18</f>
        <v>17.258062129016487</v>
      </c>
      <c r="AO27" s="434">
        <f>'Op Cost-26'!D18/'Ridership-26'!D18</f>
        <v>16.704058212122263</v>
      </c>
      <c r="AP27" s="434">
        <f>'Op Cost-26'!E18/'Ridership-26'!E18</f>
        <v>15.372689102175535</v>
      </c>
      <c r="AQ27" s="435">
        <f t="shared" si="14"/>
        <v>1.1776106082937341</v>
      </c>
      <c r="AR27" s="436">
        <f t="shared" si="15"/>
        <v>1.2067761027545249E-2</v>
      </c>
      <c r="AS27" s="440">
        <f t="shared" si="16"/>
        <v>1.2138260516855119E-2</v>
      </c>
      <c r="AT27" s="432"/>
      <c r="AU27" s="441">
        <f t="shared" si="17"/>
        <v>0</v>
      </c>
      <c r="AV27" s="442">
        <f t="shared" si="18"/>
        <v>0</v>
      </c>
      <c r="AW27" s="442">
        <f t="shared" si="19"/>
        <v>0</v>
      </c>
      <c r="AX27" s="442">
        <f t="shared" si="20"/>
        <v>0</v>
      </c>
      <c r="AY27" s="443">
        <f t="shared" si="21"/>
        <v>0</v>
      </c>
      <c r="AZ27" s="444">
        <f t="shared" si="43"/>
        <v>-1</v>
      </c>
      <c r="BA27" s="445">
        <f t="shared" si="22"/>
        <v>0</v>
      </c>
      <c r="BB27" s="446">
        <f t="shared" si="22"/>
        <v>0</v>
      </c>
      <c r="BC27" s="446">
        <f t="shared" si="22"/>
        <v>0</v>
      </c>
      <c r="BD27" s="446">
        <f t="shared" si="22"/>
        <v>0</v>
      </c>
      <c r="BE27" s="446">
        <f t="shared" si="22"/>
        <v>0</v>
      </c>
      <c r="BF27" s="447">
        <f t="shared" si="44"/>
        <v>1710587.6028313832</v>
      </c>
      <c r="BH27" s="448">
        <f>'Op Cost-26'!E18</f>
        <v>9003000</v>
      </c>
      <c r="BI27" s="449">
        <f t="shared" si="23"/>
        <v>0.19000195521841423</v>
      </c>
      <c r="BJ27" s="450">
        <f t="shared" si="24"/>
        <v>1710587.6028313832</v>
      </c>
      <c r="BK27" s="451">
        <f t="shared" si="25"/>
        <v>0</v>
      </c>
      <c r="BL27" s="1">
        <f t="shared" si="45"/>
        <v>0.67469757709144351</v>
      </c>
      <c r="BM27" s="112">
        <f t="shared" si="46"/>
        <v>0.64547655566624973</v>
      </c>
      <c r="BN27" s="112">
        <f t="shared" si="47"/>
        <v>0.62902579128457003</v>
      </c>
      <c r="BO27" s="113">
        <f t="shared" si="48"/>
        <v>0.7121439807074772</v>
      </c>
      <c r="BP27" s="452">
        <f t="shared" si="26"/>
        <v>1710587.6028313832</v>
      </c>
      <c r="BQ27" s="115">
        <f t="shared" si="49"/>
        <v>9.5882105286900984E-3</v>
      </c>
      <c r="BR27" s="116">
        <f t="shared" si="50"/>
        <v>9.5882105286900984E-3</v>
      </c>
      <c r="BS27" s="453">
        <f t="shared" si="51"/>
        <v>9.991339127745363E-3</v>
      </c>
      <c r="BT27" s="118">
        <f t="shared" si="52"/>
        <v>1785366.3281739119</v>
      </c>
      <c r="BU27" s="119">
        <f t="shared" si="53"/>
        <v>2700900</v>
      </c>
      <c r="BV27" s="119">
        <f t="shared" si="54"/>
        <v>1785366.3281739119</v>
      </c>
      <c r="BW27" s="119">
        <f t="shared" si="65"/>
        <v>0</v>
      </c>
      <c r="BX27" s="120">
        <f t="shared" si="55"/>
        <v>9.5882105286900984E-3</v>
      </c>
      <c r="BY27" s="454">
        <f t="shared" si="56"/>
        <v>1.0751711414351627E-2</v>
      </c>
      <c r="BZ27" s="122">
        <f t="shared" si="57"/>
        <v>1788298.8879983744</v>
      </c>
      <c r="CA27" s="455">
        <f t="shared" si="27"/>
        <v>1.5194876133132185E-2</v>
      </c>
      <c r="CB27" s="456">
        <f t="shared" si="28"/>
        <v>113723.84166381933</v>
      </c>
      <c r="CC27" s="456">
        <f t="shared" si="29"/>
        <v>1824311.4444952025</v>
      </c>
      <c r="CD27" s="457">
        <f t="shared" si="30"/>
        <v>0.20263372703489976</v>
      </c>
      <c r="CE27" s="458">
        <f t="shared" si="31"/>
        <v>0</v>
      </c>
      <c r="CF27" s="17"/>
      <c r="CG27" s="459">
        <f t="shared" si="32"/>
        <v>9003000</v>
      </c>
      <c r="CH27" s="460">
        <f t="shared" si="58"/>
        <v>0.20263372703489976</v>
      </c>
      <c r="CI27" s="461">
        <f t="shared" si="33"/>
        <v>1824311.4444952025</v>
      </c>
      <c r="CJ27" s="462">
        <f t="shared" si="34"/>
        <v>0</v>
      </c>
      <c r="CL27" s="463">
        <f t="shared" si="35"/>
        <v>1824311.4444952025</v>
      </c>
      <c r="CM27" s="464">
        <f t="shared" si="36"/>
        <v>1.5685830951495391E-2</v>
      </c>
      <c r="CN27" s="465">
        <f t="shared" si="37"/>
        <v>2391.2457585389357</v>
      </c>
      <c r="CO27" s="466">
        <f t="shared" si="59"/>
        <v>1826702.6902537413</v>
      </c>
      <c r="CP27" s="467">
        <f t="shared" si="60"/>
        <v>0.20289933247292474</v>
      </c>
      <c r="CQ27" s="468">
        <f t="shared" si="38"/>
        <v>0</v>
      </c>
      <c r="CR27" s="469"/>
      <c r="CS27" s="470">
        <f t="shared" si="39"/>
        <v>2700900</v>
      </c>
      <c r="CT27" s="465">
        <f t="shared" si="40"/>
        <v>0</v>
      </c>
      <c r="CU27" s="471">
        <f t="shared" si="41"/>
        <v>1826702.6902537413</v>
      </c>
      <c r="CV27" s="472">
        <f t="shared" si="42"/>
        <v>0.20289933247292474</v>
      </c>
      <c r="CY27" s="473">
        <v>0</v>
      </c>
      <c r="CZ27" s="474">
        <f t="shared" si="61"/>
        <v>1826702.6902537413</v>
      </c>
      <c r="DA27" s="475">
        <f t="shared" si="62"/>
        <v>0.20289933247292474</v>
      </c>
      <c r="DB27" s="1">
        <f t="shared" si="63"/>
        <v>0</v>
      </c>
      <c r="DC27" s="293">
        <f t="shared" si="64"/>
        <v>0.19863366522252299</v>
      </c>
      <c r="DF27" s="476"/>
    </row>
    <row r="28" spans="1:110">
      <c r="A28" s="477" t="s">
        <v>99</v>
      </c>
      <c r="B28" s="428" t="s">
        <v>103</v>
      </c>
      <c r="C28" s="429"/>
      <c r="D28" s="91">
        <f>'Sizing - Reimb Exp-26'!B19</f>
        <v>165710</v>
      </c>
      <c r="E28" s="92">
        <f>'Ridership-26'!$E19</f>
        <v>15318</v>
      </c>
      <c r="F28" s="92">
        <f>'Revenue Hours-26'!$E19</f>
        <v>3004</v>
      </c>
      <c r="G28" s="92">
        <f>'Revenue Miles-26'!$E19</f>
        <v>50699</v>
      </c>
      <c r="H28" s="478">
        <f t="shared" si="0"/>
        <v>4.1441029273910611E-4</v>
      </c>
      <c r="I28" s="431">
        <f t="shared" si="1"/>
        <v>4.1441029273910611E-4</v>
      </c>
      <c r="J28" s="432"/>
      <c r="K28" s="433">
        <f>'Ridership-26'!B19/'Revenue Hours-26'!B19</f>
        <v>4.686815011624045</v>
      </c>
      <c r="L28" s="434">
        <f>'Ridership-26'!C19/'Revenue Hours-26'!C19</f>
        <v>4.8892540256325994</v>
      </c>
      <c r="M28" s="434">
        <f>'Ridership-26'!D19/'Revenue Hours-26'!D19</f>
        <v>4.7219286657859971</v>
      </c>
      <c r="N28" s="539">
        <f>'Ridership-26'!E19/'Revenue Hours-26'!K19</f>
        <v>5.099201065246338</v>
      </c>
      <c r="O28" s="435">
        <f t="shared" si="2"/>
        <v>0.87823638966897821</v>
      </c>
      <c r="P28" s="436">
        <f t="shared" si="3"/>
        <v>3.639501993368569E-4</v>
      </c>
      <c r="Q28" s="437">
        <f t="shared" si="4"/>
        <v>3.4905874000019986E-4</v>
      </c>
      <c r="R28" s="438">
        <f>'Ridership-26'!B19/'Revenue Miles-26'!B19</f>
        <v>0.28707433174661295</v>
      </c>
      <c r="S28" s="434">
        <f>'Ridership-26'!C19/'Revenue Miles-26'!C19</f>
        <v>0.30552817479875144</v>
      </c>
      <c r="T28" s="434">
        <f>'Ridership-26'!D19/'Revenue Miles-26'!D19</f>
        <v>0.29334044561158756</v>
      </c>
      <c r="U28" s="539">
        <f>'Ridership-26'!E19/'Revenue Miles-26'!K19</f>
        <v>0.30213613680743212</v>
      </c>
      <c r="V28" s="435">
        <f t="shared" si="5"/>
        <v>0.87051960662416128</v>
      </c>
      <c r="W28" s="436">
        <f t="shared" si="6"/>
        <v>3.6075228501625018E-4</v>
      </c>
      <c r="X28" s="437">
        <f t="shared" si="7"/>
        <v>3.4502093661858963E-4</v>
      </c>
      <c r="Y28" s="438">
        <f>'Op Cost-26'!B19/'Revenue Hours-26'!B19</f>
        <v>38.42344735968117</v>
      </c>
      <c r="Z28" s="434">
        <f>'Op Cost-26'!C19/'Revenue Hours-26'!C19</f>
        <v>35.43739730529083</v>
      </c>
      <c r="AA28" s="434">
        <f>'Op Cost-26'!D19/'Revenue Hours-26'!D19</f>
        <v>58.537318361955087</v>
      </c>
      <c r="AB28" s="434">
        <f>'Op Cost-26'!E19/'Revenue Hours-26'!E19</f>
        <v>55.163115845539281</v>
      </c>
      <c r="AC28" s="435">
        <f t="shared" si="8"/>
        <v>1.1105520609683832</v>
      </c>
      <c r="AD28" s="436">
        <f t="shared" si="9"/>
        <v>3.7315701559974339E-4</v>
      </c>
      <c r="AE28" s="437">
        <f t="shared" si="10"/>
        <v>3.7382015271836911E-4</v>
      </c>
      <c r="AF28" s="438">
        <f>'Op Cost-26'!B19/'Revenue Miles-26'!B19</f>
        <v>2.3534928190731925</v>
      </c>
      <c r="AG28" s="434">
        <f>'Op Cost-26'!C19/'Revenue Miles-26'!C19</f>
        <v>2.2144734680466569</v>
      </c>
      <c r="AH28" s="434">
        <f>'Op Cost-26'!D19/'Revenue Miles-26'!D19</f>
        <v>3.6365147101062738</v>
      </c>
      <c r="AI28" s="434">
        <f>'Op Cost-26'!E19/'Revenue Miles-26'!E19</f>
        <v>3.2685062821751907</v>
      </c>
      <c r="AJ28" s="435">
        <f t="shared" si="11"/>
        <v>1.1037169090605909</v>
      </c>
      <c r="AK28" s="436">
        <f t="shared" si="12"/>
        <v>3.7546792056653738E-4</v>
      </c>
      <c r="AL28" s="437">
        <f t="shared" si="13"/>
        <v>3.7610205482428141E-4</v>
      </c>
      <c r="AM28" s="438">
        <f>'Op Cost-26'!B19/'Ridership-26'!B19</f>
        <v>8.1982001133786842</v>
      </c>
      <c r="AN28" s="434">
        <f>'Op Cost-26'!C19/'Ridership-26'!C19</f>
        <v>7.2480172066137918</v>
      </c>
      <c r="AO28" s="434">
        <f>'Op Cost-26'!D19/'Ridership-26'!D19</f>
        <v>12.396908658553643</v>
      </c>
      <c r="AP28" s="434">
        <f>'Op Cost-26'!E19/'Ridership-26'!E19</f>
        <v>10.817991904948427</v>
      </c>
      <c r="AQ28" s="439">
        <f t="shared" si="14"/>
        <v>1.2936229881858146</v>
      </c>
      <c r="AR28" s="436">
        <f t="shared" si="15"/>
        <v>3.2034858418856474E-4</v>
      </c>
      <c r="AS28" s="440">
        <f t="shared" si="16"/>
        <v>3.2222005077916789E-4</v>
      </c>
      <c r="AT28" s="432"/>
      <c r="AU28" s="441">
        <f t="shared" si="17"/>
        <v>0</v>
      </c>
      <c r="AV28" s="442">
        <f t="shared" si="18"/>
        <v>0</v>
      </c>
      <c r="AW28" s="442">
        <f t="shared" si="19"/>
        <v>0</v>
      </c>
      <c r="AX28" s="442">
        <f t="shared" si="20"/>
        <v>0</v>
      </c>
      <c r="AY28" s="443">
        <f t="shared" si="21"/>
        <v>0</v>
      </c>
      <c r="AZ28" s="444">
        <f t="shared" si="43"/>
        <v>-1</v>
      </c>
      <c r="BA28" s="445">
        <f t="shared" si="22"/>
        <v>0</v>
      </c>
      <c r="BB28" s="446">
        <f t="shared" si="22"/>
        <v>0</v>
      </c>
      <c r="BC28" s="446">
        <f t="shared" si="22"/>
        <v>0</v>
      </c>
      <c r="BD28" s="446">
        <f t="shared" si="22"/>
        <v>0</v>
      </c>
      <c r="BE28" s="446">
        <f t="shared" si="22"/>
        <v>0</v>
      </c>
      <c r="BF28" s="447">
        <f t="shared" si="44"/>
        <v>49882.411761072086</v>
      </c>
      <c r="BH28" s="448">
        <f>'Op Cost-26'!E19</f>
        <v>165710</v>
      </c>
      <c r="BI28" s="449">
        <f t="shared" si="23"/>
        <v>0.30102233879109341</v>
      </c>
      <c r="BJ28" s="450">
        <f t="shared" si="24"/>
        <v>49713</v>
      </c>
      <c r="BK28" s="451">
        <f t="shared" si="25"/>
        <v>169.41176107208594</v>
      </c>
      <c r="BL28" s="1">
        <f t="shared" si="45"/>
        <v>0.71231371822670408</v>
      </c>
      <c r="BM28" s="112">
        <f t="shared" si="46"/>
        <v>0.44965000348434714</v>
      </c>
      <c r="BN28" s="112">
        <f t="shared" si="47"/>
        <v>0.37564920230941845</v>
      </c>
      <c r="BO28" s="113">
        <f t="shared" si="48"/>
        <v>1.0119778335565253</v>
      </c>
      <c r="BP28" s="452">
        <f t="shared" si="26"/>
        <v>0</v>
      </c>
      <c r="BQ28" s="115">
        <f t="shared" si="49"/>
        <v>2.9519013649240958E-4</v>
      </c>
      <c r="BR28" s="116">
        <f t="shared" si="50"/>
        <v>0</v>
      </c>
      <c r="BS28" s="453">
        <f t="shared" si="51"/>
        <v>0</v>
      </c>
      <c r="BT28" s="118">
        <f t="shared" si="52"/>
        <v>49713</v>
      </c>
      <c r="BU28" s="119">
        <f t="shared" si="53"/>
        <v>49713</v>
      </c>
      <c r="BV28" s="119">
        <f t="shared" si="54"/>
        <v>49713</v>
      </c>
      <c r="BW28" s="119">
        <f t="shared" si="65"/>
        <v>0</v>
      </c>
      <c r="BX28" s="120">
        <f t="shared" si="55"/>
        <v>0</v>
      </c>
      <c r="BY28" s="454">
        <f t="shared" si="56"/>
        <v>0</v>
      </c>
      <c r="BZ28" s="122">
        <f t="shared" si="57"/>
        <v>49713</v>
      </c>
      <c r="CA28" s="455">
        <f t="shared" si="27"/>
        <v>0</v>
      </c>
      <c r="CB28" s="456">
        <f t="shared" si="28"/>
        <v>0</v>
      </c>
      <c r="CC28" s="456">
        <f t="shared" si="29"/>
        <v>49713</v>
      </c>
      <c r="CD28" s="457">
        <f t="shared" si="30"/>
        <v>0.3</v>
      </c>
      <c r="CE28" s="458">
        <f t="shared" si="31"/>
        <v>0</v>
      </c>
      <c r="CF28" s="17"/>
      <c r="CG28" s="459">
        <f t="shared" si="32"/>
        <v>165710</v>
      </c>
      <c r="CH28" s="460">
        <f t="shared" si="58"/>
        <v>0.3</v>
      </c>
      <c r="CI28" s="461">
        <f t="shared" si="33"/>
        <v>49713</v>
      </c>
      <c r="CJ28" s="462">
        <f t="shared" si="34"/>
        <v>0</v>
      </c>
      <c r="CL28" s="463">
        <f t="shared" si="35"/>
        <v>0</v>
      </c>
      <c r="CM28" s="464">
        <f t="shared" si="36"/>
        <v>0</v>
      </c>
      <c r="CN28" s="465">
        <f t="shared" si="37"/>
        <v>0</v>
      </c>
      <c r="CO28" s="466">
        <f t="shared" si="59"/>
        <v>49713</v>
      </c>
      <c r="CP28" s="467">
        <f t="shared" si="60"/>
        <v>0.3</v>
      </c>
      <c r="CQ28" s="468">
        <f t="shared" si="38"/>
        <v>0</v>
      </c>
      <c r="CR28" s="469"/>
      <c r="CS28" s="470">
        <f t="shared" si="39"/>
        <v>49713</v>
      </c>
      <c r="CT28" s="465">
        <f t="shared" si="40"/>
        <v>0</v>
      </c>
      <c r="CU28" s="471">
        <f t="shared" si="41"/>
        <v>49713</v>
      </c>
      <c r="CV28" s="472">
        <f t="shared" si="42"/>
        <v>0.3</v>
      </c>
      <c r="CY28" s="473">
        <v>0</v>
      </c>
      <c r="CZ28" s="474">
        <f t="shared" si="61"/>
        <v>49713</v>
      </c>
      <c r="DA28" s="475">
        <f t="shared" si="62"/>
        <v>0.3</v>
      </c>
      <c r="DB28" s="1">
        <f t="shared" si="63"/>
        <v>0</v>
      </c>
      <c r="DC28" s="293">
        <f t="shared" si="64"/>
        <v>0.3</v>
      </c>
      <c r="DF28" s="476"/>
    </row>
    <row r="29" spans="1:110">
      <c r="A29" s="477" t="s">
        <v>104</v>
      </c>
      <c r="B29" s="428" t="s">
        <v>105</v>
      </c>
      <c r="C29" s="429"/>
      <c r="D29" s="91">
        <f>'Sizing - Reimb Exp-26'!B20</f>
        <v>25291520</v>
      </c>
      <c r="E29" s="92">
        <f>'Ridership-26'!$E20</f>
        <v>690827</v>
      </c>
      <c r="F29" s="92">
        <f>'Revenue Hours-26'!$E20</f>
        <v>172995.92</v>
      </c>
      <c r="G29" s="92">
        <f>'Revenue Miles-26'!$E20</f>
        <v>3894172</v>
      </c>
      <c r="H29" s="478">
        <f t="shared" si="0"/>
        <v>3.4511391754366877E-2</v>
      </c>
      <c r="I29" s="431">
        <f t="shared" si="1"/>
        <v>3.4511391754366877E-2</v>
      </c>
      <c r="J29" s="432"/>
      <c r="K29" s="433">
        <f>'Ridership-26'!B20/'Revenue Hours-26'!B20</f>
        <v>3.470492023892092</v>
      </c>
      <c r="L29" s="434">
        <f>'Ridership-26'!C20/'Revenue Hours-26'!C20</f>
        <v>4.2679119210326499</v>
      </c>
      <c r="M29" s="434">
        <f>'Ridership-26'!D20/'Revenue Hours-26'!D20</f>
        <v>4.451152820443574</v>
      </c>
      <c r="N29" s="539">
        <f>'Ridership-26'!E20/'Revenue Hours-26'!K20</f>
        <v>4.3156997120063973</v>
      </c>
      <c r="O29" s="435">
        <f t="shared" si="2"/>
        <v>0.91406297069250719</v>
      </c>
      <c r="P29" s="436">
        <f t="shared" si="3"/>
        <v>3.1545585269729483E-2</v>
      </c>
      <c r="Q29" s="437">
        <f t="shared" si="4"/>
        <v>3.0254859777200122E-2</v>
      </c>
      <c r="R29" s="438">
        <f>'Ridership-26'!B20/'Revenue Miles-26'!B20</f>
        <v>0.16305901321605187</v>
      </c>
      <c r="S29" s="434">
        <f>'Ridership-26'!C20/'Revenue Miles-26'!C20</f>
        <v>0.18749795684455406</v>
      </c>
      <c r="T29" s="434">
        <f>'Ridership-26'!D20/'Revenue Miles-26'!D20</f>
        <v>0.20352598918826306</v>
      </c>
      <c r="U29" s="539">
        <f>'Ridership-26'!E20/'Revenue Miles-26'!K20</f>
        <v>0.20892587927350589</v>
      </c>
      <c r="V29" s="435">
        <f t="shared" si="5"/>
        <v>0.92720604055664591</v>
      </c>
      <c r="W29" s="436">
        <f t="shared" si="6"/>
        <v>3.199917090266579E-2</v>
      </c>
      <c r="X29" s="437">
        <f t="shared" si="7"/>
        <v>3.0603780972194683E-2</v>
      </c>
      <c r="Y29" s="438">
        <f>'Op Cost-26'!B20/'Revenue Hours-26'!B20</f>
        <v>179.69728056645377</v>
      </c>
      <c r="Z29" s="434">
        <f>'Op Cost-26'!C20/'Revenue Hours-26'!C20</f>
        <v>158.41301948873704</v>
      </c>
      <c r="AA29" s="434">
        <f>'Op Cost-26'!D20/'Revenue Hours-26'!D20</f>
        <v>159.2898254734497</v>
      </c>
      <c r="AB29" s="434">
        <f>'Op Cost-26'!E20/'Revenue Hours-26'!E20</f>
        <v>146.19720511327665</v>
      </c>
      <c r="AC29" s="435">
        <f t="shared" si="8"/>
        <v>0.89241794556285381</v>
      </c>
      <c r="AD29" s="436">
        <f t="shared" si="9"/>
        <v>3.867178145168329E-2</v>
      </c>
      <c r="AE29" s="437">
        <f t="shared" si="10"/>
        <v>3.8740505052344464E-2</v>
      </c>
      <c r="AF29" s="438">
        <f>'Op Cost-26'!B20/'Revenue Miles-26'!B20</f>
        <v>8.4429703468712045</v>
      </c>
      <c r="AG29" s="434">
        <f>'Op Cost-26'!C20/'Revenue Miles-26'!C20</f>
        <v>6.9594026402794391</v>
      </c>
      <c r="AH29" s="434">
        <f>'Op Cost-26'!D20/'Revenue Miles-26'!D20</f>
        <v>7.2834208585718461</v>
      </c>
      <c r="AI29" s="434">
        <f>'Op Cost-26'!E20/'Revenue Miles-26'!E20</f>
        <v>6.4947105572121622</v>
      </c>
      <c r="AJ29" s="435">
        <f t="shared" si="11"/>
        <v>0.88136384841768123</v>
      </c>
      <c r="AK29" s="436">
        <f t="shared" si="12"/>
        <v>3.9156804328116503E-2</v>
      </c>
      <c r="AL29" s="437">
        <f t="shared" si="13"/>
        <v>3.9222936931431245E-2</v>
      </c>
      <c r="AM29" s="438">
        <f>'Op Cost-26'!B20/'Ridership-26'!B20</f>
        <v>51.778617939287642</v>
      </c>
      <c r="AN29" s="434">
        <f>'Op Cost-26'!C20/'Ridership-26'!C20</f>
        <v>37.117218541475417</v>
      </c>
      <c r="AO29" s="434">
        <f>'Op Cost-26'!D20/'Ridership-26'!D20</f>
        <v>35.786195599003463</v>
      </c>
      <c r="AP29" s="434">
        <f>'Op Cost-26'!E20/'Ridership-26'!E20</f>
        <v>36.610497273557634</v>
      </c>
      <c r="AQ29" s="435">
        <f t="shared" si="14"/>
        <v>1.0046673128501329</v>
      </c>
      <c r="AR29" s="436">
        <f t="shared" si="15"/>
        <v>3.4351064589193986E-2</v>
      </c>
      <c r="AS29" s="440">
        <f t="shared" si="16"/>
        <v>3.4551742453568395E-2</v>
      </c>
      <c r="AT29" s="432"/>
      <c r="AU29" s="441">
        <f t="shared" si="17"/>
        <v>0</v>
      </c>
      <c r="AV29" s="442">
        <f t="shared" si="18"/>
        <v>0</v>
      </c>
      <c r="AW29" s="442">
        <f t="shared" si="19"/>
        <v>0</v>
      </c>
      <c r="AX29" s="442">
        <f t="shared" si="20"/>
        <v>0</v>
      </c>
      <c r="AY29" s="443">
        <f t="shared" si="21"/>
        <v>0</v>
      </c>
      <c r="AZ29" s="444">
        <f t="shared" si="43"/>
        <v>-1</v>
      </c>
      <c r="BA29" s="445">
        <f t="shared" si="22"/>
        <v>0</v>
      </c>
      <c r="BB29" s="446">
        <f t="shared" si="22"/>
        <v>0</v>
      </c>
      <c r="BC29" s="446">
        <f t="shared" si="22"/>
        <v>0</v>
      </c>
      <c r="BD29" s="446">
        <f t="shared" si="22"/>
        <v>0</v>
      </c>
      <c r="BE29" s="446">
        <f t="shared" si="22"/>
        <v>0</v>
      </c>
      <c r="BF29" s="447">
        <f t="shared" si="44"/>
        <v>4154123.3026824985</v>
      </c>
      <c r="BH29" s="448">
        <f>'Op Cost-26'!E20</f>
        <v>25291520</v>
      </c>
      <c r="BI29" s="449">
        <f t="shared" si="23"/>
        <v>0.16424964979101686</v>
      </c>
      <c r="BJ29" s="450">
        <f t="shared" si="24"/>
        <v>4154123.3026824985</v>
      </c>
      <c r="BK29" s="451">
        <f t="shared" si="25"/>
        <v>0</v>
      </c>
      <c r="BL29" s="1">
        <f t="shared" si="45"/>
        <v>0.3095941415126407</v>
      </c>
      <c r="BM29" s="112">
        <f t="shared" si="46"/>
        <v>0.38056047716316638</v>
      </c>
      <c r="BN29" s="112">
        <f t="shared" si="47"/>
        <v>0.25975985765948861</v>
      </c>
      <c r="BO29" s="113">
        <f t="shared" si="48"/>
        <v>0.29902811561395393</v>
      </c>
      <c r="BP29" s="452">
        <f t="shared" si="26"/>
        <v>4154123.3026824985</v>
      </c>
      <c r="BQ29" s="115">
        <f t="shared" si="49"/>
        <v>1.0684524702599641E-2</v>
      </c>
      <c r="BR29" s="116">
        <f t="shared" si="50"/>
        <v>1.0684524702599641E-2</v>
      </c>
      <c r="BS29" s="453">
        <f t="shared" si="51"/>
        <v>1.1133746949237022E-2</v>
      </c>
      <c r="BT29" s="118">
        <f t="shared" si="52"/>
        <v>4237452.2133025192</v>
      </c>
      <c r="BU29" s="119">
        <f t="shared" si="53"/>
        <v>7587456</v>
      </c>
      <c r="BV29" s="119">
        <f t="shared" si="54"/>
        <v>4237452.2133025192</v>
      </c>
      <c r="BW29" s="119">
        <f t="shared" si="65"/>
        <v>0</v>
      </c>
      <c r="BX29" s="120">
        <f t="shared" si="55"/>
        <v>1.0684524702599641E-2</v>
      </c>
      <c r="BY29" s="454">
        <f t="shared" si="56"/>
        <v>1.1981060058925977E-2</v>
      </c>
      <c r="BZ29" s="122">
        <f t="shared" si="57"/>
        <v>4240720.0814612927</v>
      </c>
      <c r="CA29" s="455">
        <f t="shared" si="27"/>
        <v>3.6900413005179815E-2</v>
      </c>
      <c r="CB29" s="456">
        <f t="shared" si="28"/>
        <v>276175.77722666011</v>
      </c>
      <c r="CC29" s="456">
        <f t="shared" si="29"/>
        <v>4430299.0799091589</v>
      </c>
      <c r="CD29" s="457">
        <f t="shared" si="30"/>
        <v>0.17516934845786883</v>
      </c>
      <c r="CE29" s="458">
        <f t="shared" si="31"/>
        <v>0</v>
      </c>
      <c r="CF29" s="17"/>
      <c r="CG29" s="459">
        <f t="shared" si="32"/>
        <v>25291520</v>
      </c>
      <c r="CH29" s="460">
        <f t="shared" si="58"/>
        <v>0.17516934845786883</v>
      </c>
      <c r="CI29" s="461">
        <f t="shared" si="33"/>
        <v>4430299.0799091589</v>
      </c>
      <c r="CJ29" s="462">
        <f t="shared" si="34"/>
        <v>0</v>
      </c>
      <c r="CL29" s="463">
        <f t="shared" si="35"/>
        <v>4430299.0799091589</v>
      </c>
      <c r="CM29" s="464">
        <f t="shared" si="36"/>
        <v>3.8092685676951246E-2</v>
      </c>
      <c r="CN29" s="465">
        <f t="shared" si="37"/>
        <v>5807.0862384043903</v>
      </c>
      <c r="CO29" s="466">
        <f t="shared" si="59"/>
        <v>4436106.1661475636</v>
      </c>
      <c r="CP29" s="467">
        <f t="shared" si="60"/>
        <v>0.17539895451706988</v>
      </c>
      <c r="CQ29" s="468">
        <f t="shared" si="38"/>
        <v>0</v>
      </c>
      <c r="CR29" s="469"/>
      <c r="CS29" s="470">
        <f t="shared" si="39"/>
        <v>7587456</v>
      </c>
      <c r="CT29" s="465">
        <f t="shared" si="40"/>
        <v>0</v>
      </c>
      <c r="CU29" s="471">
        <f t="shared" si="41"/>
        <v>4436106.1661475636</v>
      </c>
      <c r="CV29" s="472">
        <f t="shared" si="42"/>
        <v>0.17539895451706988</v>
      </c>
      <c r="CY29" s="473">
        <v>0</v>
      </c>
      <c r="CZ29" s="474">
        <f t="shared" si="61"/>
        <v>4436106.1661475636</v>
      </c>
      <c r="DA29" s="475">
        <f t="shared" si="62"/>
        <v>0.17539895451706988</v>
      </c>
      <c r="DB29" s="1">
        <f t="shared" si="63"/>
        <v>0</v>
      </c>
      <c r="DC29" s="293">
        <f t="shared" si="64"/>
        <v>0.16767359500185408</v>
      </c>
      <c r="DF29" s="476"/>
    </row>
    <row r="30" spans="1:110">
      <c r="A30" s="477" t="s">
        <v>104</v>
      </c>
      <c r="B30" s="428" t="s">
        <v>106</v>
      </c>
      <c r="C30" s="429"/>
      <c r="D30" s="91">
        <f>'Sizing - Reimb Exp-26'!B21</f>
        <v>28281032</v>
      </c>
      <c r="E30" s="92">
        <f>'Ridership-26'!$E21</f>
        <v>2458738</v>
      </c>
      <c r="F30" s="92">
        <f>'Revenue Hours-26'!$E21</f>
        <v>230883</v>
      </c>
      <c r="G30" s="92">
        <f>'Revenue Miles-26'!$E21</f>
        <v>2329537</v>
      </c>
      <c r="H30" s="478">
        <f t="shared" si="0"/>
        <v>4.6304697474169161E-2</v>
      </c>
      <c r="I30" s="431">
        <f t="shared" si="1"/>
        <v>4.6304697474169161E-2</v>
      </c>
      <c r="J30" s="432"/>
      <c r="K30" s="433">
        <f>'Ridership-26'!B21/'Revenue Hours-26'!B21</f>
        <v>7.8216167510040826</v>
      </c>
      <c r="L30" s="434">
        <f>'Ridership-26'!C21/'Revenue Hours-26'!C21</f>
        <v>8.8817225863249529</v>
      </c>
      <c r="M30" s="434">
        <f>'Ridership-26'!D21/'Revenue Hours-26'!D21</f>
        <v>9.7390196531791915</v>
      </c>
      <c r="N30" s="539">
        <f>'Ridership-26'!E21/'Revenue Hours-26'!K21</f>
        <v>10.649281237683155</v>
      </c>
      <c r="O30" s="435">
        <f t="shared" si="2"/>
        <v>0.94314927205126431</v>
      </c>
      <c r="P30" s="436">
        <f t="shared" si="3"/>
        <v>4.3672241715316661E-2</v>
      </c>
      <c r="Q30" s="437">
        <f t="shared" si="4"/>
        <v>4.1885339515979315E-2</v>
      </c>
      <c r="R30" s="438">
        <f>'Ridership-26'!B21/'Revenue Miles-26'!B21</f>
        <v>0.78433143162528551</v>
      </c>
      <c r="S30" s="434">
        <f>'Ridership-26'!C21/'Revenue Miles-26'!C21</f>
        <v>0.87157122671755427</v>
      </c>
      <c r="T30" s="434">
        <f>'Ridership-26'!D21/'Revenue Miles-26'!D21</f>
        <v>0.95474957839955032</v>
      </c>
      <c r="U30" s="539">
        <f>'Ridership-26'!E21/'Revenue Miles-26'!K21</f>
        <v>1.0554620939697459</v>
      </c>
      <c r="V30" s="435">
        <f t="shared" si="5"/>
        <v>0.94426272197974803</v>
      </c>
      <c r="W30" s="436">
        <f t="shared" si="6"/>
        <v>4.3723799677407735E-2</v>
      </c>
      <c r="X30" s="437">
        <f t="shared" si="7"/>
        <v>4.181713309603366E-2</v>
      </c>
      <c r="Y30" s="438">
        <f>'Op Cost-26'!B21/'Revenue Hours-26'!B21</f>
        <v>115.12446224595757</v>
      </c>
      <c r="Z30" s="434">
        <f>'Op Cost-26'!C21/'Revenue Hours-26'!C21</f>
        <v>128.33355179497212</v>
      </c>
      <c r="AA30" s="434">
        <f>'Op Cost-26'!D21/'Revenue Hours-26'!D21</f>
        <v>109.8271676300578</v>
      </c>
      <c r="AB30" s="434">
        <f>'Op Cost-26'!E21/'Revenue Hours-26'!E21</f>
        <v>122.49075072655847</v>
      </c>
      <c r="AC30" s="435">
        <f t="shared" si="8"/>
        <v>0.98733751771107381</v>
      </c>
      <c r="AD30" s="436">
        <f t="shared" si="9"/>
        <v>4.689854952693024E-2</v>
      </c>
      <c r="AE30" s="437">
        <f t="shared" si="10"/>
        <v>4.6981892912424487E-2</v>
      </c>
      <c r="AF30" s="438">
        <f>'Op Cost-26'!B21/'Revenue Miles-26'!B21</f>
        <v>11.544382339734495</v>
      </c>
      <c r="AG30" s="434">
        <f>'Op Cost-26'!C21/'Revenue Miles-26'!C21</f>
        <v>12.593483986899244</v>
      </c>
      <c r="AH30" s="434">
        <f>'Op Cost-26'!D21/'Revenue Miles-26'!D21</f>
        <v>10.766734817850473</v>
      </c>
      <c r="AI30" s="434">
        <f>'Op Cost-26'!E21/'Revenue Miles-26'!E21</f>
        <v>12.140194381973757</v>
      </c>
      <c r="AJ30" s="435">
        <f t="shared" si="11"/>
        <v>0.98862782106337344</v>
      </c>
      <c r="AK30" s="436">
        <f t="shared" si="12"/>
        <v>4.683734008654903E-2</v>
      </c>
      <c r="AL30" s="437">
        <f t="shared" si="13"/>
        <v>4.6916444479397489E-2</v>
      </c>
      <c r="AM30" s="438">
        <f>'Op Cost-26'!B21/'Ridership-26'!B21</f>
        <v>14.718755202519828</v>
      </c>
      <c r="AN30" s="434">
        <f>'Op Cost-26'!C21/'Ridership-26'!C21</f>
        <v>14.449173631313958</v>
      </c>
      <c r="AO30" s="434">
        <f>'Op Cost-26'!D21/'Ridership-26'!D21</f>
        <v>11.277024951295379</v>
      </c>
      <c r="AP30" s="434">
        <f>'Op Cost-26'!E21/'Ridership-26'!E21</f>
        <v>11.502255221987866</v>
      </c>
      <c r="AQ30" s="435">
        <f t="shared" si="14"/>
        <v>1.0492744422797424</v>
      </c>
      <c r="AR30" s="436">
        <f t="shared" si="15"/>
        <v>4.4130206177102393E-2</v>
      </c>
      <c r="AS30" s="440">
        <f t="shared" si="16"/>
        <v>4.4388013486306117E-2</v>
      </c>
      <c r="AT30" s="432"/>
      <c r="AU30" s="441">
        <f t="shared" si="17"/>
        <v>0</v>
      </c>
      <c r="AV30" s="442">
        <f t="shared" si="18"/>
        <v>0</v>
      </c>
      <c r="AW30" s="442">
        <f t="shared" si="19"/>
        <v>0</v>
      </c>
      <c r="AX30" s="442">
        <f t="shared" si="20"/>
        <v>0</v>
      </c>
      <c r="AY30" s="443">
        <f t="shared" si="21"/>
        <v>0</v>
      </c>
      <c r="AZ30" s="444">
        <f t="shared" si="43"/>
        <v>-1</v>
      </c>
      <c r="BA30" s="445">
        <f t="shared" si="22"/>
        <v>0</v>
      </c>
      <c r="BB30" s="446">
        <f t="shared" si="22"/>
        <v>0</v>
      </c>
      <c r="BC30" s="446">
        <f t="shared" si="22"/>
        <v>0</v>
      </c>
      <c r="BD30" s="446">
        <f t="shared" si="22"/>
        <v>0</v>
      </c>
      <c r="BE30" s="446">
        <f t="shared" si="22"/>
        <v>0</v>
      </c>
      <c r="BF30" s="447">
        <f t="shared" si="44"/>
        <v>5573679.096171773</v>
      </c>
      <c r="BH30" s="448">
        <f>'Op Cost-26'!E21</f>
        <v>28281032</v>
      </c>
      <c r="BI30" s="449">
        <f t="shared" si="23"/>
        <v>0.19708188499527787</v>
      </c>
      <c r="BJ30" s="450">
        <f t="shared" si="24"/>
        <v>5573679.096171773</v>
      </c>
      <c r="BK30" s="451">
        <f t="shared" si="25"/>
        <v>0</v>
      </c>
      <c r="BL30" s="1">
        <f t="shared" si="45"/>
        <v>1.0387195044640831</v>
      </c>
      <c r="BM30" s="112">
        <f t="shared" si="46"/>
        <v>0.93905874358745212</v>
      </c>
      <c r="BN30" s="112">
        <f t="shared" si="47"/>
        <v>1.3122677011001305</v>
      </c>
      <c r="BO30" s="113">
        <f t="shared" si="48"/>
        <v>0.95177578658437512</v>
      </c>
      <c r="BP30" s="452">
        <f t="shared" si="26"/>
        <v>5573679.096171773</v>
      </c>
      <c r="BQ30" s="115">
        <f t="shared" si="49"/>
        <v>4.8097592414728274E-2</v>
      </c>
      <c r="BR30" s="116">
        <f t="shared" si="50"/>
        <v>4.8097592414728274E-2</v>
      </c>
      <c r="BS30" s="453">
        <f t="shared" si="51"/>
        <v>5.0119816998769551E-2</v>
      </c>
      <c r="BT30" s="118">
        <f t="shared" si="52"/>
        <v>5948793.5809920412</v>
      </c>
      <c r="BU30" s="119">
        <f t="shared" si="53"/>
        <v>8484309.5999999996</v>
      </c>
      <c r="BV30" s="119">
        <f t="shared" si="54"/>
        <v>5948793.5809920412</v>
      </c>
      <c r="BW30" s="119">
        <f t="shared" si="65"/>
        <v>0</v>
      </c>
      <c r="BX30" s="120">
        <f t="shared" si="55"/>
        <v>4.8097592414728274E-2</v>
      </c>
      <c r="BY30" s="454">
        <f t="shared" si="56"/>
        <v>5.3934092479602083E-2</v>
      </c>
      <c r="BZ30" s="122">
        <f t="shared" si="57"/>
        <v>5963504.2578953849</v>
      </c>
      <c r="CA30" s="455">
        <f t="shared" si="27"/>
        <v>4.9510100115291479E-2</v>
      </c>
      <c r="CB30" s="456">
        <f t="shared" si="28"/>
        <v>370551.14743542281</v>
      </c>
      <c r="CC30" s="456">
        <f t="shared" si="29"/>
        <v>5944230.243607196</v>
      </c>
      <c r="CD30" s="457">
        <f t="shared" si="30"/>
        <v>0.2101843470071105</v>
      </c>
      <c r="CE30" s="458">
        <f t="shared" si="31"/>
        <v>0</v>
      </c>
      <c r="CF30" s="17"/>
      <c r="CG30" s="459">
        <f t="shared" si="32"/>
        <v>28281032</v>
      </c>
      <c r="CH30" s="460">
        <f t="shared" si="58"/>
        <v>0.2101843470071105</v>
      </c>
      <c r="CI30" s="461">
        <f t="shared" si="33"/>
        <v>5944230.243607196</v>
      </c>
      <c r="CJ30" s="462">
        <f t="shared" si="34"/>
        <v>0</v>
      </c>
      <c r="CL30" s="463">
        <f t="shared" si="35"/>
        <v>5944230.243607196</v>
      </c>
      <c r="CM30" s="464">
        <f t="shared" si="36"/>
        <v>5.1109798723972179E-2</v>
      </c>
      <c r="CN30" s="465">
        <f t="shared" si="37"/>
        <v>7791.4960193311172</v>
      </c>
      <c r="CO30" s="466">
        <f t="shared" si="59"/>
        <v>5952021.7396265268</v>
      </c>
      <c r="CP30" s="467">
        <f t="shared" si="60"/>
        <v>0.21045984954249644</v>
      </c>
      <c r="CQ30" s="468">
        <f t="shared" si="38"/>
        <v>0</v>
      </c>
      <c r="CR30" s="469"/>
      <c r="CS30" s="470">
        <f t="shared" si="39"/>
        <v>8484309.5999999996</v>
      </c>
      <c r="CT30" s="465">
        <f t="shared" si="40"/>
        <v>0</v>
      </c>
      <c r="CU30" s="471">
        <f t="shared" si="41"/>
        <v>5952021.7396265268</v>
      </c>
      <c r="CV30" s="472">
        <f t="shared" si="42"/>
        <v>0.21045984954249644</v>
      </c>
      <c r="CY30" s="473">
        <v>0</v>
      </c>
      <c r="CZ30" s="474">
        <f t="shared" si="61"/>
        <v>5952021.7396265268</v>
      </c>
      <c r="DA30" s="475">
        <f t="shared" si="62"/>
        <v>0.21045984954249644</v>
      </c>
      <c r="DB30" s="1">
        <f t="shared" si="63"/>
        <v>0</v>
      </c>
      <c r="DC30" s="293">
        <f t="shared" si="64"/>
        <v>0.21086586436786978</v>
      </c>
      <c r="DF30" s="476"/>
    </row>
    <row r="31" spans="1:110">
      <c r="A31" s="477" t="s">
        <v>104</v>
      </c>
      <c r="B31" s="428" t="s">
        <v>107</v>
      </c>
      <c r="C31" s="429"/>
      <c r="D31" s="91">
        <f>'Sizing - Reimb Exp-26'!B22</f>
        <v>35845053</v>
      </c>
      <c r="E31" s="92">
        <f>'Ridership-26'!$E22</f>
        <v>5351810</v>
      </c>
      <c r="F31" s="92">
        <f>'Revenue Hours-26'!$E22</f>
        <v>308856.31</v>
      </c>
      <c r="G31" s="92">
        <f>'Revenue Miles-26'!$E22</f>
        <v>2865159</v>
      </c>
      <c r="H31" s="478">
        <f t="shared" si="0"/>
        <v>7.3746384257605296E-2</v>
      </c>
      <c r="I31" s="431">
        <f t="shared" si="1"/>
        <v>7.3746384257605296E-2</v>
      </c>
      <c r="J31" s="432"/>
      <c r="K31" s="433">
        <f>'Ridership-26'!B22/'Revenue Hours-26'!B22</f>
        <v>7.2218469159098948</v>
      </c>
      <c r="L31" s="434">
        <f>'Ridership-26'!C22/'Revenue Hours-26'!C22</f>
        <v>11.021126607734487</v>
      </c>
      <c r="M31" s="434">
        <f>'Ridership-26'!D22/'Revenue Hours-26'!D22</f>
        <v>14.745469355165852</v>
      </c>
      <c r="N31" s="539">
        <f>'Ridership-26'!E22/'Revenue Hours-26'!K22</f>
        <v>17.327831184669662</v>
      </c>
      <c r="O31" s="435">
        <f t="shared" si="2"/>
        <v>1.1378339509151447</v>
      </c>
      <c r="P31" s="436">
        <f t="shared" si="3"/>
        <v>8.3911139765537462E-2</v>
      </c>
      <c r="Q31" s="437">
        <f t="shared" si="4"/>
        <v>8.0477814744730133E-2</v>
      </c>
      <c r="R31" s="438">
        <f>'Ridership-26'!B22/'Revenue Miles-26'!B22</f>
        <v>0.80452628182287345</v>
      </c>
      <c r="S31" s="434">
        <f>'Ridership-26'!C22/'Revenue Miles-26'!C22</f>
        <v>1.2173072182855937</v>
      </c>
      <c r="T31" s="434">
        <f>'Ridership-26'!D22/'Revenue Miles-26'!D22</f>
        <v>1.5082541507857004</v>
      </c>
      <c r="U31" s="539">
        <f>'Ridership-26'!E22/'Revenue Miles-26'!K22</f>
        <v>1.8678928464353985</v>
      </c>
      <c r="V31" s="435">
        <f t="shared" si="5"/>
        <v>1.1322299531663331</v>
      </c>
      <c r="W31" s="436">
        <f t="shared" si="6"/>
        <v>8.3497865194174847E-2</v>
      </c>
      <c r="X31" s="437">
        <f t="shared" si="7"/>
        <v>7.9856768346316234E-2</v>
      </c>
      <c r="Y31" s="438">
        <f>'Op Cost-26'!B22/'Revenue Hours-26'!B22</f>
        <v>113.69054841372804</v>
      </c>
      <c r="Z31" s="434">
        <f>'Op Cost-26'!C22/'Revenue Hours-26'!C22</f>
        <v>98.632543150219192</v>
      </c>
      <c r="AA31" s="434">
        <f>'Op Cost-26'!D22/'Revenue Hours-26'!D22</f>
        <v>103.11566062580688</v>
      </c>
      <c r="AB31" s="434">
        <f>'Op Cost-26'!E22/'Revenue Hours-26'!E22</f>
        <v>116.71198169789699</v>
      </c>
      <c r="AC31" s="435">
        <f t="shared" si="8"/>
        <v>0.96878639742207318</v>
      </c>
      <c r="AD31" s="436">
        <f t="shared" si="9"/>
        <v>7.6122439842098696E-2</v>
      </c>
      <c r="AE31" s="437">
        <f t="shared" si="10"/>
        <v>7.6257716986328494E-2</v>
      </c>
      <c r="AF31" s="438">
        <f>'Op Cost-26'!B22/'Revenue Miles-26'!B22</f>
        <v>12.665324432756394</v>
      </c>
      <c r="AG31" s="434">
        <f>'Op Cost-26'!C22/'Revenue Miles-26'!C22</f>
        <v>10.894177247756708</v>
      </c>
      <c r="AH31" s="434">
        <f>'Op Cost-26'!D22/'Revenue Miles-26'!D22</f>
        <v>10.547281975490128</v>
      </c>
      <c r="AI31" s="434">
        <f>'Op Cost-26'!E22/'Revenue Miles-26'!E22</f>
        <v>12.581232664574635</v>
      </c>
      <c r="AJ31" s="435">
        <f t="shared" si="11"/>
        <v>0.96628072093214301</v>
      </c>
      <c r="AK31" s="436">
        <f t="shared" si="12"/>
        <v>7.6319834040013038E-2</v>
      </c>
      <c r="AL31" s="437">
        <f t="shared" si="13"/>
        <v>7.6448731926248126E-2</v>
      </c>
      <c r="AM31" s="438">
        <f>'Op Cost-26'!B22/'Ridership-26'!B22</f>
        <v>15.742586313102974</v>
      </c>
      <c r="AN31" s="434">
        <f>'Op Cost-26'!C22/'Ridership-26'!C22</f>
        <v>8.9494065952386492</v>
      </c>
      <c r="AO31" s="434">
        <f>'Op Cost-26'!D22/'Ridership-26'!D22</f>
        <v>6.9930402445739626</v>
      </c>
      <c r="AP31" s="434">
        <f>'Op Cost-26'!E22/'Ridership-26'!E22</f>
        <v>6.7355216272625524</v>
      </c>
      <c r="AQ31" s="435">
        <f t="shared" si="14"/>
        <v>0.85513349272278338</v>
      </c>
      <c r="AR31" s="436">
        <f t="shared" si="15"/>
        <v>8.6239616253122667E-2</v>
      </c>
      <c r="AS31" s="440">
        <f t="shared" si="16"/>
        <v>8.6743425442768265E-2</v>
      </c>
      <c r="AT31" s="432"/>
      <c r="AU31" s="441">
        <f t="shared" si="17"/>
        <v>0</v>
      </c>
      <c r="AV31" s="442">
        <f t="shared" si="18"/>
        <v>0</v>
      </c>
      <c r="AW31" s="442">
        <f t="shared" si="19"/>
        <v>0</v>
      </c>
      <c r="AX31" s="442">
        <f t="shared" si="20"/>
        <v>0</v>
      </c>
      <c r="AY31" s="443">
        <f t="shared" si="21"/>
        <v>0</v>
      </c>
      <c r="AZ31" s="444">
        <f t="shared" si="43"/>
        <v>-1</v>
      </c>
      <c r="BA31" s="445">
        <f t="shared" si="22"/>
        <v>0</v>
      </c>
      <c r="BB31" s="446">
        <f t="shared" si="22"/>
        <v>0</v>
      </c>
      <c r="BC31" s="446">
        <f t="shared" si="22"/>
        <v>0</v>
      </c>
      <c r="BD31" s="446">
        <f t="shared" si="22"/>
        <v>0</v>
      </c>
      <c r="BE31" s="446">
        <f t="shared" si="22"/>
        <v>0</v>
      </c>
      <c r="BF31" s="447">
        <f t="shared" si="44"/>
        <v>8876824.6587543637</v>
      </c>
      <c r="BH31" s="448">
        <f>'Op Cost-26'!E22</f>
        <v>36047232</v>
      </c>
      <c r="BI31" s="449">
        <f t="shared" si="23"/>
        <v>0.24625537569027114</v>
      </c>
      <c r="BJ31" s="450">
        <f t="shared" si="24"/>
        <v>8876824.6587543637</v>
      </c>
      <c r="BK31" s="451">
        <f t="shared" si="25"/>
        <v>0</v>
      </c>
      <c r="BL31" s="1">
        <f t="shared" si="45"/>
        <v>1.775261188672892</v>
      </c>
      <c r="BM31" s="112">
        <f t="shared" si="46"/>
        <v>1.5279764913891456</v>
      </c>
      <c r="BN31" s="112">
        <f t="shared" si="47"/>
        <v>2.3223718459408937</v>
      </c>
      <c r="BO31" s="113">
        <f t="shared" si="48"/>
        <v>1.6253482086807645</v>
      </c>
      <c r="BP31" s="452">
        <f t="shared" si="26"/>
        <v>8876824.6587543637</v>
      </c>
      <c r="BQ31" s="115">
        <f t="shared" si="49"/>
        <v>0.13091909377748423</v>
      </c>
      <c r="BR31" s="116">
        <f t="shared" si="50"/>
        <v>0.13091909377748423</v>
      </c>
      <c r="BS31" s="453">
        <f t="shared" si="51"/>
        <v>0.13642348176585606</v>
      </c>
      <c r="BT31" s="118">
        <f t="shared" si="52"/>
        <v>9897866.3772674762</v>
      </c>
      <c r="BU31" s="119">
        <f t="shared" si="53"/>
        <v>10814169.6</v>
      </c>
      <c r="BV31" s="119">
        <f t="shared" si="54"/>
        <v>9897866.3772674762</v>
      </c>
      <c r="BW31" s="119">
        <f t="shared" si="65"/>
        <v>0</v>
      </c>
      <c r="BX31" s="120">
        <f t="shared" si="55"/>
        <v>0.13091909377748423</v>
      </c>
      <c r="BY31" s="454">
        <f t="shared" si="56"/>
        <v>0.14680573718235296</v>
      </c>
      <c r="BZ31" s="122">
        <f t="shared" si="57"/>
        <v>9937908.0590305198</v>
      </c>
      <c r="CA31" s="455">
        <f t="shared" si="27"/>
        <v>7.8851413936384993E-2</v>
      </c>
      <c r="CB31" s="456">
        <f t="shared" si="28"/>
        <v>590151.94562308409</v>
      </c>
      <c r="CC31" s="456">
        <f t="shared" si="29"/>
        <v>9466976.6043774486</v>
      </c>
      <c r="CD31" s="457">
        <f t="shared" si="30"/>
        <v>0.26262700571232345</v>
      </c>
      <c r="CE31" s="458">
        <f t="shared" si="31"/>
        <v>0</v>
      </c>
      <c r="CF31" s="17"/>
      <c r="CG31" s="459">
        <f t="shared" si="32"/>
        <v>36047232</v>
      </c>
      <c r="CH31" s="460">
        <f t="shared" si="58"/>
        <v>0.26262700571232345</v>
      </c>
      <c r="CI31" s="461">
        <f t="shared" si="33"/>
        <v>9466976.6043774486</v>
      </c>
      <c r="CJ31" s="462">
        <f t="shared" si="34"/>
        <v>0</v>
      </c>
      <c r="CL31" s="463">
        <f t="shared" si="35"/>
        <v>9466976.6043774486</v>
      </c>
      <c r="CM31" s="464">
        <f t="shared" si="36"/>
        <v>8.139914655806843E-2</v>
      </c>
      <c r="CN31" s="465">
        <f t="shared" si="37"/>
        <v>12408.992839305974</v>
      </c>
      <c r="CO31" s="466">
        <f t="shared" si="59"/>
        <v>9479385.5972167552</v>
      </c>
      <c r="CP31" s="467">
        <f t="shared" si="60"/>
        <v>0.26297124831156954</v>
      </c>
      <c r="CQ31" s="468">
        <f t="shared" si="38"/>
        <v>0</v>
      </c>
      <c r="CR31" s="469"/>
      <c r="CS31" s="470">
        <f t="shared" si="39"/>
        <v>10814169.6</v>
      </c>
      <c r="CT31" s="465">
        <f t="shared" si="40"/>
        <v>0</v>
      </c>
      <c r="CU31" s="471">
        <f t="shared" si="41"/>
        <v>9479385.5972167552</v>
      </c>
      <c r="CV31" s="472">
        <f t="shared" si="42"/>
        <v>0.26297124831156954</v>
      </c>
      <c r="CY31" s="473">
        <v>170685.8</v>
      </c>
      <c r="CZ31" s="474">
        <f t="shared" si="61"/>
        <v>9650071.3972167559</v>
      </c>
      <c r="DA31" s="475">
        <f t="shared" si="62"/>
        <v>0.26770630813530305</v>
      </c>
      <c r="DB31" s="1">
        <f t="shared" si="63"/>
        <v>0</v>
      </c>
      <c r="DC31" s="293">
        <f t="shared" si="64"/>
        <v>0.27569129466114123</v>
      </c>
      <c r="DF31" s="476"/>
    </row>
    <row r="32" spans="1:110">
      <c r="A32" s="477" t="s">
        <v>104</v>
      </c>
      <c r="B32" s="428" t="s">
        <v>108</v>
      </c>
      <c r="C32" s="429"/>
      <c r="D32" s="91">
        <f>'Sizing - Reimb Exp-26'!B23</f>
        <v>5453602</v>
      </c>
      <c r="E32" s="92">
        <f>'Ridership-26'!$E23</f>
        <v>1002134</v>
      </c>
      <c r="F32" s="92">
        <f>'Revenue Hours-26'!$E23</f>
        <v>34526</v>
      </c>
      <c r="G32" s="92">
        <f>'Revenue Miles-26'!$E23</f>
        <v>434414</v>
      </c>
      <c r="H32" s="478">
        <f t="shared" si="0"/>
        <v>1.205585887728073E-2</v>
      </c>
      <c r="I32" s="431">
        <f t="shared" si="1"/>
        <v>1.205585887728073E-2</v>
      </c>
      <c r="J32" s="432"/>
      <c r="K32" s="433">
        <f>'Ridership-26'!B23/'Revenue Hours-26'!B23</f>
        <v>9.5356184364060681</v>
      </c>
      <c r="L32" s="434">
        <f>'Ridership-26'!C23/'Revenue Hours-26'!C23</f>
        <v>13.465131541402728</v>
      </c>
      <c r="M32" s="434">
        <f>'Ridership-26'!D23/'Revenue Hours-26'!D23</f>
        <v>24.467665569605636</v>
      </c>
      <c r="N32" s="539">
        <f>'Ridership-26'!E23/'Revenue Hours-26'!K23</f>
        <v>29.025488038000347</v>
      </c>
      <c r="O32" s="435">
        <f t="shared" si="2"/>
        <v>1.2460987517963511</v>
      </c>
      <c r="P32" s="436">
        <f t="shared" si="3"/>
        <v>1.5022790698812476E-2</v>
      </c>
      <c r="Q32" s="437">
        <f t="shared" si="4"/>
        <v>1.4408115182156369E-2</v>
      </c>
      <c r="R32" s="438">
        <f>'Ridership-26'!B23/'Revenue Miles-26'!B23</f>
        <v>0.74451206457520036</v>
      </c>
      <c r="S32" s="434">
        <f>'Ridership-26'!C23/'Revenue Miles-26'!C23</f>
        <v>1.0865963144527517</v>
      </c>
      <c r="T32" s="434">
        <f>'Ridership-26'!D23/'Revenue Miles-26'!D23</f>
        <v>1.9292701193514095</v>
      </c>
      <c r="U32" s="539">
        <f>'Ridership-26'!E23/'Revenue Miles-26'!K23</f>
        <v>2.3068639592646645</v>
      </c>
      <c r="V32" s="435">
        <f t="shared" si="5"/>
        <v>1.2548259859674822</v>
      </c>
      <c r="W32" s="436">
        <f t="shared" si="6"/>
        <v>1.5128005002368614E-2</v>
      </c>
      <c r="X32" s="437">
        <f t="shared" si="7"/>
        <v>1.4468317102559212E-2</v>
      </c>
      <c r="Y32" s="438">
        <f>'Op Cost-26'!B23/'Revenue Hours-26'!B23</f>
        <v>133.20037922987166</v>
      </c>
      <c r="Z32" s="434">
        <f>'Op Cost-26'!C23/'Revenue Hours-26'!C23</f>
        <v>152.54685270786965</v>
      </c>
      <c r="AA32" s="434">
        <f>'Op Cost-26'!D23/'Revenue Hours-26'!D23</f>
        <v>153.82888734915412</v>
      </c>
      <c r="AB32" s="434">
        <f>'Op Cost-26'!E23/'Revenue Hours-26'!E23</f>
        <v>157.95638069860394</v>
      </c>
      <c r="AC32" s="435">
        <f t="shared" si="8"/>
        <v>1.0154239429893224</v>
      </c>
      <c r="AD32" s="436">
        <f t="shared" si="9"/>
        <v>1.1872734497267515E-2</v>
      </c>
      <c r="AE32" s="437">
        <f t="shared" si="10"/>
        <v>1.1893833526940244E-2</v>
      </c>
      <c r="AF32" s="438">
        <f>'Op Cost-26'!B23/'Revenue Miles-26'!B23</f>
        <v>10.399880196968939</v>
      </c>
      <c r="AG32" s="434">
        <f>'Op Cost-26'!C23/'Revenue Miles-26'!C23</f>
        <v>12.310080107577638</v>
      </c>
      <c r="AH32" s="434">
        <f>'Op Cost-26'!D23/'Revenue Miles-26'!D23</f>
        <v>12.129374378259513</v>
      </c>
      <c r="AI32" s="434">
        <f>'Op Cost-26'!E23/'Revenue Miles-26'!E23</f>
        <v>12.553927820005802</v>
      </c>
      <c r="AJ32" s="435">
        <f t="shared" si="11"/>
        <v>1.0297394729691056</v>
      </c>
      <c r="AK32" s="436">
        <f t="shared" si="12"/>
        <v>1.17076786835406E-2</v>
      </c>
      <c r="AL32" s="437">
        <f t="shared" si="13"/>
        <v>1.1727451984334687E-2</v>
      </c>
      <c r="AM32" s="438">
        <f>'Op Cost-26'!B23/'Ridership-26'!B23</f>
        <v>13.968719503427852</v>
      </c>
      <c r="AN32" s="434">
        <f>'Op Cost-26'!C23/'Ridership-26'!C23</f>
        <v>11.329028033541075</v>
      </c>
      <c r="AO32" s="434">
        <f>'Op Cost-26'!D23/'Ridership-26'!D23</f>
        <v>6.2870275430053413</v>
      </c>
      <c r="AP32" s="434">
        <f>'Op Cost-26'!E23/'Ridership-26'!E23</f>
        <v>5.4419887959095288</v>
      </c>
      <c r="AQ32" s="439">
        <f t="shared" si="14"/>
        <v>0.84226751674459921</v>
      </c>
      <c r="AR32" s="436">
        <f t="shared" si="15"/>
        <v>1.4313574532563184E-2</v>
      </c>
      <c r="AS32" s="440">
        <f t="shared" si="16"/>
        <v>1.4397193995398181E-2</v>
      </c>
      <c r="AT32" s="432"/>
      <c r="AU32" s="441">
        <f t="shared" si="17"/>
        <v>0</v>
      </c>
      <c r="AV32" s="442">
        <f t="shared" si="18"/>
        <v>0</v>
      </c>
      <c r="AW32" s="442">
        <f t="shared" si="19"/>
        <v>0</v>
      </c>
      <c r="AX32" s="442">
        <f t="shared" si="20"/>
        <v>0</v>
      </c>
      <c r="AY32" s="443">
        <f t="shared" si="21"/>
        <v>0</v>
      </c>
      <c r="AZ32" s="444">
        <f t="shared" si="43"/>
        <v>-1</v>
      </c>
      <c r="BA32" s="445">
        <f t="shared" si="22"/>
        <v>0</v>
      </c>
      <c r="BB32" s="446">
        <f t="shared" si="22"/>
        <v>0</v>
      </c>
      <c r="BC32" s="446">
        <f t="shared" si="22"/>
        <v>0</v>
      </c>
      <c r="BD32" s="446">
        <f t="shared" si="22"/>
        <v>0</v>
      </c>
      <c r="BE32" s="446">
        <f t="shared" si="22"/>
        <v>0</v>
      </c>
      <c r="BF32" s="447">
        <f t="shared" si="44"/>
        <v>1451159.2187419247</v>
      </c>
      <c r="BH32" s="448">
        <f>'Op Cost-26'!E23</f>
        <v>5453602</v>
      </c>
      <c r="BI32" s="449">
        <f t="shared" si="23"/>
        <v>0.26609188179517401</v>
      </c>
      <c r="BJ32" s="450">
        <f t="shared" si="24"/>
        <v>1451159.2187419247</v>
      </c>
      <c r="BK32" s="451">
        <f t="shared" si="25"/>
        <v>0</v>
      </c>
      <c r="BL32" s="1">
        <f t="shared" si="45"/>
        <v>2.362750319048402</v>
      </c>
      <c r="BM32" s="112">
        <f t="shared" si="46"/>
        <v>2.5594815012047842</v>
      </c>
      <c r="BN32" s="112">
        <f t="shared" si="47"/>
        <v>2.8681494881442515</v>
      </c>
      <c r="BO32" s="113">
        <f t="shared" si="48"/>
        <v>2.0116851434222869</v>
      </c>
      <c r="BP32" s="452">
        <f t="shared" si="26"/>
        <v>1451159.2187419247</v>
      </c>
      <c r="BQ32" s="115">
        <f t="shared" si="49"/>
        <v>2.8484984408697553E-2</v>
      </c>
      <c r="BR32" s="116">
        <f t="shared" si="50"/>
        <v>2.8484984408697553E-2</v>
      </c>
      <c r="BS32" s="453">
        <f t="shared" si="51"/>
        <v>2.9682612665235017E-2</v>
      </c>
      <c r="BT32" s="118">
        <f t="shared" si="52"/>
        <v>1673314.4185167474</v>
      </c>
      <c r="BU32" s="119">
        <f t="shared" si="53"/>
        <v>1636080.5999999999</v>
      </c>
      <c r="BV32" s="119">
        <f t="shared" si="54"/>
        <v>1636080.5999999999</v>
      </c>
      <c r="BW32" s="119">
        <f t="shared" si="65"/>
        <v>37233.81851674756</v>
      </c>
      <c r="BX32" s="120">
        <f t="shared" si="55"/>
        <v>0</v>
      </c>
      <c r="BY32" s="454">
        <f t="shared" si="56"/>
        <v>0</v>
      </c>
      <c r="BZ32" s="122">
        <f t="shared" si="57"/>
        <v>1636080.5999999999</v>
      </c>
      <c r="CA32" s="455">
        <f t="shared" si="27"/>
        <v>1.2890415282876313E-2</v>
      </c>
      <c r="CB32" s="456">
        <f t="shared" si="28"/>
        <v>96476.439410666033</v>
      </c>
      <c r="CC32" s="456">
        <f t="shared" si="29"/>
        <v>1547635.6581525907</v>
      </c>
      <c r="CD32" s="457">
        <f t="shared" si="30"/>
        <v>0.28378228887120671</v>
      </c>
      <c r="CE32" s="458">
        <f t="shared" si="31"/>
        <v>0</v>
      </c>
      <c r="CF32" s="17"/>
      <c r="CG32" s="459">
        <f t="shared" si="32"/>
        <v>5453602</v>
      </c>
      <c r="CH32" s="460">
        <f t="shared" si="58"/>
        <v>0.28378228887120671</v>
      </c>
      <c r="CI32" s="461">
        <f t="shared" si="33"/>
        <v>1547635.6581525907</v>
      </c>
      <c r="CJ32" s="462">
        <f t="shared" si="34"/>
        <v>0</v>
      </c>
      <c r="CL32" s="463">
        <f t="shared" si="35"/>
        <v>1547635.6581525907</v>
      </c>
      <c r="CM32" s="464">
        <f t="shared" si="36"/>
        <v>1.3306911701694193E-2</v>
      </c>
      <c r="CN32" s="465">
        <f t="shared" si="37"/>
        <v>2028.5884926545657</v>
      </c>
      <c r="CO32" s="466">
        <f t="shared" si="59"/>
        <v>1549664.2466452452</v>
      </c>
      <c r="CP32" s="467">
        <f t="shared" si="60"/>
        <v>0.28415426110032327</v>
      </c>
      <c r="CQ32" s="468">
        <f t="shared" si="38"/>
        <v>0</v>
      </c>
      <c r="CR32" s="469"/>
      <c r="CS32" s="470">
        <f t="shared" si="39"/>
        <v>1636080.5999999999</v>
      </c>
      <c r="CT32" s="465">
        <f t="shared" si="40"/>
        <v>0</v>
      </c>
      <c r="CU32" s="471">
        <f t="shared" si="41"/>
        <v>1549664.2466452452</v>
      </c>
      <c r="CV32" s="472">
        <f t="shared" si="42"/>
        <v>0.28415426110032327</v>
      </c>
      <c r="CY32" s="473">
        <v>0</v>
      </c>
      <c r="CZ32" s="474">
        <f t="shared" si="61"/>
        <v>1549664.2466452452</v>
      </c>
      <c r="DA32" s="475">
        <f t="shared" si="62"/>
        <v>0.28415426110032327</v>
      </c>
      <c r="DB32" s="1">
        <f t="shared" si="63"/>
        <v>0</v>
      </c>
      <c r="DC32" s="293">
        <f t="shared" si="64"/>
        <v>0.3</v>
      </c>
      <c r="DF32" s="476"/>
    </row>
    <row r="33" spans="1:110">
      <c r="A33" s="477" t="s">
        <v>104</v>
      </c>
      <c r="B33" s="428" t="s">
        <v>109</v>
      </c>
      <c r="C33" s="429"/>
      <c r="D33" s="91">
        <f>'Sizing - Reimb Exp-26'!B24</f>
        <v>110780790</v>
      </c>
      <c r="E33" s="92">
        <f>'Ridership-26'!$E24</f>
        <v>8721363</v>
      </c>
      <c r="F33" s="92">
        <f>'Revenue Hours-26'!$E24</f>
        <v>819202.73699999996</v>
      </c>
      <c r="G33" s="92">
        <f>'Revenue Miles-26'!$E24</f>
        <v>10820543.213</v>
      </c>
      <c r="H33" s="478">
        <f t="shared" si="0"/>
        <v>0.1765071142056665</v>
      </c>
      <c r="I33" s="431">
        <f t="shared" si="1"/>
        <v>0.1765071142056665</v>
      </c>
      <c r="J33" s="444">
        <v>-2.2508632429540751E-2</v>
      </c>
      <c r="K33" s="433">
        <f>'Ridership-26'!B24/'Revenue Hours-26'!B24</f>
        <v>5.8735316212753474</v>
      </c>
      <c r="L33" s="434">
        <f>'Ridership-26'!C24/'Revenue Hours-26'!C24</f>
        <v>6.1587343955565519</v>
      </c>
      <c r="M33" s="434">
        <f>'Ridership-26'!D24/'Revenue Hours-26'!D24</f>
        <v>9.8555669967058908</v>
      </c>
      <c r="N33" s="539">
        <f>'Ridership-26'!E24/'Revenue Hours-26'!K24</f>
        <v>10.646159498854312</v>
      </c>
      <c r="O33" s="435">
        <f t="shared" si="2"/>
        <v>1.0577335192633481</v>
      </c>
      <c r="P33" s="436">
        <f t="shared" si="3"/>
        <v>0.18669749108377734</v>
      </c>
      <c r="Q33" s="437">
        <f t="shared" si="4"/>
        <v>0.17905853910134767</v>
      </c>
      <c r="R33" s="438">
        <f>'Ridership-26'!B24/'Revenue Miles-26'!B24</f>
        <v>0.454872375587629</v>
      </c>
      <c r="S33" s="434">
        <f>'Ridership-26'!C24/'Revenue Miles-26'!C24</f>
        <v>0.47446458788106716</v>
      </c>
      <c r="T33" s="434">
        <f>'Ridership-26'!D24/'Revenue Miles-26'!D24</f>
        <v>0.7557807792342961</v>
      </c>
      <c r="U33" s="539">
        <f>'Ridership-26'!E24/'Revenue Miles-26'!K24</f>
        <v>0.80600047782462481</v>
      </c>
      <c r="V33" s="435">
        <f t="shared" si="5"/>
        <v>1.0532283509620195</v>
      </c>
      <c r="W33" s="436">
        <f t="shared" si="6"/>
        <v>0.18590229682789897</v>
      </c>
      <c r="X33" s="437">
        <f t="shared" si="7"/>
        <v>0.17779564325758754</v>
      </c>
      <c r="Y33" s="438">
        <f>'Op Cost-26'!B24/'Revenue Hours-26'!B24</f>
        <v>123.96447205256577</v>
      </c>
      <c r="Z33" s="434">
        <f>'Op Cost-26'!C24/'Revenue Hours-26'!C24</f>
        <v>123.17011468072208</v>
      </c>
      <c r="AA33" s="434">
        <f>'Op Cost-26'!D24/'Revenue Hours-26'!D24</f>
        <v>127.77476943594867</v>
      </c>
      <c r="AB33" s="434">
        <f>'Op Cost-26'!E24/'Revenue Hours-26'!E24</f>
        <v>135.70313913636252</v>
      </c>
      <c r="AC33" s="435">
        <f t="shared" si="8"/>
        <v>0.9854985928540646</v>
      </c>
      <c r="AD33" s="436">
        <f t="shared" si="9"/>
        <v>0.1791043797378655</v>
      </c>
      <c r="AE33" s="437">
        <f t="shared" si="10"/>
        <v>0.17942266602848159</v>
      </c>
      <c r="AF33" s="438">
        <f>'Op Cost-26'!B24/'Revenue Miles-26'!B24</f>
        <v>9.6003592943580749</v>
      </c>
      <c r="AG33" s="434">
        <f>'Op Cost-26'!C24/'Revenue Miles-26'!C24</f>
        <v>9.4889394391510358</v>
      </c>
      <c r="AH33" s="434">
        <f>'Op Cost-26'!D24/'Revenue Miles-26'!D24</f>
        <v>9.7984940737616739</v>
      </c>
      <c r="AI33" s="434">
        <f>'Op Cost-26'!E24/'Revenue Miles-26'!E24</f>
        <v>10.273826443984833</v>
      </c>
      <c r="AJ33" s="435">
        <f t="shared" si="11"/>
        <v>0.98269843075003915</v>
      </c>
      <c r="AK33" s="436">
        <f t="shared" si="12"/>
        <v>0.17961473091083335</v>
      </c>
      <c r="AL33" s="437">
        <f t="shared" si="13"/>
        <v>0.17991808533294795</v>
      </c>
      <c r="AM33" s="438">
        <f>'Op Cost-26'!B24/'Ridership-26'!B24</f>
        <v>21.10561073742015</v>
      </c>
      <c r="AN33" s="434">
        <f>'Op Cost-26'!C24/'Ridership-26'!C24</f>
        <v>19.999257439903197</v>
      </c>
      <c r="AO33" s="434">
        <f>'Op Cost-26'!D24/'Ridership-26'!D24</f>
        <v>12.964730439015423</v>
      </c>
      <c r="AP33" s="434">
        <f>'Op Cost-26'!E24/'Ridership-26'!E24</f>
        <v>12.746675376314458</v>
      </c>
      <c r="AQ33" s="435">
        <f t="shared" si="14"/>
        <v>0.97433760769024191</v>
      </c>
      <c r="AR33" s="436">
        <f t="shared" si="15"/>
        <v>0.18115601082472127</v>
      </c>
      <c r="AS33" s="440">
        <f t="shared" si="16"/>
        <v>0.18221431867647644</v>
      </c>
      <c r="AT33" s="432"/>
      <c r="AU33" s="441">
        <f t="shared" si="17"/>
        <v>0</v>
      </c>
      <c r="AV33" s="442">
        <f t="shared" si="18"/>
        <v>0</v>
      </c>
      <c r="AW33" s="442">
        <f t="shared" si="19"/>
        <v>0</v>
      </c>
      <c r="AX33" s="442">
        <f t="shared" si="20"/>
        <v>0</v>
      </c>
      <c r="AY33" s="443">
        <f t="shared" si="21"/>
        <v>0</v>
      </c>
      <c r="AZ33" s="444">
        <f t="shared" si="43"/>
        <v>-1</v>
      </c>
      <c r="BA33" s="445">
        <f t="shared" si="22"/>
        <v>0</v>
      </c>
      <c r="BB33" s="446">
        <f t="shared" si="22"/>
        <v>0</v>
      </c>
      <c r="BC33" s="446">
        <f t="shared" si="22"/>
        <v>0</v>
      </c>
      <c r="BD33" s="446">
        <f t="shared" si="22"/>
        <v>0</v>
      </c>
      <c r="BE33" s="446">
        <f t="shared" si="22"/>
        <v>0</v>
      </c>
      <c r="BF33" s="447">
        <f t="shared" si="44"/>
        <v>21246095.243847162</v>
      </c>
      <c r="BH33" s="448">
        <f>'Op Cost-26'!E24</f>
        <v>111168383</v>
      </c>
      <c r="BI33" s="449">
        <f t="shared" si="23"/>
        <v>0.19111634684699122</v>
      </c>
      <c r="BJ33" s="450">
        <f t="shared" si="24"/>
        <v>21246095.243847162</v>
      </c>
      <c r="BK33" s="451">
        <f t="shared" si="25"/>
        <v>0</v>
      </c>
      <c r="BL33" s="1">
        <f t="shared" si="45"/>
        <v>0.91465156320626262</v>
      </c>
      <c r="BM33" s="112">
        <f t="shared" si="46"/>
        <v>0.93878346715545702</v>
      </c>
      <c r="BN33" s="112">
        <f t="shared" si="47"/>
        <v>1.0021093132226169</v>
      </c>
      <c r="BO33" s="113">
        <f t="shared" si="48"/>
        <v>0.85885673622348813</v>
      </c>
      <c r="BP33" s="452">
        <f t="shared" si="26"/>
        <v>21246095.243847162</v>
      </c>
      <c r="BQ33" s="115">
        <f t="shared" si="49"/>
        <v>0.1614425079252392</v>
      </c>
      <c r="BR33" s="116">
        <f t="shared" si="50"/>
        <v>0.1614425079252392</v>
      </c>
      <c r="BS33" s="453">
        <f t="shared" si="51"/>
        <v>0.16823022830884254</v>
      </c>
      <c r="BT33" s="118">
        <f t="shared" si="52"/>
        <v>22505189.933375195</v>
      </c>
      <c r="BU33" s="119">
        <f t="shared" si="53"/>
        <v>33350514.899999999</v>
      </c>
      <c r="BV33" s="119">
        <f t="shared" si="54"/>
        <v>22505189.933375195</v>
      </c>
      <c r="BW33" s="119">
        <f t="shared" si="65"/>
        <v>0</v>
      </c>
      <c r="BX33" s="120">
        <f t="shared" si="55"/>
        <v>0.1614425079252392</v>
      </c>
      <c r="BY33" s="454">
        <f t="shared" si="56"/>
        <v>0.18103307703011842</v>
      </c>
      <c r="BZ33" s="122">
        <f t="shared" si="57"/>
        <v>22554567.21929162</v>
      </c>
      <c r="CA33" s="455">
        <f t="shared" si="27"/>
        <v>0.18872566655378056</v>
      </c>
      <c r="CB33" s="456">
        <f t="shared" si="28"/>
        <v>1412489.8178183914</v>
      </c>
      <c r="CC33" s="456">
        <f t="shared" si="29"/>
        <v>22658585.061665554</v>
      </c>
      <c r="CD33" s="457">
        <f t="shared" si="30"/>
        <v>0.20382220601036855</v>
      </c>
      <c r="CE33" s="458">
        <f t="shared" si="31"/>
        <v>0</v>
      </c>
      <c r="CF33" s="17"/>
      <c r="CG33" s="459">
        <f t="shared" si="32"/>
        <v>111168383</v>
      </c>
      <c r="CH33" s="460">
        <f t="shared" si="58"/>
        <v>0.20382220601036855</v>
      </c>
      <c r="CI33" s="461">
        <f t="shared" si="33"/>
        <v>22658585.061665554</v>
      </c>
      <c r="CJ33" s="462">
        <f t="shared" si="34"/>
        <v>0</v>
      </c>
      <c r="CL33" s="463">
        <f t="shared" si="35"/>
        <v>22658585.061665554</v>
      </c>
      <c r="CM33" s="464">
        <f t="shared" si="36"/>
        <v>0.1948234968046868</v>
      </c>
      <c r="CN33" s="465">
        <f t="shared" si="37"/>
        <v>29700.107175611112</v>
      </c>
      <c r="CO33" s="466">
        <f t="shared" si="59"/>
        <v>22688285.168841165</v>
      </c>
      <c r="CP33" s="467">
        <f t="shared" si="60"/>
        <v>0.20408936926645019</v>
      </c>
      <c r="CQ33" s="468">
        <f t="shared" si="38"/>
        <v>0</v>
      </c>
      <c r="CR33" s="469"/>
      <c r="CS33" s="470">
        <f t="shared" si="39"/>
        <v>33350514.899999999</v>
      </c>
      <c r="CT33" s="465">
        <f t="shared" si="40"/>
        <v>0</v>
      </c>
      <c r="CU33" s="471">
        <f t="shared" si="41"/>
        <v>22688285.168841165</v>
      </c>
      <c r="CV33" s="472">
        <f t="shared" si="42"/>
        <v>0.20408936926645019</v>
      </c>
      <c r="CY33" s="473">
        <v>0</v>
      </c>
      <c r="CZ33" s="474">
        <f t="shared" si="61"/>
        <v>22688285.168841165</v>
      </c>
      <c r="DA33" s="475">
        <f t="shared" si="62"/>
        <v>0.20408936926645019</v>
      </c>
      <c r="DB33" s="1">
        <f t="shared" si="63"/>
        <v>0</v>
      </c>
      <c r="DC33" s="293">
        <f t="shared" si="64"/>
        <v>0.20288652772157009</v>
      </c>
      <c r="DF33" s="476"/>
    </row>
    <row r="34" spans="1:110">
      <c r="A34" s="477" t="s">
        <v>104</v>
      </c>
      <c r="B34" s="428" t="s">
        <v>111</v>
      </c>
      <c r="C34" s="429"/>
      <c r="D34" s="91">
        <f>'Sizing - Reimb Exp-26'!B25</f>
        <v>43121644</v>
      </c>
      <c r="E34" s="92">
        <f>'Ridership-26'!$E25</f>
        <v>1972474</v>
      </c>
      <c r="F34" s="92">
        <f>'Revenue Hours-26'!$E25</f>
        <v>236658.2</v>
      </c>
      <c r="G34" s="92">
        <f>'Revenue Miles-26'!$E25</f>
        <v>5670767.6500000004</v>
      </c>
      <c r="H34" s="478">
        <f t="shared" si="0"/>
        <v>6.00105744931968E-2</v>
      </c>
      <c r="I34" s="431">
        <f t="shared" si="1"/>
        <v>6.00105744931968E-2</v>
      </c>
      <c r="J34" s="444">
        <v>-4.2972192458909132E-2</v>
      </c>
      <c r="K34" s="433">
        <f>'Ridership-26'!B25/'Revenue Hours-26'!B25</f>
        <v>3.1822121529637459</v>
      </c>
      <c r="L34" s="434">
        <f>'Ridership-26'!C25/'Revenue Hours-26'!C25</f>
        <v>5.5899358680714615</v>
      </c>
      <c r="M34" s="434">
        <f>'Ridership-26'!D25/'Revenue Hours-26'!D25</f>
        <v>7.9037213878664074</v>
      </c>
      <c r="N34" s="539">
        <f>'Ridership-26'!E25/'Revenue Hours-26'!K25</f>
        <v>11.306413873510943</v>
      </c>
      <c r="O34" s="435">
        <f t="shared" si="2"/>
        <v>1.2985688149434318</v>
      </c>
      <c r="P34" s="436">
        <f t="shared" si="3"/>
        <v>7.7927860603705101E-2</v>
      </c>
      <c r="Q34" s="437">
        <f t="shared" si="4"/>
        <v>7.4739348632871752E-2</v>
      </c>
      <c r="R34" s="438">
        <f>'Ridership-26'!B25/'Revenue Miles-26'!B25</f>
        <v>0.14309026388335411</v>
      </c>
      <c r="S34" s="434">
        <f>'Ridership-26'!C25/'Revenue Miles-26'!C25</f>
        <v>0.23474655175730527</v>
      </c>
      <c r="T34" s="434">
        <f>'Ridership-26'!D25/'Revenue Miles-26'!D25</f>
        <v>0.3221618701088883</v>
      </c>
      <c r="U34" s="539">
        <f>'Ridership-26'!E25/'Revenue Miles-26'!K25</f>
        <v>0.52629907098117701</v>
      </c>
      <c r="V34" s="435">
        <f t="shared" si="5"/>
        <v>1.3260511263177579</v>
      </c>
      <c r="W34" s="436">
        <f t="shared" si="6"/>
        <v>7.9577089897679323E-2</v>
      </c>
      <c r="X34" s="437">
        <f t="shared" si="7"/>
        <v>7.610696655363465E-2</v>
      </c>
      <c r="Y34" s="438">
        <f>'Op Cost-26'!B25/'Revenue Hours-26'!B25</f>
        <v>162.67460550900779</v>
      </c>
      <c r="Z34" s="434">
        <f>'Op Cost-26'!C25/'Revenue Hours-26'!C25</f>
        <v>182.03086120018324</v>
      </c>
      <c r="AA34" s="434">
        <f>'Op Cost-26'!D25/'Revenue Hours-26'!D25</f>
        <v>228.02756454118199</v>
      </c>
      <c r="AB34" s="434">
        <f>'Op Cost-26'!E25/'Revenue Hours-26'!E25</f>
        <v>209.00700250403324</v>
      </c>
      <c r="AC34" s="435">
        <f t="shared" si="8"/>
        <v>1.045677971525393</v>
      </c>
      <c r="AD34" s="436">
        <f t="shared" si="9"/>
        <v>5.7389154335589367E-2</v>
      </c>
      <c r="AE34" s="437">
        <f t="shared" si="10"/>
        <v>5.74911405688786E-2</v>
      </c>
      <c r="AF34" s="438">
        <f>'Op Cost-26'!B25/'Revenue Miles-26'!B25</f>
        <v>7.31477070368339</v>
      </c>
      <c r="AG34" s="434">
        <f>'Op Cost-26'!C25/'Revenue Miles-26'!C25</f>
        <v>7.6442946732585657</v>
      </c>
      <c r="AH34" s="434">
        <f>'Op Cost-26'!D25/'Revenue Miles-26'!D25</f>
        <v>9.2945820106638735</v>
      </c>
      <c r="AI34" s="434">
        <f>'Op Cost-26'!E25/'Revenue Miles-26'!E25</f>
        <v>8.722491213336875</v>
      </c>
      <c r="AJ34" s="435">
        <f t="shared" si="11"/>
        <v>1.0220822440114024</v>
      </c>
      <c r="AK34" s="436">
        <f t="shared" si="12"/>
        <v>5.871403680556192E-2</v>
      </c>
      <c r="AL34" s="437">
        <f t="shared" si="13"/>
        <v>5.8813199956684582E-2</v>
      </c>
      <c r="AM34" s="438">
        <f>'Op Cost-26'!B25/'Ridership-26'!B25</f>
        <v>51.119974938660576</v>
      </c>
      <c r="AN34" s="434">
        <f>'Op Cost-26'!C25/'Ridership-26'!C25</f>
        <v>32.564033916722593</v>
      </c>
      <c r="AO34" s="434">
        <f>'Op Cost-26'!D25/'Ridership-26'!D25</f>
        <v>28.850658234391222</v>
      </c>
      <c r="AP34" s="434">
        <f>'Op Cost-26'!E25/'Ridership-26'!E25</f>
        <v>25.07674169596152</v>
      </c>
      <c r="AQ34" s="435">
        <f t="shared" si="14"/>
        <v>0.88959546780913978</v>
      </c>
      <c r="AR34" s="436">
        <f t="shared" si="15"/>
        <v>6.745827363642988E-2</v>
      </c>
      <c r="AS34" s="440">
        <f t="shared" si="16"/>
        <v>6.7852362799302637E-2</v>
      </c>
      <c r="AT34" s="432"/>
      <c r="AU34" s="441">
        <f t="shared" si="17"/>
        <v>0</v>
      </c>
      <c r="AV34" s="442">
        <f t="shared" si="18"/>
        <v>0</v>
      </c>
      <c r="AW34" s="442">
        <f t="shared" si="19"/>
        <v>0</v>
      </c>
      <c r="AX34" s="442">
        <f t="shared" si="20"/>
        <v>0</v>
      </c>
      <c r="AY34" s="443">
        <f t="shared" si="21"/>
        <v>0</v>
      </c>
      <c r="AZ34" s="444">
        <f t="shared" si="43"/>
        <v>-1</v>
      </c>
      <c r="BA34" s="445">
        <f t="shared" si="22"/>
        <v>0</v>
      </c>
      <c r="BB34" s="446">
        <f t="shared" si="22"/>
        <v>0</v>
      </c>
      <c r="BC34" s="446">
        <f t="shared" si="22"/>
        <v>0</v>
      </c>
      <c r="BD34" s="446">
        <f t="shared" si="22"/>
        <v>0</v>
      </c>
      <c r="BE34" s="446">
        <f t="shared" si="22"/>
        <v>0</v>
      </c>
      <c r="BF34" s="447">
        <f t="shared" si="44"/>
        <v>7223450.3807864795</v>
      </c>
      <c r="BH34" s="448">
        <f>'Op Cost-26'!E25</f>
        <v>49463221</v>
      </c>
      <c r="BI34" s="449">
        <f t="shared" si="23"/>
        <v>0.14603679733647915</v>
      </c>
      <c r="BJ34" s="450">
        <f t="shared" si="24"/>
        <v>7223450.3807864795</v>
      </c>
      <c r="BK34" s="451">
        <f t="shared" si="25"/>
        <v>0</v>
      </c>
      <c r="BL34" s="1">
        <f t="shared" si="45"/>
        <v>0.63112092774913742</v>
      </c>
      <c r="BM34" s="112">
        <f t="shared" si="46"/>
        <v>0.99700501560317789</v>
      </c>
      <c r="BN34" s="112">
        <f t="shared" si="47"/>
        <v>0.65435345893852681</v>
      </c>
      <c r="BO34" s="113">
        <f t="shared" si="48"/>
        <v>0.43656261822742254</v>
      </c>
      <c r="BP34" s="452">
        <f t="shared" si="26"/>
        <v>7223450.3807864795</v>
      </c>
      <c r="BQ34" s="115">
        <f t="shared" si="49"/>
        <v>3.7873929448905087E-2</v>
      </c>
      <c r="BR34" s="116">
        <f t="shared" si="50"/>
        <v>3.7873929448905087E-2</v>
      </c>
      <c r="BS34" s="453">
        <f t="shared" si="51"/>
        <v>3.9466308347320962E-2</v>
      </c>
      <c r="BT34" s="118">
        <f t="shared" si="52"/>
        <v>7518830.2287182184</v>
      </c>
      <c r="BU34" s="119">
        <f t="shared" si="53"/>
        <v>14838966.299999999</v>
      </c>
      <c r="BV34" s="119">
        <f t="shared" si="54"/>
        <v>7518830.2287182184</v>
      </c>
      <c r="BW34" s="119">
        <f t="shared" si="65"/>
        <v>0</v>
      </c>
      <c r="BX34" s="120">
        <f t="shared" si="55"/>
        <v>3.7873929448905087E-2</v>
      </c>
      <c r="BY34" s="454">
        <f t="shared" si="56"/>
        <v>4.2469818361171537E-2</v>
      </c>
      <c r="BZ34" s="122">
        <f t="shared" si="57"/>
        <v>7530413.9922957961</v>
      </c>
      <c r="CA34" s="455">
        <f t="shared" si="27"/>
        <v>6.4164754618940334E-2</v>
      </c>
      <c r="CB34" s="456">
        <f t="shared" si="28"/>
        <v>480231.77884096483</v>
      </c>
      <c r="CC34" s="456">
        <f t="shared" si="29"/>
        <v>7703682.1596274441</v>
      </c>
      <c r="CD34" s="457">
        <f t="shared" si="30"/>
        <v>0.15574566321969699</v>
      </c>
      <c r="CE34" s="458">
        <f t="shared" si="31"/>
        <v>0</v>
      </c>
      <c r="CF34" s="17"/>
      <c r="CG34" s="459">
        <f t="shared" si="32"/>
        <v>49463221</v>
      </c>
      <c r="CH34" s="460">
        <f t="shared" si="58"/>
        <v>0.15574566321969699</v>
      </c>
      <c r="CI34" s="461">
        <f t="shared" si="33"/>
        <v>7703682.1596274441</v>
      </c>
      <c r="CJ34" s="462">
        <f t="shared" si="34"/>
        <v>0</v>
      </c>
      <c r="CL34" s="463">
        <f t="shared" si="35"/>
        <v>7703682.1596274441</v>
      </c>
      <c r="CM34" s="464">
        <f t="shared" si="36"/>
        <v>6.623795318754018E-2</v>
      </c>
      <c r="CN34" s="465">
        <f t="shared" si="37"/>
        <v>10097.726100950104</v>
      </c>
      <c r="CO34" s="466">
        <f t="shared" si="59"/>
        <v>7713779.8857283946</v>
      </c>
      <c r="CP34" s="467">
        <f t="shared" si="60"/>
        <v>0.15594980936903391</v>
      </c>
      <c r="CQ34" s="468">
        <f t="shared" si="38"/>
        <v>0</v>
      </c>
      <c r="CR34" s="469"/>
      <c r="CS34" s="470">
        <f t="shared" si="39"/>
        <v>14838966.299999999</v>
      </c>
      <c r="CT34" s="465">
        <f t="shared" si="40"/>
        <v>0</v>
      </c>
      <c r="CU34" s="471">
        <f t="shared" si="41"/>
        <v>7713779.8857283946</v>
      </c>
      <c r="CV34" s="472">
        <f t="shared" si="42"/>
        <v>0.15594980936903391</v>
      </c>
      <c r="CY34" s="473">
        <v>0</v>
      </c>
      <c r="CZ34" s="474">
        <f t="shared" si="61"/>
        <v>7713779.8857283946</v>
      </c>
      <c r="DA34" s="475">
        <f t="shared" si="62"/>
        <v>0.15594980936903391</v>
      </c>
      <c r="DB34" s="1">
        <f t="shared" si="63"/>
        <v>0</v>
      </c>
      <c r="DC34" s="293">
        <f t="shared" si="64"/>
        <v>0.15224269346098177</v>
      </c>
      <c r="DF34" s="476"/>
    </row>
    <row r="35" spans="1:110">
      <c r="A35" s="477" t="s">
        <v>112</v>
      </c>
      <c r="B35" s="428" t="s">
        <v>113</v>
      </c>
      <c r="C35" s="429"/>
      <c r="D35" s="91">
        <f>'Sizing - Reimb Exp-26'!B26</f>
        <v>3929042</v>
      </c>
      <c r="E35" s="92">
        <f>'Ridership-26'!$E26</f>
        <v>471466</v>
      </c>
      <c r="F35" s="92">
        <f>'Revenue Hours-26'!$E26</f>
        <v>41575</v>
      </c>
      <c r="G35" s="92">
        <f>'Revenue Miles-26'!$E26</f>
        <v>539337</v>
      </c>
      <c r="H35" s="430">
        <f t="shared" si="0"/>
        <v>8.0836285974683411E-3</v>
      </c>
      <c r="I35" s="431">
        <f t="shared" si="1"/>
        <v>8.0836285974683411E-3</v>
      </c>
      <c r="J35" s="432"/>
      <c r="K35" s="433">
        <f>'Ridership-26'!B26/'Revenue Hours-26'!B26</f>
        <v>7.0651748073074137</v>
      </c>
      <c r="L35" s="434">
        <f>'Ridership-26'!C26/'Revenue Hours-26'!C26</f>
        <v>8.5454680032144825</v>
      </c>
      <c r="M35" s="434">
        <f>'Ridership-26'!D26/'Revenue Hours-26'!D26</f>
        <v>10.854112978631212</v>
      </c>
      <c r="N35" s="539">
        <f>'Ridership-26'!E26/'Revenue Hours-26'!K26</f>
        <v>11.340132291040289</v>
      </c>
      <c r="O35" s="435">
        <f t="shared" si="2"/>
        <v>0.99594867084409577</v>
      </c>
      <c r="P35" s="436">
        <f t="shared" si="3"/>
        <v>8.0508791572459163E-3</v>
      </c>
      <c r="Q35" s="437">
        <f t="shared" si="4"/>
        <v>7.72146777125708E-3</v>
      </c>
      <c r="R35" s="438">
        <f>'Ridership-26'!B26/'Revenue Miles-26'!B26</f>
        <v>0.60435953803758868</v>
      </c>
      <c r="S35" s="434">
        <f>'Ridership-26'!C26/'Revenue Miles-26'!C26</f>
        <v>0.7290038463481342</v>
      </c>
      <c r="T35" s="434">
        <f>'Ridership-26'!D26/'Revenue Miles-26'!D26</f>
        <v>0.86015998033680452</v>
      </c>
      <c r="U35" s="539">
        <f>'Ridership-26'!E26/'Revenue Miles-26'!K26</f>
        <v>0.8741584575135769</v>
      </c>
      <c r="V35" s="435">
        <f t="shared" si="5"/>
        <v>0.96537457981459074</v>
      </c>
      <c r="W35" s="436">
        <f t="shared" si="6"/>
        <v>7.8037295606582097E-3</v>
      </c>
      <c r="X35" s="437">
        <f t="shared" si="7"/>
        <v>7.4634318172515195E-3</v>
      </c>
      <c r="Y35" s="438">
        <f>'Op Cost-26'!B26/'Revenue Hours-26'!B26</f>
        <v>99.128071370778855</v>
      </c>
      <c r="Z35" s="434">
        <f>'Op Cost-26'!C26/'Revenue Hours-26'!C26</f>
        <v>86.295224802267057</v>
      </c>
      <c r="AA35" s="434">
        <f>'Op Cost-26'!D26/'Revenue Hours-26'!D26</f>
        <v>108.01972678966453</v>
      </c>
      <c r="AB35" s="434">
        <f>'Op Cost-26'!E26/'Revenue Hours-26'!E26</f>
        <v>94.504918821407102</v>
      </c>
      <c r="AC35" s="435">
        <f t="shared" si="8"/>
        <v>0.94994437862677639</v>
      </c>
      <c r="AD35" s="436">
        <f t="shared" si="9"/>
        <v>8.5095809600493656E-3</v>
      </c>
      <c r="AE35" s="437">
        <f t="shared" si="10"/>
        <v>8.5247033314979903E-3</v>
      </c>
      <c r="AF35" s="438">
        <f>'Op Cost-26'!B26/'Revenue Miles-26'!B26</f>
        <v>8.4794781522232086</v>
      </c>
      <c r="AG35" s="434">
        <f>'Op Cost-26'!C26/'Revenue Miles-26'!C26</f>
        <v>7.3617443513527165</v>
      </c>
      <c r="AH35" s="434">
        <f>'Op Cost-26'!D26/'Revenue Miles-26'!D26</f>
        <v>8.5602799836621983</v>
      </c>
      <c r="AI35" s="434">
        <f>'Op Cost-26'!E26/'Revenue Miles-26'!E26</f>
        <v>7.2849480009715633</v>
      </c>
      <c r="AJ35" s="435">
        <f t="shared" si="11"/>
        <v>0.91837200860332668</v>
      </c>
      <c r="AK35" s="436">
        <f t="shared" si="12"/>
        <v>8.8021286817768322E-3</v>
      </c>
      <c r="AL35" s="437">
        <f t="shared" si="13"/>
        <v>8.816994748975765E-3</v>
      </c>
      <c r="AM35" s="438">
        <f>'Op Cost-26'!B26/'Ridership-26'!B26</f>
        <v>14.030519282870687</v>
      </c>
      <c r="AN35" s="434">
        <f>'Op Cost-26'!C26/'Ridership-26'!C26</f>
        <v>10.098361467131589</v>
      </c>
      <c r="AO35" s="434">
        <f>'Op Cost-26'!D26/'Ridership-26'!D26</f>
        <v>9.9519626341024754</v>
      </c>
      <c r="AP35" s="434">
        <f>'Op Cost-26'!E26/'Ridership-26'!E26</f>
        <v>8.3336698722707467</v>
      </c>
      <c r="AQ35" s="439">
        <f t="shared" si="14"/>
        <v>0.94966951764901175</v>
      </c>
      <c r="AR35" s="436">
        <f t="shared" si="15"/>
        <v>8.5120438713038368E-3</v>
      </c>
      <c r="AS35" s="440">
        <f t="shared" si="16"/>
        <v>8.5617709701865854E-3</v>
      </c>
      <c r="AT35" s="432"/>
      <c r="AU35" s="441">
        <f t="shared" si="17"/>
        <v>0</v>
      </c>
      <c r="AV35" s="442">
        <f t="shared" si="18"/>
        <v>0</v>
      </c>
      <c r="AW35" s="442">
        <f t="shared" si="19"/>
        <v>0</v>
      </c>
      <c r="AX35" s="442">
        <f t="shared" si="20"/>
        <v>0</v>
      </c>
      <c r="AY35" s="443">
        <f t="shared" si="21"/>
        <v>0</v>
      </c>
      <c r="AZ35" s="444">
        <f t="shared" si="43"/>
        <v>-1</v>
      </c>
      <c r="BA35" s="445">
        <f t="shared" si="22"/>
        <v>0</v>
      </c>
      <c r="BB35" s="446">
        <f t="shared" si="22"/>
        <v>0</v>
      </c>
      <c r="BC35" s="446">
        <f t="shared" si="22"/>
        <v>0</v>
      </c>
      <c r="BD35" s="446">
        <f t="shared" si="22"/>
        <v>0</v>
      </c>
      <c r="BE35" s="446">
        <f t="shared" si="22"/>
        <v>0</v>
      </c>
      <c r="BF35" s="447">
        <f t="shared" si="44"/>
        <v>973023.34736253589</v>
      </c>
      <c r="BH35" s="448">
        <f>'Op Cost-26'!E26</f>
        <v>3929042</v>
      </c>
      <c r="BI35" s="449">
        <f t="shared" si="23"/>
        <v>0.24764900638948015</v>
      </c>
      <c r="BJ35" s="450">
        <f t="shared" si="24"/>
        <v>973023.34736253589</v>
      </c>
      <c r="BK35" s="451">
        <f t="shared" si="25"/>
        <v>0</v>
      </c>
      <c r="BL35" s="1">
        <f t="shared" si="45"/>
        <v>1.1785348562899629</v>
      </c>
      <c r="BM35" s="112">
        <f t="shared" si="46"/>
        <v>0.99997832188499736</v>
      </c>
      <c r="BN35" s="112">
        <f t="shared" si="47"/>
        <v>1.0868508836011872</v>
      </c>
      <c r="BO35" s="113">
        <f t="shared" si="48"/>
        <v>1.3136551098368334</v>
      </c>
      <c r="BP35" s="452">
        <f t="shared" si="26"/>
        <v>973023.34736253589</v>
      </c>
      <c r="BQ35" s="115">
        <f t="shared" si="49"/>
        <v>9.5268380674187851E-3</v>
      </c>
      <c r="BR35" s="116">
        <f t="shared" si="50"/>
        <v>9.5268380674187851E-3</v>
      </c>
      <c r="BS35" s="453">
        <f t="shared" si="51"/>
        <v>9.9273863107070537E-3</v>
      </c>
      <c r="BT35" s="118">
        <f t="shared" si="52"/>
        <v>1047323.4271422382</v>
      </c>
      <c r="BU35" s="119">
        <f t="shared" si="53"/>
        <v>1178712.5999999999</v>
      </c>
      <c r="BV35" s="119">
        <f t="shared" si="54"/>
        <v>1047323.4271422382</v>
      </c>
      <c r="BW35" s="119">
        <f t="shared" si="65"/>
        <v>0</v>
      </c>
      <c r="BX35" s="120">
        <f t="shared" si="55"/>
        <v>9.5268380674187851E-3</v>
      </c>
      <c r="BY35" s="454">
        <f t="shared" si="56"/>
        <v>1.0682891587085299E-2</v>
      </c>
      <c r="BZ35" s="122">
        <f t="shared" si="57"/>
        <v>1050237.216163357</v>
      </c>
      <c r="CA35" s="455">
        <f t="shared" si="27"/>
        <v>8.643210796890578E-3</v>
      </c>
      <c r="CB35" s="456">
        <f t="shared" si="28"/>
        <v>64688.854816612467</v>
      </c>
      <c r="CC35" s="456">
        <f t="shared" si="29"/>
        <v>1037712.2021791483</v>
      </c>
      <c r="CD35" s="457">
        <f t="shared" si="30"/>
        <v>0.26411328822118685</v>
      </c>
      <c r="CE35" s="458">
        <f t="shared" si="31"/>
        <v>0</v>
      </c>
      <c r="CF35" s="17"/>
      <c r="CG35" s="459">
        <f t="shared" si="32"/>
        <v>3929042</v>
      </c>
      <c r="CH35" s="460">
        <f t="shared" si="58"/>
        <v>0.26411328822118685</v>
      </c>
      <c r="CI35" s="461">
        <f t="shared" si="33"/>
        <v>1037712.2021791483</v>
      </c>
      <c r="CJ35" s="462">
        <f t="shared" si="34"/>
        <v>0</v>
      </c>
      <c r="CL35" s="463">
        <f t="shared" si="35"/>
        <v>1037712.2021791483</v>
      </c>
      <c r="CM35" s="464">
        <f t="shared" si="36"/>
        <v>8.9224776990806925E-3</v>
      </c>
      <c r="CN35" s="465">
        <f t="shared" si="37"/>
        <v>1360.1980678971247</v>
      </c>
      <c r="CO35" s="466">
        <f t="shared" si="59"/>
        <v>1039072.4002470454</v>
      </c>
      <c r="CP35" s="467">
        <f t="shared" si="60"/>
        <v>0.2644594789892919</v>
      </c>
      <c r="CQ35" s="468">
        <f t="shared" si="38"/>
        <v>0</v>
      </c>
      <c r="CR35" s="469"/>
      <c r="CS35" s="470">
        <f t="shared" si="39"/>
        <v>1178712.5999999999</v>
      </c>
      <c r="CT35" s="465">
        <f t="shared" si="40"/>
        <v>0</v>
      </c>
      <c r="CU35" s="471">
        <f t="shared" si="41"/>
        <v>1039072.4002470454</v>
      </c>
      <c r="CV35" s="472">
        <f t="shared" si="42"/>
        <v>0.2644594789892919</v>
      </c>
      <c r="CY35" s="473">
        <v>0</v>
      </c>
      <c r="CZ35" s="474">
        <f t="shared" si="61"/>
        <v>1039072.4002470454</v>
      </c>
      <c r="DA35" s="475">
        <f t="shared" si="62"/>
        <v>0.2644594789892919</v>
      </c>
      <c r="DB35" s="1">
        <f t="shared" si="63"/>
        <v>0</v>
      </c>
      <c r="DC35" s="293">
        <f t="shared" si="64"/>
        <v>0.26730109175808175</v>
      </c>
      <c r="DF35" s="476"/>
    </row>
    <row r="36" spans="1:110">
      <c r="A36" s="477" t="s">
        <v>112</v>
      </c>
      <c r="B36" s="428" t="s">
        <v>114</v>
      </c>
      <c r="C36" s="429"/>
      <c r="D36" s="91">
        <f>'Sizing - Reimb Exp-26'!B27</f>
        <v>74193463</v>
      </c>
      <c r="E36" s="92">
        <f>'Ridership-26'!$E27</f>
        <v>10824111</v>
      </c>
      <c r="F36" s="92">
        <f>'Revenue Hours-26'!$E27</f>
        <v>633650.79</v>
      </c>
      <c r="G36" s="92">
        <f>'Revenue Miles-26'!$E27</f>
        <v>7725466.0599999996</v>
      </c>
      <c r="H36" s="478">
        <f t="shared" si="0"/>
        <v>0.15487192680007283</v>
      </c>
      <c r="I36" s="431">
        <f t="shared" si="1"/>
        <v>0.15487192680007283</v>
      </c>
      <c r="J36" s="432"/>
      <c r="K36" s="433">
        <f>'Ridership-26'!B27/'Revenue Hours-26'!B27</f>
        <v>12.685908078458269</v>
      </c>
      <c r="L36" s="434">
        <f>'Ridership-26'!C27/'Revenue Hours-26'!C27</f>
        <v>14.999735241854868</v>
      </c>
      <c r="M36" s="434">
        <f>'Ridership-26'!D27/'Revenue Hours-26'!D27</f>
        <v>16.489050494667865</v>
      </c>
      <c r="N36" s="539">
        <f>'Ridership-26'!E27/'Revenue Hours-26'!K27</f>
        <v>17.148627838667668</v>
      </c>
      <c r="O36" s="435">
        <f t="shared" si="2"/>
        <v>0.93947163038963633</v>
      </c>
      <c r="P36" s="436">
        <f t="shared" si="3"/>
        <v>0.14549778157244883</v>
      </c>
      <c r="Q36" s="437">
        <f t="shared" si="4"/>
        <v>0.13954456516589714</v>
      </c>
      <c r="R36" s="438">
        <f>'Ridership-26'!B27/'Revenue Miles-26'!B27</f>
        <v>1.0554722157446399</v>
      </c>
      <c r="S36" s="434">
        <f>'Ridership-26'!C27/'Revenue Miles-26'!C27</f>
        <v>1.2009259173704827</v>
      </c>
      <c r="T36" s="434">
        <f>'Ridership-26'!D27/'Revenue Miles-26'!D27</f>
        <v>1.3706452252341543</v>
      </c>
      <c r="U36" s="539">
        <f>'Ridership-26'!E27/'Revenue Miles-26'!K27</f>
        <v>1.4121637665246516</v>
      </c>
      <c r="V36" s="435">
        <f t="shared" si="5"/>
        <v>0.94079399132372687</v>
      </c>
      <c r="W36" s="436">
        <f t="shared" si="6"/>
        <v>0.14570257815823659</v>
      </c>
      <c r="X36" s="437">
        <f t="shared" si="7"/>
        <v>0.13934891633918162</v>
      </c>
      <c r="Y36" s="438">
        <f>'Op Cost-26'!B27/'Revenue Hours-26'!B27</f>
        <v>106.94058914595765</v>
      </c>
      <c r="Z36" s="434">
        <f>'Op Cost-26'!C27/'Revenue Hours-26'!C27</f>
        <v>99.059409351732896</v>
      </c>
      <c r="AA36" s="434">
        <f>'Op Cost-26'!D27/'Revenue Hours-26'!D27</f>
        <v>117.86879438091567</v>
      </c>
      <c r="AB36" s="434">
        <f>'Op Cost-26'!E27/'Revenue Hours-26'!E27</f>
        <v>120.78064796541956</v>
      </c>
      <c r="AC36" s="435">
        <f t="shared" si="8"/>
        <v>0.99770100373043302</v>
      </c>
      <c r="AD36" s="436">
        <f t="shared" si="9"/>
        <v>0.15522879722582436</v>
      </c>
      <c r="AE36" s="437">
        <f t="shared" si="10"/>
        <v>0.15550465423243759</v>
      </c>
      <c r="AF36" s="438">
        <f>'Op Cost-26'!B27/'Revenue Miles-26'!B27</f>
        <v>8.897496330640184</v>
      </c>
      <c r="AG36" s="434">
        <f>'Op Cost-26'!C27/'Revenue Miles-26'!C27</f>
        <v>7.9310074565820816</v>
      </c>
      <c r="AH36" s="434">
        <f>'Op Cost-26'!D27/'Revenue Miles-26'!D27</f>
        <v>9.7977928004133119</v>
      </c>
      <c r="AI36" s="434">
        <f>'Op Cost-26'!E27/'Revenue Miles-26'!E27</f>
        <v>9.9065548156715355</v>
      </c>
      <c r="AJ36" s="435">
        <f t="shared" si="11"/>
        <v>0.99958570531382751</v>
      </c>
      <c r="AK36" s="436">
        <f t="shared" si="12"/>
        <v>0.15493611600963184</v>
      </c>
      <c r="AL36" s="437">
        <f t="shared" si="13"/>
        <v>0.15519779029268446</v>
      </c>
      <c r="AM36" s="438">
        <f>'Op Cost-26'!B27/'Ridership-26'!B27</f>
        <v>8.4298726180707302</v>
      </c>
      <c r="AN36" s="434">
        <f>'Op Cost-26'!C27/'Ridership-26'!C27</f>
        <v>6.6040771889973175</v>
      </c>
      <c r="AO36" s="434">
        <f>'Op Cost-26'!D27/'Ridership-26'!D27</f>
        <v>7.148306957943479</v>
      </c>
      <c r="AP36" s="434">
        <f>'Op Cost-26'!E27/'Ridership-26'!E27</f>
        <v>7.0705809465553333</v>
      </c>
      <c r="AQ36" s="435">
        <f t="shared" si="14"/>
        <v>1.0639513252329815</v>
      </c>
      <c r="AR36" s="436">
        <f t="shared" si="15"/>
        <v>0.145562981244616</v>
      </c>
      <c r="AS36" s="440">
        <f t="shared" si="16"/>
        <v>0.14641335571066183</v>
      </c>
      <c r="AT36" s="432"/>
      <c r="AU36" s="441">
        <f t="shared" si="17"/>
        <v>0</v>
      </c>
      <c r="AV36" s="442">
        <f t="shared" si="18"/>
        <v>0</v>
      </c>
      <c r="AW36" s="442">
        <f t="shared" si="19"/>
        <v>0</v>
      </c>
      <c r="AX36" s="442">
        <f t="shared" si="20"/>
        <v>0</v>
      </c>
      <c r="AY36" s="443">
        <f t="shared" si="21"/>
        <v>0</v>
      </c>
      <c r="AZ36" s="444">
        <f t="shared" si="43"/>
        <v>-1</v>
      </c>
      <c r="BA36" s="445">
        <f t="shared" si="22"/>
        <v>0</v>
      </c>
      <c r="BB36" s="446">
        <f t="shared" si="22"/>
        <v>0</v>
      </c>
      <c r="BC36" s="446">
        <f t="shared" si="22"/>
        <v>0</v>
      </c>
      <c r="BD36" s="446">
        <f t="shared" si="22"/>
        <v>0</v>
      </c>
      <c r="BE36" s="446">
        <f t="shared" si="22"/>
        <v>0</v>
      </c>
      <c r="BF36" s="447">
        <f t="shared" si="44"/>
        <v>18641875.837131776</v>
      </c>
      <c r="BG36" s="301"/>
      <c r="BH36" s="448">
        <f>'Op Cost-26'!E27</f>
        <v>76532753</v>
      </c>
      <c r="BI36" s="449">
        <f t="shared" si="23"/>
        <v>0.24358036404533592</v>
      </c>
      <c r="BJ36" s="461">
        <f t="shared" si="24"/>
        <v>18641875.837131776</v>
      </c>
      <c r="BK36" s="451">
        <f t="shared" si="25"/>
        <v>0</v>
      </c>
      <c r="BL36" s="1">
        <f t="shared" si="45"/>
        <v>1.5911465344011813</v>
      </c>
      <c r="BM36" s="112">
        <f t="shared" si="46"/>
        <v>1.512174254112528</v>
      </c>
      <c r="BN36" s="112">
        <f t="shared" si="47"/>
        <v>1.7557588378226732</v>
      </c>
      <c r="BO36" s="113">
        <f t="shared" si="48"/>
        <v>1.5483265228347618</v>
      </c>
      <c r="BP36" s="452">
        <f t="shared" si="26"/>
        <v>18641875.837131776</v>
      </c>
      <c r="BQ36" s="115">
        <f t="shared" si="49"/>
        <v>0.24642392960396931</v>
      </c>
      <c r="BR36" s="116">
        <f t="shared" si="50"/>
        <v>0.24642392960396931</v>
      </c>
      <c r="BS36" s="453">
        <f t="shared" si="51"/>
        <v>0.25678462550417841</v>
      </c>
      <c r="BT36" s="118">
        <f t="shared" si="52"/>
        <v>20563743.040041357</v>
      </c>
      <c r="BU36" s="119">
        <f t="shared" si="53"/>
        <v>22959825.899999999</v>
      </c>
      <c r="BV36" s="119">
        <f t="shared" si="54"/>
        <v>20563743.040041357</v>
      </c>
      <c r="BW36" s="119">
        <f t="shared" si="65"/>
        <v>0</v>
      </c>
      <c r="BX36" s="120">
        <f t="shared" si="55"/>
        <v>0.24642392960396931</v>
      </c>
      <c r="BY36" s="454">
        <f t="shared" si="56"/>
        <v>0.27632674196760043</v>
      </c>
      <c r="BZ36" s="122">
        <f t="shared" si="57"/>
        <v>20639111.943715345</v>
      </c>
      <c r="CA36" s="455">
        <f t="shared" si="27"/>
        <v>0.16559280200884802</v>
      </c>
      <c r="CB36" s="456">
        <f t="shared" si="28"/>
        <v>1239355.2557667692</v>
      </c>
      <c r="CC36" s="456">
        <f t="shared" si="29"/>
        <v>19881231.092898544</v>
      </c>
      <c r="CD36" s="457">
        <f t="shared" si="30"/>
        <v>0.25977415307271834</v>
      </c>
      <c r="CE36" s="458">
        <f t="shared" si="31"/>
        <v>0</v>
      </c>
      <c r="CF36" s="17"/>
      <c r="CG36" s="459">
        <f t="shared" si="32"/>
        <v>76532753</v>
      </c>
      <c r="CH36" s="460">
        <f t="shared" si="58"/>
        <v>0.25977415307271834</v>
      </c>
      <c r="CI36" s="461">
        <f t="shared" si="33"/>
        <v>19881231.092898544</v>
      </c>
      <c r="CJ36" s="462">
        <f t="shared" si="34"/>
        <v>0</v>
      </c>
      <c r="CL36" s="463">
        <f t="shared" si="35"/>
        <v>19881231.092898544</v>
      </c>
      <c r="CM36" s="464">
        <f t="shared" si="36"/>
        <v>0.17094319666295368</v>
      </c>
      <c r="CN36" s="465">
        <f t="shared" si="37"/>
        <v>26059.645500157945</v>
      </c>
      <c r="CO36" s="466">
        <f t="shared" si="59"/>
        <v>19907290.738398701</v>
      </c>
      <c r="CP36" s="467">
        <f t="shared" si="60"/>
        <v>0.26011465624918395</v>
      </c>
      <c r="CQ36" s="468">
        <f t="shared" si="38"/>
        <v>0</v>
      </c>
      <c r="CR36" s="469"/>
      <c r="CS36" s="470">
        <f t="shared" si="39"/>
        <v>22959825.899999999</v>
      </c>
      <c r="CT36" s="465">
        <f t="shared" si="40"/>
        <v>0</v>
      </c>
      <c r="CU36" s="471">
        <f t="shared" si="41"/>
        <v>19907290.738398701</v>
      </c>
      <c r="CV36" s="472">
        <f t="shared" si="42"/>
        <v>0.26011465624918395</v>
      </c>
      <c r="CY36" s="473">
        <v>370745.59999999998</v>
      </c>
      <c r="CZ36" s="474">
        <f t="shared" si="61"/>
        <v>20278036.338398702</v>
      </c>
      <c r="DA36" s="475">
        <f t="shared" si="62"/>
        <v>0.26495892991591069</v>
      </c>
      <c r="DB36" s="1">
        <f t="shared" si="63"/>
        <v>0</v>
      </c>
      <c r="DC36" s="293">
        <f t="shared" si="64"/>
        <v>0.26967685251980084</v>
      </c>
      <c r="DF36" s="476"/>
    </row>
    <row r="37" spans="1:110">
      <c r="A37" s="477" t="s">
        <v>115</v>
      </c>
      <c r="B37" s="428" t="s">
        <v>116</v>
      </c>
      <c r="C37" s="429"/>
      <c r="D37" s="91">
        <f>'Sizing - Reimb Exp-26'!B28</f>
        <v>12808994</v>
      </c>
      <c r="E37" s="92">
        <f>'Ridership-26'!$E28</f>
        <v>3791431</v>
      </c>
      <c r="F37" s="92">
        <f>'Revenue Hours-26'!$E28</f>
        <v>99331.900000000009</v>
      </c>
      <c r="G37" s="92">
        <f>'Revenue Miles-26'!$E28</f>
        <v>1022384</v>
      </c>
      <c r="H37" s="478">
        <f t="shared" si="0"/>
        <v>3.8382149811633182E-2</v>
      </c>
      <c r="I37" s="431">
        <f t="shared" si="1"/>
        <v>3.8382149811633182E-2</v>
      </c>
      <c r="J37" s="432"/>
      <c r="K37" s="433">
        <f>'Ridership-26'!B28/'Revenue Hours-26'!B28</f>
        <v>7.7359808402431227</v>
      </c>
      <c r="L37" s="434">
        <f>'Ridership-26'!C28/'Revenue Hours-26'!C28</f>
        <v>32.633977790205321</v>
      </c>
      <c r="M37" s="434">
        <f>'Ridership-26'!D28/'Revenue Hours-26'!D28</f>
        <v>37.897163158744682</v>
      </c>
      <c r="N37" s="539">
        <f>'Ridership-26'!E28/'Revenue Hours-26'!K28</f>
        <v>38.169319221720308</v>
      </c>
      <c r="O37" s="435">
        <f t="shared" si="2"/>
        <v>1.7360665328826819</v>
      </c>
      <c r="P37" s="436">
        <f t="shared" si="3"/>
        <v>6.6633965748065696E-2</v>
      </c>
      <c r="Q37" s="437">
        <f t="shared" si="4"/>
        <v>6.3907557043837701E-2</v>
      </c>
      <c r="R37" s="438">
        <f>'Ridership-26'!B28/'Revenue Miles-26'!B28</f>
        <v>0.74890286156611607</v>
      </c>
      <c r="S37" s="434">
        <f>'Ridership-26'!C28/'Revenue Miles-26'!C28</f>
        <v>3.1121743743196539</v>
      </c>
      <c r="T37" s="434">
        <f>'Ridership-26'!D28/'Revenue Miles-26'!D28</f>
        <v>3.6271477751754029</v>
      </c>
      <c r="U37" s="539">
        <f>'Ridership-26'!E28/'Revenue Miles-26'!K28</f>
        <v>3.7084216889153194</v>
      </c>
      <c r="V37" s="435">
        <f t="shared" si="5"/>
        <v>1.7450415348457822</v>
      </c>
      <c r="W37" s="436">
        <f t="shared" si="6"/>
        <v>6.6978445617973115E-2</v>
      </c>
      <c r="X37" s="437">
        <f t="shared" si="7"/>
        <v>6.4057712175903211E-2</v>
      </c>
      <c r="Y37" s="438">
        <f>'Op Cost-26'!B28/'Revenue Hours-26'!B28</f>
        <v>94.638769882541524</v>
      </c>
      <c r="Z37" s="434">
        <f>'Op Cost-26'!C28/'Revenue Hours-26'!C28</f>
        <v>99.879114404410004</v>
      </c>
      <c r="AA37" s="434">
        <f>'Op Cost-26'!D28/'Revenue Hours-26'!D28</f>
        <v>129.41512623136137</v>
      </c>
      <c r="AB37" s="434">
        <f>'Op Cost-26'!E28/'Revenue Hours-26'!E28</f>
        <v>128.95146473590054</v>
      </c>
      <c r="AC37" s="435">
        <f t="shared" si="8"/>
        <v>1.0634476998773559</v>
      </c>
      <c r="AD37" s="436">
        <f t="shared" si="9"/>
        <v>3.6092183768002578E-2</v>
      </c>
      <c r="AE37" s="437">
        <f t="shared" si="10"/>
        <v>3.6156323167098041E-2</v>
      </c>
      <c r="AF37" s="438">
        <f>'Op Cost-26'!B28/'Revenue Miles-26'!B28</f>
        <v>9.1617659148578081</v>
      </c>
      <c r="AG37" s="434">
        <f>'Op Cost-26'!C28/'Revenue Miles-26'!C28</f>
        <v>9.5250791177666656</v>
      </c>
      <c r="AH37" s="434">
        <f>'Op Cost-26'!D28/'Revenue Miles-26'!D28</f>
        <v>12.386356868398249</v>
      </c>
      <c r="AI37" s="434">
        <f>'Op Cost-26'!E28/'Revenue Miles-26'!E28</f>
        <v>12.528554828714064</v>
      </c>
      <c r="AJ37" s="435">
        <f t="shared" si="11"/>
        <v>1.0693597112593702</v>
      </c>
      <c r="AK37" s="436">
        <f t="shared" si="12"/>
        <v>3.5892646232604977E-2</v>
      </c>
      <c r="AL37" s="437">
        <f t="shared" si="13"/>
        <v>3.5953265942919616E-2</v>
      </c>
      <c r="AM37" s="438">
        <f>'Op Cost-26'!B28/'Ridership-26'!B28</f>
        <v>12.233583799771571</v>
      </c>
      <c r="AN37" s="434">
        <f>'Op Cost-26'!C28/'Ridership-26'!C28</f>
        <v>3.0605865777841972</v>
      </c>
      <c r="AO37" s="434">
        <f>'Op Cost-26'!D28/'Ridership-26'!D28</f>
        <v>3.4149027379506931</v>
      </c>
      <c r="AP37" s="434">
        <f>'Op Cost-26'!E28/'Ridership-26'!E28</f>
        <v>3.3784062007194646</v>
      </c>
      <c r="AQ37" s="435">
        <f t="shared" si="14"/>
        <v>0.85035846976223872</v>
      </c>
      <c r="AR37" s="436">
        <f t="shared" si="15"/>
        <v>4.5136435017063894E-2</v>
      </c>
      <c r="AS37" s="440">
        <f t="shared" si="16"/>
        <v>4.5400120684248375E-2</v>
      </c>
      <c r="AT37" s="432"/>
      <c r="AU37" s="441">
        <f t="shared" si="17"/>
        <v>0</v>
      </c>
      <c r="AV37" s="442">
        <f t="shared" si="18"/>
        <v>0</v>
      </c>
      <c r="AW37" s="442">
        <f t="shared" si="19"/>
        <v>0</v>
      </c>
      <c r="AX37" s="442">
        <f t="shared" si="20"/>
        <v>0</v>
      </c>
      <c r="AY37" s="443">
        <f t="shared" si="21"/>
        <v>0</v>
      </c>
      <c r="AZ37" s="444">
        <f t="shared" si="43"/>
        <v>-1</v>
      </c>
      <c r="BA37" s="445">
        <f t="shared" si="22"/>
        <v>0</v>
      </c>
      <c r="BB37" s="446">
        <f t="shared" si="22"/>
        <v>0</v>
      </c>
      <c r="BC37" s="446">
        <f t="shared" si="22"/>
        <v>0</v>
      </c>
      <c r="BD37" s="446">
        <f t="shared" si="22"/>
        <v>0</v>
      </c>
      <c r="BE37" s="446">
        <f t="shared" si="22"/>
        <v>0</v>
      </c>
      <c r="BF37" s="447">
        <f t="shared" si="44"/>
        <v>4620045.0006302893</v>
      </c>
      <c r="BH37" s="448">
        <f>'Op Cost-26'!E28</f>
        <v>12808994</v>
      </c>
      <c r="BI37" s="449">
        <f t="shared" si="23"/>
        <v>0.36068757629446069</v>
      </c>
      <c r="BJ37" s="450">
        <f t="shared" si="24"/>
        <v>3842698.1999999997</v>
      </c>
      <c r="BK37" s="451">
        <f t="shared" si="25"/>
        <v>777346.8006302896</v>
      </c>
      <c r="BL37" s="1">
        <f t="shared" si="45"/>
        <v>3.6143543868566934</v>
      </c>
      <c r="BM37" s="112">
        <f t="shared" si="46"/>
        <v>3.3657889346657042</v>
      </c>
      <c r="BN37" s="112">
        <f t="shared" si="47"/>
        <v>4.6107217229558444</v>
      </c>
      <c r="BO37" s="113">
        <f t="shared" si="48"/>
        <v>3.2404534449026126</v>
      </c>
      <c r="BP37" s="452">
        <f t="shared" si="26"/>
        <v>0</v>
      </c>
      <c r="BQ37" s="115">
        <f t="shared" si="49"/>
        <v>0.13872669154866721</v>
      </c>
      <c r="BR37" s="116">
        <f t="shared" si="50"/>
        <v>0</v>
      </c>
      <c r="BS37" s="453">
        <f t="shared" si="51"/>
        <v>0</v>
      </c>
      <c r="BT37" s="118">
        <f t="shared" si="52"/>
        <v>3842698.1999999997</v>
      </c>
      <c r="BU37" s="119">
        <f t="shared" si="53"/>
        <v>3842698.1999999997</v>
      </c>
      <c r="BV37" s="119">
        <f t="shared" si="54"/>
        <v>3842698.1999999997</v>
      </c>
      <c r="BW37" s="119">
        <f t="shared" si="65"/>
        <v>0</v>
      </c>
      <c r="BX37" s="120">
        <f t="shared" si="55"/>
        <v>0</v>
      </c>
      <c r="BY37" s="454">
        <f t="shared" si="56"/>
        <v>0</v>
      </c>
      <c r="BZ37" s="122">
        <f t="shared" si="57"/>
        <v>3842698.1999999997</v>
      </c>
      <c r="CA37" s="455">
        <f t="shared" si="27"/>
        <v>0</v>
      </c>
      <c r="CB37" s="456">
        <f t="shared" si="28"/>
        <v>0</v>
      </c>
      <c r="CC37" s="456">
        <f t="shared" si="29"/>
        <v>3842698.1999999997</v>
      </c>
      <c r="CD37" s="457">
        <f t="shared" si="30"/>
        <v>0.3</v>
      </c>
      <c r="CE37" s="458">
        <f t="shared" si="31"/>
        <v>0</v>
      </c>
      <c r="CF37" s="17"/>
      <c r="CG37" s="459">
        <f t="shared" si="32"/>
        <v>12808994</v>
      </c>
      <c r="CH37" s="460">
        <f t="shared" si="58"/>
        <v>0.3</v>
      </c>
      <c r="CI37" s="461">
        <f t="shared" si="33"/>
        <v>3842698.1999999997</v>
      </c>
      <c r="CJ37" s="462">
        <f t="shared" si="34"/>
        <v>0</v>
      </c>
      <c r="CL37" s="463">
        <f t="shared" si="35"/>
        <v>0</v>
      </c>
      <c r="CM37" s="464">
        <f t="shared" si="36"/>
        <v>0</v>
      </c>
      <c r="CN37" s="465">
        <f t="shared" si="37"/>
        <v>0</v>
      </c>
      <c r="CO37" s="466">
        <f t="shared" si="59"/>
        <v>3842698.1999999997</v>
      </c>
      <c r="CP37" s="467">
        <f t="shared" si="60"/>
        <v>0.3</v>
      </c>
      <c r="CQ37" s="468">
        <f t="shared" si="38"/>
        <v>0</v>
      </c>
      <c r="CR37" s="469"/>
      <c r="CS37" s="470">
        <f t="shared" si="39"/>
        <v>3842698.1999999997</v>
      </c>
      <c r="CT37" s="465">
        <f t="shared" si="40"/>
        <v>0</v>
      </c>
      <c r="CU37" s="471">
        <f t="shared" si="41"/>
        <v>3842698.1999999997</v>
      </c>
      <c r="CV37" s="472">
        <f t="shared" si="42"/>
        <v>0.3</v>
      </c>
      <c r="CY37" s="473">
        <v>0</v>
      </c>
      <c r="CZ37" s="474">
        <f t="shared" si="61"/>
        <v>3842698.1999999997</v>
      </c>
      <c r="DA37" s="475">
        <f t="shared" si="62"/>
        <v>0.3</v>
      </c>
      <c r="DB37" s="1">
        <f t="shared" si="63"/>
        <v>0</v>
      </c>
      <c r="DC37" s="293">
        <f t="shared" si="64"/>
        <v>0.3</v>
      </c>
      <c r="DF37" s="476"/>
    </row>
    <row r="38" spans="1:110">
      <c r="A38" s="477" t="s">
        <v>115</v>
      </c>
      <c r="B38" s="428" t="s">
        <v>117</v>
      </c>
      <c r="C38" s="429"/>
      <c r="D38" s="91">
        <f>'Sizing - Reimb Exp-26'!B29</f>
        <v>2846110</v>
      </c>
      <c r="E38" s="92">
        <f>'Ridership-26'!$E29</f>
        <v>90833</v>
      </c>
      <c r="F38" s="92">
        <f>'Revenue Hours-26'!$E29</f>
        <v>36673.339999999997</v>
      </c>
      <c r="G38" s="92">
        <f>'Revenue Miles-26'!$E29</f>
        <v>438033</v>
      </c>
      <c r="H38" s="478">
        <f t="shared" si="0"/>
        <v>4.5207609440009351E-3</v>
      </c>
      <c r="I38" s="431">
        <f t="shared" si="1"/>
        <v>4.5207609440009351E-3</v>
      </c>
      <c r="J38" s="432"/>
      <c r="K38" s="433">
        <f>'Ridership-26'!B29/'Revenue Hours-26'!B29</f>
        <v>3.353975911522431</v>
      </c>
      <c r="L38" s="434">
        <f>'Ridership-26'!C29/'Revenue Hours-26'!C29</f>
        <v>4.039822296622992</v>
      </c>
      <c r="M38" s="434">
        <f>'Ridership-26'!D29/'Revenue Hours-26'!D29</f>
        <v>3.7461598379809939</v>
      </c>
      <c r="N38" s="539">
        <f>'Ridership-26'!E29/'Revenue Hours-26'!K29</f>
        <v>2.4768128564237677</v>
      </c>
      <c r="O38" s="435">
        <f t="shared" si="2"/>
        <v>0.77907852184148563</v>
      </c>
      <c r="P38" s="436">
        <f t="shared" si="3"/>
        <v>3.5220277538509678E-3</v>
      </c>
      <c r="Q38" s="437">
        <f t="shared" si="4"/>
        <v>3.3779197600248526E-3</v>
      </c>
      <c r="R38" s="438">
        <f>'Ridership-26'!B29/'Revenue Miles-26'!B29</f>
        <v>0.29134203947124609</v>
      </c>
      <c r="S38" s="434">
        <f>'Ridership-26'!C29/'Revenue Miles-26'!C29</f>
        <v>0.3358526722031458</v>
      </c>
      <c r="T38" s="434">
        <f>'Ridership-26'!D29/'Revenue Miles-26'!D29</f>
        <v>0.30962589842834592</v>
      </c>
      <c r="U38" s="539">
        <f>'Ridership-26'!E29/'Revenue Miles-26'!K29</f>
        <v>0.20736565509904506</v>
      </c>
      <c r="V38" s="435">
        <f t="shared" si="5"/>
        <v>0.77142009613882967</v>
      </c>
      <c r="W38" s="436">
        <f t="shared" si="6"/>
        <v>3.4874058420418679E-3</v>
      </c>
      <c r="X38" s="437">
        <f t="shared" si="7"/>
        <v>3.3353303082646495E-3</v>
      </c>
      <c r="Y38" s="438">
        <f>'Op Cost-26'!B29/'Revenue Hours-26'!B29</f>
        <v>54.975878704341831</v>
      </c>
      <c r="Z38" s="434">
        <f>'Op Cost-26'!C29/'Revenue Hours-26'!C29</f>
        <v>56.597366641985644</v>
      </c>
      <c r="AA38" s="434">
        <f>'Op Cost-26'!D29/'Revenue Hours-26'!D29</f>
        <v>81.316934101885025</v>
      </c>
      <c r="AB38" s="434">
        <f>'Op Cost-26'!E29/'Revenue Hours-26'!E29</f>
        <v>77.607057333747079</v>
      </c>
      <c r="AC38" s="435">
        <f t="shared" si="8"/>
        <v>1.084327821452679</v>
      </c>
      <c r="AD38" s="436">
        <f t="shared" si="9"/>
        <v>4.1691828380318145E-3</v>
      </c>
      <c r="AE38" s="437">
        <f t="shared" si="10"/>
        <v>4.1765918904645887E-3</v>
      </c>
      <c r="AF38" s="438">
        <f>'Op Cost-26'!B29/'Revenue Miles-26'!B29</f>
        <v>4.775462032515458</v>
      </c>
      <c r="AG38" s="434">
        <f>'Op Cost-26'!C29/'Revenue Miles-26'!C29</f>
        <v>4.7052507339893959</v>
      </c>
      <c r="AH38" s="434">
        <f>'Op Cost-26'!D29/'Revenue Miles-26'!D29</f>
        <v>6.7209702382331962</v>
      </c>
      <c r="AI38" s="434">
        <f>'Op Cost-26'!E29/'Revenue Miles-26'!E29</f>
        <v>6.4974785004782749</v>
      </c>
      <c r="AJ38" s="435">
        <f t="shared" si="11"/>
        <v>1.0755645694817073</v>
      </c>
      <c r="AK38" s="436">
        <f t="shared" si="12"/>
        <v>4.2031516026782081E-3</v>
      </c>
      <c r="AL38" s="437">
        <f t="shared" si="13"/>
        <v>4.2102503780349102E-3</v>
      </c>
      <c r="AM38" s="438">
        <f>'Op Cost-26'!B29/'Ridership-26'!B29</f>
        <v>16.391256274523233</v>
      </c>
      <c r="AN38" s="434">
        <f>'Op Cost-26'!C29/'Ridership-26'!C29</f>
        <v>14.009865406529656</v>
      </c>
      <c r="AO38" s="434">
        <f>'Op Cost-26'!D29/'Ridership-26'!D29</f>
        <v>21.706744404614373</v>
      </c>
      <c r="AP38" s="434">
        <f>'Op Cost-26'!E29/'Ridership-26'!E29</f>
        <v>31.333436086003985</v>
      </c>
      <c r="AQ38" s="439">
        <f t="shared" si="14"/>
        <v>1.4195954903170527</v>
      </c>
      <c r="AR38" s="436">
        <f t="shared" si="15"/>
        <v>3.184541635160638E-3</v>
      </c>
      <c r="AS38" s="440">
        <f t="shared" si="16"/>
        <v>3.2031456295927778E-3</v>
      </c>
      <c r="AT38" s="432"/>
      <c r="AU38" s="441">
        <f t="shared" si="17"/>
        <v>0</v>
      </c>
      <c r="AV38" s="442">
        <f t="shared" si="18"/>
        <v>0</v>
      </c>
      <c r="AW38" s="442">
        <f t="shared" si="19"/>
        <v>0</v>
      </c>
      <c r="AX38" s="442">
        <f t="shared" si="20"/>
        <v>0</v>
      </c>
      <c r="AY38" s="443">
        <f t="shared" si="21"/>
        <v>0</v>
      </c>
      <c r="AZ38" s="444">
        <f t="shared" si="43"/>
        <v>-1</v>
      </c>
      <c r="BA38" s="445">
        <f t="shared" si="22"/>
        <v>0</v>
      </c>
      <c r="BB38" s="446">
        <f t="shared" si="22"/>
        <v>0</v>
      </c>
      <c r="BC38" s="446">
        <f t="shared" si="22"/>
        <v>0</v>
      </c>
      <c r="BD38" s="446">
        <f t="shared" si="22"/>
        <v>0</v>
      </c>
      <c r="BE38" s="446">
        <f t="shared" si="22"/>
        <v>0</v>
      </c>
      <c r="BF38" s="447">
        <f t="shared" si="44"/>
        <v>544162.30203045707</v>
      </c>
      <c r="BH38" s="448">
        <f>'Op Cost-26'!E29</f>
        <v>2846110</v>
      </c>
      <c r="BI38" s="449">
        <f t="shared" si="23"/>
        <v>0.19119510561097677</v>
      </c>
      <c r="BJ38" s="450">
        <f t="shared" si="24"/>
        <v>544162.30203045707</v>
      </c>
      <c r="BK38" s="451">
        <f t="shared" si="25"/>
        <v>0</v>
      </c>
      <c r="BL38" s="1">
        <f t="shared" si="45"/>
        <v>0.29375130211875078</v>
      </c>
      <c r="BM38" s="112">
        <f t="shared" si="46"/>
        <v>0.21840654943211602</v>
      </c>
      <c r="BN38" s="112">
        <f t="shared" si="47"/>
        <v>0.25782001367805307</v>
      </c>
      <c r="BO38" s="113">
        <f t="shared" si="48"/>
        <v>0.34938932268241701</v>
      </c>
      <c r="BP38" s="452">
        <f t="shared" si="26"/>
        <v>544162.30203045707</v>
      </c>
      <c r="BQ38" s="115">
        <f t="shared" si="49"/>
        <v>1.3279794138678677E-3</v>
      </c>
      <c r="BR38" s="116">
        <f t="shared" si="50"/>
        <v>1.3279794138678677E-3</v>
      </c>
      <c r="BS38" s="453">
        <f t="shared" si="51"/>
        <v>1.3838132401157277E-3</v>
      </c>
      <c r="BT38" s="118">
        <f t="shared" si="52"/>
        <v>554519.2510725141</v>
      </c>
      <c r="BU38" s="119">
        <f t="shared" si="53"/>
        <v>853833</v>
      </c>
      <c r="BV38" s="119">
        <f t="shared" si="54"/>
        <v>554519.2510725141</v>
      </c>
      <c r="BW38" s="119">
        <f t="shared" si="65"/>
        <v>0</v>
      </c>
      <c r="BX38" s="120">
        <f t="shared" si="55"/>
        <v>1.3279794138678677E-3</v>
      </c>
      <c r="BY38" s="454">
        <f t="shared" si="56"/>
        <v>1.4891257737180436E-3</v>
      </c>
      <c r="BZ38" s="122">
        <f t="shared" si="57"/>
        <v>554925.41435659816</v>
      </c>
      <c r="CA38" s="455">
        <f t="shared" si="27"/>
        <v>4.8337067110662928E-3</v>
      </c>
      <c r="CB38" s="456">
        <f t="shared" si="28"/>
        <v>36177.175242647427</v>
      </c>
      <c r="CC38" s="456">
        <f t="shared" si="29"/>
        <v>580339.47727310448</v>
      </c>
      <c r="CD38" s="457">
        <f t="shared" si="30"/>
        <v>0.20390620084013072</v>
      </c>
      <c r="CE38" s="458">
        <f t="shared" si="31"/>
        <v>0</v>
      </c>
      <c r="CF38" s="17"/>
      <c r="CG38" s="459">
        <f t="shared" si="32"/>
        <v>2846110</v>
      </c>
      <c r="CH38" s="460">
        <f t="shared" si="58"/>
        <v>0.20390620084013072</v>
      </c>
      <c r="CI38" s="461">
        <f t="shared" si="33"/>
        <v>580339.47727310448</v>
      </c>
      <c r="CJ38" s="462">
        <f t="shared" si="34"/>
        <v>0</v>
      </c>
      <c r="CL38" s="463">
        <f t="shared" si="35"/>
        <v>580339.47727310448</v>
      </c>
      <c r="CM38" s="464">
        <f t="shared" si="36"/>
        <v>4.9898864376767644E-3</v>
      </c>
      <c r="CN38" s="465">
        <f t="shared" si="37"/>
        <v>760.68936459805423</v>
      </c>
      <c r="CO38" s="466">
        <f t="shared" si="59"/>
        <v>581100.1666377025</v>
      </c>
      <c r="CP38" s="467">
        <f t="shared" si="60"/>
        <v>0.20417347419379522</v>
      </c>
      <c r="CQ38" s="468">
        <f t="shared" si="38"/>
        <v>0</v>
      </c>
      <c r="CR38" s="469"/>
      <c r="CS38" s="470">
        <f t="shared" si="39"/>
        <v>853833</v>
      </c>
      <c r="CT38" s="465">
        <f t="shared" si="40"/>
        <v>0</v>
      </c>
      <c r="CU38" s="471">
        <f t="shared" si="41"/>
        <v>581100.1666377025</v>
      </c>
      <c r="CV38" s="472">
        <f t="shared" si="42"/>
        <v>0.20417347419379522</v>
      </c>
      <c r="CY38" s="473">
        <v>0</v>
      </c>
      <c r="CZ38" s="474">
        <f t="shared" si="61"/>
        <v>581100.1666377025</v>
      </c>
      <c r="DA38" s="475">
        <f t="shared" si="62"/>
        <v>0.20417347419379522</v>
      </c>
      <c r="DB38" s="1">
        <f t="shared" si="63"/>
        <v>0</v>
      </c>
      <c r="DC38" s="293">
        <f t="shared" si="64"/>
        <v>0.19497679793001613</v>
      </c>
      <c r="DF38" s="476"/>
    </row>
    <row r="39" spans="1:110">
      <c r="A39" s="477" t="s">
        <v>115</v>
      </c>
      <c r="B39" s="428" t="s">
        <v>118</v>
      </c>
      <c r="C39" s="429"/>
      <c r="D39" s="91">
        <f>'Sizing - Reimb Exp-26'!B30</f>
        <v>14257696</v>
      </c>
      <c r="E39" s="92">
        <f>'Ridership-26'!$E30</f>
        <v>1396636</v>
      </c>
      <c r="F39" s="92">
        <f>'Revenue Hours-26'!$E30</f>
        <v>143067</v>
      </c>
      <c r="G39" s="92">
        <f>'Revenue Miles-26'!$E30</f>
        <v>2359994</v>
      </c>
      <c r="H39" s="478">
        <f t="shared" si="0"/>
        <v>2.792800926360255E-2</v>
      </c>
      <c r="I39" s="431">
        <f t="shared" si="1"/>
        <v>2.792800926360255E-2</v>
      </c>
      <c r="J39" s="432"/>
      <c r="K39" s="433">
        <f>'Ridership-26'!B30/'Revenue Hours-26'!B30</f>
        <v>7.5369057433360815</v>
      </c>
      <c r="L39" s="434">
        <f>'Ridership-26'!C30/'Revenue Hours-26'!C30</f>
        <v>7.2816302952503209</v>
      </c>
      <c r="M39" s="434">
        <f>'Ridership-26'!D30/'Revenue Hours-26'!D30</f>
        <v>9.0953319765962863</v>
      </c>
      <c r="N39" s="539">
        <f>'Ridership-26'!E30/'Revenue Hours-26'!K30</f>
        <v>9.762111458267805</v>
      </c>
      <c r="O39" s="435">
        <f t="shared" si="2"/>
        <v>0.93562893210464482</v>
      </c>
      <c r="P39" s="436">
        <f t="shared" si="3"/>
        <v>2.613025348311308E-2</v>
      </c>
      <c r="Q39" s="437">
        <f t="shared" si="4"/>
        <v>2.5061102791866532E-2</v>
      </c>
      <c r="R39" s="438">
        <f>'Ridership-26'!B30/'Revenue Miles-26'!B30</f>
        <v>0.4322966250764449</v>
      </c>
      <c r="S39" s="434">
        <f>'Ridership-26'!C30/'Revenue Miles-26'!C30</f>
        <v>0.43926607650153893</v>
      </c>
      <c r="T39" s="434">
        <f>'Ridership-26'!D30/'Revenue Miles-26'!D30</f>
        <v>0.56790094587284767</v>
      </c>
      <c r="U39" s="539">
        <f>'Ridership-26'!E30/'Revenue Miles-26'!K30</f>
        <v>0.59179641982140629</v>
      </c>
      <c r="V39" s="435">
        <f t="shared" si="5"/>
        <v>0.95458036924452949</v>
      </c>
      <c r="W39" s="436">
        <f t="shared" si="6"/>
        <v>2.6659529395114363E-2</v>
      </c>
      <c r="X39" s="437">
        <f t="shared" si="7"/>
        <v>2.5496985559769494E-2</v>
      </c>
      <c r="Y39" s="438">
        <f>'Op Cost-26'!B30/'Revenue Hours-26'!B30</f>
        <v>71.568899422918378</v>
      </c>
      <c r="Z39" s="434">
        <f>'Op Cost-26'!C30/'Revenue Hours-26'!C30</f>
        <v>68.191964056482675</v>
      </c>
      <c r="AA39" s="434">
        <f>'Op Cost-26'!D30/'Revenue Hours-26'!D30</f>
        <v>90.06116622855366</v>
      </c>
      <c r="AB39" s="434">
        <f>'Op Cost-26'!E30/'Revenue Hours-26'!E30</f>
        <v>100.1120523950317</v>
      </c>
      <c r="AC39" s="435">
        <f t="shared" si="8"/>
        <v>1.0742332216255097</v>
      </c>
      <c r="AD39" s="436">
        <f t="shared" si="9"/>
        <v>2.5998087474284594E-2</v>
      </c>
      <c r="AE39" s="437">
        <f t="shared" si="10"/>
        <v>2.6044288660639799E-2</v>
      </c>
      <c r="AF39" s="438">
        <f>'Op Cost-26'!B30/'Revenue Miles-26'!B30</f>
        <v>4.104999416812201</v>
      </c>
      <c r="AG39" s="434">
        <f>'Op Cost-26'!C30/'Revenue Miles-26'!C30</f>
        <v>4.1136964231161048</v>
      </c>
      <c r="AH39" s="434">
        <f>'Op Cost-26'!D30/'Revenue Miles-26'!D30</f>
        <v>5.6233045279945362</v>
      </c>
      <c r="AI39" s="434">
        <f>'Op Cost-26'!E30/'Revenue Miles-26'!E30</f>
        <v>6.0689692431421438</v>
      </c>
      <c r="AJ39" s="435">
        <f t="shared" si="11"/>
        <v>1.0986857066039803</v>
      </c>
      <c r="AK39" s="436">
        <f t="shared" si="12"/>
        <v>2.5419470823851504E-2</v>
      </c>
      <c r="AL39" s="437">
        <f t="shared" si="13"/>
        <v>2.5462402207280497E-2</v>
      </c>
      <c r="AM39" s="438">
        <f>'Op Cost-26'!B30/'Ridership-26'!B30</f>
        <v>9.4957933481120662</v>
      </c>
      <c r="AN39" s="434">
        <f>'Op Cost-26'!C30/'Ridership-26'!C30</f>
        <v>9.3649308316247648</v>
      </c>
      <c r="AO39" s="434">
        <f>'Op Cost-26'!D30/'Ridership-26'!D30</f>
        <v>9.9019108329740089</v>
      </c>
      <c r="AP39" s="434">
        <f>'Op Cost-26'!E30/'Ridership-26'!E30</f>
        <v>10.255163836532926</v>
      </c>
      <c r="AQ39" s="435">
        <f t="shared" si="14"/>
        <v>1.1567680100553506</v>
      </c>
      <c r="AR39" s="436">
        <f t="shared" si="15"/>
        <v>2.414313762209435E-2</v>
      </c>
      <c r="AS39" s="440">
        <f t="shared" si="16"/>
        <v>2.4284181090622643E-2</v>
      </c>
      <c r="AT39" s="432"/>
      <c r="AU39" s="441">
        <f t="shared" si="17"/>
        <v>0</v>
      </c>
      <c r="AV39" s="442">
        <f t="shared" si="18"/>
        <v>0</v>
      </c>
      <c r="AW39" s="442">
        <f t="shared" si="19"/>
        <v>0</v>
      </c>
      <c r="AX39" s="442">
        <f t="shared" si="20"/>
        <v>0</v>
      </c>
      <c r="AY39" s="443">
        <f t="shared" si="21"/>
        <v>0</v>
      </c>
      <c r="AZ39" s="444">
        <f t="shared" si="43"/>
        <v>-1</v>
      </c>
      <c r="BA39" s="445">
        <f t="shared" si="22"/>
        <v>0</v>
      </c>
      <c r="BB39" s="446">
        <f t="shared" si="22"/>
        <v>0</v>
      </c>
      <c r="BC39" s="446">
        <f t="shared" si="22"/>
        <v>0</v>
      </c>
      <c r="BD39" s="446">
        <f t="shared" si="22"/>
        <v>0</v>
      </c>
      <c r="BE39" s="446">
        <f t="shared" si="22"/>
        <v>0</v>
      </c>
      <c r="BF39" s="447">
        <f t="shared" si="44"/>
        <v>3361684.0174167701</v>
      </c>
      <c r="BH39" s="448">
        <f>'Op Cost-26'!E30</f>
        <v>14322731</v>
      </c>
      <c r="BI39" s="449">
        <f t="shared" si="23"/>
        <v>0.23470970846389352</v>
      </c>
      <c r="BJ39" s="450">
        <f t="shared" si="24"/>
        <v>3361684.0174167701</v>
      </c>
      <c r="BK39" s="451">
        <f t="shared" si="25"/>
        <v>0</v>
      </c>
      <c r="BL39" s="1">
        <f t="shared" si="45"/>
        <v>0.93291248687172268</v>
      </c>
      <c r="BM39" s="112">
        <f t="shared" si="46"/>
        <v>0.86082768556463052</v>
      </c>
      <c r="BN39" s="112">
        <f t="shared" si="47"/>
        <v>0.73578703754053076</v>
      </c>
      <c r="BO39" s="113">
        <f t="shared" si="48"/>
        <v>1.0675176121908647</v>
      </c>
      <c r="BP39" s="452">
        <f t="shared" si="26"/>
        <v>3361684.0174167701</v>
      </c>
      <c r="BQ39" s="115">
        <f t="shared" si="49"/>
        <v>2.6054388575483964E-2</v>
      </c>
      <c r="BR39" s="116">
        <f t="shared" si="50"/>
        <v>2.6054388575483964E-2</v>
      </c>
      <c r="BS39" s="453">
        <f t="shared" si="51"/>
        <v>2.7149824385351524E-2</v>
      </c>
      <c r="BT39" s="118">
        <f t="shared" si="52"/>
        <v>3564882.9314814787</v>
      </c>
      <c r="BU39" s="119">
        <f t="shared" si="53"/>
        <v>4296819.3</v>
      </c>
      <c r="BV39" s="119">
        <f t="shared" si="54"/>
        <v>3564882.9314814787</v>
      </c>
      <c r="BW39" s="119">
        <f t="shared" si="65"/>
        <v>0</v>
      </c>
      <c r="BX39" s="120">
        <f t="shared" si="55"/>
        <v>2.6054388575483964E-2</v>
      </c>
      <c r="BY39" s="454">
        <f t="shared" si="56"/>
        <v>2.9216011288318428E-2</v>
      </c>
      <c r="BZ39" s="122">
        <f t="shared" si="57"/>
        <v>3572851.6815374745</v>
      </c>
      <c r="CA39" s="455">
        <f t="shared" si="27"/>
        <v>2.9861301554406923E-2</v>
      </c>
      <c r="CB39" s="456">
        <f t="shared" si="28"/>
        <v>223492.57079129049</v>
      </c>
      <c r="CC39" s="456">
        <f t="shared" si="29"/>
        <v>3585176.5882080607</v>
      </c>
      <c r="CD39" s="457">
        <f t="shared" si="30"/>
        <v>0.25031375568025821</v>
      </c>
      <c r="CE39" s="458">
        <f t="shared" si="31"/>
        <v>0</v>
      </c>
      <c r="CF39" s="17"/>
      <c r="CG39" s="459">
        <f t="shared" si="32"/>
        <v>14322731</v>
      </c>
      <c r="CH39" s="460">
        <f t="shared" si="58"/>
        <v>0.25031375568025821</v>
      </c>
      <c r="CI39" s="461">
        <f t="shared" si="33"/>
        <v>3585176.5882080607</v>
      </c>
      <c r="CJ39" s="462">
        <f t="shared" si="34"/>
        <v>0</v>
      </c>
      <c r="CL39" s="463">
        <f t="shared" si="35"/>
        <v>3585176.5882080607</v>
      </c>
      <c r="CM39" s="464">
        <f t="shared" si="36"/>
        <v>3.0826136657522093E-2</v>
      </c>
      <c r="CN39" s="465">
        <f t="shared" si="37"/>
        <v>4699.3282512338928</v>
      </c>
      <c r="CO39" s="466">
        <f t="shared" si="59"/>
        <v>3589875.9164592945</v>
      </c>
      <c r="CP39" s="467">
        <f t="shared" si="60"/>
        <v>0.25064185848769305</v>
      </c>
      <c r="CQ39" s="468">
        <f t="shared" si="38"/>
        <v>0</v>
      </c>
      <c r="CR39" s="469"/>
      <c r="CS39" s="470">
        <f t="shared" si="39"/>
        <v>4296819.3</v>
      </c>
      <c r="CT39" s="465">
        <f t="shared" si="40"/>
        <v>0</v>
      </c>
      <c r="CU39" s="471">
        <f t="shared" si="41"/>
        <v>3589875.9164592945</v>
      </c>
      <c r="CV39" s="472">
        <f t="shared" si="42"/>
        <v>0.25064185848769305</v>
      </c>
      <c r="CY39" s="473">
        <v>0</v>
      </c>
      <c r="CZ39" s="474">
        <f t="shared" si="61"/>
        <v>3589875.9164592945</v>
      </c>
      <c r="DA39" s="475">
        <f t="shared" si="62"/>
        <v>0.25064185848769305</v>
      </c>
      <c r="DB39" s="1">
        <f t="shared" si="63"/>
        <v>0</v>
      </c>
      <c r="DC39" s="293">
        <f t="shared" si="64"/>
        <v>0.24945324195067789</v>
      </c>
      <c r="DF39" s="476"/>
    </row>
    <row r="40" spans="1:110">
      <c r="A40" s="477" t="s">
        <v>115</v>
      </c>
      <c r="B40" s="428" t="s">
        <v>119</v>
      </c>
      <c r="C40" s="429"/>
      <c r="D40" s="91">
        <f>'Sizing - Reimb Exp-26'!B31</f>
        <v>744369</v>
      </c>
      <c r="E40" s="92">
        <f>'Ridership-26'!$E31</f>
        <v>28456</v>
      </c>
      <c r="F40" s="92">
        <f>'Revenue Hours-26'!$E31</f>
        <v>18710.25</v>
      </c>
      <c r="G40" s="92">
        <f>'Revenue Miles-26'!$E31</f>
        <v>231250</v>
      </c>
      <c r="H40" s="478">
        <f t="shared" si="0"/>
        <v>1.7706242603158051E-3</v>
      </c>
      <c r="I40" s="431">
        <f t="shared" si="1"/>
        <v>1.7706242603158051E-3</v>
      </c>
      <c r="J40" s="432"/>
      <c r="K40" s="433">
        <f>'Ridership-26'!B31/'Revenue Hours-26'!B31</f>
        <v>2.0660778541053322</v>
      </c>
      <c r="L40" s="434">
        <f>'Ridership-26'!C31/'Revenue Hours-26'!C31</f>
        <v>1.5442640125720273</v>
      </c>
      <c r="M40" s="434">
        <f>'Ridership-26'!D31/'Revenue Hours-26'!D31</f>
        <v>1.4436910689691704</v>
      </c>
      <c r="N40" s="539">
        <f>'Ridership-26'!E31/'Revenue Hours-26'!K31</f>
        <v>1.5208775938322576</v>
      </c>
      <c r="O40" s="435">
        <f t="shared" si="2"/>
        <v>0.78444065442179911</v>
      </c>
      <c r="P40" s="436">
        <f t="shared" si="3"/>
        <v>1.3889496534972442E-3</v>
      </c>
      <c r="Q40" s="437">
        <f t="shared" si="4"/>
        <v>1.3321191109576195E-3</v>
      </c>
      <c r="R40" s="438">
        <f>'Ridership-26'!B31/'Revenue Miles-26'!B31</f>
        <v>0.17929853281414856</v>
      </c>
      <c r="S40" s="434">
        <f>'Ridership-26'!C31/'Revenue Miles-26'!C31</f>
        <v>0.13392938268912755</v>
      </c>
      <c r="T40" s="434">
        <f>'Ridership-26'!D31/'Revenue Miles-26'!D31</f>
        <v>0.11958963737845332</v>
      </c>
      <c r="U40" s="539">
        <f>'Ridership-26'!E31/'Revenue Miles-26'!K31</f>
        <v>0.12305297297297298</v>
      </c>
      <c r="V40" s="435">
        <f t="shared" si="5"/>
        <v>0.76729798078618916</v>
      </c>
      <c r="W40" s="436">
        <f t="shared" si="6"/>
        <v>1.358596419671357E-3</v>
      </c>
      <c r="X40" s="437">
        <f t="shared" si="7"/>
        <v>1.2993520170788643E-3</v>
      </c>
      <c r="Y40" s="438">
        <f>'Op Cost-26'!B31/'Revenue Hours-26'!B31</f>
        <v>43.551303020390364</v>
      </c>
      <c r="Z40" s="434">
        <f>'Op Cost-26'!C31/'Revenue Hours-26'!C31</f>
        <v>41.282399161864852</v>
      </c>
      <c r="AA40" s="434">
        <f>'Op Cost-26'!D31/'Revenue Hours-26'!D31</f>
        <v>39.012660239432144</v>
      </c>
      <c r="AB40" s="434">
        <f>'Op Cost-26'!E31/'Revenue Hours-26'!E31</f>
        <v>39.784022126909051</v>
      </c>
      <c r="AC40" s="435">
        <f t="shared" si="8"/>
        <v>0.92869241192469454</v>
      </c>
      <c r="AD40" s="436">
        <f t="shared" si="9"/>
        <v>1.9065777189308842E-3</v>
      </c>
      <c r="AE40" s="437">
        <f t="shared" si="10"/>
        <v>1.9099658971028415E-3</v>
      </c>
      <c r="AF40" s="438">
        <f>'Op Cost-26'!B31/'Revenue Miles-26'!B31</f>
        <v>3.7794726458078038</v>
      </c>
      <c r="AG40" s="434">
        <f>'Op Cost-26'!C31/'Revenue Miles-26'!C31</f>
        <v>3.5802985698449907</v>
      </c>
      <c r="AH40" s="434">
        <f>'Op Cost-26'!D31/'Revenue Miles-26'!D31</f>
        <v>3.2316539123108785</v>
      </c>
      <c r="AI40" s="434">
        <f>'Op Cost-26'!E31/'Revenue Miles-26'!E31</f>
        <v>3.2188929729729732</v>
      </c>
      <c r="AJ40" s="435">
        <f t="shared" si="11"/>
        <v>0.91256401539541976</v>
      </c>
      <c r="AK40" s="436">
        <f t="shared" si="12"/>
        <v>1.9402740305824817E-3</v>
      </c>
      <c r="AL40" s="437">
        <f t="shared" si="13"/>
        <v>1.943550992913503E-3</v>
      </c>
      <c r="AM40" s="438">
        <f>'Op Cost-26'!B31/'Ridership-26'!B31</f>
        <v>21.079216803884314</v>
      </c>
      <c r="AN40" s="434">
        <f>'Op Cost-26'!C31/'Ridership-26'!C31</f>
        <v>26.732734056987788</v>
      </c>
      <c r="AO40" s="434">
        <f>'Op Cost-26'!D31/'Ridership-26'!D31</f>
        <v>27.022859029867174</v>
      </c>
      <c r="AP40" s="434">
        <f>'Op Cost-26'!E31/'Ridership-26'!E31</f>
        <v>26.158595726736014</v>
      </c>
      <c r="AQ40" s="439">
        <f t="shared" si="14"/>
        <v>1.2360109324116764</v>
      </c>
      <c r="AR40" s="436">
        <f t="shared" si="15"/>
        <v>1.4325312292028059E-3</v>
      </c>
      <c r="AS40" s="440">
        <f t="shared" si="16"/>
        <v>1.4409000326493374E-3</v>
      </c>
      <c r="AT40" s="432"/>
      <c r="AU40" s="441">
        <f t="shared" si="17"/>
        <v>0</v>
      </c>
      <c r="AV40" s="442">
        <f t="shared" si="18"/>
        <v>0</v>
      </c>
      <c r="AW40" s="442">
        <f t="shared" si="19"/>
        <v>0</v>
      </c>
      <c r="AX40" s="442">
        <f t="shared" si="20"/>
        <v>0</v>
      </c>
      <c r="AY40" s="443">
        <f t="shared" si="21"/>
        <v>0</v>
      </c>
      <c r="AZ40" s="444">
        <f t="shared" si="43"/>
        <v>-1</v>
      </c>
      <c r="BA40" s="445">
        <f t="shared" si="22"/>
        <v>0</v>
      </c>
      <c r="BB40" s="446">
        <f t="shared" si="22"/>
        <v>0</v>
      </c>
      <c r="BC40" s="446">
        <f t="shared" si="22"/>
        <v>0</v>
      </c>
      <c r="BD40" s="446">
        <f t="shared" si="22"/>
        <v>0</v>
      </c>
      <c r="BE40" s="446">
        <f t="shared" si="22"/>
        <v>0</v>
      </c>
      <c r="BF40" s="447">
        <f t="shared" si="44"/>
        <v>213129.37920395916</v>
      </c>
      <c r="BH40" s="448">
        <f>'Op Cost-26'!E31</f>
        <v>744369</v>
      </c>
      <c r="BI40" s="449">
        <f t="shared" si="23"/>
        <v>0.2863222127788223</v>
      </c>
      <c r="BJ40" s="450">
        <f t="shared" si="24"/>
        <v>213129.37920395916</v>
      </c>
      <c r="BK40" s="451">
        <f t="shared" si="25"/>
        <v>0</v>
      </c>
      <c r="BL40" s="1">
        <f t="shared" si="45"/>
        <v>0.28102995089168731</v>
      </c>
      <c r="BM40" s="112">
        <f t="shared" si="46"/>
        <v>0.13411171801535998</v>
      </c>
      <c r="BN40" s="112">
        <f t="shared" si="47"/>
        <v>0.1529931229926372</v>
      </c>
      <c r="BO40" s="113">
        <f t="shared" si="48"/>
        <v>0.41850748127937604</v>
      </c>
      <c r="BP40" s="452">
        <f t="shared" si="26"/>
        <v>213129.37920395916</v>
      </c>
      <c r="BQ40" s="115">
        <f t="shared" si="49"/>
        <v>4.9759844892418084E-4</v>
      </c>
      <c r="BR40" s="116">
        <f t="shared" si="50"/>
        <v>4.9759844892418084E-4</v>
      </c>
      <c r="BS40" s="453">
        <f t="shared" si="51"/>
        <v>5.1851957544790997E-4</v>
      </c>
      <c r="BT40" s="118">
        <f t="shared" si="52"/>
        <v>217010.16359345807</v>
      </c>
      <c r="BU40" s="119">
        <f t="shared" si="53"/>
        <v>223310.69999999998</v>
      </c>
      <c r="BV40" s="119">
        <f t="shared" si="54"/>
        <v>217010.16359345807</v>
      </c>
      <c r="BW40" s="119">
        <f t="shared" si="65"/>
        <v>0</v>
      </c>
      <c r="BX40" s="120">
        <f t="shared" si="55"/>
        <v>4.9759844892418084E-4</v>
      </c>
      <c r="BY40" s="454">
        <f t="shared" si="56"/>
        <v>5.5798054361168466E-4</v>
      </c>
      <c r="BZ40" s="122">
        <f t="shared" si="57"/>
        <v>217162.35437146231</v>
      </c>
      <c r="CA40" s="455">
        <f t="shared" si="27"/>
        <v>1.8931941936064308E-3</v>
      </c>
      <c r="CB40" s="456">
        <f t="shared" si="28"/>
        <v>14169.336743923748</v>
      </c>
      <c r="CC40" s="456">
        <f t="shared" si="29"/>
        <v>227298.71594788291</v>
      </c>
      <c r="CD40" s="457">
        <f t="shared" si="30"/>
        <v>0.30535757930258101</v>
      </c>
      <c r="CE40" s="458">
        <f t="shared" si="31"/>
        <v>1</v>
      </c>
      <c r="CF40" s="17"/>
      <c r="CG40" s="459">
        <f t="shared" si="32"/>
        <v>744369</v>
      </c>
      <c r="CH40" s="460">
        <f t="shared" si="58"/>
        <v>0.30535757930258101</v>
      </c>
      <c r="CI40" s="461">
        <f t="shared" si="33"/>
        <v>223310.69999999998</v>
      </c>
      <c r="CJ40" s="462">
        <f t="shared" si="34"/>
        <v>3988.01594788293</v>
      </c>
      <c r="CL40" s="463">
        <f t="shared" si="35"/>
        <v>0</v>
      </c>
      <c r="CM40" s="464">
        <f t="shared" si="36"/>
        <v>0</v>
      </c>
      <c r="CN40" s="465">
        <f t="shared" si="37"/>
        <v>0</v>
      </c>
      <c r="CO40" s="466">
        <f t="shared" si="59"/>
        <v>223310.69999999998</v>
      </c>
      <c r="CP40" s="467">
        <f t="shared" si="60"/>
        <v>0.3</v>
      </c>
      <c r="CQ40" s="468">
        <f t="shared" si="38"/>
        <v>0</v>
      </c>
      <c r="CR40" s="469"/>
      <c r="CS40" s="470">
        <f t="shared" si="39"/>
        <v>223310.69999999998</v>
      </c>
      <c r="CT40" s="465">
        <f t="shared" si="40"/>
        <v>0</v>
      </c>
      <c r="CU40" s="471">
        <f t="shared" si="41"/>
        <v>223310.69999999998</v>
      </c>
      <c r="CV40" s="472">
        <f t="shared" si="42"/>
        <v>0.3</v>
      </c>
      <c r="CY40" s="473">
        <v>0</v>
      </c>
      <c r="CZ40" s="474">
        <f t="shared" si="61"/>
        <v>223310.69999999998</v>
      </c>
      <c r="DA40" s="475">
        <f t="shared" si="62"/>
        <v>0.3</v>
      </c>
      <c r="DB40" s="1">
        <f t="shared" si="63"/>
        <v>0</v>
      </c>
      <c r="DC40" s="293">
        <f t="shared" si="64"/>
        <v>0.29174019118402605</v>
      </c>
      <c r="DF40" s="476"/>
    </row>
    <row r="41" spans="1:110">
      <c r="A41" s="477" t="s">
        <v>120</v>
      </c>
      <c r="B41" s="428" t="s">
        <v>121</v>
      </c>
      <c r="C41" s="429"/>
      <c r="D41" s="91">
        <f>'Sizing - Reimb Exp-26'!B32</f>
        <v>2428469</v>
      </c>
      <c r="E41" s="92">
        <f>'Ridership-26'!$E32</f>
        <v>212642</v>
      </c>
      <c r="F41" s="92">
        <f>'Revenue Hours-26'!$E32</f>
        <v>36534.629999999997</v>
      </c>
      <c r="G41" s="92">
        <f>'Revenue Miles-26'!$E32</f>
        <v>705618.94</v>
      </c>
      <c r="H41" s="478">
        <f t="shared" si="0"/>
        <v>5.6702484862446237E-3</v>
      </c>
      <c r="I41" s="431">
        <f t="shared" si="1"/>
        <v>5.6702484862446237E-3</v>
      </c>
      <c r="J41" s="432"/>
      <c r="K41" s="433">
        <f>'Ridership-26'!B32/'Revenue Hours-26'!B32</f>
        <v>4.4820247253569612</v>
      </c>
      <c r="L41" s="434">
        <f>'Ridership-26'!C32/'Revenue Hours-26'!C32</f>
        <v>4.4056907707718551</v>
      </c>
      <c r="M41" s="434">
        <f>'Ridership-26'!D32/'Revenue Hours-26'!D32</f>
        <v>5.2133876816389186</v>
      </c>
      <c r="N41" s="539">
        <f>'Ridership-26'!E32/'Revenue Hours-26'!K32</f>
        <v>5.8202861230563991</v>
      </c>
      <c r="O41" s="435">
        <f t="shared" si="2"/>
        <v>0.93497400249378815</v>
      </c>
      <c r="P41" s="436">
        <f t="shared" si="3"/>
        <v>5.3015349223184795E-3</v>
      </c>
      <c r="Q41" s="437">
        <f t="shared" si="4"/>
        <v>5.0846162563542322E-3</v>
      </c>
      <c r="R41" s="438">
        <f>'Ridership-26'!B32/'Revenue Miles-26'!B32</f>
        <v>0.24753017027607868</v>
      </c>
      <c r="S41" s="434">
        <f>'Ridership-26'!C32/'Revenue Miles-26'!C32</f>
        <v>0.22914428374898088</v>
      </c>
      <c r="T41" s="434">
        <f>'Ridership-26'!D32/'Revenue Miles-26'!D32</f>
        <v>0.26595741807949275</v>
      </c>
      <c r="U41" s="539">
        <f>'Ridership-26'!E32/'Revenue Miles-26'!K32</f>
        <v>0.30135528958448876</v>
      </c>
      <c r="V41" s="435">
        <f t="shared" si="5"/>
        <v>0.92190780884659318</v>
      </c>
      <c r="W41" s="436">
        <f t="shared" si="6"/>
        <v>5.2274463575694933E-3</v>
      </c>
      <c r="X41" s="437">
        <f t="shared" si="7"/>
        <v>4.9994927636586384E-3</v>
      </c>
      <c r="Y41" s="438">
        <f>'Op Cost-26'!B32/'Revenue Hours-26'!B32</f>
        <v>68.510851019247468</v>
      </c>
      <c r="Z41" s="434">
        <f>'Op Cost-26'!C32/'Revenue Hours-26'!C32</f>
        <v>68.297046322116032</v>
      </c>
      <c r="AA41" s="434">
        <f>'Op Cost-26'!D32/'Revenue Hours-26'!D32</f>
        <v>80.659776077922771</v>
      </c>
      <c r="AB41" s="434">
        <f>'Op Cost-26'!E32/'Revenue Hours-26'!E32</f>
        <v>92.151528563447897</v>
      </c>
      <c r="AC41" s="435">
        <f t="shared" si="8"/>
        <v>1.0561797921469089</v>
      </c>
      <c r="AD41" s="436">
        <f t="shared" si="9"/>
        <v>5.3686394384791659E-3</v>
      </c>
      <c r="AE41" s="437">
        <f t="shared" si="10"/>
        <v>5.3781800445493787E-3</v>
      </c>
      <c r="AF41" s="438">
        <f>'Op Cost-26'!B32/'Revenue Miles-26'!B32</f>
        <v>3.7836700281038187</v>
      </c>
      <c r="AG41" s="434">
        <f>'Op Cost-26'!C32/'Revenue Miles-26'!C32</f>
        <v>3.5521961426517614</v>
      </c>
      <c r="AH41" s="434">
        <f>'Op Cost-26'!D32/'Revenue Miles-26'!D32</f>
        <v>4.1148034826005002</v>
      </c>
      <c r="AI41" s="434">
        <f>'Op Cost-26'!E32/'Revenue Miles-26'!E32</f>
        <v>4.7713033326458048</v>
      </c>
      <c r="AJ41" s="435">
        <f t="shared" si="11"/>
        <v>1.0398241904816219</v>
      </c>
      <c r="AK41" s="436">
        <f t="shared" si="12"/>
        <v>5.4530838368150479E-3</v>
      </c>
      <c r="AL41" s="437">
        <f t="shared" si="13"/>
        <v>5.4622936443161976E-3</v>
      </c>
      <c r="AM41" s="438">
        <f>'Op Cost-26'!B32/'Ridership-26'!B32</f>
        <v>15.285692341599267</v>
      </c>
      <c r="AN41" s="434">
        <f>'Op Cost-26'!C32/'Ridership-26'!C32</f>
        <v>15.502006353966314</v>
      </c>
      <c r="AO41" s="434">
        <f>'Op Cost-26'!D32/'Ridership-26'!D32</f>
        <v>15.471662765844025</v>
      </c>
      <c r="AP41" s="434">
        <f>'Op Cost-26'!E32/'Ridership-26'!E32</f>
        <v>15.832817599533488</v>
      </c>
      <c r="AQ41" s="439">
        <f t="shared" si="14"/>
        <v>1.1428923483074012</v>
      </c>
      <c r="AR41" s="436">
        <f t="shared" si="15"/>
        <v>4.9613145933141813E-3</v>
      </c>
      <c r="AS41" s="440">
        <f t="shared" si="16"/>
        <v>4.9902984408013735E-3</v>
      </c>
      <c r="AT41" s="432"/>
      <c r="AU41" s="441">
        <f t="shared" si="17"/>
        <v>0</v>
      </c>
      <c r="AV41" s="442">
        <f t="shared" si="18"/>
        <v>0</v>
      </c>
      <c r="AW41" s="442">
        <f t="shared" si="19"/>
        <v>0</v>
      </c>
      <c r="AX41" s="442">
        <f t="shared" si="20"/>
        <v>0</v>
      </c>
      <c r="AY41" s="443">
        <f t="shared" si="21"/>
        <v>0</v>
      </c>
      <c r="AZ41" s="444">
        <f t="shared" si="43"/>
        <v>-1</v>
      </c>
      <c r="BA41" s="445">
        <f t="shared" si="22"/>
        <v>0</v>
      </c>
      <c r="BB41" s="446">
        <f t="shared" si="22"/>
        <v>0</v>
      </c>
      <c r="BC41" s="446">
        <f t="shared" si="22"/>
        <v>0</v>
      </c>
      <c r="BD41" s="446">
        <f t="shared" si="22"/>
        <v>0</v>
      </c>
      <c r="BE41" s="446">
        <f t="shared" si="22"/>
        <v>0</v>
      </c>
      <c r="BF41" s="447">
        <f t="shared" si="44"/>
        <v>682525.68706471962</v>
      </c>
      <c r="BH41" s="448">
        <f>'Op Cost-26'!E32</f>
        <v>3366722</v>
      </c>
      <c r="BI41" s="449">
        <f t="shared" si="23"/>
        <v>0.20272707014856575</v>
      </c>
      <c r="BJ41" s="450">
        <f t="shared" si="24"/>
        <v>682525.68706471962</v>
      </c>
      <c r="BK41" s="451">
        <f t="shared" si="25"/>
        <v>0</v>
      </c>
      <c r="BL41" s="1">
        <f t="shared" si="45"/>
        <v>0.56770243448241919</v>
      </c>
      <c r="BM41" s="112">
        <f t="shared" si="46"/>
        <v>0.5132356308420597</v>
      </c>
      <c r="BN41" s="112">
        <f t="shared" si="47"/>
        <v>0.37467836631633383</v>
      </c>
      <c r="BO41" s="113">
        <f t="shared" si="48"/>
        <v>0.69144787038564159</v>
      </c>
      <c r="BP41" s="452">
        <f t="shared" si="26"/>
        <v>682525.68706471962</v>
      </c>
      <c r="BQ41" s="115">
        <f t="shared" si="49"/>
        <v>3.2190138697613252E-3</v>
      </c>
      <c r="BR41" s="116">
        <f t="shared" si="50"/>
        <v>3.2190138697613252E-3</v>
      </c>
      <c r="BS41" s="453">
        <f t="shared" si="51"/>
        <v>3.3543547185853478E-3</v>
      </c>
      <c r="BT41" s="118">
        <f t="shared" si="52"/>
        <v>707630.86736091797</v>
      </c>
      <c r="BU41" s="119">
        <f t="shared" si="53"/>
        <v>1010016.6</v>
      </c>
      <c r="BV41" s="119">
        <f t="shared" si="54"/>
        <v>707630.86736091797</v>
      </c>
      <c r="BW41" s="119">
        <f t="shared" si="65"/>
        <v>0</v>
      </c>
      <c r="BX41" s="120">
        <f t="shared" si="55"/>
        <v>3.2190138697613252E-3</v>
      </c>
      <c r="BY41" s="454">
        <f t="shared" si="56"/>
        <v>3.6096316474182907E-3</v>
      </c>
      <c r="BZ41" s="122">
        <f t="shared" si="57"/>
        <v>708615.40464455425</v>
      </c>
      <c r="CA41" s="455">
        <f t="shared" si="27"/>
        <v>6.0627665344138697E-3</v>
      </c>
      <c r="CB41" s="456">
        <f t="shared" si="28"/>
        <v>45375.894832139042</v>
      </c>
      <c r="CC41" s="456">
        <f t="shared" si="29"/>
        <v>727901.58189685864</v>
      </c>
      <c r="CD41" s="457">
        <f t="shared" si="30"/>
        <v>0.2162048371967922</v>
      </c>
      <c r="CE41" s="458">
        <f t="shared" si="31"/>
        <v>0</v>
      </c>
      <c r="CF41" s="17"/>
      <c r="CG41" s="459">
        <f t="shared" si="32"/>
        <v>3366722</v>
      </c>
      <c r="CH41" s="460">
        <f t="shared" si="58"/>
        <v>0.2162048371967922</v>
      </c>
      <c r="CI41" s="461">
        <f t="shared" si="33"/>
        <v>727901.58189685864</v>
      </c>
      <c r="CJ41" s="462">
        <f t="shared" si="34"/>
        <v>0</v>
      </c>
      <c r="CL41" s="463">
        <f t="shared" si="35"/>
        <v>727901.58189685864</v>
      </c>
      <c r="CM41" s="464">
        <f t="shared" si="36"/>
        <v>6.2586578609769988E-3</v>
      </c>
      <c r="CN41" s="465">
        <f t="shared" si="37"/>
        <v>954.10878202667675</v>
      </c>
      <c r="CO41" s="466">
        <f t="shared" si="59"/>
        <v>728855.69067888532</v>
      </c>
      <c r="CP41" s="467">
        <f t="shared" si="60"/>
        <v>0.21648823118715632</v>
      </c>
      <c r="CQ41" s="468">
        <f t="shared" si="38"/>
        <v>0</v>
      </c>
      <c r="CR41" s="469"/>
      <c r="CS41" s="470">
        <f t="shared" si="39"/>
        <v>1010016.6</v>
      </c>
      <c r="CT41" s="465">
        <f t="shared" si="40"/>
        <v>0</v>
      </c>
      <c r="CU41" s="471">
        <f t="shared" si="41"/>
        <v>728855.69067888532</v>
      </c>
      <c r="CV41" s="472">
        <f t="shared" si="42"/>
        <v>0.21648823118715632</v>
      </c>
      <c r="CY41" s="473">
        <v>0</v>
      </c>
      <c r="CZ41" s="474">
        <f t="shared" si="61"/>
        <v>728855.69067888532</v>
      </c>
      <c r="DA41" s="475">
        <f t="shared" si="62"/>
        <v>0.21648823118715632</v>
      </c>
      <c r="DB41" s="1">
        <f t="shared" si="63"/>
        <v>0</v>
      </c>
      <c r="DC41" s="293">
        <f t="shared" si="64"/>
        <v>0.21047636384725388</v>
      </c>
      <c r="DF41" s="476"/>
    </row>
    <row r="42" spans="1:110">
      <c r="A42" s="477" t="s">
        <v>120</v>
      </c>
      <c r="B42" s="428" t="s">
        <v>122</v>
      </c>
      <c r="C42" s="429"/>
      <c r="D42" s="91">
        <f>'Sizing - Reimb Exp-26'!B33</f>
        <v>7144704</v>
      </c>
      <c r="E42" s="92">
        <f>'Ridership-26'!$E33</f>
        <v>1877126</v>
      </c>
      <c r="F42" s="92">
        <f>'Revenue Hours-26'!$E33</f>
        <v>76614</v>
      </c>
      <c r="G42" s="92">
        <f>'Revenue Miles-26'!$E33</f>
        <v>768657</v>
      </c>
      <c r="H42" s="478">
        <f t="shared" si="0"/>
        <v>2.0972505324955166E-2</v>
      </c>
      <c r="I42" s="431">
        <f t="shared" si="1"/>
        <v>2.0972505324955166E-2</v>
      </c>
      <c r="J42" s="432"/>
      <c r="K42" s="433">
        <f>'Ridership-26'!B33/'Revenue Hours-26'!B33</f>
        <v>6.5232631919715116</v>
      </c>
      <c r="L42" s="434">
        <f>'Ridership-26'!C33/'Revenue Hours-26'!C33</f>
        <v>18.24961092626382</v>
      </c>
      <c r="M42" s="434">
        <f>'Ridership-26'!D33/'Revenue Hours-26'!D33</f>
        <v>21.145138445302301</v>
      </c>
      <c r="N42" s="539">
        <f>'Ridership-26'!E33/'Revenue Hours-26'!K33</f>
        <v>24.501083352912001</v>
      </c>
      <c r="O42" s="435">
        <f t="shared" si="2"/>
        <v>1.4130477342171865</v>
      </c>
      <c r="P42" s="436">
        <f t="shared" si="3"/>
        <v>2.9635151130285777E-2</v>
      </c>
      <c r="Q42" s="437">
        <f t="shared" si="4"/>
        <v>2.8422593344092952E-2</v>
      </c>
      <c r="R42" s="438">
        <f>'Ridership-26'!B33/'Revenue Miles-26'!B33</f>
        <v>0.66929775146545356</v>
      </c>
      <c r="S42" s="434">
        <f>'Ridership-26'!C33/'Revenue Miles-26'!C33</f>
        <v>1.8049204125068334</v>
      </c>
      <c r="T42" s="434">
        <f>'Ridership-26'!D33/'Revenue Miles-26'!D33</f>
        <v>2.1042721223804488</v>
      </c>
      <c r="U42" s="539">
        <f>'Ridership-26'!E33/'Revenue Miles-26'!K33</f>
        <v>2.4420853514636569</v>
      </c>
      <c r="V42" s="435">
        <f t="shared" si="5"/>
        <v>1.4013283640407588</v>
      </c>
      <c r="W42" s="436">
        <f t="shared" si="6"/>
        <v>2.9389366576855525E-2</v>
      </c>
      <c r="X42" s="437">
        <f t="shared" si="7"/>
        <v>2.8107782553662853E-2</v>
      </c>
      <c r="Y42" s="438">
        <f>'Op Cost-26'!B33/'Revenue Hours-26'!B33</f>
        <v>76.682473292327614</v>
      </c>
      <c r="Z42" s="434">
        <f>'Op Cost-26'!C33/'Revenue Hours-26'!C33</f>
        <v>79.970349898035849</v>
      </c>
      <c r="AA42" s="434">
        <f>'Op Cost-26'!D33/'Revenue Hours-26'!D33</f>
        <v>91.352487016413477</v>
      </c>
      <c r="AB42" s="434">
        <f>'Op Cost-26'!E33/'Revenue Hours-26'!E33</f>
        <v>97.052784086459397</v>
      </c>
      <c r="AC42" s="435">
        <f t="shared" si="8"/>
        <v>1.0338380562910368</v>
      </c>
      <c r="AD42" s="436">
        <f t="shared" si="9"/>
        <v>2.0286064337963563E-2</v>
      </c>
      <c r="AE42" s="437">
        <f t="shared" si="10"/>
        <v>2.0322114691275858E-2</v>
      </c>
      <c r="AF42" s="438">
        <f>'Op Cost-26'!B33/'Revenue Miles-26'!B33</f>
        <v>7.8677504557122129</v>
      </c>
      <c r="AG42" s="434">
        <f>'Op Cost-26'!C33/'Revenue Miles-26'!C33</f>
        <v>7.9092161202490328</v>
      </c>
      <c r="AH42" s="434">
        <f>'Op Cost-26'!D33/'Revenue Miles-26'!D33</f>
        <v>9.0910018033704372</v>
      </c>
      <c r="AI42" s="434">
        <f>'Op Cost-26'!E33/'Revenue Miles-26'!E33</f>
        <v>9.6734980622045992</v>
      </c>
      <c r="AJ42" s="435">
        <f t="shared" si="11"/>
        <v>1.0288308715377539</v>
      </c>
      <c r="AK42" s="436">
        <f t="shared" si="12"/>
        <v>2.0384793949279893E-2</v>
      </c>
      <c r="AL42" s="437">
        <f t="shared" si="13"/>
        <v>2.0419222179954798E-2</v>
      </c>
      <c r="AM42" s="438">
        <f>'Op Cost-26'!B33/'Ridership-26'!B33</f>
        <v>11.755232164586637</v>
      </c>
      <c r="AN42" s="434">
        <f>'Op Cost-26'!C33/'Ridership-26'!C33</f>
        <v>4.3820304016973317</v>
      </c>
      <c r="AO42" s="434">
        <f>'Op Cost-26'!D33/'Ridership-26'!D33</f>
        <v>4.3202595836731801</v>
      </c>
      <c r="AP42" s="434">
        <f>'Op Cost-26'!E33/'Ridership-26'!E33</f>
        <v>3.9611629693478223</v>
      </c>
      <c r="AQ42" s="439">
        <f t="shared" si="14"/>
        <v>0.83032174110192136</v>
      </c>
      <c r="AR42" s="436">
        <f t="shared" si="15"/>
        <v>2.525828758515045E-2</v>
      </c>
      <c r="AS42" s="440">
        <f t="shared" si="16"/>
        <v>2.5405845725515543E-2</v>
      </c>
      <c r="AT42" s="432"/>
      <c r="AU42" s="441">
        <f t="shared" si="17"/>
        <v>0</v>
      </c>
      <c r="AV42" s="442">
        <f t="shared" si="18"/>
        <v>0</v>
      </c>
      <c r="AW42" s="442">
        <f t="shared" si="19"/>
        <v>0</v>
      </c>
      <c r="AX42" s="442">
        <f t="shared" si="20"/>
        <v>0</v>
      </c>
      <c r="AY42" s="443">
        <f t="shared" si="21"/>
        <v>0</v>
      </c>
      <c r="AZ42" s="444">
        <f t="shared" si="43"/>
        <v>-1</v>
      </c>
      <c r="BA42" s="445">
        <f t="shared" si="22"/>
        <v>0</v>
      </c>
      <c r="BB42" s="446">
        <f t="shared" si="22"/>
        <v>0</v>
      </c>
      <c r="BC42" s="446">
        <f t="shared" si="22"/>
        <v>0</v>
      </c>
      <c r="BD42" s="446">
        <f t="shared" si="22"/>
        <v>0</v>
      </c>
      <c r="BE42" s="446">
        <f t="shared" si="22"/>
        <v>0</v>
      </c>
      <c r="BF42" s="447">
        <f t="shared" si="44"/>
        <v>2524452.6128102345</v>
      </c>
      <c r="BH42" s="448">
        <f>'Op Cost-26'!E33</f>
        <v>7435602</v>
      </c>
      <c r="BI42" s="449">
        <f t="shared" si="23"/>
        <v>0.33950884041537382</v>
      </c>
      <c r="BJ42" s="450">
        <f t="shared" si="24"/>
        <v>2230680.6</v>
      </c>
      <c r="BK42" s="451">
        <f t="shared" si="25"/>
        <v>293772.01281023445</v>
      </c>
      <c r="BL42" s="1">
        <f t="shared" si="45"/>
        <v>2.6810601291544045</v>
      </c>
      <c r="BM42" s="112">
        <f t="shared" si="46"/>
        <v>2.1605173190939753</v>
      </c>
      <c r="BN42" s="112">
        <f t="shared" si="47"/>
        <v>3.0362717414154496</v>
      </c>
      <c r="BO42" s="113">
        <f t="shared" si="48"/>
        <v>2.7637257280540966</v>
      </c>
      <c r="BP42" s="452">
        <f t="shared" si="26"/>
        <v>0</v>
      </c>
      <c r="BQ42" s="115">
        <f t="shared" si="49"/>
        <v>5.6228547835215734E-2</v>
      </c>
      <c r="BR42" s="116">
        <f t="shared" si="50"/>
        <v>0</v>
      </c>
      <c r="BS42" s="453">
        <f t="shared" si="51"/>
        <v>0</v>
      </c>
      <c r="BT42" s="118">
        <f t="shared" si="52"/>
        <v>2230680.6</v>
      </c>
      <c r="BU42" s="119">
        <f t="shared" si="53"/>
        <v>2230680.6</v>
      </c>
      <c r="BV42" s="119">
        <f t="shared" si="54"/>
        <v>2230680.6</v>
      </c>
      <c r="BW42" s="119">
        <f t="shared" si="65"/>
        <v>0</v>
      </c>
      <c r="BX42" s="120">
        <f t="shared" si="55"/>
        <v>0</v>
      </c>
      <c r="BY42" s="454">
        <f t="shared" si="56"/>
        <v>0</v>
      </c>
      <c r="BZ42" s="122">
        <f t="shared" si="57"/>
        <v>2230680.6</v>
      </c>
      <c r="CA42" s="455">
        <f t="shared" si="27"/>
        <v>0</v>
      </c>
      <c r="CB42" s="456">
        <f t="shared" si="28"/>
        <v>0</v>
      </c>
      <c r="CC42" s="456">
        <f t="shared" si="29"/>
        <v>2230680.6</v>
      </c>
      <c r="CD42" s="457">
        <f t="shared" si="30"/>
        <v>0.3</v>
      </c>
      <c r="CE42" s="458">
        <f t="shared" si="31"/>
        <v>0</v>
      </c>
      <c r="CF42" s="17"/>
      <c r="CG42" s="459">
        <f t="shared" si="32"/>
        <v>7435602</v>
      </c>
      <c r="CH42" s="460">
        <f t="shared" si="58"/>
        <v>0.3</v>
      </c>
      <c r="CI42" s="461">
        <f t="shared" si="33"/>
        <v>2230680.6</v>
      </c>
      <c r="CJ42" s="462">
        <f t="shared" si="34"/>
        <v>0</v>
      </c>
      <c r="CL42" s="463">
        <f t="shared" si="35"/>
        <v>0</v>
      </c>
      <c r="CM42" s="464">
        <f t="shared" si="36"/>
        <v>0</v>
      </c>
      <c r="CN42" s="465">
        <f t="shared" si="37"/>
        <v>0</v>
      </c>
      <c r="CO42" s="466">
        <f t="shared" si="59"/>
        <v>2230680.6</v>
      </c>
      <c r="CP42" s="467">
        <f t="shared" si="60"/>
        <v>0.3</v>
      </c>
      <c r="CQ42" s="468">
        <f t="shared" si="38"/>
        <v>0</v>
      </c>
      <c r="CR42" s="469"/>
      <c r="CS42" s="470">
        <f t="shared" si="39"/>
        <v>2230680.6</v>
      </c>
      <c r="CT42" s="465">
        <f t="shared" si="40"/>
        <v>0</v>
      </c>
      <c r="CU42" s="471">
        <f t="shared" si="41"/>
        <v>2230680.6</v>
      </c>
      <c r="CV42" s="472">
        <f t="shared" si="42"/>
        <v>0.3</v>
      </c>
      <c r="CY42" s="473">
        <v>0</v>
      </c>
      <c r="CZ42" s="474">
        <f t="shared" si="61"/>
        <v>2230680.6</v>
      </c>
      <c r="DA42" s="475">
        <f t="shared" si="62"/>
        <v>0.3</v>
      </c>
      <c r="DB42" s="1">
        <f t="shared" si="63"/>
        <v>0</v>
      </c>
      <c r="DC42" s="293">
        <f t="shared" si="64"/>
        <v>0.3</v>
      </c>
      <c r="DF42" s="476"/>
    </row>
    <row r="43" spans="1:110">
      <c r="A43" s="477" t="s">
        <v>120</v>
      </c>
      <c r="B43" s="428" t="s">
        <v>123</v>
      </c>
      <c r="C43" s="429"/>
      <c r="D43" s="91">
        <f>'Sizing - Reimb Exp-26'!B34</f>
        <v>2376491</v>
      </c>
      <c r="E43" s="92">
        <f>'Ridership-26'!$E34</f>
        <v>181306</v>
      </c>
      <c r="F43" s="92">
        <f>'Revenue Hours-26'!$E34</f>
        <v>25268</v>
      </c>
      <c r="G43" s="92">
        <f>'Revenue Miles-26'!$E34</f>
        <v>331246</v>
      </c>
      <c r="H43" s="430">
        <f t="shared" si="0"/>
        <v>4.2200607362598746E-3</v>
      </c>
      <c r="I43" s="431">
        <f t="shared" si="1"/>
        <v>4.2200607362598746E-3</v>
      </c>
      <c r="J43" s="432"/>
      <c r="K43" s="433">
        <f>'Ridership-26'!B34/'Revenue Hours-26'!B34</f>
        <v>5.1692512721104915</v>
      </c>
      <c r="L43" s="434">
        <f>'Ridership-26'!C34/'Revenue Hours-26'!C34</f>
        <v>7.7540727902946278</v>
      </c>
      <c r="M43" s="434">
        <f>'Ridership-26'!D34/'Revenue Hours-26'!D34</f>
        <v>8.9334289529650324</v>
      </c>
      <c r="N43" s="539">
        <f>'Ridership-26'!E34/'Revenue Hours-26'!K34</f>
        <v>7.1753205635586514</v>
      </c>
      <c r="O43" s="435">
        <f t="shared" si="2"/>
        <v>0.9631888761247418</v>
      </c>
      <c r="P43" s="436">
        <f t="shared" si="3"/>
        <v>4.064715557736299E-3</v>
      </c>
      <c r="Q43" s="437">
        <f t="shared" si="4"/>
        <v>3.89840284090472E-3</v>
      </c>
      <c r="R43" s="438">
        <f>'Ridership-26'!B34/'Revenue Miles-26'!B34</f>
        <v>0.48672727894958989</v>
      </c>
      <c r="S43" s="434">
        <f>'Ridership-26'!C34/'Revenue Miles-26'!C34</f>
        <v>0.72460145651246777</v>
      </c>
      <c r="T43" s="434">
        <f>'Ridership-26'!D34/'Revenue Miles-26'!D34</f>
        <v>0.79643813026090104</v>
      </c>
      <c r="U43" s="539">
        <f>'Ridership-26'!E34/'Revenue Miles-26'!K34</f>
        <v>0.54734547737934947</v>
      </c>
      <c r="V43" s="435">
        <f t="shared" si="5"/>
        <v>0.91548196708866847</v>
      </c>
      <c r="W43" s="436">
        <f t="shared" si="6"/>
        <v>3.8633895040648446E-3</v>
      </c>
      <c r="X43" s="437">
        <f t="shared" si="7"/>
        <v>3.6949184262404272E-3</v>
      </c>
      <c r="Y43" s="438">
        <f>'Op Cost-26'!B34/'Revenue Hours-26'!B34</f>
        <v>76.918100314998782</v>
      </c>
      <c r="Z43" s="434">
        <f>'Op Cost-26'!C34/'Revenue Hours-26'!C34</f>
        <v>82.248006932409012</v>
      </c>
      <c r="AA43" s="434">
        <f>'Op Cost-26'!D34/'Revenue Hours-26'!D34</f>
        <v>95.121865571986746</v>
      </c>
      <c r="AB43" s="434">
        <f>'Op Cost-26'!E34/'Revenue Hours-26'!E34</f>
        <v>94.216123159727715</v>
      </c>
      <c r="AC43" s="435">
        <f t="shared" si="8"/>
        <v>1.0237533675916397</v>
      </c>
      <c r="AD43" s="436">
        <f t="shared" si="9"/>
        <v>4.1221458896760332E-3</v>
      </c>
      <c r="AE43" s="437">
        <f t="shared" si="10"/>
        <v>4.1294713527748337E-3</v>
      </c>
      <c r="AF43" s="438">
        <f>'Op Cost-26'!B34/'Revenue Miles-26'!B34</f>
        <v>7.2424681443287211</v>
      </c>
      <c r="AG43" s="434">
        <f>'Op Cost-26'!C34/'Revenue Miles-26'!C34</f>
        <v>7.6858996852680619</v>
      </c>
      <c r="AH43" s="434">
        <f>'Op Cost-26'!D34/'Revenue Miles-26'!D34</f>
        <v>8.480358568020776</v>
      </c>
      <c r="AI43" s="434">
        <f>'Op Cost-26'!E34/'Revenue Miles-26'!E34</f>
        <v>7.1869637671096402</v>
      </c>
      <c r="AJ43" s="435">
        <f t="shared" si="11"/>
        <v>0.96417599187899372</v>
      </c>
      <c r="AK43" s="436">
        <f t="shared" si="12"/>
        <v>4.3768573080063804E-3</v>
      </c>
      <c r="AL43" s="437">
        <f t="shared" si="13"/>
        <v>4.384249457929805E-3</v>
      </c>
      <c r="AM43" s="438">
        <f>'Op Cost-26'!B34/'Ridership-26'!B34</f>
        <v>14.879930625541988</v>
      </c>
      <c r="AN43" s="434">
        <f>'Op Cost-26'!C34/'Ridership-26'!C34</f>
        <v>10.607071813325586</v>
      </c>
      <c r="AO43" s="434">
        <f>'Op Cost-26'!D34/'Ridership-26'!D34</f>
        <v>10.647856055363322</v>
      </c>
      <c r="AP43" s="434">
        <f>'Op Cost-26'!E34/'Ridership-26'!E34</f>
        <v>13.13058034483139</v>
      </c>
      <c r="AQ43" s="439">
        <f t="shared" si="14"/>
        <v>1.0897265159750711</v>
      </c>
      <c r="AR43" s="436">
        <f t="shared" si="15"/>
        <v>3.8725869971915172E-3</v>
      </c>
      <c r="AS43" s="440">
        <f t="shared" si="16"/>
        <v>3.8952105314980778E-3</v>
      </c>
      <c r="AT43" s="432"/>
      <c r="AU43" s="441">
        <f t="shared" si="17"/>
        <v>0</v>
      </c>
      <c r="AV43" s="442">
        <f t="shared" si="18"/>
        <v>0</v>
      </c>
      <c r="AW43" s="442">
        <f t="shared" si="19"/>
        <v>0</v>
      </c>
      <c r="AX43" s="442">
        <f t="shared" si="20"/>
        <v>0</v>
      </c>
      <c r="AY43" s="443">
        <f t="shared" si="21"/>
        <v>0</v>
      </c>
      <c r="AZ43" s="444">
        <f t="shared" si="43"/>
        <v>-1</v>
      </c>
      <c r="BA43" s="445">
        <f t="shared" si="22"/>
        <v>0</v>
      </c>
      <c r="BB43" s="446">
        <f t="shared" si="22"/>
        <v>0</v>
      </c>
      <c r="BC43" s="446">
        <f t="shared" si="22"/>
        <v>0</v>
      </c>
      <c r="BD43" s="446">
        <f t="shared" si="22"/>
        <v>0</v>
      </c>
      <c r="BE43" s="446">
        <f t="shared" si="22"/>
        <v>0</v>
      </c>
      <c r="BF43" s="447">
        <f t="shared" si="44"/>
        <v>507967.13062185841</v>
      </c>
      <c r="BH43" s="448">
        <f>'Op Cost-26'!E34</f>
        <v>2380653</v>
      </c>
      <c r="BI43" s="449">
        <f t="shared" si="23"/>
        <v>0.21337302438526673</v>
      </c>
      <c r="BJ43" s="450">
        <f t="shared" si="24"/>
        <v>507967.13062185841</v>
      </c>
      <c r="BK43" s="451">
        <f t="shared" si="25"/>
        <v>0</v>
      </c>
      <c r="BL43" s="1">
        <f t="shared" si="45"/>
        <v>0.74518394561845747</v>
      </c>
      <c r="BM43" s="112">
        <f t="shared" si="46"/>
        <v>0.63272321979905921</v>
      </c>
      <c r="BN43" s="112">
        <f t="shared" si="47"/>
        <v>0.68052068891139261</v>
      </c>
      <c r="BO43" s="113">
        <f t="shared" si="48"/>
        <v>0.83374593688168896</v>
      </c>
      <c r="BP43" s="452">
        <f t="shared" si="26"/>
        <v>507967.13062185841</v>
      </c>
      <c r="BQ43" s="115">
        <f t="shared" si="49"/>
        <v>3.1447215101956657E-3</v>
      </c>
      <c r="BR43" s="116">
        <f t="shared" si="50"/>
        <v>3.1447215101956657E-3</v>
      </c>
      <c r="BS43" s="453">
        <f t="shared" si="51"/>
        <v>3.2769387965214934E-3</v>
      </c>
      <c r="BT43" s="118">
        <f t="shared" si="52"/>
        <v>532492.90270268801</v>
      </c>
      <c r="BU43" s="119">
        <f t="shared" si="53"/>
        <v>714195.9</v>
      </c>
      <c r="BV43" s="119">
        <f t="shared" si="54"/>
        <v>532492.90270268801</v>
      </c>
      <c r="BW43" s="119">
        <f t="shared" si="65"/>
        <v>0</v>
      </c>
      <c r="BX43" s="120">
        <f t="shared" si="55"/>
        <v>3.1447215101956657E-3</v>
      </c>
      <c r="BY43" s="454">
        <f t="shared" si="56"/>
        <v>3.5263241305514971E-3</v>
      </c>
      <c r="BZ43" s="122">
        <f t="shared" si="57"/>
        <v>533454.71762449516</v>
      </c>
      <c r="CA43" s="455">
        <f t="shared" si="27"/>
        <v>4.5121907914718743E-3</v>
      </c>
      <c r="CB43" s="456">
        <f t="shared" si="28"/>
        <v>33770.836078577137</v>
      </c>
      <c r="CC43" s="456">
        <f t="shared" si="29"/>
        <v>541737.9667004355</v>
      </c>
      <c r="CD43" s="457">
        <f t="shared" si="30"/>
        <v>0.22755855922742016</v>
      </c>
      <c r="CE43" s="458">
        <f t="shared" si="31"/>
        <v>0</v>
      </c>
      <c r="CF43" s="17"/>
      <c r="CG43" s="459">
        <f t="shared" si="32"/>
        <v>2380653</v>
      </c>
      <c r="CH43" s="460">
        <f t="shared" si="58"/>
        <v>0.22755855922742016</v>
      </c>
      <c r="CI43" s="461">
        <f t="shared" si="33"/>
        <v>541737.9667004355</v>
      </c>
      <c r="CJ43" s="462">
        <f t="shared" si="34"/>
        <v>0</v>
      </c>
      <c r="CL43" s="463">
        <f t="shared" si="35"/>
        <v>541737.9667004355</v>
      </c>
      <c r="CM43" s="464">
        <f t="shared" si="36"/>
        <v>4.657982161604653E-3</v>
      </c>
      <c r="CN43" s="465">
        <f t="shared" si="37"/>
        <v>710.0918097185845</v>
      </c>
      <c r="CO43" s="466">
        <f t="shared" si="59"/>
        <v>542448.05851015414</v>
      </c>
      <c r="CP43" s="467">
        <f t="shared" si="60"/>
        <v>0.22785683529273446</v>
      </c>
      <c r="CQ43" s="468">
        <f t="shared" si="38"/>
        <v>0</v>
      </c>
      <c r="CR43" s="469"/>
      <c r="CS43" s="470">
        <f t="shared" si="39"/>
        <v>714195.9</v>
      </c>
      <c r="CT43" s="465">
        <f t="shared" si="40"/>
        <v>0</v>
      </c>
      <c r="CU43" s="471">
        <f t="shared" si="41"/>
        <v>542448.05851015414</v>
      </c>
      <c r="CV43" s="472">
        <f t="shared" si="42"/>
        <v>0.22785683529273446</v>
      </c>
      <c r="CY43" s="473">
        <v>0</v>
      </c>
      <c r="CZ43" s="474">
        <f t="shared" si="61"/>
        <v>542448.05851015414</v>
      </c>
      <c r="DA43" s="475">
        <f t="shared" si="62"/>
        <v>0.22785683529273446</v>
      </c>
      <c r="DB43" s="1">
        <f t="shared" si="63"/>
        <v>0</v>
      </c>
      <c r="DC43" s="293">
        <f t="shared" si="64"/>
        <v>0.22407915711550366</v>
      </c>
      <c r="DF43" s="476"/>
    </row>
    <row r="44" spans="1:110">
      <c r="A44" s="477" t="s">
        <v>124</v>
      </c>
      <c r="B44" s="428" t="s">
        <v>125</v>
      </c>
      <c r="C44" s="429"/>
      <c r="D44" s="91">
        <f>'Sizing - Reimb Exp-26'!B35</f>
        <v>5173162</v>
      </c>
      <c r="E44" s="92">
        <f>'Ridership-26'!$E35</f>
        <v>131277</v>
      </c>
      <c r="F44" s="92">
        <f>'Revenue Hours-26'!$E35</f>
        <v>61710.71</v>
      </c>
      <c r="G44" s="92">
        <f>'Revenue Miles-26'!$E35</f>
        <v>1392527</v>
      </c>
      <c r="H44" s="478">
        <f t="shared" si="0"/>
        <v>9.1906277955202675E-3</v>
      </c>
      <c r="I44" s="431">
        <f t="shared" si="1"/>
        <v>9.1906277955202675E-3</v>
      </c>
      <c r="J44" s="432"/>
      <c r="K44" s="433">
        <f>'Ridership-26'!B35/'Revenue Hours-26'!B35</f>
        <v>1.944317205840252</v>
      </c>
      <c r="L44" s="434">
        <f>'Ridership-26'!C35/'Revenue Hours-26'!C35</f>
        <v>2.0984220777077214</v>
      </c>
      <c r="M44" s="434">
        <f>'Ridership-26'!D35/'Revenue Hours-26'!D35</f>
        <v>2.1059981833517161</v>
      </c>
      <c r="N44" s="539">
        <f>'Ridership-26'!E35/'Revenue Hours-26'!K35</f>
        <v>2.1272968662976006</v>
      </c>
      <c r="O44" s="435">
        <f t="shared" si="2"/>
        <v>0.87651228790853652</v>
      </c>
      <c r="P44" s="436">
        <f t="shared" si="3"/>
        <v>8.0556981963672593E-3</v>
      </c>
      <c r="Q44" s="437">
        <f t="shared" si="4"/>
        <v>7.7260896336074029E-3</v>
      </c>
      <c r="R44" s="438">
        <f>'Ridership-26'!B35/'Revenue Miles-26'!B35</f>
        <v>8.4847547858705061E-2</v>
      </c>
      <c r="S44" s="434">
        <f>'Ridership-26'!C35/'Revenue Miles-26'!C35</f>
        <v>9.06701755136681E-2</v>
      </c>
      <c r="T44" s="434">
        <f>'Ridership-26'!D35/'Revenue Miles-26'!D35</f>
        <v>9.3205239748349655E-2</v>
      </c>
      <c r="U44" s="539">
        <f>'Ridership-26'!E35/'Revenue Miles-26'!K35</f>
        <v>9.4272498845623817E-2</v>
      </c>
      <c r="V44" s="435">
        <f t="shared" si="5"/>
        <v>0.8848941187265198</v>
      </c>
      <c r="W44" s="436">
        <f t="shared" si="6"/>
        <v>8.1327324836603654E-3</v>
      </c>
      <c r="X44" s="437">
        <f t="shared" si="7"/>
        <v>7.7780878883540062E-3</v>
      </c>
      <c r="Y44" s="438">
        <f>'Op Cost-26'!B35/'Revenue Hours-26'!B35</f>
        <v>69.859111079301456</v>
      </c>
      <c r="Z44" s="434">
        <f>'Op Cost-26'!C35/'Revenue Hours-26'!C35</f>
        <v>76.546396857359781</v>
      </c>
      <c r="AA44" s="434">
        <f>'Op Cost-26'!D35/'Revenue Hours-26'!D35</f>
        <v>81.113410757153048</v>
      </c>
      <c r="AB44" s="434">
        <f>'Op Cost-26'!E35/'Revenue Hours-26'!E35</f>
        <v>94.049687647411616</v>
      </c>
      <c r="AC44" s="435">
        <f t="shared" si="8"/>
        <v>1.0573411582619359</v>
      </c>
      <c r="AD44" s="436">
        <f t="shared" si="9"/>
        <v>8.6922066011578328E-3</v>
      </c>
      <c r="AE44" s="437">
        <f t="shared" si="10"/>
        <v>8.7076535165286368E-3</v>
      </c>
      <c r="AF44" s="438">
        <f>'Op Cost-26'!B35/'Revenue Miles-26'!B35</f>
        <v>3.0485633994613872</v>
      </c>
      <c r="AG44" s="434">
        <f>'Op Cost-26'!C35/'Revenue Miles-26'!C35</f>
        <v>3.3074734162048824</v>
      </c>
      <c r="AH44" s="434">
        <f>'Op Cost-26'!D35/'Revenue Miles-26'!D35</f>
        <v>3.5898392297730726</v>
      </c>
      <c r="AI44" s="434">
        <f>'Op Cost-26'!E35/'Revenue Miles-26'!E35</f>
        <v>4.1678710717996852</v>
      </c>
      <c r="AJ44" s="435">
        <f t="shared" si="11"/>
        <v>1.0673150531526312</v>
      </c>
      <c r="AK44" s="436">
        <f t="shared" si="12"/>
        <v>8.6109792683735E-3</v>
      </c>
      <c r="AL44" s="437">
        <f t="shared" si="13"/>
        <v>8.6255225000257812E-3</v>
      </c>
      <c r="AM44" s="438">
        <f>'Op Cost-26'!B35/'Ridership-26'!B35</f>
        <v>35.929893985128473</v>
      </c>
      <c r="AN44" s="434">
        <f>'Op Cost-26'!C35/'Ridership-26'!C35</f>
        <v>36.47807448774924</v>
      </c>
      <c r="AO44" s="434">
        <f>'Op Cost-26'!D35/'Ridership-26'!D35</f>
        <v>38.515422946880371</v>
      </c>
      <c r="AP44" s="434">
        <f>'Op Cost-26'!E35/'Ridership-26'!E35</f>
        <v>44.210889950257851</v>
      </c>
      <c r="AQ44" s="439">
        <f t="shared" si="14"/>
        <v>1.2071736239215365</v>
      </c>
      <c r="AR44" s="436">
        <f t="shared" si="15"/>
        <v>7.61334377540843E-3</v>
      </c>
      <c r="AS44" s="440">
        <f t="shared" si="16"/>
        <v>7.6578206959309397E-3</v>
      </c>
      <c r="AT44" s="432"/>
      <c r="AU44" s="441">
        <f t="shared" si="17"/>
        <v>0</v>
      </c>
      <c r="AV44" s="442">
        <f t="shared" si="18"/>
        <v>0</v>
      </c>
      <c r="AW44" s="442">
        <f t="shared" si="19"/>
        <v>0</v>
      </c>
      <c r="AX44" s="442">
        <f t="shared" si="20"/>
        <v>0</v>
      </c>
      <c r="AY44" s="443">
        <f t="shared" si="21"/>
        <v>0</v>
      </c>
      <c r="AZ44" s="444">
        <f t="shared" si="43"/>
        <v>-1</v>
      </c>
      <c r="BA44" s="445">
        <f t="shared" si="22"/>
        <v>0</v>
      </c>
      <c r="BB44" s="446">
        <f t="shared" si="22"/>
        <v>0</v>
      </c>
      <c r="BC44" s="446">
        <f t="shared" si="22"/>
        <v>0</v>
      </c>
      <c r="BD44" s="446">
        <f t="shared" si="22"/>
        <v>0</v>
      </c>
      <c r="BE44" s="446">
        <f t="shared" si="22"/>
        <v>0</v>
      </c>
      <c r="BF44" s="447">
        <f t="shared" si="44"/>
        <v>1106272.4263161966</v>
      </c>
      <c r="BH44" s="448">
        <f>'Op Cost-26'!E35</f>
        <v>5803873</v>
      </c>
      <c r="BI44" s="449">
        <f t="shared" si="23"/>
        <v>0.19060934419416078</v>
      </c>
      <c r="BJ44" s="450">
        <f t="shared" si="24"/>
        <v>1106272.4263161966</v>
      </c>
      <c r="BK44" s="451">
        <f t="shared" si="25"/>
        <v>0</v>
      </c>
      <c r="BL44" s="1">
        <f t="shared" si="45"/>
        <v>0.20000978829866403</v>
      </c>
      <c r="BM44" s="112">
        <f t="shared" si="46"/>
        <v>0.18758606124835114</v>
      </c>
      <c r="BN44" s="112">
        <f t="shared" si="47"/>
        <v>0.11721004102744931</v>
      </c>
      <c r="BO44" s="113">
        <f t="shared" si="48"/>
        <v>0.24762152545942784</v>
      </c>
      <c r="BP44" s="452">
        <f t="shared" si="26"/>
        <v>1106272.4263161966</v>
      </c>
      <c r="BQ44" s="115">
        <f t="shared" si="49"/>
        <v>1.838215519713826E-3</v>
      </c>
      <c r="BR44" s="116">
        <f t="shared" si="50"/>
        <v>1.838215519713826E-3</v>
      </c>
      <c r="BS44" s="453">
        <f t="shared" si="51"/>
        <v>1.9155018126051353E-3</v>
      </c>
      <c r="BT44" s="118">
        <f t="shared" si="52"/>
        <v>1120608.7211918405</v>
      </c>
      <c r="BU44" s="119">
        <f t="shared" si="53"/>
        <v>1741161.9</v>
      </c>
      <c r="BV44" s="119">
        <f t="shared" si="54"/>
        <v>1120608.7211918405</v>
      </c>
      <c r="BW44" s="119">
        <f t="shared" si="65"/>
        <v>0</v>
      </c>
      <c r="BX44" s="120">
        <f t="shared" si="55"/>
        <v>1.838215519713826E-3</v>
      </c>
      <c r="BY44" s="454">
        <f t="shared" si="56"/>
        <v>2.06127751640488E-3</v>
      </c>
      <c r="BZ44" s="122">
        <f t="shared" si="57"/>
        <v>1121170.9404887245</v>
      </c>
      <c r="CA44" s="455">
        <f t="shared" si="27"/>
        <v>9.8268410571610929E-3</v>
      </c>
      <c r="CB44" s="456">
        <f t="shared" si="28"/>
        <v>73547.563444977059</v>
      </c>
      <c r="CC44" s="456">
        <f t="shared" si="29"/>
        <v>1179819.9897611737</v>
      </c>
      <c r="CD44" s="457">
        <f t="shared" si="30"/>
        <v>0.20328149664218595</v>
      </c>
      <c r="CE44" s="458">
        <f t="shared" si="31"/>
        <v>0</v>
      </c>
      <c r="CF44" s="17"/>
      <c r="CG44" s="459">
        <f t="shared" si="32"/>
        <v>5803873</v>
      </c>
      <c r="CH44" s="460">
        <f t="shared" si="58"/>
        <v>0.20328149664218595</v>
      </c>
      <c r="CI44" s="461">
        <f t="shared" si="33"/>
        <v>1179819.9897611737</v>
      </c>
      <c r="CJ44" s="462">
        <f t="shared" si="34"/>
        <v>0</v>
      </c>
      <c r="CL44" s="463">
        <f t="shared" si="35"/>
        <v>1179819.9897611737</v>
      </c>
      <c r="CM44" s="464">
        <f t="shared" si="36"/>
        <v>1.0144351705094761E-2</v>
      </c>
      <c r="CN44" s="465">
        <f t="shared" si="37"/>
        <v>1546.4681509666846</v>
      </c>
      <c r="CO44" s="466">
        <f t="shared" si="59"/>
        <v>1181366.4579121405</v>
      </c>
      <c r="CP44" s="467">
        <f t="shared" si="60"/>
        <v>0.20354795115471006</v>
      </c>
      <c r="CQ44" s="468">
        <f t="shared" si="38"/>
        <v>0</v>
      </c>
      <c r="CR44" s="469"/>
      <c r="CS44" s="470">
        <f t="shared" si="39"/>
        <v>1741161.9</v>
      </c>
      <c r="CT44" s="465">
        <f t="shared" si="40"/>
        <v>0</v>
      </c>
      <c r="CU44" s="471">
        <f t="shared" si="41"/>
        <v>1181366.4579121405</v>
      </c>
      <c r="CV44" s="472">
        <f t="shared" si="42"/>
        <v>0.20354795115471006</v>
      </c>
      <c r="CY44" s="473">
        <v>0</v>
      </c>
      <c r="CZ44" s="474">
        <f t="shared" si="61"/>
        <v>1181366.4579121405</v>
      </c>
      <c r="DA44" s="475">
        <f t="shared" si="62"/>
        <v>0.20354795115471006</v>
      </c>
      <c r="DB44" s="1">
        <f t="shared" si="63"/>
        <v>0</v>
      </c>
      <c r="DC44" s="293">
        <f t="shared" si="64"/>
        <v>0.19317633940107312</v>
      </c>
      <c r="DF44" s="476"/>
    </row>
    <row r="45" spans="1:110">
      <c r="A45" s="477" t="s">
        <v>124</v>
      </c>
      <c r="B45" s="428" t="s">
        <v>126</v>
      </c>
      <c r="C45" s="429"/>
      <c r="D45" s="91">
        <f>'Sizing - Reimb Exp-26'!B36</f>
        <v>604843</v>
      </c>
      <c r="E45" s="92">
        <f>'Ridership-26'!$E36</f>
        <v>28882</v>
      </c>
      <c r="F45" s="92">
        <f>'Revenue Hours-26'!$E36</f>
        <v>15534</v>
      </c>
      <c r="G45" s="92">
        <f>'Revenue Miles-26'!$E36</f>
        <v>413556</v>
      </c>
      <c r="H45" s="478">
        <f t="shared" si="0"/>
        <v>2.000041928521097E-3</v>
      </c>
      <c r="I45" s="431">
        <f t="shared" si="1"/>
        <v>2.000041928521097E-3</v>
      </c>
      <c r="J45" s="432"/>
      <c r="K45" s="433">
        <f>'Ridership-26'!B36/'Revenue Hours-26'!B36</f>
        <v>1.3983089137029627</v>
      </c>
      <c r="L45" s="434">
        <f>'Ridership-26'!C36/'Revenue Hours-26'!C36</f>
        <v>1.5445728965960179</v>
      </c>
      <c r="M45" s="434">
        <f>'Ridership-26'!D36/'Revenue Hours-26'!D36</f>
        <v>1.8291929463251384</v>
      </c>
      <c r="N45" s="539">
        <f>'Ridership-26'!E36/'Revenue Hours-26'!K36</f>
        <v>1.8592764259044676</v>
      </c>
      <c r="O45" s="435">
        <f t="shared" si="2"/>
        <v>0.93575618620058609</v>
      </c>
      <c r="P45" s="436">
        <f t="shared" si="3"/>
        <v>1.8715516072741669E-3</v>
      </c>
      <c r="Q45" s="437">
        <f t="shared" si="4"/>
        <v>1.794974826420743E-3</v>
      </c>
      <c r="R45" s="438">
        <f>'Ridership-26'!B36/'Revenue Miles-26'!B36</f>
        <v>5.2832581392513109E-2</v>
      </c>
      <c r="S45" s="434">
        <f>'Ridership-26'!C36/'Revenue Miles-26'!C36</f>
        <v>5.8014121779238044E-2</v>
      </c>
      <c r="T45" s="434">
        <f>'Ridership-26'!D36/'Revenue Miles-26'!D36</f>
        <v>6.7953110393320887E-2</v>
      </c>
      <c r="U45" s="539">
        <f>'Ridership-26'!E36/'Revenue Miles-26'!K36</f>
        <v>6.9838183946067764E-2</v>
      </c>
      <c r="V45" s="435">
        <f t="shared" si="5"/>
        <v>0.93786015683866342</v>
      </c>
      <c r="W45" s="436">
        <f t="shared" si="6"/>
        <v>1.8757596367666989E-3</v>
      </c>
      <c r="X45" s="437">
        <f t="shared" si="7"/>
        <v>1.7939632640703569E-3</v>
      </c>
      <c r="Y45" s="438">
        <f>'Op Cost-26'!B36/'Revenue Hours-26'!B36</f>
        <v>37.360937197444009</v>
      </c>
      <c r="Z45" s="434">
        <f>'Op Cost-26'!C36/'Revenue Hours-26'!C36</f>
        <v>36.826011560693644</v>
      </c>
      <c r="AA45" s="434">
        <f>'Op Cost-26'!D36/'Revenue Hours-26'!D36</f>
        <v>46.109795340455655</v>
      </c>
      <c r="AB45" s="434">
        <f>'Op Cost-26'!E36/'Revenue Hours-26'!E36</f>
        <v>38.936719454100682</v>
      </c>
      <c r="AC45" s="435">
        <f t="shared" si="8"/>
        <v>0.97827769072150195</v>
      </c>
      <c r="AD45" s="436">
        <f t="shared" si="9"/>
        <v>2.0444521504380019E-3</v>
      </c>
      <c r="AE45" s="437">
        <f t="shared" si="10"/>
        <v>2.0480853451831965E-3</v>
      </c>
      <c r="AF45" s="438">
        <f>'Op Cost-26'!B36/'Revenue Miles-26'!B36</f>
        <v>1.4116156566272406</v>
      </c>
      <c r="AG45" s="434">
        <f>'Op Cost-26'!C36/'Revenue Miles-26'!C36</f>
        <v>1.3831841307289821</v>
      </c>
      <c r="AH45" s="434">
        <f>'Op Cost-26'!D36/'Revenue Miles-26'!D36</f>
        <v>1.712943415443541</v>
      </c>
      <c r="AI45" s="434">
        <f>'Op Cost-26'!E36/'Revenue Miles-26'!E36</f>
        <v>1.4625419532058537</v>
      </c>
      <c r="AJ45" s="435">
        <f t="shared" si="11"/>
        <v>0.97981392718326255</v>
      </c>
      <c r="AK45" s="436">
        <f t="shared" si="12"/>
        <v>2.0412466826949002E-3</v>
      </c>
      <c r="AL45" s="437">
        <f t="shared" si="13"/>
        <v>2.0446941794825088E-3</v>
      </c>
      <c r="AM45" s="438">
        <f>'Op Cost-26'!B36/'Ridership-26'!B36</f>
        <v>26.718657680945348</v>
      </c>
      <c r="AN45" s="434">
        <f>'Op Cost-26'!C36/'Ridership-26'!C36</f>
        <v>23.842197180755957</v>
      </c>
      <c r="AO45" s="434">
        <f>'Op Cost-26'!D36/'Ridership-26'!D36</f>
        <v>25.207726409119697</v>
      </c>
      <c r="AP45" s="434">
        <f>'Op Cost-26'!E36/'Ridership-26'!E36</f>
        <v>20.941866906723909</v>
      </c>
      <c r="AQ45" s="439">
        <f t="shared" si="14"/>
        <v>1.0464177737850957</v>
      </c>
      <c r="AR45" s="436">
        <f t="shared" si="15"/>
        <v>1.9113225889565676E-3</v>
      </c>
      <c r="AS45" s="440">
        <f t="shared" si="16"/>
        <v>1.9224884768226174E-3</v>
      </c>
      <c r="AT45" s="432"/>
      <c r="AU45" s="441">
        <f t="shared" si="17"/>
        <v>0</v>
      </c>
      <c r="AV45" s="442">
        <f t="shared" si="18"/>
        <v>0</v>
      </c>
      <c r="AW45" s="442">
        <f t="shared" si="19"/>
        <v>0</v>
      </c>
      <c r="AX45" s="442">
        <f t="shared" si="20"/>
        <v>0</v>
      </c>
      <c r="AY45" s="443">
        <f t="shared" si="21"/>
        <v>0</v>
      </c>
      <c r="AZ45" s="444">
        <f t="shared" si="43"/>
        <v>-1</v>
      </c>
      <c r="BA45" s="445">
        <f t="shared" si="22"/>
        <v>0</v>
      </c>
      <c r="BB45" s="446">
        <f t="shared" si="22"/>
        <v>0</v>
      </c>
      <c r="BC45" s="446">
        <f t="shared" si="22"/>
        <v>0</v>
      </c>
      <c r="BD45" s="446">
        <f t="shared" si="22"/>
        <v>0</v>
      </c>
      <c r="BE45" s="446">
        <f t="shared" si="22"/>
        <v>0</v>
      </c>
      <c r="BF45" s="447">
        <f t="shared" si="44"/>
        <v>240744.2980203843</v>
      </c>
      <c r="BH45" s="448">
        <f>'Op Cost-26'!E36</f>
        <v>604843</v>
      </c>
      <c r="BI45" s="449">
        <f t="shared" si="23"/>
        <v>0.39802774938353308</v>
      </c>
      <c r="BJ45" s="450">
        <f t="shared" si="24"/>
        <v>181452.9</v>
      </c>
      <c r="BK45" s="451">
        <f t="shared" si="25"/>
        <v>59291.398020384309</v>
      </c>
      <c r="BL45" s="1">
        <f t="shared" si="45"/>
        <v>0.3240755634982842</v>
      </c>
      <c r="BM45" s="112">
        <f t="shared" si="46"/>
        <v>0.163951889852753</v>
      </c>
      <c r="BN45" s="112">
        <f t="shared" si="47"/>
        <v>8.6830586924461703E-2</v>
      </c>
      <c r="BO45" s="113">
        <f t="shared" si="48"/>
        <v>0.52275988860796108</v>
      </c>
      <c r="BP45" s="452">
        <f t="shared" si="26"/>
        <v>0</v>
      </c>
      <c r="BQ45" s="115">
        <f t="shared" si="49"/>
        <v>6.4816471500566959E-4</v>
      </c>
      <c r="BR45" s="116">
        <f t="shared" si="50"/>
        <v>0</v>
      </c>
      <c r="BS45" s="453">
        <f t="shared" si="51"/>
        <v>0</v>
      </c>
      <c r="BT45" s="118">
        <f t="shared" si="52"/>
        <v>181452.9</v>
      </c>
      <c r="BU45" s="119">
        <f t="shared" si="53"/>
        <v>181452.9</v>
      </c>
      <c r="BV45" s="119">
        <f t="shared" si="54"/>
        <v>181452.9</v>
      </c>
      <c r="BW45" s="119">
        <f t="shared" si="65"/>
        <v>0</v>
      </c>
      <c r="BX45" s="120">
        <f t="shared" si="55"/>
        <v>0</v>
      </c>
      <c r="BY45" s="454">
        <f t="shared" si="56"/>
        <v>0</v>
      </c>
      <c r="BZ45" s="122">
        <f t="shared" si="57"/>
        <v>181452.9</v>
      </c>
      <c r="CA45" s="455">
        <f t="shared" si="27"/>
        <v>0</v>
      </c>
      <c r="CB45" s="456">
        <f t="shared" si="28"/>
        <v>0</v>
      </c>
      <c r="CC45" s="456">
        <f t="shared" si="29"/>
        <v>181452.9</v>
      </c>
      <c r="CD45" s="457">
        <f t="shared" si="30"/>
        <v>0.3</v>
      </c>
      <c r="CE45" s="458">
        <f t="shared" si="31"/>
        <v>0</v>
      </c>
      <c r="CF45" s="17"/>
      <c r="CG45" s="459">
        <f t="shared" si="32"/>
        <v>604843</v>
      </c>
      <c r="CH45" s="460">
        <f t="shared" si="58"/>
        <v>0.3</v>
      </c>
      <c r="CI45" s="461">
        <f t="shared" si="33"/>
        <v>181452.9</v>
      </c>
      <c r="CJ45" s="462">
        <f t="shared" si="34"/>
        <v>0</v>
      </c>
      <c r="CL45" s="463">
        <f t="shared" si="35"/>
        <v>0</v>
      </c>
      <c r="CM45" s="464">
        <f t="shared" si="36"/>
        <v>0</v>
      </c>
      <c r="CN45" s="465">
        <f t="shared" si="37"/>
        <v>0</v>
      </c>
      <c r="CO45" s="466">
        <f t="shared" si="59"/>
        <v>181452.9</v>
      </c>
      <c r="CP45" s="467">
        <f t="shared" si="60"/>
        <v>0.3</v>
      </c>
      <c r="CQ45" s="468">
        <f t="shared" si="38"/>
        <v>0</v>
      </c>
      <c r="CR45" s="469"/>
      <c r="CS45" s="470">
        <f t="shared" si="39"/>
        <v>181452.9</v>
      </c>
      <c r="CT45" s="465">
        <f t="shared" si="40"/>
        <v>0</v>
      </c>
      <c r="CU45" s="471">
        <f t="shared" si="41"/>
        <v>181452.9</v>
      </c>
      <c r="CV45" s="472">
        <f t="shared" si="42"/>
        <v>0.3</v>
      </c>
      <c r="CY45" s="473">
        <v>0</v>
      </c>
      <c r="CZ45" s="474">
        <f t="shared" si="61"/>
        <v>181452.9</v>
      </c>
      <c r="DA45" s="475">
        <f t="shared" si="62"/>
        <v>0.3</v>
      </c>
      <c r="DB45" s="1">
        <f t="shared" si="63"/>
        <v>0</v>
      </c>
      <c r="DC45" s="293">
        <f t="shared" si="64"/>
        <v>0.3</v>
      </c>
      <c r="DF45" s="476"/>
    </row>
    <row r="46" spans="1:110">
      <c r="A46" s="477" t="s">
        <v>124</v>
      </c>
      <c r="B46" s="428" t="s">
        <v>127</v>
      </c>
      <c r="C46" s="429"/>
      <c r="D46" s="91">
        <f>'Sizing - Reimb Exp-26'!B37</f>
        <v>4844103</v>
      </c>
      <c r="E46" s="92">
        <f>'Ridership-26'!$E37</f>
        <v>125848</v>
      </c>
      <c r="F46" s="92">
        <f>'Revenue Hours-26'!$E37</f>
        <v>46101.396664300002</v>
      </c>
      <c r="G46" s="92">
        <f>'Revenue Miles-26'!$E37</f>
        <v>906466.02099999995</v>
      </c>
      <c r="H46" s="478">
        <f t="shared" si="0"/>
        <v>7.3477645101618127E-3</v>
      </c>
      <c r="I46" s="431">
        <f t="shared" si="1"/>
        <v>7.3477645101618127E-3</v>
      </c>
      <c r="J46" s="432"/>
      <c r="K46" s="433">
        <f>'Ridership-26'!B37/'Revenue Hours-26'!B37</f>
        <v>2.0644874296866029</v>
      </c>
      <c r="L46" s="434">
        <f>'Ridership-26'!C37/'Revenue Hours-26'!C37</f>
        <v>2.271031556749429</v>
      </c>
      <c r="M46" s="434">
        <f>'Ridership-26'!D37/'Revenue Hours-26'!D37</f>
        <v>2.6724711742855303</v>
      </c>
      <c r="N46" s="539">
        <f>'Ridership-26'!E37/'Revenue Hours-26'!K37</f>
        <v>2.7298088367343145</v>
      </c>
      <c r="O46" s="435">
        <f t="shared" si="2"/>
        <v>0.93402485678415115</v>
      </c>
      <c r="P46" s="436">
        <f t="shared" si="3"/>
        <v>6.8629946942875553E-3</v>
      </c>
      <c r="Q46" s="437">
        <f t="shared" si="4"/>
        <v>6.5821870271839467E-3</v>
      </c>
      <c r="R46" s="438">
        <f>'Ridership-26'!B37/'Revenue Miles-26'!B37</f>
        <v>9.9364322496519109E-2</v>
      </c>
      <c r="S46" s="434">
        <f>'Ridership-26'!C37/'Revenue Miles-26'!C37</f>
        <v>0.11118198611423494</v>
      </c>
      <c r="T46" s="434">
        <f>'Ridership-26'!D37/'Revenue Miles-26'!D37</f>
        <v>0.13217419191779745</v>
      </c>
      <c r="U46" s="539">
        <f>'Ridership-26'!E37/'Revenue Miles-26'!K37</f>
        <v>0.13883366511760292</v>
      </c>
      <c r="V46" s="435">
        <f t="shared" si="5"/>
        <v>0.95531263932332255</v>
      </c>
      <c r="W46" s="436">
        <f t="shared" si="6"/>
        <v>7.0194123073289219E-3</v>
      </c>
      <c r="X46" s="437">
        <f t="shared" si="7"/>
        <v>6.7133163374906617E-3</v>
      </c>
      <c r="Y46" s="438">
        <f>'Op Cost-26'!B37/'Revenue Hours-26'!B37</f>
        <v>134.38379634944323</v>
      </c>
      <c r="Z46" s="434">
        <f>'Op Cost-26'!C37/'Revenue Hours-26'!C37</f>
        <v>98.371300178244169</v>
      </c>
      <c r="AA46" s="434">
        <f>'Op Cost-26'!D37/'Revenue Hours-26'!D37</f>
        <v>93.44738367723788</v>
      </c>
      <c r="AB46" s="434">
        <f>'Op Cost-26'!E37/'Revenue Hours-26'!E37</f>
        <v>108.95381405851531</v>
      </c>
      <c r="AC46" s="435">
        <f t="shared" si="8"/>
        <v>0.90591383740562093</v>
      </c>
      <c r="AD46" s="436">
        <f t="shared" si="9"/>
        <v>8.1108867165607355E-3</v>
      </c>
      <c r="AE46" s="437">
        <f t="shared" si="10"/>
        <v>8.1253005686976829E-3</v>
      </c>
      <c r="AF46" s="438">
        <f>'Op Cost-26'!B37/'Revenue Miles-26'!B37</f>
        <v>6.4679274316529272</v>
      </c>
      <c r="AG46" s="434">
        <f>'Op Cost-26'!C37/'Revenue Miles-26'!C37</f>
        <v>4.8159245070602568</v>
      </c>
      <c r="AH46" s="434">
        <f>'Op Cost-26'!D37/'Revenue Miles-26'!D37</f>
        <v>4.6216896717972462</v>
      </c>
      <c r="AI46" s="434">
        <f>'Op Cost-26'!E37/'Revenue Miles-26'!E37</f>
        <v>5.5412148758304092</v>
      </c>
      <c r="AJ46" s="435">
        <f t="shared" si="11"/>
        <v>0.92676229872522475</v>
      </c>
      <c r="AK46" s="436">
        <f t="shared" si="12"/>
        <v>7.9284240632886884E-3</v>
      </c>
      <c r="AL46" s="437">
        <f t="shared" si="13"/>
        <v>7.941814515663068E-3</v>
      </c>
      <c r="AM46" s="438">
        <f>'Op Cost-26'!B37/'Ridership-26'!B37</f>
        <v>65.093056231319935</v>
      </c>
      <c r="AN46" s="434">
        <f>'Op Cost-26'!C37/'Ridership-26'!C37</f>
        <v>43.315690566204594</v>
      </c>
      <c r="AO46" s="434">
        <f>'Op Cost-26'!D37/'Ridership-26'!D37</f>
        <v>34.966657293214958</v>
      </c>
      <c r="AP46" s="434">
        <f>'Op Cost-26'!E37/'Ridership-26'!E37</f>
        <v>39.912616807577393</v>
      </c>
      <c r="AQ46" s="439">
        <f t="shared" si="14"/>
        <v>0.96694396142407157</v>
      </c>
      <c r="AR46" s="436">
        <f t="shared" si="15"/>
        <v>7.5989558891710286E-3</v>
      </c>
      <c r="AS46" s="440">
        <f t="shared" si="16"/>
        <v>7.6433487561040061E-3</v>
      </c>
      <c r="AT46" s="432"/>
      <c r="AU46" s="441">
        <f t="shared" si="17"/>
        <v>0</v>
      </c>
      <c r="AV46" s="442">
        <f t="shared" si="18"/>
        <v>0</v>
      </c>
      <c r="AW46" s="442">
        <f t="shared" si="19"/>
        <v>0</v>
      </c>
      <c r="AX46" s="442">
        <f t="shared" si="20"/>
        <v>0</v>
      </c>
      <c r="AY46" s="443">
        <f t="shared" si="21"/>
        <v>0</v>
      </c>
      <c r="AZ46" s="444">
        <f t="shared" si="43"/>
        <v>-1</v>
      </c>
      <c r="BA46" s="445">
        <f t="shared" si="22"/>
        <v>0</v>
      </c>
      <c r="BB46" s="446">
        <f t="shared" si="22"/>
        <v>0</v>
      </c>
      <c r="BC46" s="446">
        <f t="shared" si="22"/>
        <v>0</v>
      </c>
      <c r="BD46" s="446">
        <f t="shared" si="22"/>
        <v>0</v>
      </c>
      <c r="BE46" s="446">
        <f t="shared" si="22"/>
        <v>0</v>
      </c>
      <c r="BF46" s="447">
        <f t="shared" si="44"/>
        <v>884447.66271775658</v>
      </c>
      <c r="BH46" s="448">
        <f>'Op Cost-26'!E37</f>
        <v>5022923</v>
      </c>
      <c r="BI46" s="449">
        <f t="shared" si="23"/>
        <v>0.17608226578782046</v>
      </c>
      <c r="BJ46" s="450">
        <f t="shared" si="24"/>
        <v>884447.66271775658</v>
      </c>
      <c r="BK46" s="451">
        <f t="shared" si="25"/>
        <v>0</v>
      </c>
      <c r="BL46" s="1">
        <f t="shared" si="45"/>
        <v>0.24047652481677084</v>
      </c>
      <c r="BM46" s="112">
        <f t="shared" si="46"/>
        <v>0.24071585670840551</v>
      </c>
      <c r="BN46" s="112">
        <f t="shared" si="47"/>
        <v>0.17261343216405878</v>
      </c>
      <c r="BO46" s="113">
        <f t="shared" si="48"/>
        <v>0.27428840519730957</v>
      </c>
      <c r="BP46" s="452">
        <f t="shared" si="26"/>
        <v>884447.66271775658</v>
      </c>
      <c r="BQ46" s="115">
        <f t="shared" si="49"/>
        <v>1.7669648745757152E-3</v>
      </c>
      <c r="BR46" s="116">
        <f t="shared" si="50"/>
        <v>1.7669648745757152E-3</v>
      </c>
      <c r="BS46" s="453">
        <f t="shared" si="51"/>
        <v>1.8412554914052229E-3</v>
      </c>
      <c r="BT46" s="118">
        <f t="shared" si="52"/>
        <v>898228.27179495886</v>
      </c>
      <c r="BU46" s="119">
        <f t="shared" si="53"/>
        <v>1506876.9</v>
      </c>
      <c r="BV46" s="119">
        <f t="shared" si="54"/>
        <v>898228.27179495886</v>
      </c>
      <c r="BW46" s="119">
        <f t="shared" si="65"/>
        <v>0</v>
      </c>
      <c r="BX46" s="120">
        <f t="shared" si="55"/>
        <v>1.7669648745757152E-3</v>
      </c>
      <c r="BY46" s="454">
        <f t="shared" si="56"/>
        <v>1.9813808169822822E-3</v>
      </c>
      <c r="BZ46" s="122">
        <f t="shared" si="57"/>
        <v>898768.69904015877</v>
      </c>
      <c r="CA46" s="455">
        <f t="shared" si="27"/>
        <v>7.8564071544714141E-3</v>
      </c>
      <c r="CB46" s="456">
        <f t="shared" si="28"/>
        <v>58800.137326123207</v>
      </c>
      <c r="CC46" s="456">
        <f t="shared" si="29"/>
        <v>943247.80004387978</v>
      </c>
      <c r="CD46" s="457">
        <f t="shared" si="30"/>
        <v>0.18778862428189319</v>
      </c>
      <c r="CE46" s="458">
        <f t="shared" si="31"/>
        <v>0</v>
      </c>
      <c r="CF46" s="17"/>
      <c r="CG46" s="459">
        <f t="shared" si="32"/>
        <v>5022923</v>
      </c>
      <c r="CH46" s="460">
        <f t="shared" si="58"/>
        <v>0.18778862428189319</v>
      </c>
      <c r="CI46" s="461">
        <f t="shared" si="33"/>
        <v>943247.80004387978</v>
      </c>
      <c r="CJ46" s="462">
        <f t="shared" si="34"/>
        <v>0</v>
      </c>
      <c r="CL46" s="463">
        <f t="shared" si="35"/>
        <v>943247.80004387978</v>
      </c>
      <c r="CM46" s="464">
        <f t="shared" si="36"/>
        <v>8.1102519975432483E-3</v>
      </c>
      <c r="CN46" s="465">
        <f t="shared" si="37"/>
        <v>1236.3773235716501</v>
      </c>
      <c r="CO46" s="466">
        <f t="shared" si="59"/>
        <v>944484.17736745137</v>
      </c>
      <c r="CP46" s="467">
        <f t="shared" si="60"/>
        <v>0.18803477126116633</v>
      </c>
      <c r="CQ46" s="468">
        <f t="shared" si="38"/>
        <v>0</v>
      </c>
      <c r="CR46" s="469"/>
      <c r="CS46" s="470">
        <f t="shared" si="39"/>
        <v>1506876.9</v>
      </c>
      <c r="CT46" s="465">
        <f t="shared" si="40"/>
        <v>0</v>
      </c>
      <c r="CU46" s="471">
        <f t="shared" si="41"/>
        <v>944484.17736745137</v>
      </c>
      <c r="CV46" s="472">
        <f t="shared" si="42"/>
        <v>0.18803477126116633</v>
      </c>
      <c r="CY46" s="473">
        <v>0</v>
      </c>
      <c r="CZ46" s="474">
        <f t="shared" si="61"/>
        <v>944484.17736745137</v>
      </c>
      <c r="DA46" s="475">
        <f t="shared" si="62"/>
        <v>0.18803477126116633</v>
      </c>
      <c r="DB46" s="1">
        <f t="shared" si="63"/>
        <v>0</v>
      </c>
      <c r="DC46" s="293">
        <f t="shared" si="64"/>
        <v>0.17893340173444003</v>
      </c>
      <c r="DF46" s="476"/>
    </row>
    <row r="47" spans="1:110" ht="16.5" customHeight="1">
      <c r="A47" s="477" t="s">
        <v>124</v>
      </c>
      <c r="B47" s="428" t="s">
        <v>128</v>
      </c>
      <c r="C47" s="429"/>
      <c r="D47" s="91">
        <f>'Sizing - Reimb Exp-26'!B38</f>
        <v>457239</v>
      </c>
      <c r="E47" s="92">
        <f>'Ridership-26'!$E38</f>
        <v>12090</v>
      </c>
      <c r="F47" s="92">
        <f>'Revenue Hours-26'!$E38</f>
        <v>5064</v>
      </c>
      <c r="G47" s="92">
        <f>'Revenue Miles-26'!$E38</f>
        <v>59926</v>
      </c>
      <c r="H47" s="430">
        <f t="shared" si="0"/>
        <v>6.5952695118819875E-4</v>
      </c>
      <c r="I47" s="431">
        <f t="shared" si="1"/>
        <v>6.5952695118819875E-4</v>
      </c>
      <c r="J47" s="432"/>
      <c r="K47" s="433">
        <f>'Ridership-26'!B38/'Revenue Hours-26'!B38</f>
        <v>2.06749490079733</v>
      </c>
      <c r="L47" s="434">
        <f>'Ridership-26'!C38/'Revenue Hours-26'!C38</f>
        <v>2.1966604823747682</v>
      </c>
      <c r="M47" s="434">
        <f>'Ridership-26'!D38/'Revenue Hours-26'!D38</f>
        <v>2.1937241638481773</v>
      </c>
      <c r="N47" s="539">
        <f>'Ridership-26'!E38/'Revenue Hours-26'!K38</f>
        <v>2.3874407582938391</v>
      </c>
      <c r="O47" s="435">
        <f t="shared" si="2"/>
        <v>0.89509204736198367</v>
      </c>
      <c r="P47" s="436">
        <f t="shared" si="3"/>
        <v>5.9033732902945193E-4</v>
      </c>
      <c r="Q47" s="437">
        <f t="shared" si="4"/>
        <v>5.6618296849833907E-4</v>
      </c>
      <c r="R47" s="438">
        <f>'Ridership-26'!B38/'Revenue Miles-26'!B38</f>
        <v>0.21433239783168659</v>
      </c>
      <c r="S47" s="434">
        <f>'Ridership-26'!C38/'Revenue Miles-26'!C38</f>
        <v>0.21260549470281917</v>
      </c>
      <c r="T47" s="434">
        <f>'Ridership-26'!D38/'Revenue Miles-26'!D38</f>
        <v>0.19288275041715541</v>
      </c>
      <c r="U47" s="539">
        <f>'Ridership-26'!E38/'Revenue Miles-26'!K38</f>
        <v>0.20174882354904383</v>
      </c>
      <c r="V47" s="435">
        <f t="shared" si="5"/>
        <v>0.84151676129837449</v>
      </c>
      <c r="W47" s="436">
        <f t="shared" si="6"/>
        <v>5.5500298395288409E-4</v>
      </c>
      <c r="X47" s="437">
        <f t="shared" si="7"/>
        <v>5.3080093267021309E-4</v>
      </c>
      <c r="Y47" s="438">
        <f>'Op Cost-26'!B38/'Revenue Hours-26'!B38</f>
        <v>27.145188206934915</v>
      </c>
      <c r="Z47" s="434">
        <f>'Op Cost-26'!C38/'Revenue Hours-26'!C38</f>
        <v>30.05751391465677</v>
      </c>
      <c r="AA47" s="434">
        <f>'Op Cost-26'!D38/'Revenue Hours-26'!D38</f>
        <v>32.056181886508831</v>
      </c>
      <c r="AB47" s="434">
        <f>'Op Cost-26'!E38/'Revenue Hours-26'!E38</f>
        <v>90.292061611374407</v>
      </c>
      <c r="AC47" s="435">
        <f t="shared" si="8"/>
        <v>1.5961923046443367</v>
      </c>
      <c r="AD47" s="436">
        <f t="shared" si="9"/>
        <v>4.1318765243336669E-4</v>
      </c>
      <c r="AE47" s="437">
        <f t="shared" si="10"/>
        <v>4.1392192797377425E-4</v>
      </c>
      <c r="AF47" s="438">
        <f>'Op Cost-26'!B38/'Revenue Miles-26'!B38</f>
        <v>2.8140786590288722</v>
      </c>
      <c r="AG47" s="434">
        <f>'Op Cost-26'!C38/'Revenue Miles-26'!C38</f>
        <v>2.9091398814868019</v>
      </c>
      <c r="AH47" s="434">
        <f>'Op Cost-26'!D38/'Revenue Miles-26'!D38</f>
        <v>2.8185332650465065</v>
      </c>
      <c r="AI47" s="434">
        <f>'Op Cost-26'!E38/'Revenue Miles-26'!E38</f>
        <v>7.6300604078363312</v>
      </c>
      <c r="AJ47" s="435">
        <f t="shared" si="11"/>
        <v>1.5109100097087511</v>
      </c>
      <c r="AK47" s="436">
        <f t="shared" si="12"/>
        <v>4.3650975038237502E-4</v>
      </c>
      <c r="AL47" s="437">
        <f t="shared" si="13"/>
        <v>4.3724697924107242E-4</v>
      </c>
      <c r="AM47" s="438">
        <f>'Op Cost-26'!B38/'Ridership-26'!B38</f>
        <v>13.129506726457398</v>
      </c>
      <c r="AN47" s="434">
        <f>'Op Cost-26'!C38/'Ridership-26'!C38</f>
        <v>13.683277027027026</v>
      </c>
      <c r="AO47" s="434">
        <f>'Op Cost-26'!D38/'Ridership-26'!D38</f>
        <v>14.612676659528908</v>
      </c>
      <c r="AP47" s="434">
        <f>'Op Cost-26'!E38/'Ridership-26'!E38</f>
        <v>37.819602977667493</v>
      </c>
      <c r="AQ47" s="439">
        <f t="shared" si="14"/>
        <v>1.7190933112114191</v>
      </c>
      <c r="AR47" s="436">
        <f t="shared" si="15"/>
        <v>3.8364813991594216E-4</v>
      </c>
      <c r="AS47" s="440">
        <f t="shared" si="16"/>
        <v>3.8588940056711181E-4</v>
      </c>
      <c r="AT47" s="432"/>
      <c r="AU47" s="441">
        <f t="shared" si="17"/>
        <v>0</v>
      </c>
      <c r="AV47" s="442">
        <f t="shared" si="18"/>
        <v>0</v>
      </c>
      <c r="AW47" s="442">
        <f t="shared" si="19"/>
        <v>0</v>
      </c>
      <c r="AX47" s="442">
        <f t="shared" si="20"/>
        <v>0</v>
      </c>
      <c r="AY47" s="443">
        <f t="shared" si="21"/>
        <v>0</v>
      </c>
      <c r="AZ47" s="444">
        <f t="shared" si="43"/>
        <v>-1</v>
      </c>
      <c r="BA47" s="445">
        <f t="shared" si="22"/>
        <v>0</v>
      </c>
      <c r="BB47" s="446">
        <f t="shared" si="22"/>
        <v>0</v>
      </c>
      <c r="BC47" s="446">
        <f t="shared" si="22"/>
        <v>0</v>
      </c>
      <c r="BD47" s="446">
        <f t="shared" si="22"/>
        <v>0</v>
      </c>
      <c r="BE47" s="446">
        <f t="shared" si="22"/>
        <v>0</v>
      </c>
      <c r="BF47" s="447">
        <f t="shared" si="44"/>
        <v>79387.012154656608</v>
      </c>
      <c r="BH47" s="448">
        <f>'Op Cost-26'!E38</f>
        <v>457239</v>
      </c>
      <c r="BI47" s="449">
        <f t="shared" si="23"/>
        <v>0.17362257409069787</v>
      </c>
      <c r="BJ47" s="450">
        <f t="shared" si="24"/>
        <v>79387.012154656608</v>
      </c>
      <c r="BK47" s="451">
        <f t="shared" si="25"/>
        <v>0</v>
      </c>
      <c r="BL47" s="1">
        <f t="shared" si="45"/>
        <v>0.26007459691578361</v>
      </c>
      <c r="BM47" s="112">
        <f t="shared" si="46"/>
        <v>0.21052567481640119</v>
      </c>
      <c r="BN47" s="112">
        <f t="shared" si="47"/>
        <v>0.25083654485648299</v>
      </c>
      <c r="BO47" s="113">
        <f t="shared" si="48"/>
        <v>0.28946808399512508</v>
      </c>
      <c r="BP47" s="452">
        <f t="shared" si="26"/>
        <v>79387.012154656608</v>
      </c>
      <c r="BQ47" s="115">
        <f t="shared" si="49"/>
        <v>1.7152620598536648E-4</v>
      </c>
      <c r="BR47" s="116">
        <f t="shared" si="50"/>
        <v>1.7152620598536648E-4</v>
      </c>
      <c r="BS47" s="453">
        <f t="shared" si="51"/>
        <v>1.7873788734272108E-4</v>
      </c>
      <c r="BT47" s="118">
        <f t="shared" si="52"/>
        <v>80724.749890811436</v>
      </c>
      <c r="BU47" s="119">
        <f t="shared" si="53"/>
        <v>137171.69999999998</v>
      </c>
      <c r="BV47" s="119">
        <f t="shared" si="54"/>
        <v>80724.749890811436</v>
      </c>
      <c r="BW47" s="119">
        <f t="shared" si="65"/>
        <v>0</v>
      </c>
      <c r="BX47" s="120">
        <f t="shared" si="55"/>
        <v>1.7152620598536648E-4</v>
      </c>
      <c r="BY47" s="454">
        <f t="shared" si="56"/>
        <v>1.9234040191702382E-4</v>
      </c>
      <c r="BZ47" s="122">
        <f t="shared" si="57"/>
        <v>80777.211281704978</v>
      </c>
      <c r="CA47" s="455">
        <f t="shared" si="27"/>
        <v>7.0518213406482397E-4</v>
      </c>
      <c r="CB47" s="456">
        <f t="shared" si="28"/>
        <v>5277.8331758609147</v>
      </c>
      <c r="CC47" s="456">
        <f t="shared" si="29"/>
        <v>84664.845330517521</v>
      </c>
      <c r="CD47" s="457">
        <f t="shared" si="30"/>
        <v>0.18516540656093972</v>
      </c>
      <c r="CE47" s="458">
        <f t="shared" si="31"/>
        <v>0</v>
      </c>
      <c r="CF47" s="17"/>
      <c r="CG47" s="459">
        <f t="shared" si="32"/>
        <v>457239</v>
      </c>
      <c r="CH47" s="460">
        <f t="shared" si="58"/>
        <v>0.18516540656093972</v>
      </c>
      <c r="CI47" s="461">
        <f t="shared" si="33"/>
        <v>84664.845330517521</v>
      </c>
      <c r="CJ47" s="462">
        <f t="shared" si="34"/>
        <v>0</v>
      </c>
      <c r="CL47" s="463">
        <f t="shared" si="35"/>
        <v>84664.845330517521</v>
      </c>
      <c r="CM47" s="464">
        <f t="shared" si="36"/>
        <v>7.2796695728479497E-4</v>
      </c>
      <c r="CN47" s="465">
        <f t="shared" si="37"/>
        <v>110.97581660459041</v>
      </c>
      <c r="CO47" s="466">
        <f t="shared" si="59"/>
        <v>84775.821147122115</v>
      </c>
      <c r="CP47" s="467">
        <f t="shared" si="60"/>
        <v>0.18540811511511948</v>
      </c>
      <c r="CQ47" s="468">
        <f t="shared" si="38"/>
        <v>0</v>
      </c>
      <c r="CR47" s="469"/>
      <c r="CS47" s="470">
        <f t="shared" si="39"/>
        <v>137171.69999999998</v>
      </c>
      <c r="CT47" s="465">
        <f t="shared" si="40"/>
        <v>0</v>
      </c>
      <c r="CU47" s="471">
        <f t="shared" si="41"/>
        <v>84775.821147122115</v>
      </c>
      <c r="CV47" s="472">
        <f t="shared" si="42"/>
        <v>0.18540811511511948</v>
      </c>
      <c r="CY47" s="473">
        <v>0</v>
      </c>
      <c r="CZ47" s="474">
        <f t="shared" si="61"/>
        <v>84775.821147122115</v>
      </c>
      <c r="DA47" s="475">
        <f t="shared" si="62"/>
        <v>0.18540811511511948</v>
      </c>
      <c r="DB47" s="1">
        <f t="shared" si="63"/>
        <v>0</v>
      </c>
      <c r="DC47" s="293">
        <f t="shared" si="64"/>
        <v>0.1766629952425427</v>
      </c>
      <c r="DF47" s="476"/>
    </row>
    <row r="48" spans="1:110">
      <c r="A48" s="477" t="s">
        <v>124</v>
      </c>
      <c r="B48" s="428" t="s">
        <v>129</v>
      </c>
      <c r="C48" s="429"/>
      <c r="D48" s="91">
        <f>'Sizing - Reimb Exp-26'!B39</f>
        <v>1214573</v>
      </c>
      <c r="E48" s="92">
        <f>'Ridership-26'!$E39</f>
        <v>62326</v>
      </c>
      <c r="F48" s="92">
        <f>'Revenue Hours-26'!$E39</f>
        <v>18443</v>
      </c>
      <c r="G48" s="92">
        <f>'Revenue Miles-26'!$E39</f>
        <v>310461</v>
      </c>
      <c r="H48" s="478">
        <f t="shared" si="0"/>
        <v>2.454721788138943E-3</v>
      </c>
      <c r="I48" s="431">
        <f t="shared" si="1"/>
        <v>2.454721788138943E-3</v>
      </c>
      <c r="J48" s="432"/>
      <c r="K48" s="433">
        <f>'Ridership-26'!B39/'Revenue Hours-26'!B39</f>
        <v>1.8714498597475455</v>
      </c>
      <c r="L48" s="434">
        <f>'Ridership-26'!C39/'Revenue Hours-26'!C39</f>
        <v>2.7255388346838654</v>
      </c>
      <c r="M48" s="434">
        <f>'Ridership-26'!D39/'Revenue Hours-26'!D39</f>
        <v>3.379350030141941</v>
      </c>
      <c r="N48" s="539">
        <f>'Ridership-26'!E39/'Revenue Hours-26'!K39</f>
        <v>3.379385132570623</v>
      </c>
      <c r="O48" s="435">
        <f t="shared" si="2"/>
        <v>1.0377100683979792</v>
      </c>
      <c r="P48" s="436">
        <f t="shared" si="3"/>
        <v>2.5472895146676725E-3</v>
      </c>
      <c r="Q48" s="437">
        <f t="shared" si="4"/>
        <v>2.4430641060939643E-3</v>
      </c>
      <c r="R48" s="438">
        <f>'Ridership-26'!B39/'Revenue Miles-26'!B39</f>
        <v>0.12054951539089166</v>
      </c>
      <c r="S48" s="434">
        <f>'Ridership-26'!C39/'Revenue Miles-26'!C39</f>
        <v>0.1590504069225078</v>
      </c>
      <c r="T48" s="434">
        <f>'Ridership-26'!D39/'Revenue Miles-26'!D39</f>
        <v>0.19664325941233121</v>
      </c>
      <c r="U48" s="539">
        <f>'Ridership-26'!E39/'Revenue Miles-26'!K39</f>
        <v>0.20075307365498404</v>
      </c>
      <c r="V48" s="435">
        <f t="shared" si="5"/>
        <v>1.0125894313685293</v>
      </c>
      <c r="W48" s="436">
        <f t="shared" si="6"/>
        <v>2.4856253396195517E-3</v>
      </c>
      <c r="X48" s="437">
        <f t="shared" si="7"/>
        <v>2.3772345134828658E-3</v>
      </c>
      <c r="Y48" s="438">
        <f>'Op Cost-26'!B39/'Revenue Hours-26'!B39</f>
        <v>53.352691093969142</v>
      </c>
      <c r="Z48" s="434">
        <f>'Op Cost-26'!C39/'Revenue Hours-26'!C39</f>
        <v>79.509949837384923</v>
      </c>
      <c r="AA48" s="434">
        <f>'Op Cost-26'!D39/'Revenue Hours-26'!D39</f>
        <v>73.872855811914292</v>
      </c>
      <c r="AB48" s="434">
        <f>'Op Cost-26'!E39/'Revenue Hours-26'!E39</f>
        <v>66.185056661063825</v>
      </c>
      <c r="AC48" s="435">
        <f t="shared" si="8"/>
        <v>1.0631089096658457</v>
      </c>
      <c r="AD48" s="436">
        <f t="shared" si="9"/>
        <v>2.3090031188907128E-3</v>
      </c>
      <c r="AE48" s="437">
        <f t="shared" si="10"/>
        <v>2.3131064470103733E-3</v>
      </c>
      <c r="AF48" s="438">
        <f>'Op Cost-26'!B39/'Revenue Miles-26'!B39</f>
        <v>3.4367156686984583</v>
      </c>
      <c r="AG48" s="434">
        <f>'Op Cost-26'!C39/'Revenue Miles-26'!C39</f>
        <v>4.639849454756007</v>
      </c>
      <c r="AH48" s="434">
        <f>'Op Cost-26'!D39/'Revenue Miles-26'!D39</f>
        <v>4.2986370217298404</v>
      </c>
      <c r="AI48" s="434">
        <f>'Op Cost-26'!E39/'Revenue Miles-26'!E39</f>
        <v>3.9317369975616905</v>
      </c>
      <c r="AJ48" s="435">
        <f t="shared" si="11"/>
        <v>1.0292620787887317</v>
      </c>
      <c r="AK48" s="436">
        <f t="shared" si="12"/>
        <v>2.3849336711479138E-3</v>
      </c>
      <c r="AL48" s="437">
        <f t="shared" si="13"/>
        <v>2.3889616268279626E-3</v>
      </c>
      <c r="AM48" s="438">
        <f>'Op Cost-26'!B39/'Ridership-26'!B39</f>
        <v>28.508747277453804</v>
      </c>
      <c r="AN48" s="434">
        <f>'Op Cost-26'!C39/'Ridership-26'!C39</f>
        <v>29.17219480624545</v>
      </c>
      <c r="AO48" s="434">
        <f>'Op Cost-26'!D39/'Ridership-26'!D39</f>
        <v>21.860078166809917</v>
      </c>
      <c r="AP48" s="434">
        <f>'Op Cost-26'!E39/'Ridership-26'!E39</f>
        <v>19.584940474280398</v>
      </c>
      <c r="AQ48" s="439">
        <f t="shared" si="14"/>
        <v>1.01288844997681</v>
      </c>
      <c r="AR48" s="436">
        <f t="shared" si="15"/>
        <v>2.4234867997508943E-3</v>
      </c>
      <c r="AS48" s="440">
        <f t="shared" si="16"/>
        <v>2.4376447352073278E-3</v>
      </c>
      <c r="AT48" s="432"/>
      <c r="AU48" s="441">
        <f t="shared" si="17"/>
        <v>0</v>
      </c>
      <c r="AV48" s="442">
        <f t="shared" si="18"/>
        <v>0</v>
      </c>
      <c r="AW48" s="442">
        <f t="shared" si="19"/>
        <v>0</v>
      </c>
      <c r="AX48" s="442">
        <f t="shared" si="20"/>
        <v>0</v>
      </c>
      <c r="AY48" s="443">
        <f t="shared" si="21"/>
        <v>0</v>
      </c>
      <c r="AZ48" s="444">
        <f t="shared" si="43"/>
        <v>-1</v>
      </c>
      <c r="BA48" s="445">
        <f t="shared" si="22"/>
        <v>0</v>
      </c>
      <c r="BB48" s="446">
        <f t="shared" si="22"/>
        <v>0</v>
      </c>
      <c r="BC48" s="446">
        <f t="shared" si="22"/>
        <v>0</v>
      </c>
      <c r="BD48" s="446">
        <f t="shared" si="22"/>
        <v>0</v>
      </c>
      <c r="BE48" s="446">
        <f t="shared" si="22"/>
        <v>0</v>
      </c>
      <c r="BF48" s="447">
        <f t="shared" si="44"/>
        <v>295473.94246771099</v>
      </c>
      <c r="BH48" s="448">
        <f>'Op Cost-26'!E39</f>
        <v>1220651</v>
      </c>
      <c r="BI48" s="449">
        <f t="shared" si="23"/>
        <v>0.24206258993578916</v>
      </c>
      <c r="BJ48" s="450">
        <f t="shared" si="24"/>
        <v>295473.94246771099</v>
      </c>
      <c r="BK48" s="451">
        <f t="shared" si="25"/>
        <v>0</v>
      </c>
      <c r="BL48" s="1">
        <f t="shared" si="45"/>
        <v>0.41638801921881408</v>
      </c>
      <c r="BM48" s="112">
        <f t="shared" si="46"/>
        <v>0.29799580702784545</v>
      </c>
      <c r="BN48" s="112">
        <f t="shared" si="47"/>
        <v>0.24959851799430183</v>
      </c>
      <c r="BO48" s="113">
        <f t="shared" si="48"/>
        <v>0.55897887592655449</v>
      </c>
      <c r="BP48" s="452">
        <f t="shared" si="26"/>
        <v>295473.94246771099</v>
      </c>
      <c r="BQ48" s="115">
        <f t="shared" si="49"/>
        <v>1.0221167430964398E-3</v>
      </c>
      <c r="BR48" s="116">
        <f t="shared" si="50"/>
        <v>1.0221167430964398E-3</v>
      </c>
      <c r="BS48" s="453">
        <f t="shared" si="51"/>
        <v>1.0650908193834034E-3</v>
      </c>
      <c r="BT48" s="118">
        <f t="shared" si="52"/>
        <v>303445.45988186297</v>
      </c>
      <c r="BU48" s="119">
        <f t="shared" si="53"/>
        <v>366195.3</v>
      </c>
      <c r="BV48" s="119">
        <f t="shared" si="54"/>
        <v>303445.45988186297</v>
      </c>
      <c r="BW48" s="119">
        <f t="shared" si="65"/>
        <v>0</v>
      </c>
      <c r="BX48" s="120">
        <f t="shared" si="55"/>
        <v>1.0221167430964398E-3</v>
      </c>
      <c r="BY48" s="454">
        <f t="shared" si="56"/>
        <v>1.1461475757824481E-3</v>
      </c>
      <c r="BZ48" s="122">
        <f t="shared" si="57"/>
        <v>303758.07488835935</v>
      </c>
      <c r="CA48" s="455">
        <f t="shared" si="27"/>
        <v>2.6246477812265855E-3</v>
      </c>
      <c r="CB48" s="456">
        <f t="shared" si="28"/>
        <v>19643.794795053651</v>
      </c>
      <c r="CC48" s="456">
        <f t="shared" si="29"/>
        <v>315117.73726276465</v>
      </c>
      <c r="CD48" s="457">
        <f t="shared" si="30"/>
        <v>0.25815547381091292</v>
      </c>
      <c r="CE48" s="458">
        <f t="shared" si="31"/>
        <v>0</v>
      </c>
      <c r="CF48" s="17"/>
      <c r="CG48" s="459">
        <f t="shared" si="32"/>
        <v>1220651</v>
      </c>
      <c r="CH48" s="460">
        <f t="shared" si="58"/>
        <v>0.25815547381091292</v>
      </c>
      <c r="CI48" s="461">
        <f t="shared" si="33"/>
        <v>315117.73726276465</v>
      </c>
      <c r="CJ48" s="462">
        <f t="shared" si="34"/>
        <v>0</v>
      </c>
      <c r="CL48" s="463">
        <f t="shared" si="35"/>
        <v>315117.73726276465</v>
      </c>
      <c r="CM48" s="464">
        <f t="shared" si="36"/>
        <v>2.7094515968950636E-3</v>
      </c>
      <c r="CN48" s="465">
        <f t="shared" si="37"/>
        <v>413.04567536628986</v>
      </c>
      <c r="CO48" s="466">
        <f t="shared" si="59"/>
        <v>315530.78293813096</v>
      </c>
      <c r="CP48" s="467">
        <f t="shared" si="60"/>
        <v>0.25849385527733232</v>
      </c>
      <c r="CQ48" s="468">
        <f t="shared" si="38"/>
        <v>0</v>
      </c>
      <c r="CR48" s="469"/>
      <c r="CS48" s="470">
        <f t="shared" si="39"/>
        <v>366195.3</v>
      </c>
      <c r="CT48" s="465">
        <f t="shared" si="40"/>
        <v>0</v>
      </c>
      <c r="CU48" s="471">
        <f t="shared" si="41"/>
        <v>315530.78293813096</v>
      </c>
      <c r="CV48" s="472">
        <f t="shared" si="42"/>
        <v>0.25849385527733232</v>
      </c>
      <c r="CY48" s="473">
        <v>0</v>
      </c>
      <c r="CZ48" s="474">
        <f t="shared" si="61"/>
        <v>315530.78293813096</v>
      </c>
      <c r="DA48" s="475">
        <f t="shared" si="62"/>
        <v>0.25849385527733232</v>
      </c>
      <c r="DB48" s="1">
        <f t="shared" si="63"/>
        <v>0</v>
      </c>
      <c r="DC48" s="293">
        <f t="shared" si="64"/>
        <v>0.24884924101021449</v>
      </c>
      <c r="DF48" s="476"/>
    </row>
    <row r="49" spans="1:110">
      <c r="A49" s="477" t="s">
        <v>124</v>
      </c>
      <c r="B49" s="428" t="s">
        <v>130</v>
      </c>
      <c r="C49" s="429"/>
      <c r="D49" s="91">
        <f>'Sizing - Reimb Exp-26'!B40</f>
        <v>4861903</v>
      </c>
      <c r="E49" s="92">
        <f>'Ridership-26'!$E40</f>
        <v>192152</v>
      </c>
      <c r="F49" s="92">
        <f>'Revenue Hours-26'!$E40</f>
        <v>63064.05</v>
      </c>
      <c r="G49" s="92">
        <f>'Revenue Miles-26'!$E40</f>
        <v>985112</v>
      </c>
      <c r="H49" s="478">
        <f t="shared" si="0"/>
        <v>8.5179450349820891E-3</v>
      </c>
      <c r="I49" s="431">
        <f t="shared" si="1"/>
        <v>8.5179450349820891E-3</v>
      </c>
      <c r="J49" s="432"/>
      <c r="K49" s="433">
        <f>'Ridership-26'!B40/'Revenue Hours-26'!B40</f>
        <v>2.6052602436323364</v>
      </c>
      <c r="L49" s="434">
        <f>'Ridership-26'!C40/'Revenue Hours-26'!C40</f>
        <v>2.7993357457988401</v>
      </c>
      <c r="M49" s="434">
        <f>'Ridership-26'!D40/'Revenue Hours-26'!D40</f>
        <v>2.9370912341787041</v>
      </c>
      <c r="N49" s="539">
        <f>'Ridership-26'!E40/'Revenue Hours-26'!K40</f>
        <v>3.0469340297681482</v>
      </c>
      <c r="O49" s="435">
        <f t="shared" si="2"/>
        <v>0.89655682269168502</v>
      </c>
      <c r="P49" s="436">
        <f t="shared" si="3"/>
        <v>7.636821736425956E-3</v>
      </c>
      <c r="Q49" s="437">
        <f t="shared" si="4"/>
        <v>7.3243520068956578E-3</v>
      </c>
      <c r="R49" s="438">
        <f>'Ridership-26'!B40/'Revenue Miles-26'!B40</f>
        <v>0.16890249812434263</v>
      </c>
      <c r="S49" s="434">
        <f>'Ridership-26'!C40/'Revenue Miles-26'!C40</f>
        <v>0.1810610173694088</v>
      </c>
      <c r="T49" s="434">
        <f>'Ridership-26'!D40/'Revenue Miles-26'!D40</f>
        <v>0.18826739427012279</v>
      </c>
      <c r="U49" s="539">
        <f>'Ridership-26'!E40/'Revenue Miles-26'!K40</f>
        <v>0.19505599363321124</v>
      </c>
      <c r="V49" s="435">
        <f t="shared" si="5"/>
        <v>0.89673887950738995</v>
      </c>
      <c r="W49" s="436">
        <f t="shared" si="6"/>
        <v>7.638372486375374E-3</v>
      </c>
      <c r="X49" s="437">
        <f t="shared" si="7"/>
        <v>7.305285479680841E-3</v>
      </c>
      <c r="Y49" s="438">
        <f>'Op Cost-26'!B40/'Revenue Hours-26'!B40</f>
        <v>61.375230712440015</v>
      </c>
      <c r="Z49" s="434">
        <f>'Op Cost-26'!C40/'Revenue Hours-26'!C40</f>
        <v>66.464250896412693</v>
      </c>
      <c r="AA49" s="434">
        <f>'Op Cost-26'!D40/'Revenue Hours-26'!D40</f>
        <v>73.070531219122003</v>
      </c>
      <c r="AB49" s="434">
        <f>'Op Cost-26'!E40/'Revenue Hours-26'!E40</f>
        <v>77.638416815919683</v>
      </c>
      <c r="AC49" s="435">
        <f t="shared" si="8"/>
        <v>1.0340237832501058</v>
      </c>
      <c r="AD49" s="436">
        <f t="shared" si="9"/>
        <v>8.2376683911551778E-3</v>
      </c>
      <c r="AE49" s="437">
        <f t="shared" si="10"/>
        <v>8.2523075469334087E-3</v>
      </c>
      <c r="AF49" s="438">
        <f>'Op Cost-26'!B40/'Revenue Miles-26'!B40</f>
        <v>3.9790381078535897</v>
      </c>
      <c r="AG49" s="434">
        <f>'Op Cost-26'!C40/'Revenue Miles-26'!C40</f>
        <v>4.2989073047277451</v>
      </c>
      <c r="AH49" s="434">
        <f>'Op Cost-26'!D40/'Revenue Miles-26'!D40</f>
        <v>4.6838172238134641</v>
      </c>
      <c r="AI49" s="434">
        <f>'Op Cost-26'!E40/'Revenue Miles-26'!E40</f>
        <v>4.9701891764591233</v>
      </c>
      <c r="AJ49" s="435">
        <f t="shared" si="11"/>
        <v>1.0349971909494167</v>
      </c>
      <c r="AK49" s="436">
        <f t="shared" si="12"/>
        <v>8.2299209210108734E-3</v>
      </c>
      <c r="AL49" s="437">
        <f t="shared" si="13"/>
        <v>8.2438205766370114E-3</v>
      </c>
      <c r="AM49" s="438">
        <f>'Op Cost-26'!B40/'Ridership-26'!B40</f>
        <v>23.558195716704567</v>
      </c>
      <c r="AN49" s="434">
        <f>'Op Cost-26'!C40/'Ridership-26'!C40</f>
        <v>23.742865069386646</v>
      </c>
      <c r="AO49" s="434">
        <f>'Op Cost-26'!D40/'Ridership-26'!D40</f>
        <v>24.878536413443978</v>
      </c>
      <c r="AP49" s="434">
        <f>'Op Cost-26'!E40/'Ridership-26'!E40</f>
        <v>25.48083288230151</v>
      </c>
      <c r="AQ49" s="439">
        <f t="shared" si="14"/>
        <v>1.1585307516945786</v>
      </c>
      <c r="AR49" s="436">
        <f t="shared" si="15"/>
        <v>7.3523685258444138E-3</v>
      </c>
      <c r="AS49" s="440">
        <f t="shared" si="16"/>
        <v>7.3953208369737823E-3</v>
      </c>
      <c r="AT49" s="432"/>
      <c r="AU49" s="441">
        <f t="shared" si="17"/>
        <v>0</v>
      </c>
      <c r="AV49" s="442">
        <f t="shared" si="18"/>
        <v>0</v>
      </c>
      <c r="AW49" s="442">
        <f t="shared" si="19"/>
        <v>0</v>
      </c>
      <c r="AX49" s="442">
        <f t="shared" si="20"/>
        <v>0</v>
      </c>
      <c r="AY49" s="443">
        <f t="shared" si="21"/>
        <v>0</v>
      </c>
      <c r="AZ49" s="444">
        <f t="shared" si="43"/>
        <v>-1</v>
      </c>
      <c r="BA49" s="445">
        <f t="shared" si="22"/>
        <v>0</v>
      </c>
      <c r="BB49" s="446">
        <f t="shared" si="22"/>
        <v>0</v>
      </c>
      <c r="BC49" s="446">
        <f t="shared" si="22"/>
        <v>0</v>
      </c>
      <c r="BD49" s="446">
        <f t="shared" si="22"/>
        <v>0</v>
      </c>
      <c r="BE49" s="446">
        <f t="shared" si="22"/>
        <v>0</v>
      </c>
      <c r="BF49" s="447">
        <f t="shared" si="44"/>
        <v>1025301.8543162757</v>
      </c>
      <c r="BH49" s="448">
        <f>'Op Cost-26'!E40</f>
        <v>4896193</v>
      </c>
      <c r="BI49" s="449">
        <f t="shared" si="23"/>
        <v>0.20940797356564084</v>
      </c>
      <c r="BJ49" s="450">
        <f t="shared" si="24"/>
        <v>1025301.8543162757</v>
      </c>
      <c r="BK49" s="451">
        <f t="shared" si="25"/>
        <v>0</v>
      </c>
      <c r="BL49" s="1">
        <f t="shared" si="45"/>
        <v>0.34261851190830711</v>
      </c>
      <c r="BM49" s="112">
        <f t="shared" si="46"/>
        <v>0.26868010881928966</v>
      </c>
      <c r="BN49" s="112">
        <f t="shared" si="47"/>
        <v>0.24251527535975434</v>
      </c>
      <c r="BO49" s="113">
        <f t="shared" si="48"/>
        <v>0.42963933172709223</v>
      </c>
      <c r="BP49" s="452">
        <f t="shared" si="26"/>
        <v>1025301.8543162757</v>
      </c>
      <c r="BQ49" s="115">
        <f t="shared" si="49"/>
        <v>2.9184056524023164E-3</v>
      </c>
      <c r="BR49" s="116">
        <f t="shared" si="50"/>
        <v>2.9184056524023164E-3</v>
      </c>
      <c r="BS49" s="453">
        <f t="shared" si="51"/>
        <v>3.0411076705325582E-3</v>
      </c>
      <c r="BT49" s="118">
        <f t="shared" si="52"/>
        <v>1048062.582615479</v>
      </c>
      <c r="BU49" s="119">
        <f t="shared" si="53"/>
        <v>1468857.9</v>
      </c>
      <c r="BV49" s="119">
        <f t="shared" si="54"/>
        <v>1048062.582615479</v>
      </c>
      <c r="BW49" s="119">
        <f t="shared" si="65"/>
        <v>0</v>
      </c>
      <c r="BX49" s="120">
        <f t="shared" si="55"/>
        <v>2.9184056524023164E-3</v>
      </c>
      <c r="BY49" s="454">
        <f t="shared" si="56"/>
        <v>3.2725455152191993E-3</v>
      </c>
      <c r="BZ49" s="122">
        <f t="shared" si="57"/>
        <v>1048955.1786991914</v>
      </c>
      <c r="CA49" s="455">
        <f t="shared" si="27"/>
        <v>9.1075924142203918E-3</v>
      </c>
      <c r="CB49" s="456">
        <f t="shared" si="28"/>
        <v>68164.45152816776</v>
      </c>
      <c r="CC49" s="456">
        <f t="shared" si="29"/>
        <v>1093466.3058444434</v>
      </c>
      <c r="CD49" s="457">
        <f t="shared" si="30"/>
        <v>0.22332990260891336</v>
      </c>
      <c r="CE49" s="458">
        <f t="shared" si="31"/>
        <v>0</v>
      </c>
      <c r="CF49" s="17"/>
      <c r="CG49" s="459">
        <f t="shared" si="32"/>
        <v>4896193</v>
      </c>
      <c r="CH49" s="460">
        <f t="shared" si="58"/>
        <v>0.22332990260891336</v>
      </c>
      <c r="CI49" s="461">
        <f t="shared" si="33"/>
        <v>1093466.3058444434</v>
      </c>
      <c r="CJ49" s="462">
        <f t="shared" si="34"/>
        <v>0</v>
      </c>
      <c r="CL49" s="463">
        <f t="shared" si="35"/>
        <v>1093466.3058444434</v>
      </c>
      <c r="CM49" s="464">
        <f t="shared" si="36"/>
        <v>9.4018637422833978E-3</v>
      </c>
      <c r="CN49" s="465">
        <f t="shared" si="37"/>
        <v>1433.2786618456364</v>
      </c>
      <c r="CO49" s="466">
        <f t="shared" si="59"/>
        <v>1094899.5845062891</v>
      </c>
      <c r="CP49" s="467">
        <f t="shared" si="60"/>
        <v>0.2236226358941098</v>
      </c>
      <c r="CQ49" s="468">
        <f t="shared" si="38"/>
        <v>0</v>
      </c>
      <c r="CR49" s="469"/>
      <c r="CS49" s="470">
        <f t="shared" si="39"/>
        <v>1468857.9</v>
      </c>
      <c r="CT49" s="465">
        <f t="shared" si="40"/>
        <v>0</v>
      </c>
      <c r="CU49" s="471">
        <f t="shared" si="41"/>
        <v>1094899.5845062891</v>
      </c>
      <c r="CV49" s="472">
        <f t="shared" si="42"/>
        <v>0.2236226358941098</v>
      </c>
      <c r="CY49" s="473">
        <v>4766</v>
      </c>
      <c r="CZ49" s="474">
        <f t="shared" si="61"/>
        <v>1099665.5845062891</v>
      </c>
      <c r="DA49" s="475">
        <f t="shared" si="62"/>
        <v>0.22459604523479551</v>
      </c>
      <c r="DB49" s="1">
        <f t="shared" si="63"/>
        <v>0</v>
      </c>
      <c r="DC49" s="293">
        <f t="shared" si="64"/>
        <v>0.21423893598540569</v>
      </c>
      <c r="DF49" s="476"/>
    </row>
    <row r="50" spans="1:110" s="171" customFormat="1" ht="15" thickBot="1">
      <c r="A50" s="479"/>
      <c r="B50" s="480" t="s">
        <v>131</v>
      </c>
      <c r="C50" s="429"/>
      <c r="D50" s="481">
        <f t="shared" ref="D50:I50" si="66">SUM(D12:D49)</f>
        <v>568658897</v>
      </c>
      <c r="E50" s="482">
        <f t="shared" si="66"/>
        <v>53095068</v>
      </c>
      <c r="F50" s="482">
        <f t="shared" si="66"/>
        <v>4681948.6436643004</v>
      </c>
      <c r="G50" s="482">
        <f t="shared" si="66"/>
        <v>66013685.590599991</v>
      </c>
      <c r="H50" s="483">
        <f t="shared" si="66"/>
        <v>1</v>
      </c>
      <c r="I50" s="484">
        <f t="shared" si="66"/>
        <v>1</v>
      </c>
      <c r="J50" s="485"/>
      <c r="K50" s="486">
        <f>'Ridership-26'!B41/'Revenue Hours-26'!B41</f>
        <v>6.9503910166537581</v>
      </c>
      <c r="L50" s="487">
        <f>'Ridership-26'!C41/'Revenue Hours-26'!C41</f>
        <v>8.9103336909540651</v>
      </c>
      <c r="M50" s="487">
        <f>'Ridership-26'!D41/'Revenue Hours-26'!D41</f>
        <v>10.58680012169124</v>
      </c>
      <c r="N50" s="487">
        <f>'Ridership-26'!E41/'Revenue Hours-26'!E41</f>
        <v>11.340378129061545</v>
      </c>
      <c r="O50" s="488"/>
      <c r="P50" s="489">
        <f>SUM(P12:P49)</f>
        <v>1.042661757550172</v>
      </c>
      <c r="Q50" s="490">
        <f>SUM(Q12:Q49)</f>
        <v>1</v>
      </c>
      <c r="R50" s="491">
        <f>'Ridership-26'!B41/'Revenue Miles-26'!B41</f>
        <v>0.50001375435483453</v>
      </c>
      <c r="S50" s="487">
        <f>'Ridership-26'!C41/'Revenue Miles-26'!C41</f>
        <v>0.62877909337252769</v>
      </c>
      <c r="T50" s="487">
        <f>'Ridership-26'!D41/'Revenue Miles-26'!D41</f>
        <v>0.74929493676777836</v>
      </c>
      <c r="U50" s="487">
        <f>'Ridership-26'!E41/'Revenue Miles-26'!E41</f>
        <v>0.80430394887026979</v>
      </c>
      <c r="V50" s="488"/>
      <c r="W50" s="489">
        <f>SUM(W12:W49)</f>
        <v>1.0455953443052968</v>
      </c>
      <c r="X50" s="490">
        <f>SUM(X12:X49)</f>
        <v>0.99999999999999978</v>
      </c>
      <c r="Y50" s="492">
        <f>'Op Cost-26'!B41/'Revenue Hours-26'!B41</f>
        <v>108.38174623012041</v>
      </c>
      <c r="Z50" s="493">
        <f>'Op Cost-26'!C41/'Revenue Hours-26'!C41</f>
        <v>109.41026264200019</v>
      </c>
      <c r="AA50" s="493">
        <f>'Op Cost-26'!D41/'Revenue Hours-26'!D41</f>
        <v>119.77918538846754</v>
      </c>
      <c r="AB50" s="493">
        <f>'Op Cost-26'!E41/'Revenue Hours-26'!E41</f>
        <v>124.14956084291406</v>
      </c>
      <c r="AC50" s="488"/>
      <c r="AD50" s="489">
        <f>SUM(AD12:AD49)</f>
        <v>0.99822605305304313</v>
      </c>
      <c r="AE50" s="490">
        <f>SUM(AE12:AE49)</f>
        <v>1</v>
      </c>
      <c r="AF50" s="492">
        <f>'Op Cost-26'!B41/'Revenue Miles-26'!B41</f>
        <v>7.7970237510674849</v>
      </c>
      <c r="AG50" s="493">
        <f>'Op Cost-26'!C41/'Revenue Miles-26'!C41</f>
        <v>7.7207979112531833</v>
      </c>
      <c r="AH50" s="493">
        <f>'Op Cost-26'!D41/'Revenue Miles-26'!D41</f>
        <v>8.4775320314076392</v>
      </c>
      <c r="AI50" s="493">
        <f>'Op Cost-26'!E41/'Revenue Miles-26'!E41</f>
        <v>8.8051721820962641</v>
      </c>
      <c r="AJ50" s="488"/>
      <c r="AK50" s="489">
        <f>SUM(AK12:AK49)</f>
        <v>0.9983139303558437</v>
      </c>
      <c r="AL50" s="490">
        <f>SUM(AL12:AL49)</f>
        <v>0.99999999999999989</v>
      </c>
      <c r="AM50" s="492">
        <f>'Op Cost-26'!B41/'Ridership-26'!B41</f>
        <v>15.593618541809814</v>
      </c>
      <c r="AN50" s="493">
        <f>'Op Cost-26'!C41/'Ridership-26'!C41</f>
        <v>12.279030891185982</v>
      </c>
      <c r="AO50" s="493">
        <f>'Op Cost-26'!D41/'Ridership-26'!D41</f>
        <v>11.314012167194182</v>
      </c>
      <c r="AP50" s="493">
        <f>'Op Cost-26'!E41/'Ridership-26'!E41</f>
        <v>10.947568011401737</v>
      </c>
      <c r="AQ50" s="494"/>
      <c r="AR50" s="489">
        <f>SUM(AR12:AR49)</f>
        <v>0.99419196109591035</v>
      </c>
      <c r="AS50" s="495">
        <f>SUM(AS12:AS49)</f>
        <v>0.99999999999999989</v>
      </c>
      <c r="AT50" s="485"/>
      <c r="AU50" s="496">
        <f>SUM(AU12:AU49)</f>
        <v>0</v>
      </c>
      <c r="AV50" s="497">
        <f>SUM(AV12:AV49)</f>
        <v>0</v>
      </c>
      <c r="AW50" s="497">
        <f>SUM(AW12:AW49)</f>
        <v>0</v>
      </c>
      <c r="AX50" s="497">
        <f>SUM(AX12:AX49)</f>
        <v>0</v>
      </c>
      <c r="AY50" s="498">
        <f>SUM(AY12:AY49)</f>
        <v>0</v>
      </c>
      <c r="AZ50" s="485"/>
      <c r="BA50" s="499">
        <f t="shared" si="22"/>
        <v>0</v>
      </c>
      <c r="BB50" s="500">
        <f t="shared" si="22"/>
        <v>0</v>
      </c>
      <c r="BC50" s="500">
        <f t="shared" si="22"/>
        <v>0</v>
      </c>
      <c r="BD50" s="500">
        <f t="shared" si="22"/>
        <v>0</v>
      </c>
      <c r="BE50" s="500">
        <f t="shared" si="22"/>
        <v>0</v>
      </c>
      <c r="BF50" s="501">
        <f t="shared" ref="BF50" si="67">SUM(BA50:BE50)</f>
        <v>0</v>
      </c>
      <c r="BH50" s="502">
        <f>'Op Cost-26'!E41</f>
        <v>581261868</v>
      </c>
      <c r="BI50" s="503"/>
      <c r="BJ50" s="504">
        <f>SUM(BJ12:BJ49)</f>
        <v>119220514.36180416</v>
      </c>
      <c r="BK50" s="505">
        <f>SUM(BK12:BK49)</f>
        <v>1149111.1881958526</v>
      </c>
      <c r="BP50" s="481">
        <f>SUM(BP12:BP49)</f>
        <v>112576607.26180415</v>
      </c>
      <c r="BQ50" s="506">
        <f>SUM(BQ12:BQ49)</f>
        <v>1.1585988142581642</v>
      </c>
      <c r="BR50" s="507">
        <f>SUM(BR12:BR49)</f>
        <v>0.95965219537631352</v>
      </c>
      <c r="BS50" s="508">
        <f>SUM(BS12:BS49)</f>
        <v>1</v>
      </c>
      <c r="BT50" s="509">
        <f>SUM(BT12:BT49)</f>
        <v>126704868.99999999</v>
      </c>
      <c r="BU50" s="509"/>
      <c r="BV50" s="509">
        <f t="shared" ref="BV50" si="68">SUM(BV12:BV49)</f>
        <v>126432116.15987556</v>
      </c>
      <c r="BW50" s="510">
        <f>SUM(BW12:BW49)</f>
        <v>272752.84012440953</v>
      </c>
      <c r="BX50" s="511">
        <f>SUM(BX12:BX49)</f>
        <v>0.89178458751148582</v>
      </c>
      <c r="BY50" s="512">
        <f>SUM(BY12:BY49)</f>
        <v>1.0000000000000002</v>
      </c>
      <c r="BZ50" s="513">
        <f>SUM(BZ12:BZ49)</f>
        <v>126704869</v>
      </c>
      <c r="CA50" s="514"/>
      <c r="CB50" s="515">
        <f>SUM(CB12:CB49)</f>
        <v>7484354.6381958509</v>
      </c>
      <c r="CC50" s="515">
        <f>SUM(CC12:CC49)</f>
        <v>126704868.99999999</v>
      </c>
      <c r="CD50" s="516"/>
      <c r="CE50" s="517">
        <f>SUM(CE12:CE49)</f>
        <v>4</v>
      </c>
      <c r="CG50" s="518">
        <f>SUM(CG12:CG49)</f>
        <v>581261868</v>
      </c>
      <c r="CH50" s="519"/>
      <c r="CI50" s="520">
        <f>SUM(CI12:CI49)</f>
        <v>126552422.77219521</v>
      </c>
      <c r="CJ50" s="521">
        <f t="shared" si="34"/>
        <v>152446.22780478001</v>
      </c>
      <c r="CK50" s="1"/>
      <c r="CL50" s="522">
        <f>SUM(CL12:CL49)</f>
        <v>116303143.27219521</v>
      </c>
      <c r="CM50" s="523">
        <f t="shared" si="36"/>
        <v>1</v>
      </c>
      <c r="CN50" s="524">
        <f t="shared" si="37"/>
        <v>152446.22780478001</v>
      </c>
      <c r="CO50" s="525">
        <f>(CN50+CI50)</f>
        <v>126704868.99999999</v>
      </c>
      <c r="CP50" s="526">
        <f>CO50/CG50</f>
        <v>0.21798242061872186</v>
      </c>
      <c r="CQ50" s="527">
        <f>SUM(CQ12:CQ49)</f>
        <v>1</v>
      </c>
      <c r="CR50" s="528"/>
      <c r="CS50" s="529">
        <f>SUM(CS12:CS49)</f>
        <v>174378560.39999998</v>
      </c>
      <c r="CT50" s="520">
        <f>SUM(CT12:CT49)</f>
        <v>4.8967683283262886</v>
      </c>
      <c r="CU50" s="530">
        <f>SUM(CU12:CU49)</f>
        <v>126704864.10323165</v>
      </c>
      <c r="CV50" s="531">
        <f>AVERAGE(CV12:CV49)</f>
        <v>0.24642943435515391</v>
      </c>
      <c r="CY50" s="532">
        <f>SUM(CY12:CY49)</f>
        <v>547448.79999999993</v>
      </c>
      <c r="CZ50" s="533">
        <f>SUM(CZ12:CZ49)</f>
        <v>127252312.90323167</v>
      </c>
      <c r="DA50" s="534">
        <f>AVERAGE(DA12:DA49)</f>
        <v>0.24682026945922492</v>
      </c>
      <c r="DB50" s="1">
        <f>SUM(DB12:DB49)</f>
        <v>0</v>
      </c>
    </row>
    <row r="51" spans="1:110">
      <c r="BL51" s="1">
        <f>MEDIAN(BL12:BL49)</f>
        <v>0.66493828941318767</v>
      </c>
      <c r="BS51" s="535"/>
    </row>
    <row r="52" spans="1:110">
      <c r="BS52" s="535"/>
      <c r="CU52" s="301"/>
    </row>
    <row r="53" spans="1:110">
      <c r="BS53" s="535"/>
    </row>
    <row r="54" spans="1:110">
      <c r="BS54" s="535">
        <v>0.03</v>
      </c>
    </row>
    <row r="55" spans="1:110">
      <c r="BS55" s="535"/>
    </row>
    <row r="56" spans="1:110">
      <c r="BS56" s="535"/>
    </row>
    <row r="57" spans="1:110">
      <c r="BS57" s="535"/>
    </row>
    <row r="58" spans="1:110">
      <c r="BS58" s="535"/>
    </row>
    <row r="59" spans="1:110">
      <c r="BS59" s="535"/>
    </row>
    <row r="60" spans="1:110">
      <c r="BS60" s="535"/>
    </row>
    <row r="61" spans="1:110">
      <c r="BS61" s="535"/>
    </row>
    <row r="62" spans="1:110">
      <c r="BS62" s="535"/>
    </row>
    <row r="63" spans="1:110">
      <c r="BS63" s="535"/>
    </row>
    <row r="64" spans="1:110">
      <c r="BS64" s="535"/>
    </row>
    <row r="65" spans="71:71">
      <c r="BS65" s="535"/>
    </row>
    <row r="66" spans="71:71">
      <c r="BS66" s="535"/>
    </row>
    <row r="67" spans="71:71">
      <c r="BS67" s="535"/>
    </row>
    <row r="68" spans="71:71">
      <c r="BS68" s="535"/>
    </row>
    <row r="69" spans="71:71">
      <c r="BS69" s="535"/>
    </row>
    <row r="70" spans="71:71">
      <c r="BS70" s="535"/>
    </row>
    <row r="71" spans="71:71">
      <c r="BS71" s="535"/>
    </row>
    <row r="72" spans="71:71">
      <c r="BS72" s="535"/>
    </row>
    <row r="73" spans="71:71">
      <c r="BS73" s="535"/>
    </row>
    <row r="74" spans="71:71">
      <c r="BS74" s="535"/>
    </row>
    <row r="75" spans="71:71">
      <c r="BS75" s="535"/>
    </row>
    <row r="76" spans="71:71">
      <c r="BS76" s="535"/>
    </row>
    <row r="77" spans="71:71">
      <c r="BS77" s="535"/>
    </row>
    <row r="78" spans="71:71">
      <c r="BS78" s="535"/>
    </row>
    <row r="79" spans="71:71">
      <c r="BS79" s="535"/>
    </row>
    <row r="80" spans="71:71">
      <c r="BS80" s="535"/>
    </row>
    <row r="81" spans="71:71">
      <c r="BS81" s="535"/>
    </row>
    <row r="82" spans="71:71">
      <c r="BS82" s="535"/>
    </row>
    <row r="83" spans="71:71">
      <c r="BS83" s="535"/>
    </row>
    <row r="84" spans="71:71">
      <c r="BS84" s="535"/>
    </row>
    <row r="85" spans="71:71">
      <c r="BS85" s="535"/>
    </row>
    <row r="86" spans="71:71">
      <c r="BS86" s="535"/>
    </row>
    <row r="87" spans="71:71">
      <c r="BS87" s="538"/>
    </row>
  </sheetData>
  <autoFilter ref="A11:CO11" xr:uid="{00000000-0001-0000-0F00-000000000000}"/>
  <mergeCells count="11">
    <mergeCell ref="CS3:CV3"/>
    <mergeCell ref="CY3:CZ3"/>
    <mergeCell ref="AU5:AY5"/>
    <mergeCell ref="A9:A11"/>
    <mergeCell ref="B9:B11"/>
    <mergeCell ref="D3:I3"/>
    <mergeCell ref="K3:AS3"/>
    <mergeCell ref="AU3:AY3"/>
    <mergeCell ref="BA3:BF3"/>
    <mergeCell ref="BH3:CE3"/>
    <mergeCell ref="CG3:CQ3"/>
  </mergeCells>
  <conditionalFormatting sqref="BI12:BI49">
    <cfRule type="cellIs" dxfId="58" priority="5" operator="greaterThan">
      <formula>$BJ$6</formula>
    </cfRule>
  </conditionalFormatting>
  <conditionalFormatting sqref="BL12:BL49">
    <cfRule type="cellIs" dxfId="57" priority="1" operator="greaterThan">
      <formula>$BL$51</formula>
    </cfRule>
  </conditionalFormatting>
  <conditionalFormatting sqref="BS51:BS86">
    <cfRule type="cellIs" dxfId="56" priority="2" operator="greaterThan">
      <formula>0.04</formula>
    </cfRule>
  </conditionalFormatting>
  <conditionalFormatting sqref="CD12:CD49">
    <cfRule type="cellIs" dxfId="55" priority="7" operator="greaterThan">
      <formula>$BJ$6</formula>
    </cfRule>
  </conditionalFormatting>
  <conditionalFormatting sqref="CE12:CE49 CQ12:CR49">
    <cfRule type="cellIs" dxfId="54" priority="8" operator="greaterThan">
      <formula>0</formula>
    </cfRule>
  </conditionalFormatting>
  <conditionalFormatting sqref="CP12:CP49">
    <cfRule type="cellIs" dxfId="53" priority="6" operator="greaterThan">
      <formula>$BJ$6</formula>
    </cfRule>
  </conditionalFormatting>
  <conditionalFormatting sqref="CV12:CV49">
    <cfRule type="cellIs" dxfId="52" priority="3" operator="equal">
      <formula>$BJ$6</formula>
    </cfRule>
    <cfRule type="cellIs" dxfId="51" priority="4" operator="greaterThan">
      <formula>$BJ$6</formula>
    </cfRule>
  </conditionalFormatting>
  <printOptions horizontalCentered="1"/>
  <pageMargins left="0.25" right="0.25" top="0.75" bottom="0.75" header="0.3" footer="0.3"/>
  <pageSetup paperSize="17" scale="18" orientation="landscape" r:id="rId1"/>
  <headerFooter alignWithMargins="0">
    <oddFooter>&amp;L&amp;F&amp;R&amp;D</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351FF-127C-49E0-BA61-83E09F49B60F}">
  <sheetPr>
    <tabColor theme="5"/>
    <pageSetUpPr fitToPage="1"/>
  </sheetPr>
  <dimension ref="A1:DF87"/>
  <sheetViews>
    <sheetView zoomScale="80" zoomScaleNormal="80" workbookViewId="0">
      <pane xSplit="2" topLeftCell="C1" activePane="topRight" state="frozen"/>
      <selection activeCell="A2" sqref="A2"/>
      <selection pane="topRight" activeCell="A2" sqref="A2"/>
    </sheetView>
  </sheetViews>
  <sheetFormatPr defaultColWidth="9.28515625" defaultRowHeight="14.25"/>
  <cols>
    <col min="1" max="1" width="21.28515625" style="10" customWidth="1"/>
    <col min="2" max="2" width="49.42578125" style="1" bestFit="1" customWidth="1"/>
    <col min="3" max="3" width="5.85546875" style="1" customWidth="1"/>
    <col min="4" max="4" width="21.28515625" style="1" customWidth="1"/>
    <col min="5" max="5" width="17.42578125" style="1" customWidth="1"/>
    <col min="6" max="6" width="14.28515625" style="1" customWidth="1"/>
    <col min="7" max="7" width="13.5703125" style="1" customWidth="1"/>
    <col min="8" max="8" width="16.28515625" style="1" customWidth="1"/>
    <col min="9" max="9" width="17.42578125" style="4" customWidth="1"/>
    <col min="10" max="10" width="8" style="1" customWidth="1"/>
    <col min="11" max="11" width="8.7109375" style="1" customWidth="1"/>
    <col min="12" max="12" width="11.5703125" style="1" customWidth="1"/>
    <col min="13" max="14" width="8.7109375" style="1" customWidth="1"/>
    <col min="15" max="17" width="15.7109375" style="1" customWidth="1"/>
    <col min="18" max="21" width="8.7109375" style="1" customWidth="1"/>
    <col min="22" max="23" width="15.7109375" style="1" customWidth="1"/>
    <col min="24" max="24" width="15.7109375" style="5" customWidth="1"/>
    <col min="25" max="28" width="10.7109375" style="1" customWidth="1"/>
    <col min="29" max="30" width="15.7109375" style="1" customWidth="1"/>
    <col min="31" max="31" width="15.7109375" style="5" customWidth="1"/>
    <col min="32" max="35" width="8.7109375" style="1" customWidth="1"/>
    <col min="36" max="37" width="15.7109375" style="1" customWidth="1"/>
    <col min="38" max="38" width="15.7109375" style="5" customWidth="1"/>
    <col min="39" max="41" width="8.7109375" style="1" customWidth="1"/>
    <col min="42" max="42" width="9.28515625" style="1" customWidth="1"/>
    <col min="43" max="44" width="15.7109375" style="1" customWidth="1"/>
    <col min="45" max="45" width="15.7109375" style="5" customWidth="1"/>
    <col min="46" max="46" width="9.28515625" style="1" customWidth="1"/>
    <col min="47" max="51" width="17.7109375" style="1" customWidth="1"/>
    <col min="52" max="52" width="9.28515625" style="1" customWidth="1"/>
    <col min="53" max="53" width="20.28515625" style="1" customWidth="1"/>
    <col min="54" max="58" width="17.7109375" style="1" customWidth="1"/>
    <col min="59" max="59" width="14.28515625" style="1" bestFit="1" customWidth="1"/>
    <col min="60" max="60" width="15.7109375" style="6" customWidth="1"/>
    <col min="61" max="61" width="18.5703125" style="1" customWidth="1"/>
    <col min="62" max="62" width="23.5703125" style="1" customWidth="1"/>
    <col min="63" max="63" width="24.85546875" style="1" customWidth="1"/>
    <col min="64" max="64" width="9.28515625" style="1" customWidth="1"/>
    <col min="65" max="67" width="16.5703125" style="1" customWidth="1"/>
    <col min="68" max="68" width="23.140625" style="1" customWidth="1"/>
    <col min="69" max="69" width="23.28515625" style="1" customWidth="1"/>
    <col min="70" max="70" width="22.5703125" style="1" customWidth="1"/>
    <col min="71" max="74" width="21.7109375" style="1" customWidth="1"/>
    <col min="75" max="75" width="23.85546875" style="1" customWidth="1"/>
    <col min="76" max="76" width="25.28515625" style="1" customWidth="1"/>
    <col min="77" max="77" width="26.7109375" style="1" customWidth="1"/>
    <col min="78" max="78" width="21.7109375" style="1" customWidth="1"/>
    <col min="79" max="79" width="21.7109375" style="1" hidden="1" customWidth="1"/>
    <col min="80" max="80" width="18.42578125" style="1" hidden="1" customWidth="1"/>
    <col min="81" max="81" width="18.42578125" style="8" hidden="1" customWidth="1"/>
    <col min="82" max="82" width="20.5703125" style="8" hidden="1" customWidth="1"/>
    <col min="83" max="83" width="22.42578125" style="1" hidden="1" customWidth="1"/>
    <col min="84" max="84" width="12.42578125" style="1" hidden="1" customWidth="1"/>
    <col min="85" max="85" width="16.85546875" style="1" hidden="1" customWidth="1"/>
    <col min="86" max="86" width="15.140625" style="1" hidden="1" customWidth="1"/>
    <col min="87" max="87" width="18.28515625" style="1" hidden="1" customWidth="1"/>
    <col min="88" max="88" width="15.85546875" style="1" hidden="1" customWidth="1"/>
    <col min="89" max="89" width="9.28515625" style="1" hidden="1" customWidth="1"/>
    <col min="90" max="91" width="21.7109375" style="1" hidden="1" customWidth="1"/>
    <col min="92" max="92" width="18.42578125" style="1" hidden="1" customWidth="1"/>
    <col min="93" max="93" width="18.42578125" style="8" hidden="1" customWidth="1"/>
    <col min="94" max="94" width="19.140625" style="536" hidden="1" customWidth="1"/>
    <col min="95" max="96" width="18" style="537" hidden="1" customWidth="1"/>
    <col min="97" max="97" width="22.42578125" style="1" hidden="1" customWidth="1"/>
    <col min="98" max="98" width="17.5703125" style="1" hidden="1" customWidth="1"/>
    <col min="99" max="99" width="18.5703125" style="1" hidden="1" customWidth="1"/>
    <col min="100" max="100" width="17.28515625" style="1" hidden="1" customWidth="1"/>
    <col min="101" max="102" width="9.28515625" style="1" hidden="1" customWidth="1"/>
    <col min="103" max="103" width="17.140625" style="1" hidden="1" customWidth="1"/>
    <col min="104" max="104" width="20.28515625" style="1" hidden="1" customWidth="1"/>
    <col min="105" max="105" width="17.140625" style="1" hidden="1" customWidth="1"/>
    <col min="106" max="109" width="9.28515625" style="1"/>
    <col min="110" max="110" width="13.85546875" style="1" customWidth="1"/>
    <col min="111" max="16384" width="9.28515625" style="1"/>
  </cols>
  <sheetData>
    <row r="1" spans="1:110" s="371" customFormat="1" ht="20.25">
      <c r="A1" s="370" t="s">
        <v>438</v>
      </c>
      <c r="D1" s="372"/>
      <c r="G1" s="373"/>
      <c r="I1" s="374"/>
      <c r="X1" s="375"/>
      <c r="AE1" s="375"/>
      <c r="AL1" s="375"/>
      <c r="AS1" s="375"/>
      <c r="BH1" s="376"/>
      <c r="BP1" s="377"/>
      <c r="BQ1" s="377"/>
      <c r="BR1" s="377"/>
      <c r="BS1" s="377"/>
      <c r="BT1" s="377"/>
      <c r="BU1" s="377"/>
      <c r="BV1" s="377"/>
      <c r="BW1" s="377"/>
      <c r="BX1" s="377"/>
      <c r="BY1" s="377"/>
      <c r="BZ1" s="377"/>
      <c r="CC1" s="378"/>
      <c r="CD1" s="378"/>
      <c r="CM1" s="377"/>
      <c r="CN1" s="377"/>
      <c r="CO1" s="377"/>
      <c r="CP1" s="379"/>
      <c r="CQ1" s="380"/>
      <c r="CR1" s="380"/>
      <c r="CT1" s="379"/>
      <c r="CU1" s="379"/>
      <c r="CV1" s="379"/>
    </row>
    <row r="2" spans="1:110" ht="15" customHeight="1">
      <c r="A2" s="1149" t="str" cm="1">
        <f t="array" aca="1" ref="A2" ca="1">"Scenario "&amp;MID(CELL("filename",A1),FIND("]",CELL("filename",A1))+1,500)</f>
        <v>Scenario S6C-Avg-26</v>
      </c>
      <c r="B2" s="11"/>
      <c r="C2" s="11"/>
      <c r="D2" s="381"/>
      <c r="E2" s="13"/>
      <c r="F2" s="10"/>
      <c r="G2" s="382"/>
      <c r="I2" s="15"/>
      <c r="M2" s="16"/>
      <c r="O2" s="17"/>
      <c r="P2" s="17"/>
      <c r="S2" s="16"/>
      <c r="Z2" s="16"/>
      <c r="AG2" s="16"/>
      <c r="AN2" s="16"/>
      <c r="CP2" s="9"/>
      <c r="CQ2" s="379"/>
      <c r="CR2" s="379"/>
      <c r="CS2" s="379"/>
      <c r="CT2" s="379"/>
      <c r="CU2" s="379"/>
      <c r="CV2" s="379"/>
    </row>
    <row r="3" spans="1:110" s="9" customFormat="1" ht="15" customHeight="1">
      <c r="B3" s="383"/>
      <c r="C3" s="383"/>
      <c r="D3" s="1156" t="s">
        <v>157</v>
      </c>
      <c r="E3" s="1156"/>
      <c r="F3" s="1156"/>
      <c r="G3" s="1156"/>
      <c r="H3" s="1156"/>
      <c r="I3" s="1156"/>
      <c r="K3" s="1156" t="s">
        <v>158</v>
      </c>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U3" s="1156" t="s">
        <v>159</v>
      </c>
      <c r="AV3" s="1156"/>
      <c r="AW3" s="1156"/>
      <c r="AX3" s="1156"/>
      <c r="AY3" s="1156"/>
      <c r="AZ3" s="383"/>
      <c r="BA3" s="1156" t="s">
        <v>160</v>
      </c>
      <c r="BB3" s="1156"/>
      <c r="BC3" s="1156"/>
      <c r="BD3" s="1156"/>
      <c r="BE3" s="1156"/>
      <c r="BF3" s="1156"/>
      <c r="BH3" s="1156" t="s">
        <v>161</v>
      </c>
      <c r="BI3" s="1156"/>
      <c r="BJ3" s="1156"/>
      <c r="BK3" s="1156"/>
      <c r="BL3" s="1156"/>
      <c r="BM3" s="1156"/>
      <c r="BN3" s="1156"/>
      <c r="BO3" s="1156"/>
      <c r="BP3" s="1156"/>
      <c r="BQ3" s="1156"/>
      <c r="BR3" s="1156"/>
      <c r="BS3" s="1156"/>
      <c r="BT3" s="1156"/>
      <c r="BU3" s="1156"/>
      <c r="BV3" s="1156"/>
      <c r="BW3" s="1156"/>
      <c r="BX3" s="1156"/>
      <c r="BY3" s="1156"/>
      <c r="BZ3" s="1156"/>
      <c r="CA3" s="1156"/>
      <c r="CB3" s="1156"/>
      <c r="CC3" s="1156"/>
      <c r="CD3" s="1156"/>
      <c r="CE3" s="1156"/>
      <c r="CG3" s="1156" t="s">
        <v>162</v>
      </c>
      <c r="CH3" s="1156"/>
      <c r="CI3" s="1156"/>
      <c r="CJ3" s="1156"/>
      <c r="CK3" s="1156"/>
      <c r="CL3" s="1156"/>
      <c r="CM3" s="1156"/>
      <c r="CN3" s="1156"/>
      <c r="CO3" s="1156"/>
      <c r="CP3" s="1156"/>
      <c r="CQ3" s="1156"/>
      <c r="CR3" s="384"/>
      <c r="CS3" s="1156" t="s">
        <v>163</v>
      </c>
      <c r="CT3" s="1156"/>
      <c r="CU3" s="1156"/>
      <c r="CV3" s="1156"/>
      <c r="CW3" s="383"/>
      <c r="CY3" s="1156" t="s">
        <v>164</v>
      </c>
      <c r="CZ3" s="1156"/>
    </row>
    <row r="4" spans="1:110" s="9" customFormat="1" ht="15" customHeight="1">
      <c r="B4" s="383"/>
      <c r="C4" s="383"/>
      <c r="D4" s="385"/>
      <c r="E4" s="385"/>
      <c r="F4" s="385"/>
      <c r="G4" s="385"/>
      <c r="H4" s="385"/>
      <c r="I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U4" s="385"/>
      <c r="AV4" s="385"/>
      <c r="AW4" s="385"/>
      <c r="AX4" s="385"/>
      <c r="AY4" s="385"/>
      <c r="AZ4" s="383"/>
      <c r="BA4" s="385"/>
      <c r="BB4" s="385"/>
      <c r="BC4" s="385"/>
      <c r="BD4" s="385"/>
      <c r="BE4" s="385"/>
      <c r="BF4" s="385"/>
      <c r="BH4" s="385"/>
      <c r="BI4" s="385"/>
      <c r="BJ4" s="385"/>
      <c r="BK4" s="385"/>
      <c r="BL4" s="385"/>
      <c r="BM4" s="385"/>
      <c r="BN4" s="385"/>
      <c r="BO4" s="385"/>
      <c r="BP4" s="385"/>
      <c r="BQ4" s="385"/>
      <c r="BR4" s="385"/>
      <c r="BS4" s="385"/>
      <c r="BT4" s="385"/>
      <c r="BU4" s="385"/>
      <c r="BV4" s="385"/>
      <c r="BW4" s="385"/>
      <c r="BX4" s="385"/>
      <c r="BY4" s="385"/>
      <c r="BZ4" s="385"/>
      <c r="CA4" s="385"/>
      <c r="CB4" s="385"/>
      <c r="CC4" s="385"/>
      <c r="CD4" s="385"/>
      <c r="CE4" s="385"/>
      <c r="CO4" s="386"/>
      <c r="CP4" s="384"/>
      <c r="CQ4" s="384"/>
      <c r="CR4" s="384"/>
      <c r="CS4" s="384"/>
      <c r="CT4" s="384"/>
      <c r="CU4" s="384"/>
      <c r="CV4" s="384"/>
    </row>
    <row r="5" spans="1:110" ht="15" customHeight="1">
      <c r="B5" s="11"/>
      <c r="C5" s="11"/>
      <c r="D5" s="387" t="s">
        <v>3</v>
      </c>
      <c r="E5" s="13"/>
      <c r="F5" s="10"/>
      <c r="G5" s="382"/>
      <c r="I5" s="15"/>
      <c r="M5" s="16"/>
      <c r="O5" s="17"/>
      <c r="P5" s="17"/>
      <c r="S5" s="16"/>
      <c r="Z5" s="16"/>
      <c r="AG5" s="16"/>
      <c r="AN5" s="16"/>
      <c r="AU5" s="1157" t="s">
        <v>4</v>
      </c>
      <c r="AV5" s="1158"/>
      <c r="AW5" s="1158"/>
      <c r="AX5" s="1158"/>
      <c r="AY5" s="1159"/>
      <c r="BA5" s="25" t="s">
        <v>5</v>
      </c>
      <c r="BJ5" s="25" t="s">
        <v>6</v>
      </c>
      <c r="BP5" s="25" t="s">
        <v>165</v>
      </c>
      <c r="BQ5" s="7"/>
      <c r="BR5" s="7"/>
      <c r="BS5" s="7"/>
      <c r="BT5" s="7"/>
      <c r="BU5" s="7" t="s">
        <v>142</v>
      </c>
      <c r="BV5" s="7"/>
      <c r="BW5" s="7"/>
      <c r="BX5" s="7"/>
      <c r="BY5" s="7"/>
      <c r="BZ5" s="7"/>
      <c r="CM5" s="25" t="s">
        <v>7</v>
      </c>
      <c r="CP5" s="388"/>
      <c r="CQ5" s="388"/>
      <c r="CR5" s="388"/>
      <c r="CS5" s="388"/>
      <c r="CT5" s="388"/>
      <c r="CU5" s="388"/>
      <c r="CV5" s="388"/>
    </row>
    <row r="6" spans="1:110">
      <c r="B6" s="26"/>
      <c r="C6" s="26"/>
      <c r="D6" s="27">
        <v>0.35</v>
      </c>
      <c r="E6" s="27">
        <v>0.35</v>
      </c>
      <c r="F6" s="27">
        <v>0.15</v>
      </c>
      <c r="G6" s="27">
        <v>0.15</v>
      </c>
      <c r="I6" s="15"/>
      <c r="M6" s="16"/>
      <c r="O6" s="17"/>
      <c r="P6" s="17"/>
      <c r="S6" s="16"/>
      <c r="Z6" s="16"/>
      <c r="AG6" s="16"/>
      <c r="AN6" s="16"/>
      <c r="AU6" s="28">
        <v>0</v>
      </c>
      <c r="AV6" s="28">
        <v>0</v>
      </c>
      <c r="AW6" s="28">
        <v>0</v>
      </c>
      <c r="AX6" s="28">
        <v>0</v>
      </c>
      <c r="AY6" s="28">
        <v>0</v>
      </c>
      <c r="AZ6" s="29"/>
      <c r="BA6" s="30">
        <f>126704869*(1-AZ8)</f>
        <v>120369625.55</v>
      </c>
      <c r="BB6" s="1" t="s">
        <v>8</v>
      </c>
      <c r="BJ6" s="284">
        <v>0.3</v>
      </c>
      <c r="BP6" s="31">
        <f>$BK$50+BA8</f>
        <v>7484354.6381958527</v>
      </c>
      <c r="BQ6" s="32"/>
      <c r="BR6" s="32"/>
      <c r="BS6" s="32"/>
      <c r="BT6" s="32"/>
      <c r="BU6" s="33">
        <v>0.3</v>
      </c>
      <c r="BV6" s="32"/>
      <c r="BW6" s="32"/>
      <c r="BX6" s="32"/>
      <c r="BY6" s="32"/>
      <c r="BZ6" s="32"/>
      <c r="CM6" s="31">
        <f>CJ50</f>
        <v>152446.22780478001</v>
      </c>
      <c r="CP6" s="388"/>
      <c r="CQ6" s="388"/>
      <c r="CR6" s="388"/>
      <c r="CS6" s="388"/>
      <c r="CT6" s="388"/>
      <c r="CU6" s="388"/>
      <c r="CV6" s="388"/>
      <c r="DB6" s="32"/>
    </row>
    <row r="7" spans="1:110">
      <c r="B7" s="26"/>
      <c r="C7" s="26"/>
      <c r="D7" s="389"/>
      <c r="E7" s="389"/>
      <c r="F7" s="389"/>
      <c r="G7" s="389"/>
      <c r="I7" s="15"/>
      <c r="M7" s="16"/>
      <c r="O7" s="17"/>
      <c r="P7" s="17"/>
      <c r="S7" s="16"/>
      <c r="Z7" s="16"/>
      <c r="AG7" s="16"/>
      <c r="AN7" s="16"/>
      <c r="AU7" s="390"/>
      <c r="AV7" s="390"/>
      <c r="AW7" s="390"/>
      <c r="AX7" s="390"/>
      <c r="AY7" s="390"/>
      <c r="AZ7" s="29"/>
      <c r="BA7" s="391"/>
      <c r="BJ7" s="392"/>
      <c r="BP7" s="393" t="s">
        <v>145</v>
      </c>
      <c r="BQ7" s="393" t="s">
        <v>144</v>
      </c>
      <c r="BR7" s="393" t="s">
        <v>166</v>
      </c>
      <c r="BT7" s="393"/>
      <c r="BU7" s="393"/>
      <c r="BV7" s="393"/>
      <c r="BW7" s="393"/>
      <c r="BX7" s="393"/>
      <c r="BY7" s="393"/>
      <c r="BZ7" s="393"/>
      <c r="CM7" s="393"/>
      <c r="CP7" s="388"/>
      <c r="CQ7" s="388"/>
      <c r="CR7" s="388"/>
      <c r="CS7" s="388"/>
      <c r="CT7" s="388"/>
      <c r="CU7" s="388"/>
      <c r="CV7" s="388"/>
    </row>
    <row r="8" spans="1:110" ht="15" customHeight="1" thickBot="1">
      <c r="A8" s="1"/>
      <c r="D8" s="34" t="s">
        <v>167</v>
      </c>
      <c r="I8" s="394" t="s">
        <v>168</v>
      </c>
      <c r="K8" s="34" t="s">
        <v>169</v>
      </c>
      <c r="AY8" s="1" t="s">
        <v>16</v>
      </c>
      <c r="AZ8" s="16">
        <v>0.05</v>
      </c>
      <c r="BA8" s="395">
        <f>126704869*AZ8</f>
        <v>6335243.4500000002</v>
      </c>
      <c r="BB8" s="1" t="s">
        <v>170</v>
      </c>
      <c r="BP8" s="16">
        <v>0.25</v>
      </c>
      <c r="BQ8" s="16">
        <v>0.25</v>
      </c>
      <c r="BR8" s="16">
        <v>0.5</v>
      </c>
      <c r="CL8" s="396"/>
      <c r="CP8" s="388"/>
      <c r="CQ8" s="388"/>
      <c r="CR8" s="388"/>
      <c r="CS8" s="388"/>
      <c r="CT8" s="388"/>
      <c r="CU8" s="388"/>
      <c r="CV8" s="388"/>
    </row>
    <row r="9" spans="1:110" s="29" customFormat="1">
      <c r="A9" s="1160" t="s">
        <v>29</v>
      </c>
      <c r="B9" s="1163" t="s">
        <v>171</v>
      </c>
      <c r="C9" s="397"/>
      <c r="D9" s="38" t="s">
        <v>10</v>
      </c>
      <c r="E9" s="39"/>
      <c r="F9" s="39"/>
      <c r="G9" s="39"/>
      <c r="H9" s="40"/>
      <c r="I9" s="398"/>
      <c r="K9" s="43" t="s">
        <v>11</v>
      </c>
      <c r="L9" s="43"/>
      <c r="M9" s="43"/>
      <c r="N9" s="43"/>
      <c r="O9" s="43"/>
      <c r="P9" s="43"/>
      <c r="Q9" s="44"/>
      <c r="R9" s="42" t="s">
        <v>12</v>
      </c>
      <c r="S9" s="43"/>
      <c r="T9" s="43"/>
      <c r="U9" s="43"/>
      <c r="V9" s="43"/>
      <c r="W9" s="43"/>
      <c r="X9" s="44"/>
      <c r="Y9" s="42" t="s">
        <v>13</v>
      </c>
      <c r="Z9" s="43"/>
      <c r="AA9" s="43"/>
      <c r="AB9" s="43"/>
      <c r="AC9" s="43"/>
      <c r="AD9" s="43"/>
      <c r="AE9" s="44"/>
      <c r="AF9" s="42" t="s">
        <v>14</v>
      </c>
      <c r="AG9" s="43"/>
      <c r="AH9" s="43"/>
      <c r="AI9" s="43"/>
      <c r="AJ9" s="43"/>
      <c r="AK9" s="43"/>
      <c r="AL9" s="44"/>
      <c r="AM9" s="42" t="s">
        <v>15</v>
      </c>
      <c r="AN9" s="43"/>
      <c r="AO9" s="43"/>
      <c r="AP9" s="43"/>
      <c r="AQ9" s="43"/>
      <c r="AR9" s="43"/>
      <c r="AS9" s="43"/>
      <c r="BA9" s="46"/>
      <c r="BB9" s="46"/>
      <c r="BC9" s="46"/>
      <c r="BD9" s="46"/>
      <c r="BE9" s="46"/>
      <c r="BH9" s="47"/>
      <c r="BI9" s="396"/>
      <c r="BP9" s="396"/>
      <c r="BQ9" s="396"/>
      <c r="BR9" s="396"/>
      <c r="BS9" s="396"/>
      <c r="BT9" s="396"/>
      <c r="BU9" s="396"/>
      <c r="BV9" s="396"/>
      <c r="BW9" s="396"/>
      <c r="BX9" s="396"/>
      <c r="BY9" s="396"/>
      <c r="BZ9" s="396"/>
      <c r="CA9" s="48"/>
      <c r="CB9" s="48"/>
      <c r="CC9" s="49"/>
      <c r="CD9" s="396"/>
      <c r="CH9" s="396"/>
      <c r="CL9" s="48" t="s">
        <v>17</v>
      </c>
      <c r="CM9" s="48"/>
      <c r="CN9" s="48"/>
      <c r="CO9" s="49"/>
      <c r="CP9" s="396"/>
      <c r="CQ9" s="396"/>
      <c r="CR9" s="399"/>
      <c r="CS9" s="396"/>
      <c r="CT9" s="396"/>
      <c r="CU9" s="396"/>
      <c r="CV9" s="396"/>
    </row>
    <row r="10" spans="1:110" s="403" customFormat="1" ht="15" thickBot="1">
      <c r="A10" s="1161"/>
      <c r="B10" s="1164"/>
      <c r="C10" s="400"/>
      <c r="D10" s="54">
        <f>D$6</f>
        <v>0.35</v>
      </c>
      <c r="E10" s="54">
        <f>E$6</f>
        <v>0.35</v>
      </c>
      <c r="F10" s="54">
        <f>F$6</f>
        <v>0.15</v>
      </c>
      <c r="G10" s="54">
        <f>G$6</f>
        <v>0.15</v>
      </c>
      <c r="H10" s="54"/>
      <c r="I10" s="401"/>
      <c r="J10" s="29"/>
      <c r="K10" s="402" t="s">
        <v>20</v>
      </c>
      <c r="L10" s="57"/>
      <c r="M10" s="57"/>
      <c r="N10" s="57"/>
      <c r="O10" s="57"/>
      <c r="P10" s="57"/>
      <c r="Q10" s="58"/>
      <c r="R10" s="56" t="s">
        <v>21</v>
      </c>
      <c r="S10" s="57"/>
      <c r="T10" s="57"/>
      <c r="U10" s="57"/>
      <c r="V10" s="57"/>
      <c r="W10" s="57"/>
      <c r="X10" s="58"/>
      <c r="Y10" s="56" t="s">
        <v>22</v>
      </c>
      <c r="Z10" s="57"/>
      <c r="AA10" s="57"/>
      <c r="AB10" s="57"/>
      <c r="AC10" s="57"/>
      <c r="AD10" s="57"/>
      <c r="AE10" s="58"/>
      <c r="AF10" s="56" t="s">
        <v>23</v>
      </c>
      <c r="AG10" s="57"/>
      <c r="AH10" s="57"/>
      <c r="AI10" s="57"/>
      <c r="AJ10" s="57"/>
      <c r="AK10" s="57"/>
      <c r="AL10" s="58"/>
      <c r="AM10" s="56" t="s">
        <v>24</v>
      </c>
      <c r="AN10" s="57"/>
      <c r="AO10" s="57"/>
      <c r="AP10" s="57"/>
      <c r="AQ10" s="57"/>
      <c r="AR10" s="57"/>
      <c r="AS10" s="57"/>
      <c r="BH10" s="404" t="s">
        <v>172</v>
      </c>
      <c r="BP10" s="404" t="s">
        <v>173</v>
      </c>
      <c r="BQ10" s="404"/>
      <c r="BR10" s="404"/>
      <c r="BS10" s="404"/>
      <c r="BT10" s="404"/>
      <c r="BU10" s="404"/>
      <c r="BV10" s="404"/>
      <c r="BW10" s="404"/>
      <c r="BX10" s="404"/>
      <c r="BY10" s="404"/>
      <c r="BZ10" s="404"/>
      <c r="CC10" s="405"/>
      <c r="CD10" s="405"/>
      <c r="CE10" s="404"/>
      <c r="CG10" s="404" t="s">
        <v>174</v>
      </c>
      <c r="CL10" s="404" t="s">
        <v>175</v>
      </c>
      <c r="CO10" s="405"/>
      <c r="CQ10" s="406"/>
      <c r="CR10" s="406"/>
      <c r="CS10" s="407" t="s">
        <v>176</v>
      </c>
    </row>
    <row r="11" spans="1:110" s="45" customFormat="1" ht="101.25" customHeight="1">
      <c r="A11" s="1162"/>
      <c r="B11" s="1165"/>
      <c r="C11" s="408"/>
      <c r="D11" s="63" t="s">
        <v>177</v>
      </c>
      <c r="E11" s="64" t="s">
        <v>178</v>
      </c>
      <c r="F11" s="64" t="s">
        <v>179</v>
      </c>
      <c r="G11" s="64" t="s">
        <v>180</v>
      </c>
      <c r="H11" s="64" t="s">
        <v>35</v>
      </c>
      <c r="I11" s="409" t="s">
        <v>36</v>
      </c>
      <c r="K11" s="410">
        <v>2021</v>
      </c>
      <c r="L11" s="66">
        <v>2022</v>
      </c>
      <c r="M11" s="66">
        <v>2023</v>
      </c>
      <c r="N11" s="66">
        <v>2024</v>
      </c>
      <c r="O11" s="67" t="s">
        <v>37</v>
      </c>
      <c r="P11" s="67" t="s">
        <v>38</v>
      </c>
      <c r="Q11" s="68" t="s">
        <v>39</v>
      </c>
      <c r="R11" s="66">
        <v>2021</v>
      </c>
      <c r="S11" s="66">
        <v>2022</v>
      </c>
      <c r="T11" s="66">
        <v>2023</v>
      </c>
      <c r="U11" s="66">
        <v>2024</v>
      </c>
      <c r="V11" s="67" t="s">
        <v>40</v>
      </c>
      <c r="W11" s="67" t="s">
        <v>41</v>
      </c>
      <c r="X11" s="68" t="s">
        <v>39</v>
      </c>
      <c r="Y11" s="66">
        <v>2021</v>
      </c>
      <c r="Z11" s="66">
        <v>2022</v>
      </c>
      <c r="AA11" s="66">
        <v>2023</v>
      </c>
      <c r="AB11" s="66">
        <v>2024</v>
      </c>
      <c r="AC11" s="67" t="s">
        <v>42</v>
      </c>
      <c r="AD11" s="67" t="s">
        <v>43</v>
      </c>
      <c r="AE11" s="68" t="s">
        <v>39</v>
      </c>
      <c r="AF11" s="66">
        <v>2021</v>
      </c>
      <c r="AG11" s="66">
        <v>2022</v>
      </c>
      <c r="AH11" s="66">
        <v>2023</v>
      </c>
      <c r="AI11" s="66">
        <v>2024</v>
      </c>
      <c r="AJ11" s="67" t="s">
        <v>44</v>
      </c>
      <c r="AK11" s="67" t="s">
        <v>45</v>
      </c>
      <c r="AL11" s="68" t="s">
        <v>39</v>
      </c>
      <c r="AM11" s="66">
        <v>2021</v>
      </c>
      <c r="AN11" s="66">
        <v>2022</v>
      </c>
      <c r="AO11" s="66">
        <v>2023</v>
      </c>
      <c r="AP11" s="66">
        <v>2024</v>
      </c>
      <c r="AQ11" s="67" t="s">
        <v>46</v>
      </c>
      <c r="AR11" s="67" t="s">
        <v>47</v>
      </c>
      <c r="AS11" s="411" t="s">
        <v>39</v>
      </c>
      <c r="AU11" s="412" t="s">
        <v>48</v>
      </c>
      <c r="AV11" s="70" t="s">
        <v>49</v>
      </c>
      <c r="AW11" s="70" t="s">
        <v>50</v>
      </c>
      <c r="AX11" s="70" t="s">
        <v>51</v>
      </c>
      <c r="AY11" s="413" t="s">
        <v>52</v>
      </c>
      <c r="BA11" s="414" t="s">
        <v>53</v>
      </c>
      <c r="BB11" s="73" t="s">
        <v>54</v>
      </c>
      <c r="BC11" s="73" t="s">
        <v>55</v>
      </c>
      <c r="BD11" s="73" t="s">
        <v>56</v>
      </c>
      <c r="BE11" s="73" t="s">
        <v>57</v>
      </c>
      <c r="BF11" s="415" t="s">
        <v>181</v>
      </c>
      <c r="BH11" s="416" t="s">
        <v>59</v>
      </c>
      <c r="BI11" s="76" t="s">
        <v>60</v>
      </c>
      <c r="BJ11" s="76" t="s">
        <v>61</v>
      </c>
      <c r="BK11" s="417" t="s">
        <v>62</v>
      </c>
      <c r="BM11" s="78" t="s">
        <v>63</v>
      </c>
      <c r="BN11" s="78" t="s">
        <v>64</v>
      </c>
      <c r="BO11" s="78" t="s">
        <v>65</v>
      </c>
      <c r="BP11" s="416" t="s">
        <v>66</v>
      </c>
      <c r="BQ11" s="79" t="s">
        <v>67</v>
      </c>
      <c r="BR11" s="79" t="s">
        <v>68</v>
      </c>
      <c r="BS11" s="79" t="s">
        <v>69</v>
      </c>
      <c r="BT11" s="79" t="s">
        <v>70</v>
      </c>
      <c r="BU11" s="79" t="s">
        <v>71</v>
      </c>
      <c r="BV11" s="80" t="s">
        <v>72</v>
      </c>
      <c r="BW11" s="80" t="s">
        <v>73</v>
      </c>
      <c r="BX11" s="79" t="s">
        <v>74</v>
      </c>
      <c r="BY11" s="79" t="s">
        <v>75</v>
      </c>
      <c r="BZ11" s="79" t="s">
        <v>76</v>
      </c>
      <c r="CA11" s="76" t="s">
        <v>80</v>
      </c>
      <c r="CB11" s="76" t="s">
        <v>77</v>
      </c>
      <c r="CC11" s="418" t="s">
        <v>182</v>
      </c>
      <c r="CD11" s="76" t="s">
        <v>183</v>
      </c>
      <c r="CE11" s="77" t="s">
        <v>79</v>
      </c>
      <c r="CG11" s="419" t="s">
        <v>59</v>
      </c>
      <c r="CH11" s="84" t="s">
        <v>60</v>
      </c>
      <c r="CI11" s="84" t="s">
        <v>61</v>
      </c>
      <c r="CJ11" s="420" t="s">
        <v>62</v>
      </c>
      <c r="CL11" s="419" t="s">
        <v>66</v>
      </c>
      <c r="CM11" s="84" t="s">
        <v>80</v>
      </c>
      <c r="CN11" s="84" t="s">
        <v>77</v>
      </c>
      <c r="CO11" s="420" t="s">
        <v>184</v>
      </c>
      <c r="CP11" s="84" t="s">
        <v>185</v>
      </c>
      <c r="CQ11" s="420" t="s">
        <v>186</v>
      </c>
      <c r="CR11" s="421"/>
      <c r="CS11" s="422" t="s">
        <v>187</v>
      </c>
      <c r="CT11" s="423" t="s">
        <v>188</v>
      </c>
      <c r="CU11" s="423" t="s">
        <v>189</v>
      </c>
      <c r="CV11" s="424" t="s">
        <v>190</v>
      </c>
      <c r="CY11" s="425" t="s">
        <v>191</v>
      </c>
      <c r="CZ11" s="426" t="s">
        <v>192</v>
      </c>
      <c r="DA11" s="426" t="s">
        <v>193</v>
      </c>
    </row>
    <row r="12" spans="1:110">
      <c r="A12" s="427" t="s">
        <v>82</v>
      </c>
      <c r="B12" s="428" t="s">
        <v>83</v>
      </c>
      <c r="C12" s="429"/>
      <c r="D12" s="91">
        <f>'Sizing - Reimb Exp-26'!B3</f>
        <v>2553471</v>
      </c>
      <c r="E12" s="92">
        <f>'Ridership-26'!$E3</f>
        <v>124617</v>
      </c>
      <c r="F12" s="92">
        <f>'Revenue Hours-26'!$E3</f>
        <v>31601</v>
      </c>
      <c r="G12" s="92">
        <f>'Revenue Miles-26'!$E3</f>
        <v>650766</v>
      </c>
      <c r="H12" s="430">
        <f t="shared" ref="H12:H49" si="0">IFERROR($D$10*(D12/D$50),0) + IFERROR($E$10*(E12/E$50),0) + IFERROR($F$10*(F12/F$50),0) + IFERROR($G$10*(G12/G$50),0)</f>
        <v>4.8842254940669322E-3</v>
      </c>
      <c r="I12" s="431">
        <f t="shared" ref="I12:I49" si="1">H12/(SUM($H$12:$H$49))</f>
        <v>4.8842254940669322E-3</v>
      </c>
      <c r="J12" s="432"/>
      <c r="K12" s="433">
        <f>'Ridership-26'!B3/'Revenue Hours-26'!B3</f>
        <v>3.0233116215289679</v>
      </c>
      <c r="L12" s="434">
        <f>'Ridership-26'!C3/'Revenue Hours-26'!C3</f>
        <v>3.1691372472531043</v>
      </c>
      <c r="M12" s="434">
        <f>'Ridership-26'!D3/'Revenue Hours-26'!D3</f>
        <v>3.6951123254401943</v>
      </c>
      <c r="N12" s="434">
        <f>'Ridership-26'!E3/'Revenue Hours-26'!E3</f>
        <v>3.9434511566089681</v>
      </c>
      <c r="O12" s="435">
        <f t="shared" ref="O12:O49" si="2">IF(K12=0,IF(L12=0,1,AVERAGE(1,(M12/L12)/($M$50/$L$50),(N12/M12)/($N$50/$M$50))), AVERAGE((L12/K12)/($L$50/$K$50),(M12/L12)/($M$50/$L$50),(N12/M12)/($N$50/$M$50)))</f>
        <v>0.93176116753380356</v>
      </c>
      <c r="P12" s="436">
        <f t="shared" ref="P12:P49" si="3">$I12*O12</f>
        <v>4.5509316488501735E-3</v>
      </c>
      <c r="Q12" s="437">
        <f t="shared" ref="Q12:Q49" si="4">P12/SUM($P$12:$P$49)</f>
        <v>4.3984451800586797E-3</v>
      </c>
      <c r="R12" s="438">
        <f>'Ridership-26'!B3/'Revenue Miles-26'!B3</f>
        <v>0.1472857600940598</v>
      </c>
      <c r="S12" s="434">
        <f>'Ridership-26'!C3/'Revenue Miles-26'!C3</f>
        <v>0.15372497942218116</v>
      </c>
      <c r="T12" s="434">
        <f>'Ridership-26'!D3/'Revenue Miles-26'!D3</f>
        <v>0.17586518789083722</v>
      </c>
      <c r="U12" s="434">
        <f>'Ridership-26'!E3/'Revenue Miles-26'!E3</f>
        <v>0.19149279464507979</v>
      </c>
      <c r="V12" s="435">
        <f t="shared" ref="V12:V49" si="5">IF(R12=0,IF(S12=0,1,AVERAGE(1,(T12/S12)/($T$50/$S$50),(U12/T12)/($U$50/$T$50))), AVERAGE((S12/R12)/($S$50/$R$50),(T12/S12)/($T$50/$S$50),(U12/T12)/($U$50/$T$50)))</f>
        <v>0.9347970958451205</v>
      </c>
      <c r="W12" s="436">
        <f t="shared" ref="W12:W49" si="6">$I12*V12</f>
        <v>4.5657598073064673E-3</v>
      </c>
      <c r="X12" s="437">
        <f t="shared" ref="X12:X49" si="7">W12/SUM($W$12:$W$49)</f>
        <v>4.4189468867397745E-3</v>
      </c>
      <c r="Y12" s="438">
        <f>'Op Cost-26'!B3/'Revenue Hours-26'!B3</f>
        <v>64.628076791223862</v>
      </c>
      <c r="Z12" s="434">
        <f>'Op Cost-26'!C3/'Revenue Hours-26'!C3</f>
        <v>74.945094597230351</v>
      </c>
      <c r="AA12" s="434">
        <f>'Op Cost-26'!D3/'Revenue Hours-26'!D3</f>
        <v>75.894444444444446</v>
      </c>
      <c r="AB12" s="434">
        <f>'Op Cost-26'!E3/'Revenue Hours-26'!E3</f>
        <v>80.803487231416725</v>
      </c>
      <c r="AC12" s="435">
        <f t="shared" ref="AC12:AC49" si="8">IF(Y12=0,IF(Z12=0,1,AVERAGE(1,(AA12/Z12)/($AA$50/$AA$50),(AB12/AA12)/($AB$50/$AA$50))), AVERAGE((Z12/Y12)/($Z$50/$Y$50),(AA12/Z12)/($AA$50/$Z$50),(AB12/AA12)/($AB$50/$AA$50)))</f>
        <v>1.0336474299505864</v>
      </c>
      <c r="AD12" s="436">
        <f t="shared" ref="AD12:AD49" si="9">$I12*(1/AC12)</f>
        <v>4.7252335298704536E-3</v>
      </c>
      <c r="AE12" s="437">
        <f t="shared" ref="AE12:AE49" si="10">AD12/SUM($AD$12:$AD$49)</f>
        <v>4.7336307396691106E-3</v>
      </c>
      <c r="AF12" s="438">
        <f>'Op Cost-26'!B3/'Revenue Miles-26'!B3</f>
        <v>3.148466517916789</v>
      </c>
      <c r="AG12" s="434">
        <f>'Op Cost-26'!C3/'Revenue Miles-26'!C3</f>
        <v>3.6353531658304137</v>
      </c>
      <c r="AH12" s="434">
        <f>'Op Cost-26'!D3/'Revenue Miles-26'!D3</f>
        <v>3.61212043276733</v>
      </c>
      <c r="AI12" s="434">
        <f>'Op Cost-26'!E3/'Revenue Miles-26'!E3</f>
        <v>3.9237928840781477</v>
      </c>
      <c r="AJ12" s="435">
        <f t="shared" ref="AJ12:AJ49" si="11">IF(AF12=0,IF(AG12=0,1,AVERAGE(1,(AH12/AG12)/($AH$50/$AG$50),(AI12/AH12)/($AI$50/$AH$50))), AVERAGE((AG12/AF12)/($AG$50/$AF$50),(AH12/AG12)/($AH$50/$AG$50),(AI12/AH12)/($AI$50/$AH$50)))</f>
        <v>1.0389409184023559</v>
      </c>
      <c r="AK12" s="436">
        <f t="shared" ref="AK12:AK49" si="12">$I12*(1/AJ12)</f>
        <v>4.7011580808442015E-3</v>
      </c>
      <c r="AL12" s="437">
        <f t="shared" ref="AL12:AL49" si="13">AK12/SUM($AK$12:$AK$49)</f>
        <v>4.7090979479455916E-3</v>
      </c>
      <c r="AM12" s="438">
        <f>'Op Cost-26'!B3/'Ridership-26'!B3</f>
        <v>21.37658464678535</v>
      </c>
      <c r="AN12" s="434">
        <f>'Op Cost-26'!C3/'Ridership-26'!C3</f>
        <v>23.64842187323698</v>
      </c>
      <c r="AO12" s="434">
        <f>'Op Cost-26'!D3/'Ridership-26'!D3</f>
        <v>20.53914408012028</v>
      </c>
      <c r="AP12" s="434">
        <f>'Op Cost-26'!E3/'Ridership-26'!E3</f>
        <v>20.490551048412335</v>
      </c>
      <c r="AQ12" s="439">
        <f t="shared" ref="AQ12:AQ49" si="14">IF(AM12=0,IF(AN12=0,1,AVERAGE(1,(AO12/AN12)/($AO$50/$AN$50),(AP12/AO12)/($AP$50/$AO$50))), AVERAGE((AN12/AM12)/($AN$50/$AM$50),(AO12/AN12)/($AO$50/$AN$50),(AP12/AO12)/($AP$50/$AO$50)))</f>
        <v>1.1261773463790854</v>
      </c>
      <c r="AR12" s="436">
        <f t="shared" ref="AR12:AR49" si="15">$I12*(1/AQ12)</f>
        <v>4.3369949766533852E-3</v>
      </c>
      <c r="AS12" s="440">
        <f t="shared" ref="AS12:AS49" si="16">AR12/SUM($AR$12:$AR$49)</f>
        <v>4.3623315681135272E-3</v>
      </c>
      <c r="AT12" s="432"/>
      <c r="AU12" s="441">
        <f t="shared" ref="AU12:AU49" si="17">Q12*AU$6</f>
        <v>0</v>
      </c>
      <c r="AV12" s="442">
        <f t="shared" ref="AV12:AV49" si="18">X12*AV$6</f>
        <v>0</v>
      </c>
      <c r="AW12" s="442">
        <f t="shared" ref="AW12:AW49" si="19">AE12*AW$6</f>
        <v>0</v>
      </c>
      <c r="AX12" s="442">
        <f t="shared" ref="AX12:AX49" si="20">AL12*AX$6</f>
        <v>0</v>
      </c>
      <c r="AY12" s="443">
        <f t="shared" ref="AY12:AY49" si="21">AS12*AY$6</f>
        <v>0</v>
      </c>
      <c r="AZ12" s="444">
        <f>(SUM(AU12:AY12)-I12)/I12</f>
        <v>-1</v>
      </c>
      <c r="BA12" s="445">
        <f t="shared" ref="BA12:BE50" si="22">AU12*$BA$6</f>
        <v>0</v>
      </c>
      <c r="BB12" s="446">
        <f t="shared" si="22"/>
        <v>0</v>
      </c>
      <c r="BC12" s="446">
        <f t="shared" si="22"/>
        <v>0</v>
      </c>
      <c r="BD12" s="446">
        <f t="shared" si="22"/>
        <v>0</v>
      </c>
      <c r="BE12" s="446">
        <f t="shared" si="22"/>
        <v>0</v>
      </c>
      <c r="BF12" s="447">
        <f>$BA$6*I12</f>
        <v>587912.39382260037</v>
      </c>
      <c r="BH12" s="448">
        <f>'Op Cost-26'!E3</f>
        <v>2553471</v>
      </c>
      <c r="BI12" s="449">
        <f t="shared" ref="BI12:BI49" si="23">BF12/BH12</f>
        <v>0.23024048200375111</v>
      </c>
      <c r="BJ12" s="450">
        <f t="shared" ref="BJ12:BJ49" si="24">IF(BF12&gt;BH12*$BJ$6,BH12*$BJ$6,BF12)</f>
        <v>587912.39382260037</v>
      </c>
      <c r="BK12" s="451">
        <f t="shared" ref="BK12:BK49" si="25">BF12-BJ12</f>
        <v>0</v>
      </c>
      <c r="BL12" s="1">
        <f>BM12*$BP$8+BN12*$BQ$8+BO12*$BR$8</f>
        <v>0.41486877332152594</v>
      </c>
      <c r="BM12" s="112">
        <f>AVERAGE(N12/$N$50,M12/$M$50,L12/$L$50)</f>
        <v>0.35081181085802204</v>
      </c>
      <c r="BN12" s="112">
        <f>AVERAGE(U12/$U$50,T12/$T$50,S12/$S$50)</f>
        <v>0.23909145637786808</v>
      </c>
      <c r="BO12" s="113">
        <f>AVERAGE((1/AP12)/(1/$AP$50), (1/AO12)/(1/$AO$50), (1/AN12)/(1/$AN$50))</f>
        <v>0.53478591302510681</v>
      </c>
      <c r="BP12" s="452">
        <f t="shared" ref="BP12:BP49" si="26">IF(OR(BK12&gt;0,BI12&gt;=$BJ$6),0,BJ12)</f>
        <v>587912.39382260037</v>
      </c>
      <c r="BQ12" s="115">
        <f>(BM12*$BP$8+BN12*$BQ$8+BO12*$BR$8)*I12</f>
        <v>2.026312639349272E-3</v>
      </c>
      <c r="BR12" s="116">
        <f>IF(BP12=0,0,BQ12)</f>
        <v>2.026312639349272E-3</v>
      </c>
      <c r="BS12" s="453">
        <f>BR12/$BR$50</f>
        <v>2.143338568814262E-3</v>
      </c>
      <c r="BT12" s="118">
        <f>$BP$6*BS12+BJ12</f>
        <v>603953.89978132944</v>
      </c>
      <c r="BU12" s="119">
        <f>BH12*$BU$6</f>
        <v>766041.29999999993</v>
      </c>
      <c r="BV12" s="119">
        <f>IF(BT12&lt;BU12,BT12, BU12)</f>
        <v>603953.89978132944</v>
      </c>
      <c r="BW12" s="119">
        <f>BT12-BV12</f>
        <v>0</v>
      </c>
      <c r="BX12" s="120">
        <f>IF(AND(BW12=0,BK12=0),BR12,0)</f>
        <v>2.026312639349272E-3</v>
      </c>
      <c r="BY12" s="454">
        <f>BX12/$BX$50</f>
        <v>2.310422444299447E-3</v>
      </c>
      <c r="BZ12" s="122">
        <f>$BW$50*BY12+BV12</f>
        <v>604611.67922059842</v>
      </c>
      <c r="CA12" s="455">
        <f t="shared" ref="CA12:CA49" si="27">BP12/$BP$50</f>
        <v>5.2223317803082505E-3</v>
      </c>
      <c r="CB12" s="456">
        <f t="shared" ref="CB12:CB49" si="28">CA12*$BP$6</f>
        <v>39085.78308214766</v>
      </c>
      <c r="CC12" s="456">
        <f t="shared" ref="CC12:CC49" si="29">(CB12+BJ12)</f>
        <v>626998.17690474808</v>
      </c>
      <c r="CD12" s="457">
        <f t="shared" ref="CD12:CD49" si="30">CC12/BH12</f>
        <v>0.24554740465223537</v>
      </c>
      <c r="CE12" s="458">
        <f t="shared" ref="CE12:CE49" si="31">IF(CC12&gt;($BJ$6*BH12),1,0)</f>
        <v>0</v>
      </c>
      <c r="CF12" s="17"/>
      <c r="CG12" s="459">
        <f t="shared" ref="CG12:CG49" si="32">BH12</f>
        <v>2553471</v>
      </c>
      <c r="CH12" s="460">
        <f>CC12/CG12</f>
        <v>0.24554740465223537</v>
      </c>
      <c r="CI12" s="461">
        <f t="shared" ref="CI12:CI49" si="33">IF(CC12&gt;BH12*$BJ$6,BH12*$BJ$6,CC12)</f>
        <v>626998.17690474808</v>
      </c>
      <c r="CJ12" s="462">
        <f t="shared" ref="CJ12:CJ50" si="34">CC12-CI12</f>
        <v>0</v>
      </c>
      <c r="CL12" s="463">
        <f t="shared" ref="CL12:CL49" si="35">IF(OR(CJ12&gt;0,CH12&gt;=$BJ$6),0,CI12)</f>
        <v>626998.17690474808</v>
      </c>
      <c r="CM12" s="464">
        <f t="shared" ref="CM12:CM50" si="36">CL12/$CL$50</f>
        <v>5.3910681969903873E-3</v>
      </c>
      <c r="CN12" s="465">
        <f t="shared" ref="CN12:CN50" si="37">CM12*$CM$6</f>
        <v>821.84801046950122</v>
      </c>
      <c r="CO12" s="466">
        <f>(CN12+CI12)</f>
        <v>627820.02491521754</v>
      </c>
      <c r="CP12" s="467">
        <f>CO12/CG12</f>
        <v>0.24586925988790065</v>
      </c>
      <c r="CQ12" s="468">
        <f t="shared" ref="CQ12:CQ49" si="38">IF(CP12&gt;$BJ$6,1,0)</f>
        <v>0</v>
      </c>
      <c r="CR12" s="469"/>
      <c r="CS12" s="470">
        <f t="shared" ref="CS12:CS49" si="39">BH12*$BJ$6</f>
        <v>766041.29999999993</v>
      </c>
      <c r="CT12" s="465">
        <f t="shared" ref="CT12:CT49" si="40">IF(CO12&gt;CS12,CO12-CS12,0)</f>
        <v>0</v>
      </c>
      <c r="CU12" s="471">
        <f t="shared" ref="CU12:CU49" si="41">CO12-CT12</f>
        <v>627820.02491521754</v>
      </c>
      <c r="CV12" s="472">
        <f t="shared" ref="CV12:CV49" si="42">CU12/CG12</f>
        <v>0.24586925988790065</v>
      </c>
      <c r="CY12" s="473">
        <v>0</v>
      </c>
      <c r="CZ12" s="474">
        <f>CU12+CY12</f>
        <v>627820.02491521754</v>
      </c>
      <c r="DA12" s="475">
        <f>CZ12/CG12</f>
        <v>0.24586925988790065</v>
      </c>
      <c r="DB12" s="1">
        <f>IF(BZ12&lt;=BH12*$BU$6, 0, 1)</f>
        <v>0</v>
      </c>
      <c r="DC12" s="293">
        <f>BZ12/BH12</f>
        <v>0.23678031950259018</v>
      </c>
      <c r="DF12" s="476"/>
    </row>
    <row r="13" spans="1:110">
      <c r="A13" s="477" t="s">
        <v>82</v>
      </c>
      <c r="B13" s="428" t="s">
        <v>84</v>
      </c>
      <c r="C13" s="429"/>
      <c r="D13" s="91">
        <f>'Sizing - Reimb Exp-26'!B4</f>
        <v>361548</v>
      </c>
      <c r="E13" s="92">
        <f>'Ridership-26'!$E4</f>
        <v>42876</v>
      </c>
      <c r="F13" s="92">
        <f>'Revenue Hours-26'!$E4</f>
        <v>7605</v>
      </c>
      <c r="G13" s="92">
        <f>'Revenue Miles-26'!$E4</f>
        <v>91473</v>
      </c>
      <c r="H13" s="478">
        <f t="shared" si="0"/>
        <v>9.5666177558571906E-4</v>
      </c>
      <c r="I13" s="431">
        <f t="shared" si="1"/>
        <v>9.5666177558571906E-4</v>
      </c>
      <c r="J13" s="432"/>
      <c r="K13" s="433">
        <f>'Ridership-26'!B4/'Revenue Hours-26'!B4</f>
        <v>3.8435006435006436</v>
      </c>
      <c r="L13" s="434">
        <f>'Ridership-26'!C4/'Revenue Hours-26'!C4</f>
        <v>4.8354101054361225</v>
      </c>
      <c r="M13" s="434">
        <f>'Ridership-26'!D4/'Revenue Hours-26'!D4</f>
        <v>5.5493279229013446</v>
      </c>
      <c r="N13" s="434">
        <f>'Ridership-26'!E4/'Revenue Hours-26'!E4</f>
        <v>5.6378698224852073</v>
      </c>
      <c r="O13" s="435">
        <f t="shared" si="2"/>
        <v>0.96523278806967661</v>
      </c>
      <c r="P13" s="436">
        <f t="shared" si="3"/>
        <v>9.2340131288829092E-4</v>
      </c>
      <c r="Q13" s="437">
        <f t="shared" si="4"/>
        <v>8.9246122933081973E-4</v>
      </c>
      <c r="R13" s="438">
        <f>'Ridership-26'!B4/'Revenue Miles-26'!B4</f>
        <v>0.31931227680003421</v>
      </c>
      <c r="S13" s="434">
        <f>'Ridership-26'!C4/'Revenue Miles-26'!C4</f>
        <v>0.41985803797543603</v>
      </c>
      <c r="T13" s="434">
        <f>'Ridership-26'!D4/'Revenue Miles-26'!D4</f>
        <v>0.46390976646560589</v>
      </c>
      <c r="U13" s="434">
        <f>'Ridership-26'!E4/'Revenue Miles-26'!E4</f>
        <v>0.46872847725558364</v>
      </c>
      <c r="V13" s="435">
        <f t="shared" si="5"/>
        <v>0.97136734783700807</v>
      </c>
      <c r="W13" s="436">
        <f t="shared" si="6"/>
        <v>9.2927001172774296E-4</v>
      </c>
      <c r="X13" s="437">
        <f t="shared" si="7"/>
        <v>8.9938914848161449E-4</v>
      </c>
      <c r="Y13" s="438">
        <f>'Op Cost-26'!B4/'Revenue Hours-26'!B4</f>
        <v>108.14491634491634</v>
      </c>
      <c r="Z13" s="434">
        <f>'Op Cost-26'!C4/'Revenue Hours-26'!C4</f>
        <v>62.039983568396551</v>
      </c>
      <c r="AA13" s="434">
        <f>'Op Cost-26'!D4/'Revenue Hours-26'!D4</f>
        <v>50.572406796855184</v>
      </c>
      <c r="AB13" s="434">
        <f>'Op Cost-26'!E4/'Revenue Hours-26'!E4</f>
        <v>47.540828402366863</v>
      </c>
      <c r="AC13" s="435">
        <f t="shared" si="8"/>
        <v>0.73994552647823897</v>
      </c>
      <c r="AD13" s="436">
        <f t="shared" si="9"/>
        <v>1.2928813559275616E-3</v>
      </c>
      <c r="AE13" s="437">
        <f t="shared" si="10"/>
        <v>1.2951789346444368E-3</v>
      </c>
      <c r="AF13" s="438">
        <f>'Op Cost-26'!B4/'Revenue Miles-26'!B4</f>
        <v>8.9845176742296253</v>
      </c>
      <c r="AG13" s="434">
        <f>'Op Cost-26'!C4/'Revenue Miles-26'!C4</f>
        <v>5.3869237994459436</v>
      </c>
      <c r="AH13" s="434">
        <f>'Op Cost-26'!D4/'Revenue Miles-26'!D4</f>
        <v>4.2277251863080787</v>
      </c>
      <c r="AI13" s="434">
        <f>'Op Cost-26'!E4/'Revenue Miles-26'!E4</f>
        <v>3.9525105768915418</v>
      </c>
      <c r="AJ13" s="435">
        <f t="shared" si="11"/>
        <v>0.74012339547458483</v>
      </c>
      <c r="AK13" s="436">
        <f t="shared" si="12"/>
        <v>1.2925706462397187E-3</v>
      </c>
      <c r="AL13" s="437">
        <f t="shared" si="13"/>
        <v>1.2947536911350006E-3</v>
      </c>
      <c r="AM13" s="438">
        <f>'Op Cost-26'!B4/'Ridership-26'!B4</f>
        <v>28.137088132869007</v>
      </c>
      <c r="AN13" s="434">
        <f>'Op Cost-26'!C4/'Ridership-26'!C4</f>
        <v>12.830345765015716</v>
      </c>
      <c r="AO13" s="434">
        <f>'Op Cost-26'!D4/'Ridership-26'!D4</f>
        <v>9.1132489374343031</v>
      </c>
      <c r="AP13" s="434">
        <f>'Op Cost-26'!E4/'Ridership-26'!E4</f>
        <v>8.4324097397145259</v>
      </c>
      <c r="AQ13" s="439">
        <f t="shared" si="14"/>
        <v>0.7687399782462182</v>
      </c>
      <c r="AR13" s="436">
        <f t="shared" si="15"/>
        <v>1.2444543053012807E-3</v>
      </c>
      <c r="AS13" s="440">
        <f t="shared" si="16"/>
        <v>1.2517243691344104E-3</v>
      </c>
      <c r="AT13" s="432"/>
      <c r="AU13" s="441">
        <f t="shared" si="17"/>
        <v>0</v>
      </c>
      <c r="AV13" s="442">
        <f t="shared" si="18"/>
        <v>0</v>
      </c>
      <c r="AW13" s="442">
        <f t="shared" si="19"/>
        <v>0</v>
      </c>
      <c r="AX13" s="442">
        <f t="shared" si="20"/>
        <v>0</v>
      </c>
      <c r="AY13" s="443">
        <f t="shared" si="21"/>
        <v>0</v>
      </c>
      <c r="AZ13" s="444">
        <f t="shared" ref="AZ13:AZ49" si="43">(SUM(AU13:AY13)-I13)/I13</f>
        <v>-1</v>
      </c>
      <c r="BA13" s="445">
        <f t="shared" si="22"/>
        <v>0</v>
      </c>
      <c r="BB13" s="446">
        <f t="shared" si="22"/>
        <v>0</v>
      </c>
      <c r="BC13" s="446">
        <f t="shared" si="22"/>
        <v>0</v>
      </c>
      <c r="BD13" s="446">
        <f t="shared" si="22"/>
        <v>0</v>
      </c>
      <c r="BE13" s="446">
        <f t="shared" si="22"/>
        <v>0</v>
      </c>
      <c r="BF13" s="447">
        <f t="shared" ref="BF13:BF49" si="44">$BA$6*I13</f>
        <v>115153.01970525114</v>
      </c>
      <c r="BH13" s="448">
        <f>'Op Cost-26'!E4</f>
        <v>361548</v>
      </c>
      <c r="BI13" s="449">
        <f t="shared" si="23"/>
        <v>0.31849994939883813</v>
      </c>
      <c r="BJ13" s="450">
        <f t="shared" si="24"/>
        <v>108464.4</v>
      </c>
      <c r="BK13" s="451">
        <f t="shared" si="25"/>
        <v>6688.6197052511416</v>
      </c>
      <c r="BL13" s="1">
        <f t="shared" ref="BL13:BL49" si="45">BM13*$BP$8+BN13*$BQ$8+BO13*$BR$8</f>
        <v>0.86893543106947613</v>
      </c>
      <c r="BM13" s="112">
        <f t="shared" ref="BM13:BM49" si="46">AVERAGE(N13/$N$50,M13/$M$50,L13/$L$50)</f>
        <v>0.52133290937243248</v>
      </c>
      <c r="BN13" s="112">
        <f t="shared" ref="BN13:BN49" si="47">AVERAGE(U13/$U$50,T13/$T$50,S13/$S$50)</f>
        <v>0.62321301891522152</v>
      </c>
      <c r="BO13" s="113">
        <f t="shared" ref="BO13:BO49" si="48">AVERAGE((1/AP13)/(1/$AP$50), (1/AO13)/(1/$AO$50), (1/AN13)/(1/$AN$50))</f>
        <v>1.1655978979951254</v>
      </c>
      <c r="BP13" s="452">
        <f t="shared" si="26"/>
        <v>0</v>
      </c>
      <c r="BQ13" s="115">
        <f t="shared" ref="BQ13:BQ49" si="49">(BM13*$BP$8+BN13*$BQ$8+BO13*$BR$8)*I13</f>
        <v>8.3127731235626721E-4</v>
      </c>
      <c r="BR13" s="116">
        <f t="shared" ref="BR13:BR49" si="50">IF(BP13=0,0,BQ13)</f>
        <v>0</v>
      </c>
      <c r="BS13" s="453">
        <f t="shared" ref="BS13:BS49" si="51">BR13/$BR$50</f>
        <v>0</v>
      </c>
      <c r="BT13" s="118">
        <f t="shared" ref="BT13:BT49" si="52">$BP$6*BS13+BJ13</f>
        <v>108464.4</v>
      </c>
      <c r="BU13" s="119">
        <f t="shared" ref="BU13:BU49" si="53">BH13*$BU$6</f>
        <v>108464.4</v>
      </c>
      <c r="BV13" s="119">
        <f t="shared" ref="BV13:BV49" si="54">IF(BT13&lt;BU13,BT13, BU13)</f>
        <v>108464.4</v>
      </c>
      <c r="BW13" s="119">
        <f>BT13-BV13</f>
        <v>0</v>
      </c>
      <c r="BX13" s="120">
        <f t="shared" ref="BX13:BX49" si="55">IF(AND(BW13=0,BK13=0),BR13,0)</f>
        <v>0</v>
      </c>
      <c r="BY13" s="454">
        <f t="shared" ref="BY13:BY49" si="56">BX13/$BX$50</f>
        <v>0</v>
      </c>
      <c r="BZ13" s="122">
        <f t="shared" ref="BZ13:BZ49" si="57">$BW$50*BY13+BV13</f>
        <v>108464.4</v>
      </c>
      <c r="CA13" s="455">
        <f t="shared" si="27"/>
        <v>0</v>
      </c>
      <c r="CB13" s="456">
        <f t="shared" si="28"/>
        <v>0</v>
      </c>
      <c r="CC13" s="456">
        <f t="shared" si="29"/>
        <v>108464.4</v>
      </c>
      <c r="CD13" s="457">
        <f t="shared" si="30"/>
        <v>0.3</v>
      </c>
      <c r="CE13" s="458">
        <f t="shared" si="31"/>
        <v>0</v>
      </c>
      <c r="CF13" s="17"/>
      <c r="CG13" s="459">
        <f t="shared" si="32"/>
        <v>361548</v>
      </c>
      <c r="CH13" s="460">
        <f t="shared" ref="CH13:CH49" si="58">CC13/CG13</f>
        <v>0.3</v>
      </c>
      <c r="CI13" s="461">
        <f t="shared" si="33"/>
        <v>108464.4</v>
      </c>
      <c r="CJ13" s="462">
        <f t="shared" si="34"/>
        <v>0</v>
      </c>
      <c r="CL13" s="463">
        <f t="shared" si="35"/>
        <v>0</v>
      </c>
      <c r="CM13" s="464">
        <f t="shared" si="36"/>
        <v>0</v>
      </c>
      <c r="CN13" s="465">
        <f t="shared" si="37"/>
        <v>0</v>
      </c>
      <c r="CO13" s="466">
        <f t="shared" ref="CO13:CO49" si="59">(CN13+CI13)</f>
        <v>108464.4</v>
      </c>
      <c r="CP13" s="467">
        <f t="shared" ref="CP13:CP49" si="60">CO13/CG13</f>
        <v>0.3</v>
      </c>
      <c r="CQ13" s="468">
        <f t="shared" si="38"/>
        <v>0</v>
      </c>
      <c r="CR13" s="469"/>
      <c r="CS13" s="470">
        <f t="shared" si="39"/>
        <v>108464.4</v>
      </c>
      <c r="CT13" s="465">
        <f t="shared" si="40"/>
        <v>0</v>
      </c>
      <c r="CU13" s="471">
        <f t="shared" si="41"/>
        <v>108464.4</v>
      </c>
      <c r="CV13" s="472">
        <f t="shared" si="42"/>
        <v>0.3</v>
      </c>
      <c r="CY13" s="473">
        <v>0</v>
      </c>
      <c r="CZ13" s="474">
        <f t="shared" ref="CZ13:CZ49" si="61">CU13+CY13</f>
        <v>108464.4</v>
      </c>
      <c r="DA13" s="475">
        <f t="shared" ref="DA13:DA49" si="62">CZ13/CG13</f>
        <v>0.3</v>
      </c>
      <c r="DB13" s="1">
        <f t="shared" ref="DB13:DB49" si="63">IF(BZ13&lt;=BH13*$BU$6, 0, 1)</f>
        <v>0</v>
      </c>
      <c r="DC13" s="293">
        <f t="shared" ref="DC13:DC49" si="64">BZ13/BH13</f>
        <v>0.3</v>
      </c>
      <c r="DF13" s="476"/>
    </row>
    <row r="14" spans="1:110">
      <c r="A14" s="477" t="s">
        <v>82</v>
      </c>
      <c r="B14" s="428" t="s">
        <v>85</v>
      </c>
      <c r="C14" s="429"/>
      <c r="D14" s="91">
        <f>'Sizing - Reimb Exp-26'!B5</f>
        <v>2998198</v>
      </c>
      <c r="E14" s="92">
        <f>'Ridership-26'!$E5</f>
        <v>177659</v>
      </c>
      <c r="F14" s="92">
        <f>'Revenue Hours-26'!$E5</f>
        <v>48302</v>
      </c>
      <c r="G14" s="92">
        <f>'Revenue Miles-26'!$E5</f>
        <v>522054</v>
      </c>
      <c r="H14" s="430">
        <f t="shared" si="0"/>
        <v>5.7501967164149655E-3</v>
      </c>
      <c r="I14" s="431">
        <f t="shared" si="1"/>
        <v>5.7501967164149655E-3</v>
      </c>
      <c r="J14" s="432"/>
      <c r="K14" s="433">
        <f>'Ridership-26'!B5/'Revenue Hours-26'!B5</f>
        <v>3.0037184124655352</v>
      </c>
      <c r="L14" s="434">
        <f>'Ridership-26'!C5/'Revenue Hours-26'!C5</f>
        <v>3.0190503841343577</v>
      </c>
      <c r="M14" s="434">
        <f>'Ridership-26'!D5/'Revenue Hours-26'!D5</f>
        <v>3.4820277878872212</v>
      </c>
      <c r="N14" s="434">
        <f>'Ridership-26'!E5/'Revenue Hours-26'!E5</f>
        <v>3.6780878638565691</v>
      </c>
      <c r="O14" s="435">
        <f t="shared" si="2"/>
        <v>0.91361537754777933</v>
      </c>
      <c r="P14" s="436">
        <f t="shared" si="3"/>
        <v>5.25346814404146E-3</v>
      </c>
      <c r="Q14" s="437">
        <f t="shared" si="4"/>
        <v>5.0774420315869073E-3</v>
      </c>
      <c r="R14" s="438">
        <f>'Ridership-26'!B5/'Revenue Miles-26'!B5</f>
        <v>0.30898734605406614</v>
      </c>
      <c r="S14" s="434">
        <f>'Ridership-26'!C5/'Revenue Miles-26'!C5</f>
        <v>0.30702858129224508</v>
      </c>
      <c r="T14" s="434">
        <f>'Ridership-26'!D5/'Revenue Miles-26'!D5</f>
        <v>0.33183650652455993</v>
      </c>
      <c r="U14" s="434">
        <f>'Ridership-26'!E5/'Revenue Miles-26'!E5</f>
        <v>0.34030770763177753</v>
      </c>
      <c r="V14" s="435">
        <f t="shared" si="5"/>
        <v>0.8841756096309652</v>
      </c>
      <c r="W14" s="436">
        <f t="shared" si="6"/>
        <v>5.0841836872341766E-3</v>
      </c>
      <c r="X14" s="437">
        <f t="shared" si="7"/>
        <v>4.9207007430315704E-3</v>
      </c>
      <c r="Y14" s="438">
        <f>'Op Cost-26'!B5/'Revenue Hours-26'!B5</f>
        <v>61.145979308425872</v>
      </c>
      <c r="Z14" s="434">
        <f>'Op Cost-26'!C5/'Revenue Hours-26'!C5</f>
        <v>58.62645167053779</v>
      </c>
      <c r="AA14" s="434">
        <f>'Op Cost-26'!D5/'Revenue Hours-26'!D5</f>
        <v>57.842499625355913</v>
      </c>
      <c r="AB14" s="434">
        <f>'Op Cost-26'!E5/'Revenue Hours-26'!E5</f>
        <v>62.071922487681668</v>
      </c>
      <c r="AC14" s="435">
        <f t="shared" si="8"/>
        <v>0.96211447539197736</v>
      </c>
      <c r="AD14" s="436">
        <f t="shared" si="9"/>
        <v>5.976624261964528E-3</v>
      </c>
      <c r="AE14" s="437">
        <f t="shared" si="10"/>
        <v>5.9872453175162177E-3</v>
      </c>
      <c r="AF14" s="438">
        <f>'Op Cost-26'!B5/'Revenue Miles-26'!B5</f>
        <v>6.2899817073329398</v>
      </c>
      <c r="AG14" s="434">
        <f>'Op Cost-26'!C5/'Revenue Miles-26'!C5</f>
        <v>5.9621384184897162</v>
      </c>
      <c r="AH14" s="434">
        <f>'Op Cost-26'!D5/'Revenue Miles-26'!D5</f>
        <v>5.5123778940238459</v>
      </c>
      <c r="AI14" s="434">
        <f>'Op Cost-26'!E5/'Revenue Miles-26'!E5</f>
        <v>5.7430802177552511</v>
      </c>
      <c r="AJ14" s="435">
        <f t="shared" si="11"/>
        <v>0.93411840641972699</v>
      </c>
      <c r="AK14" s="436">
        <f t="shared" si="12"/>
        <v>6.1557471482167033E-3</v>
      </c>
      <c r="AL14" s="437">
        <f t="shared" si="13"/>
        <v>6.166143695923906E-3</v>
      </c>
      <c r="AM14" s="438">
        <f>'Op Cost-26'!B5/'Ridership-26'!B5</f>
        <v>20.356761490913378</v>
      </c>
      <c r="AN14" s="434">
        <f>'Op Cost-26'!C5/'Ridership-26'!C5</f>
        <v>19.418838446231348</v>
      </c>
      <c r="AO14" s="434">
        <f>'Op Cost-26'!D5/'Ridership-26'!D5</f>
        <v>16.611728322953109</v>
      </c>
      <c r="AP14" s="434">
        <f>'Op Cost-26'!E5/'Ridership-26'!E5</f>
        <v>16.876139120449849</v>
      </c>
      <c r="AQ14" s="439">
        <f t="shared" si="14"/>
        <v>1.0632527411646482</v>
      </c>
      <c r="AR14" s="436">
        <f t="shared" si="15"/>
        <v>5.4081184028892419E-3</v>
      </c>
      <c r="AS14" s="440">
        <f t="shared" si="16"/>
        <v>5.4397124645101788E-3</v>
      </c>
      <c r="AT14" s="432"/>
      <c r="AU14" s="441">
        <f t="shared" si="17"/>
        <v>0</v>
      </c>
      <c r="AV14" s="442">
        <f t="shared" si="18"/>
        <v>0</v>
      </c>
      <c r="AW14" s="442">
        <f t="shared" si="19"/>
        <v>0</v>
      </c>
      <c r="AX14" s="442">
        <f t="shared" si="20"/>
        <v>0</v>
      </c>
      <c r="AY14" s="443">
        <f t="shared" si="21"/>
        <v>0</v>
      </c>
      <c r="AZ14" s="444">
        <f t="shared" si="43"/>
        <v>-1</v>
      </c>
      <c r="BA14" s="445">
        <f t="shared" si="22"/>
        <v>0</v>
      </c>
      <c r="BB14" s="446">
        <f t="shared" si="22"/>
        <v>0</v>
      </c>
      <c r="BC14" s="446">
        <f t="shared" si="22"/>
        <v>0</v>
      </c>
      <c r="BD14" s="446">
        <f t="shared" si="22"/>
        <v>0</v>
      </c>
      <c r="BE14" s="446">
        <f t="shared" si="22"/>
        <v>0</v>
      </c>
      <c r="BF14" s="447">
        <f t="shared" si="44"/>
        <v>692149.02559370897</v>
      </c>
      <c r="BH14" s="448">
        <f>'Op Cost-26'!E5</f>
        <v>2998198</v>
      </c>
      <c r="BI14" s="449">
        <f t="shared" si="23"/>
        <v>0.23085500877317275</v>
      </c>
      <c r="BJ14" s="450">
        <f t="shared" si="24"/>
        <v>692149.02559370897</v>
      </c>
      <c r="BK14" s="451">
        <f t="shared" si="25"/>
        <v>0</v>
      </c>
      <c r="BL14" s="1">
        <f t="shared" si="45"/>
        <v>0.52254630166380744</v>
      </c>
      <c r="BM14" s="112">
        <f t="shared" si="46"/>
        <v>0.33068801862424491</v>
      </c>
      <c r="BN14" s="112">
        <f t="shared" si="47"/>
        <v>0.45142219513181409</v>
      </c>
      <c r="BO14" s="113">
        <f t="shared" si="48"/>
        <v>0.65403749644958553</v>
      </c>
      <c r="BP14" s="452">
        <f t="shared" si="26"/>
        <v>692149.02559370897</v>
      </c>
      <c r="BQ14" s="115">
        <f t="shared" si="49"/>
        <v>3.0047440280020097E-3</v>
      </c>
      <c r="BR14" s="116">
        <f t="shared" si="50"/>
        <v>3.0047440280020097E-3</v>
      </c>
      <c r="BS14" s="453">
        <f t="shared" si="51"/>
        <v>3.1782774481924083E-3</v>
      </c>
      <c r="BT14" s="118">
        <f t="shared" si="52"/>
        <v>715936.38115456107</v>
      </c>
      <c r="BU14" s="119">
        <f t="shared" si="53"/>
        <v>899459.4</v>
      </c>
      <c r="BV14" s="119">
        <f t="shared" si="54"/>
        <v>715936.38115456107</v>
      </c>
      <c r="BW14" s="119">
        <f t="shared" ref="BW14:BW49" si="65">BT14-BV14</f>
        <v>0</v>
      </c>
      <c r="BX14" s="120">
        <f t="shared" si="55"/>
        <v>3.0047440280020097E-3</v>
      </c>
      <c r="BY14" s="454">
        <f t="shared" si="56"/>
        <v>3.4260399441124688E-3</v>
      </c>
      <c r="BZ14" s="122">
        <f t="shared" si="57"/>
        <v>716911.77794353862</v>
      </c>
      <c r="CA14" s="455">
        <f t="shared" si="27"/>
        <v>6.1482491116833168E-3</v>
      </c>
      <c r="CB14" s="456">
        <f t="shared" si="28"/>
        <v>46015.676755810564</v>
      </c>
      <c r="CC14" s="456">
        <f t="shared" si="29"/>
        <v>738164.70234951959</v>
      </c>
      <c r="CD14" s="457">
        <f t="shared" si="30"/>
        <v>0.24620278659031844</v>
      </c>
      <c r="CE14" s="458">
        <f t="shared" si="31"/>
        <v>0</v>
      </c>
      <c r="CF14" s="17"/>
      <c r="CG14" s="459">
        <f t="shared" si="32"/>
        <v>2998198</v>
      </c>
      <c r="CH14" s="460">
        <f t="shared" si="58"/>
        <v>0.24620278659031844</v>
      </c>
      <c r="CI14" s="461">
        <f t="shared" si="33"/>
        <v>738164.70234951959</v>
      </c>
      <c r="CJ14" s="462">
        <f t="shared" si="34"/>
        <v>0</v>
      </c>
      <c r="CL14" s="463">
        <f t="shared" si="35"/>
        <v>738164.70234951959</v>
      </c>
      <c r="CM14" s="464">
        <f t="shared" si="36"/>
        <v>6.3469024274083732E-3</v>
      </c>
      <c r="CN14" s="465">
        <f t="shared" si="37"/>
        <v>967.56133330340811</v>
      </c>
      <c r="CO14" s="466">
        <f t="shared" si="59"/>
        <v>739132.26368282305</v>
      </c>
      <c r="CP14" s="467">
        <f t="shared" si="60"/>
        <v>0.2465255008784687</v>
      </c>
      <c r="CQ14" s="468">
        <f t="shared" si="38"/>
        <v>0</v>
      </c>
      <c r="CR14" s="469"/>
      <c r="CS14" s="470">
        <f t="shared" si="39"/>
        <v>899459.4</v>
      </c>
      <c r="CT14" s="465">
        <f t="shared" si="40"/>
        <v>0</v>
      </c>
      <c r="CU14" s="471">
        <f t="shared" si="41"/>
        <v>739132.26368282305</v>
      </c>
      <c r="CV14" s="472">
        <f t="shared" si="42"/>
        <v>0.2465255008784687</v>
      </c>
      <c r="CY14" s="473">
        <v>0</v>
      </c>
      <c r="CZ14" s="474">
        <f t="shared" si="61"/>
        <v>739132.26368282305</v>
      </c>
      <c r="DA14" s="475">
        <f t="shared" si="62"/>
        <v>0.2465255008784687</v>
      </c>
      <c r="DB14" s="1">
        <f t="shared" si="63"/>
        <v>0</v>
      </c>
      <c r="DC14" s="293">
        <f t="shared" si="64"/>
        <v>0.2391142205896804</v>
      </c>
      <c r="DF14" s="476"/>
    </row>
    <row r="15" spans="1:110">
      <c r="A15" s="477" t="s">
        <v>82</v>
      </c>
      <c r="B15" s="428" t="s">
        <v>86</v>
      </c>
      <c r="C15" s="429"/>
      <c r="D15" s="91">
        <f>'Sizing - Reimb Exp-26'!B6</f>
        <v>2083701</v>
      </c>
      <c r="E15" s="92">
        <f>'Ridership-26'!$E6</f>
        <v>130896</v>
      </c>
      <c r="F15" s="92">
        <f>'Revenue Hours-26'!$E6</f>
        <v>44163</v>
      </c>
      <c r="G15" s="92">
        <f>'Revenue Miles-26'!$E6</f>
        <v>745438</v>
      </c>
      <c r="H15" s="430">
        <f t="shared" si="0"/>
        <v>5.2540604590085088E-3</v>
      </c>
      <c r="I15" s="431">
        <f t="shared" si="1"/>
        <v>5.2540604590085088E-3</v>
      </c>
      <c r="J15" s="432"/>
      <c r="K15" s="433">
        <f>'Ridership-26'!B6/'Revenue Hours-26'!B6</f>
        <v>1.3455313359222201</v>
      </c>
      <c r="L15" s="434">
        <f>'Ridership-26'!C6/'Revenue Hours-26'!C6</f>
        <v>2.5156324194636741</v>
      </c>
      <c r="M15" s="434">
        <f>'Ridership-26'!D6/'Revenue Hours-26'!D6</f>
        <v>2.7827345119658662</v>
      </c>
      <c r="N15" s="434">
        <f>'Ridership-26'!E6/'Revenue Hours-26'!E6</f>
        <v>2.9639290809048298</v>
      </c>
      <c r="O15" s="435">
        <f t="shared" si="2"/>
        <v>1.1279060361303517</v>
      </c>
      <c r="P15" s="436">
        <f t="shared" si="3"/>
        <v>5.9260865059095032E-3</v>
      </c>
      <c r="Q15" s="437">
        <f t="shared" si="4"/>
        <v>5.7275232061800132E-3</v>
      </c>
      <c r="R15" s="438">
        <f>'Ridership-26'!B6/'Revenue Miles-26'!B6</f>
        <v>8.6154544217069737E-2</v>
      </c>
      <c r="S15" s="434">
        <f>'Ridership-26'!C6/'Revenue Miles-26'!C6</f>
        <v>0.15736959607772016</v>
      </c>
      <c r="T15" s="434">
        <f>'Ridership-26'!D6/'Revenue Miles-26'!D6</f>
        <v>0.16460220997236286</v>
      </c>
      <c r="U15" s="434">
        <f>'Ridership-26'!E6/'Revenue Miles-26'!E6</f>
        <v>0.17559609249863839</v>
      </c>
      <c r="V15" s="435">
        <f t="shared" si="5"/>
        <v>1.108030754011484</v>
      </c>
      <c r="W15" s="436">
        <f t="shared" si="6"/>
        <v>5.8216605720171214E-3</v>
      </c>
      <c r="X15" s="437">
        <f t="shared" si="7"/>
        <v>5.6344639109579811E-3</v>
      </c>
      <c r="Y15" s="438">
        <f>'Op Cost-26'!B6/'Revenue Hours-26'!B6</f>
        <v>42.25856741971144</v>
      </c>
      <c r="Z15" s="434">
        <f>'Op Cost-26'!C6/'Revenue Hours-26'!C6</f>
        <v>54.154224876915002</v>
      </c>
      <c r="AA15" s="434">
        <f>'Op Cost-26'!D6/'Revenue Hours-26'!D6</f>
        <v>45.459899034704179</v>
      </c>
      <c r="AB15" s="434">
        <f>'Op Cost-26'!E6/'Revenue Hours-26'!E6</f>
        <v>48.817313135430112</v>
      </c>
      <c r="AC15" s="435">
        <f t="shared" si="8"/>
        <v>1.024095279002766</v>
      </c>
      <c r="AD15" s="436">
        <f t="shared" si="9"/>
        <v>5.1304410504897152E-3</v>
      </c>
      <c r="AE15" s="437">
        <f t="shared" si="10"/>
        <v>5.1395583543411049E-3</v>
      </c>
      <c r="AF15" s="438">
        <f>'Op Cost-26'!B6/'Revenue Miles-26'!B6</f>
        <v>2.7058214982530968</v>
      </c>
      <c r="AG15" s="434">
        <f>'Op Cost-26'!C6/'Revenue Miles-26'!C6</f>
        <v>3.3877081678725758</v>
      </c>
      <c r="AH15" s="434">
        <f>'Op Cost-26'!D6/'Revenue Miles-26'!D6</f>
        <v>2.689009610531103</v>
      </c>
      <c r="AI15" s="434">
        <f>'Op Cost-26'!E6/'Revenue Miles-26'!E6</f>
        <v>2.8921506550511245</v>
      </c>
      <c r="AJ15" s="435">
        <f t="shared" si="11"/>
        <v>1.0075978281171294</v>
      </c>
      <c r="AK15" s="436">
        <f t="shared" si="12"/>
        <v>5.2144420247775131E-3</v>
      </c>
      <c r="AL15" s="437">
        <f t="shared" si="13"/>
        <v>5.2232487859994632E-3</v>
      </c>
      <c r="AM15" s="438">
        <f>'Op Cost-26'!B6/'Ridership-26'!B6</f>
        <v>31.406602203543365</v>
      </c>
      <c r="AN15" s="434">
        <f>'Op Cost-26'!C6/'Ridership-26'!C6</f>
        <v>21.527081801744522</v>
      </c>
      <c r="AO15" s="434">
        <f>'Op Cost-26'!D6/'Ridership-26'!D6</f>
        <v>16.33641256081917</v>
      </c>
      <c r="AP15" s="434">
        <f>'Op Cost-26'!E6/'Ridership-26'!E6</f>
        <v>16.470472741718616</v>
      </c>
      <c r="AQ15" s="439">
        <f t="shared" si="14"/>
        <v>0.91200498953668374</v>
      </c>
      <c r="AR15" s="436">
        <f t="shared" si="15"/>
        <v>5.7609996867206536E-3</v>
      </c>
      <c r="AS15" s="440">
        <f t="shared" si="16"/>
        <v>5.7946552699643947E-3</v>
      </c>
      <c r="AT15" s="432"/>
      <c r="AU15" s="441">
        <f t="shared" si="17"/>
        <v>0</v>
      </c>
      <c r="AV15" s="442">
        <f t="shared" si="18"/>
        <v>0</v>
      </c>
      <c r="AW15" s="442">
        <f t="shared" si="19"/>
        <v>0</v>
      </c>
      <c r="AX15" s="442">
        <f t="shared" si="20"/>
        <v>0</v>
      </c>
      <c r="AY15" s="443">
        <f t="shared" si="21"/>
        <v>0</v>
      </c>
      <c r="AZ15" s="444">
        <f t="shared" si="43"/>
        <v>-1</v>
      </c>
      <c r="BA15" s="445">
        <f t="shared" si="22"/>
        <v>0</v>
      </c>
      <c r="BB15" s="446">
        <f t="shared" si="22"/>
        <v>0</v>
      </c>
      <c r="BC15" s="446">
        <f t="shared" si="22"/>
        <v>0</v>
      </c>
      <c r="BD15" s="446">
        <f t="shared" si="22"/>
        <v>0</v>
      </c>
      <c r="BE15" s="446">
        <f t="shared" si="22"/>
        <v>0</v>
      </c>
      <c r="BF15" s="447">
        <f t="shared" si="44"/>
        <v>632429.29006791534</v>
      </c>
      <c r="BH15" s="448">
        <f>'Op Cost-26'!E6</f>
        <v>2155919</v>
      </c>
      <c r="BI15" s="449">
        <f t="shared" si="23"/>
        <v>0.29334557099219188</v>
      </c>
      <c r="BJ15" s="450">
        <f t="shared" si="24"/>
        <v>632429.29006791534</v>
      </c>
      <c r="BK15" s="451">
        <f t="shared" si="25"/>
        <v>0</v>
      </c>
      <c r="BL15" s="1">
        <f t="shared" si="45"/>
        <v>0.44584131873491162</v>
      </c>
      <c r="BM15" s="112">
        <f t="shared" si="46"/>
        <v>0.26884588529238101</v>
      </c>
      <c r="BN15" s="112">
        <f t="shared" si="47"/>
        <v>0.22942490917864855</v>
      </c>
      <c r="BO15" s="113">
        <f t="shared" si="48"/>
        <v>0.64254724023430843</v>
      </c>
      <c r="BP15" s="452">
        <f t="shared" si="26"/>
        <v>632429.29006791534</v>
      </c>
      <c r="BQ15" s="115">
        <f t="shared" si="49"/>
        <v>2.3424772437573085E-3</v>
      </c>
      <c r="BR15" s="116">
        <f t="shared" si="50"/>
        <v>2.3424772437573085E-3</v>
      </c>
      <c r="BS15" s="453">
        <f t="shared" si="51"/>
        <v>2.4777626737437298E-3</v>
      </c>
      <c r="BT15" s="118">
        <f t="shared" si="52"/>
        <v>650973.74462749774</v>
      </c>
      <c r="BU15" s="119">
        <f t="shared" si="53"/>
        <v>646775.69999999995</v>
      </c>
      <c r="BV15" s="119">
        <f t="shared" si="54"/>
        <v>646775.69999999995</v>
      </c>
      <c r="BW15" s="119">
        <f t="shared" si="65"/>
        <v>4198.0446274977876</v>
      </c>
      <c r="BX15" s="120">
        <f t="shared" si="55"/>
        <v>0</v>
      </c>
      <c r="BY15" s="454">
        <f t="shared" si="56"/>
        <v>0</v>
      </c>
      <c r="BZ15" s="122">
        <f t="shared" si="57"/>
        <v>646775.69999999995</v>
      </c>
      <c r="CA15" s="455">
        <f t="shared" si="27"/>
        <v>5.617768250886797E-3</v>
      </c>
      <c r="CB15" s="456">
        <f t="shared" si="28"/>
        <v>42045.369864834</v>
      </c>
      <c r="CC15" s="456">
        <f t="shared" si="29"/>
        <v>674474.65993274935</v>
      </c>
      <c r="CD15" s="457">
        <f t="shared" si="30"/>
        <v>0.31284786670220416</v>
      </c>
      <c r="CE15" s="458">
        <f t="shared" si="31"/>
        <v>1</v>
      </c>
      <c r="CF15" s="17"/>
      <c r="CG15" s="459">
        <f t="shared" si="32"/>
        <v>2155919</v>
      </c>
      <c r="CH15" s="460">
        <f t="shared" si="58"/>
        <v>0.31284786670220416</v>
      </c>
      <c r="CI15" s="461">
        <f t="shared" si="33"/>
        <v>646775.69999999995</v>
      </c>
      <c r="CJ15" s="462">
        <f t="shared" si="34"/>
        <v>27698.959932749392</v>
      </c>
      <c r="CL15" s="463">
        <f t="shared" si="35"/>
        <v>0</v>
      </c>
      <c r="CM15" s="464">
        <f t="shared" si="36"/>
        <v>0</v>
      </c>
      <c r="CN15" s="465">
        <f t="shared" si="37"/>
        <v>0</v>
      </c>
      <c r="CO15" s="466">
        <f t="shared" si="59"/>
        <v>646775.69999999995</v>
      </c>
      <c r="CP15" s="467">
        <f t="shared" si="60"/>
        <v>0.3</v>
      </c>
      <c r="CQ15" s="468">
        <f t="shared" si="38"/>
        <v>0</v>
      </c>
      <c r="CR15" s="469"/>
      <c r="CS15" s="470">
        <f t="shared" si="39"/>
        <v>646775.69999999995</v>
      </c>
      <c r="CT15" s="465">
        <f t="shared" si="40"/>
        <v>0</v>
      </c>
      <c r="CU15" s="471">
        <f t="shared" si="41"/>
        <v>646775.69999999995</v>
      </c>
      <c r="CV15" s="472">
        <f t="shared" si="42"/>
        <v>0.3</v>
      </c>
      <c r="CY15" s="473">
        <v>0</v>
      </c>
      <c r="CZ15" s="474">
        <f t="shared" si="61"/>
        <v>646775.69999999995</v>
      </c>
      <c r="DA15" s="475">
        <f t="shared" si="62"/>
        <v>0.3</v>
      </c>
      <c r="DB15" s="1">
        <f t="shared" si="63"/>
        <v>0</v>
      </c>
      <c r="DC15" s="293">
        <f t="shared" si="64"/>
        <v>0.3</v>
      </c>
      <c r="DF15" s="476"/>
    </row>
    <row r="16" spans="1:110">
      <c r="A16" s="477" t="s">
        <v>82</v>
      </c>
      <c r="B16" s="428" t="s">
        <v>87</v>
      </c>
      <c r="C16" s="429"/>
      <c r="D16" s="91">
        <f>'Sizing - Reimb Exp-26'!B7</f>
        <v>447645</v>
      </c>
      <c r="E16" s="92">
        <f>'Ridership-26'!$E7</f>
        <v>33235</v>
      </c>
      <c r="F16" s="92">
        <f>'Revenue Hours-26'!$E7</f>
        <v>8168</v>
      </c>
      <c r="G16" s="92">
        <f>'Revenue Miles-26'!$E7</f>
        <v>126970</v>
      </c>
      <c r="H16" s="430">
        <f t="shared" si="0"/>
        <v>1.0447956855099765E-3</v>
      </c>
      <c r="I16" s="431">
        <f t="shared" si="1"/>
        <v>1.0447956855099765E-3</v>
      </c>
      <c r="J16" s="432"/>
      <c r="K16" s="433">
        <f>'Ridership-26'!B7/'Revenue Hours-26'!B7</f>
        <v>3.8071505958829901</v>
      </c>
      <c r="L16" s="434">
        <f>'Ridership-26'!C7/'Revenue Hours-26'!C7</f>
        <v>3.650582779796967</v>
      </c>
      <c r="M16" s="434">
        <f>'Ridership-26'!D7/'Revenue Hours-26'!D7</f>
        <v>3.815299877600979</v>
      </c>
      <c r="N16" s="434">
        <f>'Ridership-26'!E7/'Revenue Hours-26'!E7</f>
        <v>4.0689275220372183</v>
      </c>
      <c r="O16" s="435">
        <f t="shared" si="2"/>
        <v>0.87439593763301104</v>
      </c>
      <c r="P16" s="436">
        <f t="shared" si="3"/>
        <v>9.135651030664205E-4</v>
      </c>
      <c r="Q16" s="437">
        <f t="shared" si="4"/>
        <v>8.8295459793766686E-4</v>
      </c>
      <c r="R16" s="438">
        <f>'Ridership-26'!B7/'Revenue Miles-26'!B7</f>
        <v>0.2437813629741542</v>
      </c>
      <c r="S16" s="434">
        <f>'Ridership-26'!C7/'Revenue Miles-26'!C7</f>
        <v>0.22496138399752857</v>
      </c>
      <c r="T16" s="434">
        <f>'Ridership-26'!D7/'Revenue Miles-26'!D7</f>
        <v>0.23446890772737189</v>
      </c>
      <c r="U16" s="434">
        <f>'Ridership-26'!E7/'Revenue Miles-26'!E7</f>
        <v>0.2617547452154052</v>
      </c>
      <c r="V16" s="435">
        <f t="shared" si="5"/>
        <v>0.88282330624614769</v>
      </c>
      <c r="W16" s="436">
        <f t="shared" si="6"/>
        <v>9.2236998143362787E-4</v>
      </c>
      <c r="X16" s="437">
        <f t="shared" si="7"/>
        <v>8.9271099004283798E-4</v>
      </c>
      <c r="Y16" s="438">
        <f>'Op Cost-26'!B7/'Revenue Hours-26'!B7</f>
        <v>43.683519922956542</v>
      </c>
      <c r="Z16" s="434">
        <f>'Op Cost-26'!C7/'Revenue Hours-26'!C7</f>
        <v>59.664118310565236</v>
      </c>
      <c r="AA16" s="434">
        <f>'Op Cost-26'!D7/'Revenue Hours-26'!D7</f>
        <v>55.822399020807836</v>
      </c>
      <c r="AB16" s="434">
        <f>'Op Cost-26'!E7/'Revenue Hours-26'!E7</f>
        <v>54.804725759059743</v>
      </c>
      <c r="AC16" s="435">
        <f t="shared" si="8"/>
        <v>1.0516045914118244</v>
      </c>
      <c r="AD16" s="436">
        <f t="shared" si="9"/>
        <v>9.935252223531026E-4</v>
      </c>
      <c r="AE16" s="437">
        <f t="shared" si="10"/>
        <v>9.9529081545651592E-4</v>
      </c>
      <c r="AF16" s="438">
        <f>'Op Cost-26'!B7/'Revenue Miles-26'!B7</f>
        <v>2.7971649027603269</v>
      </c>
      <c r="AG16" s="434">
        <f>'Op Cost-26'!C7/'Revenue Miles-26'!C7</f>
        <v>3.6767068273092369</v>
      </c>
      <c r="AH16" s="434">
        <f>'Op Cost-26'!D7/'Revenue Miles-26'!D7</f>
        <v>3.4305604657635227</v>
      </c>
      <c r="AI16" s="434">
        <f>'Op Cost-26'!E7/'Revenue Miles-26'!E7</f>
        <v>3.5255965976214854</v>
      </c>
      <c r="AJ16" s="435">
        <f t="shared" si="11"/>
        <v>1.0555482262779829</v>
      </c>
      <c r="AK16" s="436">
        <f t="shared" si="12"/>
        <v>9.8981331169877332E-4</v>
      </c>
      <c r="AL16" s="437">
        <f t="shared" si="13"/>
        <v>9.9148502450122035E-4</v>
      </c>
      <c r="AM16" s="438">
        <f>'Op Cost-26'!B7/'Ridership-26'!B7</f>
        <v>11.474071966103839</v>
      </c>
      <c r="AN16" s="434">
        <f>'Op Cost-26'!C7/'Ridership-26'!C7</f>
        <v>16.343724251579236</v>
      </c>
      <c r="AO16" s="434">
        <f>'Op Cost-26'!D7/'Ridership-26'!D7</f>
        <v>14.631195662635141</v>
      </c>
      <c r="AP16" s="434">
        <f>'Op Cost-26'!E7/'Ridership-26'!E7</f>
        <v>13.469083797201746</v>
      </c>
      <c r="AQ16" s="439">
        <f t="shared" si="14"/>
        <v>1.2439563207545858</v>
      </c>
      <c r="AR16" s="436">
        <f t="shared" si="15"/>
        <v>8.398974048190067E-4</v>
      </c>
      <c r="AS16" s="440">
        <f t="shared" si="16"/>
        <v>8.4480405966386727E-4</v>
      </c>
      <c r="AT16" s="432"/>
      <c r="AU16" s="441">
        <f t="shared" si="17"/>
        <v>0</v>
      </c>
      <c r="AV16" s="442">
        <f t="shared" si="18"/>
        <v>0</v>
      </c>
      <c r="AW16" s="442">
        <f t="shared" si="19"/>
        <v>0</v>
      </c>
      <c r="AX16" s="442">
        <f t="shared" si="20"/>
        <v>0</v>
      </c>
      <c r="AY16" s="443">
        <f t="shared" si="21"/>
        <v>0</v>
      </c>
      <c r="AZ16" s="444">
        <f t="shared" si="43"/>
        <v>-1</v>
      </c>
      <c r="BA16" s="445">
        <f t="shared" si="22"/>
        <v>0</v>
      </c>
      <c r="BB16" s="446">
        <f t="shared" si="22"/>
        <v>0</v>
      </c>
      <c r="BC16" s="446">
        <f t="shared" si="22"/>
        <v>0</v>
      </c>
      <c r="BD16" s="446">
        <f t="shared" si="22"/>
        <v>0</v>
      </c>
      <c r="BE16" s="446">
        <f t="shared" si="22"/>
        <v>0</v>
      </c>
      <c r="BF16" s="447">
        <f t="shared" si="44"/>
        <v>125761.66544109143</v>
      </c>
      <c r="BH16" s="448">
        <f>'Op Cost-26'!E7</f>
        <v>447645</v>
      </c>
      <c r="BI16" s="449">
        <f t="shared" si="23"/>
        <v>0.2809406235769224</v>
      </c>
      <c r="BJ16" s="450">
        <f t="shared" si="24"/>
        <v>125761.66544109143</v>
      </c>
      <c r="BK16" s="451">
        <f t="shared" si="25"/>
        <v>0</v>
      </c>
      <c r="BL16" s="1">
        <f t="shared" si="45"/>
        <v>0.5666471182921925</v>
      </c>
      <c r="BM16" s="112">
        <f t="shared" si="46"/>
        <v>0.37629495053765782</v>
      </c>
      <c r="BN16" s="112">
        <f t="shared" si="47"/>
        <v>0.33204562097149509</v>
      </c>
      <c r="BO16" s="113">
        <f t="shared" si="48"/>
        <v>0.77912395082980856</v>
      </c>
      <c r="BP16" s="452">
        <f t="shared" si="26"/>
        <v>125761.66544109143</v>
      </c>
      <c r="BQ16" s="115">
        <f t="shared" si="49"/>
        <v>5.9203046439834401E-4</v>
      </c>
      <c r="BR16" s="116">
        <f t="shared" si="50"/>
        <v>5.9203046439834401E-4</v>
      </c>
      <c r="BS16" s="453">
        <f t="shared" si="51"/>
        <v>6.2622208617594654E-4</v>
      </c>
      <c r="BT16" s="118">
        <f t="shared" si="52"/>
        <v>130448.53361630306</v>
      </c>
      <c r="BU16" s="119">
        <f t="shared" si="53"/>
        <v>134293.5</v>
      </c>
      <c r="BV16" s="119">
        <f t="shared" si="54"/>
        <v>130448.53361630306</v>
      </c>
      <c r="BW16" s="119">
        <f t="shared" si="65"/>
        <v>0</v>
      </c>
      <c r="BX16" s="120">
        <f t="shared" si="55"/>
        <v>5.9203046439834401E-4</v>
      </c>
      <c r="BY16" s="454">
        <f t="shared" si="56"/>
        <v>6.7503920475678694E-4</v>
      </c>
      <c r="BZ16" s="122">
        <f t="shared" si="57"/>
        <v>130640.71791172706</v>
      </c>
      <c r="CA16" s="455">
        <f t="shared" si="27"/>
        <v>1.1171207633627169E-3</v>
      </c>
      <c r="CB16" s="456">
        <f t="shared" si="28"/>
        <v>8360.9279666986422</v>
      </c>
      <c r="CC16" s="456">
        <f t="shared" si="29"/>
        <v>134122.59340779009</v>
      </c>
      <c r="CD16" s="457">
        <f t="shared" si="30"/>
        <v>0.2996182095361058</v>
      </c>
      <c r="CE16" s="458">
        <f t="shared" si="31"/>
        <v>0</v>
      </c>
      <c r="CF16" s="17"/>
      <c r="CG16" s="459">
        <f t="shared" si="32"/>
        <v>447645</v>
      </c>
      <c r="CH16" s="460">
        <f t="shared" si="58"/>
        <v>0.2996182095361058</v>
      </c>
      <c r="CI16" s="461">
        <f t="shared" si="33"/>
        <v>134122.59340779009</v>
      </c>
      <c r="CJ16" s="462">
        <f t="shared" si="34"/>
        <v>0</v>
      </c>
      <c r="CL16" s="463">
        <f t="shared" si="35"/>
        <v>134122.59340779009</v>
      </c>
      <c r="CM16" s="464">
        <f t="shared" si="36"/>
        <v>1.1532155506226546E-3</v>
      </c>
      <c r="CN16" s="465">
        <f t="shared" si="37"/>
        <v>175.80336053823601</v>
      </c>
      <c r="CO16" s="466">
        <f t="shared" si="59"/>
        <v>134298.39676832833</v>
      </c>
      <c r="CP16" s="467">
        <f t="shared" si="60"/>
        <v>0.30001093895459197</v>
      </c>
      <c r="CQ16" s="468">
        <f t="shared" si="38"/>
        <v>1</v>
      </c>
      <c r="CR16" s="469"/>
      <c r="CS16" s="470">
        <f t="shared" si="39"/>
        <v>134293.5</v>
      </c>
      <c r="CT16" s="465">
        <f t="shared" si="40"/>
        <v>4.8967683283262886</v>
      </c>
      <c r="CU16" s="471">
        <f t="shared" si="41"/>
        <v>134293.5</v>
      </c>
      <c r="CV16" s="472">
        <f t="shared" si="42"/>
        <v>0.3</v>
      </c>
      <c r="CY16" s="473">
        <v>566</v>
      </c>
      <c r="CZ16" s="474">
        <f t="shared" si="61"/>
        <v>134859.5</v>
      </c>
      <c r="DA16" s="475">
        <f t="shared" si="62"/>
        <v>0.30126439477711131</v>
      </c>
      <c r="DB16" s="1">
        <f t="shared" si="63"/>
        <v>0</v>
      </c>
      <c r="DC16" s="293">
        <f t="shared" si="64"/>
        <v>0.29184000248350156</v>
      </c>
      <c r="DF16" s="476"/>
    </row>
    <row r="17" spans="1:110">
      <c r="A17" s="477" t="s">
        <v>88</v>
      </c>
      <c r="B17" s="428" t="s">
        <v>89</v>
      </c>
      <c r="C17" s="429"/>
      <c r="D17" s="91">
        <f>'Sizing - Reimb Exp-26'!B8</f>
        <v>14466572</v>
      </c>
      <c r="E17" s="92">
        <f>'Ridership-26'!$E8</f>
        <v>1476869</v>
      </c>
      <c r="F17" s="92">
        <f>'Revenue Hours-26'!$E8</f>
        <v>128069</v>
      </c>
      <c r="G17" s="92">
        <f>'Revenue Miles-26'!$E8</f>
        <v>1380275</v>
      </c>
      <c r="H17" s="430">
        <f t="shared" si="0"/>
        <v>2.5878783272557937E-2</v>
      </c>
      <c r="I17" s="431">
        <f t="shared" si="1"/>
        <v>2.5878783272557937E-2</v>
      </c>
      <c r="J17" s="432"/>
      <c r="K17" s="433">
        <f>'Ridership-26'!B8/'Revenue Hours-26'!B8</f>
        <v>6.5903135821469796</v>
      </c>
      <c r="L17" s="434">
        <f>'Ridership-26'!C8/'Revenue Hours-26'!C8</f>
        <v>13.15305492915798</v>
      </c>
      <c r="M17" s="434">
        <f>'Ridership-26'!D8/'Revenue Hours-26'!D8</f>
        <v>10.956321576014718</v>
      </c>
      <c r="N17" s="434">
        <f>'Ridership-26'!E8/'Revenue Hours-26'!E8</f>
        <v>11.531822689331532</v>
      </c>
      <c r="O17" s="435">
        <f t="shared" si="2"/>
        <v>1.0801586609984979</v>
      </c>
      <c r="P17" s="436">
        <f t="shared" si="3"/>
        <v>2.7953191887956506E-2</v>
      </c>
      <c r="Q17" s="437">
        <f t="shared" si="4"/>
        <v>2.7016574102558113E-2</v>
      </c>
      <c r="R17" s="438">
        <f>'Ridership-26'!B8/'Revenue Miles-26'!B8</f>
        <v>0.65665071513529727</v>
      </c>
      <c r="S17" s="434">
        <f>'Ridership-26'!C8/'Revenue Miles-26'!C8</f>
        <v>1.0437083935072138</v>
      </c>
      <c r="T17" s="434">
        <f>'Ridership-26'!D8/'Revenue Miles-26'!D8</f>
        <v>1.0015167534877283</v>
      </c>
      <c r="U17" s="434">
        <f>'Ridership-26'!E8/'Revenue Miles-26'!E8</f>
        <v>1.0699817065439858</v>
      </c>
      <c r="V17" s="435">
        <f t="shared" si="5"/>
        <v>1.0214923032337606</v>
      </c>
      <c r="W17" s="436">
        <f t="shared" si="6"/>
        <v>2.6434977929972524E-2</v>
      </c>
      <c r="X17" s="437">
        <f t="shared" si="7"/>
        <v>2.5584955922944325E-2</v>
      </c>
      <c r="Y17" s="438">
        <f>'Op Cost-26'!B8/'Revenue Hours-26'!B8</f>
        <v>123.85324163139668</v>
      </c>
      <c r="Z17" s="434">
        <f>'Op Cost-26'!C8/'Revenue Hours-26'!C8</f>
        <v>137.78897374803216</v>
      </c>
      <c r="AA17" s="434">
        <f>'Op Cost-26'!D8/'Revenue Hours-26'!D8</f>
        <v>129.86446660739594</v>
      </c>
      <c r="AB17" s="434">
        <f>'Op Cost-26'!E8/'Revenue Hours-26'!E8</f>
        <v>113.07535781492788</v>
      </c>
      <c r="AC17" s="435">
        <f t="shared" si="8"/>
        <v>0.93434210903999049</v>
      </c>
      <c r="AD17" s="436">
        <f t="shared" si="9"/>
        <v>2.7697331654192102E-2</v>
      </c>
      <c r="AE17" s="437">
        <f t="shared" si="10"/>
        <v>2.7746552566405857E-2</v>
      </c>
      <c r="AF17" s="438">
        <f>'Op Cost-26'!B8/'Revenue Miles-26'!B8</f>
        <v>12.340584203670993</v>
      </c>
      <c r="AG17" s="434">
        <f>'Op Cost-26'!C8/'Revenue Miles-26'!C8</f>
        <v>10.933696332002826</v>
      </c>
      <c r="AH17" s="434">
        <f>'Op Cost-26'!D8/'Revenue Miles-26'!D8</f>
        <v>11.870903759778434</v>
      </c>
      <c r="AI17" s="434">
        <f>'Op Cost-26'!E8/'Revenue Miles-26'!E8</f>
        <v>10.491712158808934</v>
      </c>
      <c r="AJ17" s="435">
        <f t="shared" si="11"/>
        <v>0.91149178626529148</v>
      </c>
      <c r="AK17" s="436">
        <f t="shared" si="12"/>
        <v>2.8391680169266898E-2</v>
      </c>
      <c r="AL17" s="437">
        <f t="shared" si="13"/>
        <v>2.8439631368408165E-2</v>
      </c>
      <c r="AM17" s="438">
        <f>'Op Cost-26'!B8/'Ridership-26'!B8</f>
        <v>18.793224341693318</v>
      </c>
      <c r="AN17" s="434">
        <f>'Op Cost-26'!C8/'Ridership-26'!C8</f>
        <v>10.475815275626847</v>
      </c>
      <c r="AO17" s="434">
        <f>'Op Cost-26'!D8/'Ridership-26'!D8</f>
        <v>11.852925793241749</v>
      </c>
      <c r="AP17" s="434">
        <f>'Op Cost-26'!E8/'Ridership-26'!E8</f>
        <v>9.8055061078538444</v>
      </c>
      <c r="AQ17" s="435">
        <f t="shared" si="14"/>
        <v>0.93027130136651037</v>
      </c>
      <c r="AR17" s="436">
        <f t="shared" si="15"/>
        <v>2.7818533404764419E-2</v>
      </c>
      <c r="AS17" s="440">
        <f t="shared" si="16"/>
        <v>2.7981048422579979E-2</v>
      </c>
      <c r="AT17" s="432"/>
      <c r="AU17" s="441">
        <f t="shared" si="17"/>
        <v>0</v>
      </c>
      <c r="AV17" s="442">
        <f t="shared" si="18"/>
        <v>0</v>
      </c>
      <c r="AW17" s="442">
        <f t="shared" si="19"/>
        <v>0</v>
      </c>
      <c r="AX17" s="442">
        <f t="shared" si="20"/>
        <v>0</v>
      </c>
      <c r="AY17" s="443">
        <f t="shared" si="21"/>
        <v>0</v>
      </c>
      <c r="AZ17" s="444">
        <f t="shared" si="43"/>
        <v>-1</v>
      </c>
      <c r="BA17" s="445">
        <f t="shared" si="22"/>
        <v>0</v>
      </c>
      <c r="BB17" s="446">
        <f t="shared" si="22"/>
        <v>0</v>
      </c>
      <c r="BC17" s="446">
        <f t="shared" si="22"/>
        <v>0</v>
      </c>
      <c r="BD17" s="446">
        <f t="shared" si="22"/>
        <v>0</v>
      </c>
      <c r="BE17" s="446">
        <f t="shared" si="22"/>
        <v>0</v>
      </c>
      <c r="BF17" s="447">
        <f t="shared" si="44"/>
        <v>3115019.4522074023</v>
      </c>
      <c r="BH17" s="448">
        <f>'Op Cost-26'!E8</f>
        <v>14481448</v>
      </c>
      <c r="BI17" s="449">
        <f t="shared" si="23"/>
        <v>0.21510414236251804</v>
      </c>
      <c r="BJ17" s="450">
        <f t="shared" si="24"/>
        <v>3115019.4522074023</v>
      </c>
      <c r="BK17" s="451">
        <f t="shared" si="25"/>
        <v>0</v>
      </c>
      <c r="BL17" s="1">
        <f t="shared" si="45"/>
        <v>1.1950870207477182</v>
      </c>
      <c r="BM17" s="112">
        <f t="shared" si="46"/>
        <v>1.1759810144561496</v>
      </c>
      <c r="BN17" s="112">
        <f t="shared" si="47"/>
        <v>1.4422763590963037</v>
      </c>
      <c r="BO17" s="113">
        <f t="shared" si="48"/>
        <v>1.0810453547192098</v>
      </c>
      <c r="BP17" s="452">
        <f t="shared" si="26"/>
        <v>3115019.4522074023</v>
      </c>
      <c r="BQ17" s="115">
        <f t="shared" si="49"/>
        <v>3.092739800177715E-2</v>
      </c>
      <c r="BR17" s="116">
        <f t="shared" si="50"/>
        <v>3.092739800177715E-2</v>
      </c>
      <c r="BS17" s="453">
        <f t="shared" si="51"/>
        <v>3.2713552530356675E-2</v>
      </c>
      <c r="BT17" s="118">
        <f t="shared" si="52"/>
        <v>3359859.2808198412</v>
      </c>
      <c r="BU17" s="119">
        <f t="shared" si="53"/>
        <v>4344434.3999999994</v>
      </c>
      <c r="BV17" s="119">
        <f t="shared" si="54"/>
        <v>3359859.2808198412</v>
      </c>
      <c r="BW17" s="119">
        <f t="shared" si="65"/>
        <v>0</v>
      </c>
      <c r="BX17" s="120">
        <f t="shared" si="55"/>
        <v>3.092739800177715E-2</v>
      </c>
      <c r="BY17" s="454">
        <f t="shared" si="56"/>
        <v>3.526373625643222E-2</v>
      </c>
      <c r="BZ17" s="122">
        <f t="shared" si="57"/>
        <v>3369898.8996430207</v>
      </c>
      <c r="CA17" s="455">
        <f t="shared" si="27"/>
        <v>2.7670219666180062E-2</v>
      </c>
      <c r="CB17" s="456">
        <f t="shared" si="28"/>
        <v>207093.73689847285</v>
      </c>
      <c r="CC17" s="456">
        <f t="shared" si="29"/>
        <v>3322113.1891058753</v>
      </c>
      <c r="CD17" s="457">
        <f t="shared" si="30"/>
        <v>0.22940476595336842</v>
      </c>
      <c r="CE17" s="458">
        <f t="shared" si="31"/>
        <v>0</v>
      </c>
      <c r="CF17" s="17"/>
      <c r="CG17" s="459">
        <f t="shared" si="32"/>
        <v>14481448</v>
      </c>
      <c r="CH17" s="460">
        <f t="shared" si="58"/>
        <v>0.22940476595336842</v>
      </c>
      <c r="CI17" s="461">
        <f t="shared" si="33"/>
        <v>3322113.1891058753</v>
      </c>
      <c r="CJ17" s="462">
        <f t="shared" si="34"/>
        <v>0</v>
      </c>
      <c r="CL17" s="463">
        <f t="shared" si="35"/>
        <v>3322113.1891058753</v>
      </c>
      <c r="CM17" s="464">
        <f t="shared" si="36"/>
        <v>2.856425970647088E-2</v>
      </c>
      <c r="CN17" s="465">
        <f t="shared" si="37"/>
        <v>4354.5136422875585</v>
      </c>
      <c r="CO17" s="466">
        <f t="shared" si="59"/>
        <v>3326467.7027481627</v>
      </c>
      <c r="CP17" s="467">
        <f t="shared" si="60"/>
        <v>0.22970546196403582</v>
      </c>
      <c r="CQ17" s="468">
        <f t="shared" si="38"/>
        <v>0</v>
      </c>
      <c r="CR17" s="469"/>
      <c r="CS17" s="470">
        <f t="shared" si="39"/>
        <v>4344434.3999999994</v>
      </c>
      <c r="CT17" s="465">
        <f t="shared" si="40"/>
        <v>0</v>
      </c>
      <c r="CU17" s="471">
        <f t="shared" si="41"/>
        <v>3326467.7027481627</v>
      </c>
      <c r="CV17" s="472">
        <f t="shared" si="42"/>
        <v>0.22970546196403582</v>
      </c>
      <c r="CY17" s="473">
        <v>0</v>
      </c>
      <c r="CZ17" s="474">
        <f t="shared" si="61"/>
        <v>3326467.7027481627</v>
      </c>
      <c r="DA17" s="475">
        <f t="shared" si="62"/>
        <v>0.22970546196403582</v>
      </c>
      <c r="DB17" s="1">
        <f t="shared" si="63"/>
        <v>0</v>
      </c>
      <c r="DC17" s="293">
        <f t="shared" si="64"/>
        <v>0.23270455410557153</v>
      </c>
      <c r="DF17" s="476"/>
    </row>
    <row r="18" spans="1:110">
      <c r="A18" s="477" t="s">
        <v>90</v>
      </c>
      <c r="B18" s="428" t="s">
        <v>91</v>
      </c>
      <c r="C18" s="429"/>
      <c r="D18" s="91">
        <f>'Sizing - Reimb Exp-26'!B9</f>
        <v>5072179</v>
      </c>
      <c r="E18" s="92">
        <f>'Ridership-26'!$E9</f>
        <v>332441</v>
      </c>
      <c r="F18" s="92">
        <f>'Revenue Hours-26'!$E9</f>
        <v>38032</v>
      </c>
      <c r="G18" s="92">
        <f>'Revenue Miles-26'!$E9</f>
        <v>554895</v>
      </c>
      <c r="H18" s="478">
        <f t="shared" si="0"/>
        <v>7.7926057912628393E-3</v>
      </c>
      <c r="I18" s="431">
        <f t="shared" si="1"/>
        <v>7.7926057912628393E-3</v>
      </c>
      <c r="J18" s="432"/>
      <c r="K18" s="433">
        <f>'Ridership-26'!B9/'Revenue Hours-26'!B9</f>
        <v>3.4815432129025932</v>
      </c>
      <c r="L18" s="434">
        <f>'Ridership-26'!C9/'Revenue Hours-26'!C9</f>
        <v>4.4669216251117509</v>
      </c>
      <c r="M18" s="434">
        <f>'Ridership-26'!D9/'Revenue Hours-26'!D9</f>
        <v>7.7552782335063606</v>
      </c>
      <c r="N18" s="434">
        <f>'Ridership-26'!E9/'Revenue Hours-26'!E9</f>
        <v>8.7410864535128319</v>
      </c>
      <c r="O18" s="435">
        <f t="shared" si="2"/>
        <v>1.1714187434979995</v>
      </c>
      <c r="P18" s="436">
        <f t="shared" si="3"/>
        <v>9.1284044845763492E-3</v>
      </c>
      <c r="Q18" s="437">
        <f t="shared" si="4"/>
        <v>8.8225422407641023E-3</v>
      </c>
      <c r="R18" s="438">
        <f>'Ridership-26'!B9/'Revenue Miles-26'!B9</f>
        <v>0.23255357049300571</v>
      </c>
      <c r="S18" s="434">
        <f>'Ridership-26'!C9/'Revenue Miles-26'!C9</f>
        <v>0.30066694525699961</v>
      </c>
      <c r="T18" s="434">
        <f>'Ridership-26'!D9/'Revenue Miles-26'!D9</f>
        <v>0.52558774529639718</v>
      </c>
      <c r="U18" s="434">
        <f>'Ridership-26'!E9/'Revenue Miles-26'!E9</f>
        <v>0.59910613719712735</v>
      </c>
      <c r="V18" s="435">
        <f t="shared" si="5"/>
        <v>1.1856531510578938</v>
      </c>
      <c r="W18" s="436">
        <f t="shared" si="6"/>
        <v>9.2393276113627767E-3</v>
      </c>
      <c r="X18" s="437">
        <f t="shared" si="7"/>
        <v>8.9422351825131571E-3</v>
      </c>
      <c r="Y18" s="438">
        <f>'Op Cost-26'!B9/'Revenue Hours-26'!B9</f>
        <v>97.854576204715912</v>
      </c>
      <c r="Z18" s="434">
        <f>'Op Cost-26'!C9/'Revenue Hours-26'!C9</f>
        <v>112.67122777391477</v>
      </c>
      <c r="AA18" s="434">
        <f>'Op Cost-26'!D9/'Revenue Hours-26'!D9</f>
        <v>122.86288695839272</v>
      </c>
      <c r="AB18" s="434">
        <f>'Op Cost-26'!E9/'Revenue Hours-26'!E9</f>
        <v>138.48985065208245</v>
      </c>
      <c r="AC18" s="435">
        <f t="shared" si="8"/>
        <v>1.0747196303588169</v>
      </c>
      <c r="AD18" s="436">
        <f t="shared" si="9"/>
        <v>7.2508267004121997E-3</v>
      </c>
      <c r="AE18" s="437">
        <f t="shared" si="10"/>
        <v>7.2637121403872134E-3</v>
      </c>
      <c r="AF18" s="438">
        <f>'Op Cost-26'!B9/'Revenue Miles-26'!B9</f>
        <v>6.5363057971394145</v>
      </c>
      <c r="AG18" s="434">
        <f>'Op Cost-26'!C9/'Revenue Miles-26'!C9</f>
        <v>7.5838612620142083</v>
      </c>
      <c r="AH18" s="434">
        <f>'Op Cost-26'!D9/'Revenue Miles-26'!D9</f>
        <v>8.3266165046243135</v>
      </c>
      <c r="AI18" s="434">
        <f>'Op Cost-26'!E9/'Revenue Miles-26'!E9</f>
        <v>9.4919687508447552</v>
      </c>
      <c r="AJ18" s="435">
        <f t="shared" si="11"/>
        <v>1.0897309117503498</v>
      </c>
      <c r="AK18" s="436">
        <f t="shared" si="12"/>
        <v>7.1509449784682936E-3</v>
      </c>
      <c r="AL18" s="437">
        <f t="shared" si="13"/>
        <v>7.1630223329843517E-3</v>
      </c>
      <c r="AM18" s="438">
        <f>'Op Cost-26'!B9/'Ridership-26'!B9</f>
        <v>28.106667136018022</v>
      </c>
      <c r="AN18" s="434">
        <f>'Op Cost-26'!C9/'Ridership-26'!C9</f>
        <v>25.223461978940815</v>
      </c>
      <c r="AO18" s="434">
        <f>'Op Cost-26'!D9/'Ridership-26'!D9</f>
        <v>15.842486015210735</v>
      </c>
      <c r="AP18" s="434">
        <f>'Op Cost-26'!E9/'Ridership-26'!E9</f>
        <v>15.843551186526332</v>
      </c>
      <c r="AQ18" s="439">
        <f t="shared" si="14"/>
        <v>0.95162230758164368</v>
      </c>
      <c r="AR18" s="436">
        <f t="shared" si="15"/>
        <v>8.1887590582719501E-3</v>
      </c>
      <c r="AS18" s="440">
        <f t="shared" si="16"/>
        <v>8.236597537205367E-3</v>
      </c>
      <c r="AT18" s="432"/>
      <c r="AU18" s="441">
        <f t="shared" si="17"/>
        <v>0</v>
      </c>
      <c r="AV18" s="442">
        <f t="shared" si="18"/>
        <v>0</v>
      </c>
      <c r="AW18" s="442">
        <f t="shared" si="19"/>
        <v>0</v>
      </c>
      <c r="AX18" s="442">
        <f t="shared" si="20"/>
        <v>0</v>
      </c>
      <c r="AY18" s="443">
        <f t="shared" si="21"/>
        <v>0</v>
      </c>
      <c r="AZ18" s="444">
        <f t="shared" si="43"/>
        <v>-1</v>
      </c>
      <c r="BA18" s="445">
        <f t="shared" si="22"/>
        <v>0</v>
      </c>
      <c r="BB18" s="446">
        <f t="shared" si="22"/>
        <v>0</v>
      </c>
      <c r="BC18" s="446">
        <f t="shared" si="22"/>
        <v>0</v>
      </c>
      <c r="BD18" s="446">
        <f t="shared" si="22"/>
        <v>0</v>
      </c>
      <c r="BE18" s="446">
        <f t="shared" si="22"/>
        <v>0</v>
      </c>
      <c r="BF18" s="447">
        <f t="shared" si="44"/>
        <v>937993.04115306935</v>
      </c>
      <c r="BH18" s="448">
        <f>'Op Cost-26'!E9</f>
        <v>5267046</v>
      </c>
      <c r="BI18" s="449">
        <f t="shared" si="23"/>
        <v>0.17808711774172264</v>
      </c>
      <c r="BJ18" s="450">
        <f t="shared" si="24"/>
        <v>937993.04115306935</v>
      </c>
      <c r="BK18" s="451">
        <f t="shared" si="25"/>
        <v>0</v>
      </c>
      <c r="BL18" s="1">
        <f t="shared" si="45"/>
        <v>0.64275335162776781</v>
      </c>
      <c r="BM18" s="112">
        <f t="shared" si="46"/>
        <v>0.66821822513490536</v>
      </c>
      <c r="BN18" s="112">
        <f t="shared" si="47"/>
        <v>0.64149805496375178</v>
      </c>
      <c r="BO18" s="113">
        <f t="shared" si="48"/>
        <v>0.6306485632062071</v>
      </c>
      <c r="BP18" s="452">
        <f t="shared" si="26"/>
        <v>937993.04115306935</v>
      </c>
      <c r="BQ18" s="115">
        <f t="shared" si="49"/>
        <v>5.0087234902481438E-3</v>
      </c>
      <c r="BR18" s="116">
        <f t="shared" si="50"/>
        <v>5.0087234902481438E-3</v>
      </c>
      <c r="BS18" s="453">
        <f t="shared" si="51"/>
        <v>5.297993028668263E-3</v>
      </c>
      <c r="BT18" s="118">
        <f t="shared" si="52"/>
        <v>977645.09985031199</v>
      </c>
      <c r="BU18" s="119">
        <f t="shared" si="53"/>
        <v>1580113.8</v>
      </c>
      <c r="BV18" s="119">
        <f t="shared" si="54"/>
        <v>977645.09985031199</v>
      </c>
      <c r="BW18" s="119">
        <f t="shared" si="65"/>
        <v>0</v>
      </c>
      <c r="BX18" s="120">
        <f t="shared" si="55"/>
        <v>5.0087234902481438E-3</v>
      </c>
      <c r="BY18" s="454">
        <f t="shared" si="56"/>
        <v>5.7109978709284862E-3</v>
      </c>
      <c r="BZ18" s="122">
        <f t="shared" si="57"/>
        <v>979271.02630652103</v>
      </c>
      <c r="CA18" s="455">
        <f t="shared" si="27"/>
        <v>8.3320421885845798E-3</v>
      </c>
      <c r="CB18" s="456">
        <f t="shared" si="28"/>
        <v>62359.958599776524</v>
      </c>
      <c r="CC18" s="456">
        <f t="shared" si="29"/>
        <v>1000352.9997528458</v>
      </c>
      <c r="CD18" s="457">
        <f t="shared" si="30"/>
        <v>0.18992676345580536</v>
      </c>
      <c r="CE18" s="458">
        <f t="shared" si="31"/>
        <v>0</v>
      </c>
      <c r="CF18" s="17"/>
      <c r="CG18" s="459">
        <f t="shared" si="32"/>
        <v>5267046</v>
      </c>
      <c r="CH18" s="460">
        <f t="shared" si="58"/>
        <v>0.18992676345580536</v>
      </c>
      <c r="CI18" s="461">
        <f t="shared" si="33"/>
        <v>1000352.9997528458</v>
      </c>
      <c r="CJ18" s="462">
        <f t="shared" si="34"/>
        <v>0</v>
      </c>
      <c r="CL18" s="463">
        <f t="shared" si="35"/>
        <v>1000352.9997528458</v>
      </c>
      <c r="CM18" s="464">
        <f t="shared" si="36"/>
        <v>8.6012550616248219E-3</v>
      </c>
      <c r="CN18" s="465">
        <f t="shared" si="37"/>
        <v>1311.2288885314747</v>
      </c>
      <c r="CO18" s="466">
        <f t="shared" si="59"/>
        <v>1001664.2286413773</v>
      </c>
      <c r="CP18" s="467">
        <f t="shared" si="60"/>
        <v>0.19017571303561376</v>
      </c>
      <c r="CQ18" s="468">
        <f t="shared" si="38"/>
        <v>0</v>
      </c>
      <c r="CR18" s="469"/>
      <c r="CS18" s="470">
        <f t="shared" si="39"/>
        <v>1580113.8</v>
      </c>
      <c r="CT18" s="465">
        <f t="shared" si="40"/>
        <v>0</v>
      </c>
      <c r="CU18" s="471">
        <f t="shared" si="41"/>
        <v>1001664.2286413773</v>
      </c>
      <c r="CV18" s="472">
        <f t="shared" si="42"/>
        <v>0.19017571303561376</v>
      </c>
      <c r="CY18" s="473">
        <v>0</v>
      </c>
      <c r="CZ18" s="474">
        <f t="shared" si="61"/>
        <v>1001664.2286413773</v>
      </c>
      <c r="DA18" s="475">
        <f t="shared" si="62"/>
        <v>0.19017571303561376</v>
      </c>
      <c r="DB18" s="1">
        <f t="shared" si="63"/>
        <v>0</v>
      </c>
      <c r="DC18" s="293">
        <f t="shared" si="64"/>
        <v>0.18592414539506985</v>
      </c>
      <c r="DF18" s="476"/>
    </row>
    <row r="19" spans="1:110">
      <c r="A19" s="477" t="s">
        <v>92</v>
      </c>
      <c r="B19" s="428" t="s">
        <v>93</v>
      </c>
      <c r="C19" s="429"/>
      <c r="D19" s="91">
        <f>'Sizing - Reimb Exp-26'!B10</f>
        <v>2126888</v>
      </c>
      <c r="E19" s="92">
        <f>'Ridership-26'!$E10</f>
        <v>77878</v>
      </c>
      <c r="F19" s="92">
        <f>'Revenue Hours-26'!$E10</f>
        <v>24727.8</v>
      </c>
      <c r="G19" s="92">
        <f>'Revenue Miles-26'!$E10</f>
        <v>463883</v>
      </c>
      <c r="H19" s="478">
        <f t="shared" si="0"/>
        <v>3.668720479145409E-3</v>
      </c>
      <c r="I19" s="431">
        <f t="shared" si="1"/>
        <v>3.668720479145409E-3</v>
      </c>
      <c r="J19" s="432"/>
      <c r="K19" s="433">
        <f>'Ridership-26'!B10/'Revenue Hours-26'!B10</f>
        <v>5.361326293975428</v>
      </c>
      <c r="L19" s="434">
        <f>'Ridership-26'!C10/'Revenue Hours-26'!C10</f>
        <v>3.4816356739753909</v>
      </c>
      <c r="M19" s="434">
        <f>'Ridership-26'!D10/'Revenue Hours-26'!D10</f>
        <v>3.3501561802766622</v>
      </c>
      <c r="N19" s="434">
        <f>'Ridership-26'!E10/'Revenue Hours-26'!E10</f>
        <v>3.1494107846229751</v>
      </c>
      <c r="O19" s="435">
        <f t="shared" si="2"/>
        <v>0.73134212552263556</v>
      </c>
      <c r="P19" s="436">
        <f t="shared" si="3"/>
        <v>2.6830898331666251E-3</v>
      </c>
      <c r="Q19" s="437">
        <f t="shared" si="4"/>
        <v>2.5931884842388055E-3</v>
      </c>
      <c r="R19" s="438">
        <f>'Ridership-26'!B10/'Revenue Miles-26'!B10</f>
        <v>0.29459705668644059</v>
      </c>
      <c r="S19" s="434">
        <f>'Ridership-26'!C10/'Revenue Miles-26'!C10</f>
        <v>0.18135424146189841</v>
      </c>
      <c r="T19" s="434">
        <f>'Ridership-26'!D10/'Revenue Miles-26'!D10</f>
        <v>0.16980829081171064</v>
      </c>
      <c r="U19" s="434">
        <f>'Ridership-26'!E10/'Revenue Miles-26'!E10</f>
        <v>0.16788284977030846</v>
      </c>
      <c r="V19" s="435">
        <f t="shared" si="5"/>
        <v>0.73210443369450051</v>
      </c>
      <c r="W19" s="436">
        <f t="shared" si="6"/>
        <v>2.6858865287681661E-3</v>
      </c>
      <c r="X19" s="437">
        <f t="shared" si="7"/>
        <v>2.5995213097813582E-3</v>
      </c>
      <c r="Y19" s="438">
        <f>'Op Cost-26'!B10/'Revenue Hours-26'!B10</f>
        <v>71.305225243005879</v>
      </c>
      <c r="Z19" s="434">
        <f>'Op Cost-26'!C10/'Revenue Hours-26'!C10</f>
        <v>79.874363955962622</v>
      </c>
      <c r="AA19" s="434">
        <f>'Op Cost-26'!D10/'Revenue Hours-26'!D10</f>
        <v>87.91722445336903</v>
      </c>
      <c r="AB19" s="434">
        <f>'Op Cost-26'!E10/'Revenue Hours-26'!E10</f>
        <v>86.01201886136252</v>
      </c>
      <c r="AC19" s="435">
        <f t="shared" si="8"/>
        <v>1.0196484156589218</v>
      </c>
      <c r="AD19" s="436">
        <f t="shared" si="9"/>
        <v>3.5980249886178577E-3</v>
      </c>
      <c r="AE19" s="437">
        <f t="shared" si="10"/>
        <v>3.6044190367636778E-3</v>
      </c>
      <c r="AF19" s="438">
        <f>'Op Cost-26'!B10/'Revenue Miles-26'!B10</f>
        <v>3.9181180795800845</v>
      </c>
      <c r="AG19" s="434">
        <f>'Op Cost-26'!C10/'Revenue Miles-26'!C10</f>
        <v>4.1605601630756928</v>
      </c>
      <c r="AH19" s="434">
        <f>'Op Cost-26'!D10/'Revenue Miles-26'!D10</f>
        <v>4.456232131871313</v>
      </c>
      <c r="AI19" s="434">
        <f>'Op Cost-26'!E10/'Revenue Miles-26'!E10</f>
        <v>4.5849664678377957</v>
      </c>
      <c r="AJ19" s="435">
        <f t="shared" si="11"/>
        <v>1.0128076498369882</v>
      </c>
      <c r="AK19" s="436">
        <f t="shared" si="12"/>
        <v>3.6223269835450899E-3</v>
      </c>
      <c r="AL19" s="437">
        <f t="shared" si="13"/>
        <v>3.6284447941680336E-3</v>
      </c>
      <c r="AM19" s="438">
        <f>'Op Cost-26'!B10/'Ridership-26'!B10</f>
        <v>13.299922693220932</v>
      </c>
      <c r="AN19" s="434">
        <f>'Op Cost-26'!C10/'Ridership-26'!C10</f>
        <v>22.941620386363031</v>
      </c>
      <c r="AO19" s="434">
        <f>'Op Cost-26'!D10/'Ridership-26'!D10</f>
        <v>26.242724136553139</v>
      </c>
      <c r="AP19" s="434">
        <f>'Op Cost-26'!E10/'Ridership-26'!E10</f>
        <v>27.310511312565808</v>
      </c>
      <c r="AQ19" s="439">
        <f t="shared" si="14"/>
        <v>1.5025184960180014</v>
      </c>
      <c r="AR19" s="436">
        <f t="shared" si="15"/>
        <v>2.4417140214036039E-3</v>
      </c>
      <c r="AS19" s="440">
        <f t="shared" si="16"/>
        <v>2.4559784397291565E-3</v>
      </c>
      <c r="AT19" s="432"/>
      <c r="AU19" s="441">
        <f t="shared" si="17"/>
        <v>0</v>
      </c>
      <c r="AV19" s="442">
        <f t="shared" si="18"/>
        <v>0</v>
      </c>
      <c r="AW19" s="442">
        <f t="shared" si="19"/>
        <v>0</v>
      </c>
      <c r="AX19" s="442">
        <f t="shared" si="20"/>
        <v>0</v>
      </c>
      <c r="AY19" s="443">
        <f t="shared" si="21"/>
        <v>0</v>
      </c>
      <c r="AZ19" s="444">
        <f t="shared" si="43"/>
        <v>-1</v>
      </c>
      <c r="BA19" s="445">
        <f t="shared" si="22"/>
        <v>0</v>
      </c>
      <c r="BB19" s="446">
        <f t="shared" si="22"/>
        <v>0</v>
      </c>
      <c r="BC19" s="446">
        <f t="shared" si="22"/>
        <v>0</v>
      </c>
      <c r="BD19" s="446">
        <f t="shared" si="22"/>
        <v>0</v>
      </c>
      <c r="BE19" s="446">
        <f t="shared" si="22"/>
        <v>0</v>
      </c>
      <c r="BF19" s="447">
        <f t="shared" si="44"/>
        <v>441602.51032234944</v>
      </c>
      <c r="BH19" s="448">
        <f>'Op Cost-26'!E10</f>
        <v>2126888</v>
      </c>
      <c r="BI19" s="449">
        <f t="shared" si="23"/>
        <v>0.20762847424140313</v>
      </c>
      <c r="BJ19" s="450">
        <f t="shared" si="24"/>
        <v>441602.51032234944</v>
      </c>
      <c r="BK19" s="451">
        <f t="shared" si="25"/>
        <v>0</v>
      </c>
      <c r="BL19" s="1">
        <f t="shared" si="45"/>
        <v>0.37025923160253738</v>
      </c>
      <c r="BM19" s="112">
        <f t="shared" si="46"/>
        <v>0.32830147473350396</v>
      </c>
      <c r="BN19" s="112">
        <f t="shared" si="47"/>
        <v>0.24125917618839562</v>
      </c>
      <c r="BO19" s="113">
        <f t="shared" si="48"/>
        <v>0.45573813774412503</v>
      </c>
      <c r="BP19" s="452">
        <f t="shared" si="26"/>
        <v>441602.51032234944</v>
      </c>
      <c r="BQ19" s="115">
        <f t="shared" si="49"/>
        <v>1.358377625572872E-3</v>
      </c>
      <c r="BR19" s="116">
        <f t="shared" si="50"/>
        <v>1.358377625572872E-3</v>
      </c>
      <c r="BS19" s="453">
        <f t="shared" si="51"/>
        <v>1.4368282067468419E-3</v>
      </c>
      <c r="BT19" s="118">
        <f t="shared" si="52"/>
        <v>452356.24217580579</v>
      </c>
      <c r="BU19" s="119">
        <f t="shared" si="53"/>
        <v>638066.4</v>
      </c>
      <c r="BV19" s="119">
        <f t="shared" si="54"/>
        <v>452356.24217580579</v>
      </c>
      <c r="BW19" s="119">
        <f t="shared" si="65"/>
        <v>0</v>
      </c>
      <c r="BX19" s="120">
        <f t="shared" si="55"/>
        <v>1.358377625572872E-3</v>
      </c>
      <c r="BY19" s="454">
        <f t="shared" si="56"/>
        <v>1.5488360941999675E-3</v>
      </c>
      <c r="BZ19" s="122">
        <f t="shared" si="57"/>
        <v>452797.19726610801</v>
      </c>
      <c r="CA19" s="455">
        <f t="shared" si="27"/>
        <v>3.9226844818246688E-3</v>
      </c>
      <c r="CB19" s="456">
        <f t="shared" si="28"/>
        <v>29358.761795723356</v>
      </c>
      <c r="CC19" s="456">
        <f t="shared" si="29"/>
        <v>470961.27211807278</v>
      </c>
      <c r="CD19" s="457">
        <f t="shared" si="30"/>
        <v>0.22143209803152436</v>
      </c>
      <c r="CE19" s="458">
        <f t="shared" si="31"/>
        <v>0</v>
      </c>
      <c r="CF19" s="17"/>
      <c r="CG19" s="459">
        <f t="shared" si="32"/>
        <v>2126888</v>
      </c>
      <c r="CH19" s="460">
        <f t="shared" si="58"/>
        <v>0.22143209803152436</v>
      </c>
      <c r="CI19" s="461">
        <f t="shared" si="33"/>
        <v>470961.27211807278</v>
      </c>
      <c r="CJ19" s="462">
        <f t="shared" si="34"/>
        <v>0</v>
      </c>
      <c r="CL19" s="463">
        <f t="shared" si="35"/>
        <v>470961.27211807278</v>
      </c>
      <c r="CM19" s="464">
        <f t="shared" si="36"/>
        <v>4.0494285783475147E-3</v>
      </c>
      <c r="CN19" s="465">
        <f t="shared" si="37"/>
        <v>617.32011153395172</v>
      </c>
      <c r="CO19" s="466">
        <f t="shared" si="59"/>
        <v>471578.59222960676</v>
      </c>
      <c r="CP19" s="467">
        <f t="shared" si="60"/>
        <v>0.22172234373864855</v>
      </c>
      <c r="CQ19" s="468">
        <f t="shared" si="38"/>
        <v>0</v>
      </c>
      <c r="CR19" s="469"/>
      <c r="CS19" s="470">
        <f t="shared" si="39"/>
        <v>638066.4</v>
      </c>
      <c r="CT19" s="465">
        <f t="shared" si="40"/>
        <v>0</v>
      </c>
      <c r="CU19" s="471">
        <f t="shared" si="41"/>
        <v>471578.59222960676</v>
      </c>
      <c r="CV19" s="472">
        <f t="shared" si="42"/>
        <v>0.22172234373864855</v>
      </c>
      <c r="CY19" s="473">
        <v>0</v>
      </c>
      <c r="CZ19" s="474">
        <f t="shared" si="61"/>
        <v>471578.59222960676</v>
      </c>
      <c r="DA19" s="475">
        <f t="shared" si="62"/>
        <v>0.22172234373864855</v>
      </c>
      <c r="DB19" s="1">
        <f t="shared" si="63"/>
        <v>0</v>
      </c>
      <c r="DC19" s="293">
        <f t="shared" si="64"/>
        <v>0.21289188582854762</v>
      </c>
      <c r="DF19" s="476"/>
    </row>
    <row r="20" spans="1:110">
      <c r="A20" s="477" t="s">
        <v>92</v>
      </c>
      <c r="B20" s="428" t="s">
        <v>94</v>
      </c>
      <c r="C20" s="429"/>
      <c r="D20" s="91">
        <f>'Sizing - Reimb Exp-26'!B11</f>
        <v>225862</v>
      </c>
      <c r="E20" s="92">
        <f>'Ridership-26'!$E11</f>
        <v>11821</v>
      </c>
      <c r="F20" s="92">
        <f>'Revenue Hours-26'!$E11</f>
        <v>2826</v>
      </c>
      <c r="G20" s="92">
        <f>'Revenue Miles-26'!$E11</f>
        <v>53914</v>
      </c>
      <c r="H20" s="478">
        <f t="shared" si="0"/>
        <v>4.299833411547236E-4</v>
      </c>
      <c r="I20" s="431">
        <f t="shared" si="1"/>
        <v>4.299833411547236E-4</v>
      </c>
      <c r="J20" s="432"/>
      <c r="K20" s="433">
        <f>'Ridership-26'!B11/'Revenue Hours-26'!B11</f>
        <v>1.3415032679738561</v>
      </c>
      <c r="L20" s="434">
        <f>'Ridership-26'!C11/'Revenue Hours-26'!C11</f>
        <v>1.759546925566343</v>
      </c>
      <c r="M20" s="434">
        <f>'Ridership-26'!D11/'Revenue Hours-26'!D11</f>
        <v>3.4945302445302446</v>
      </c>
      <c r="N20" s="434">
        <f>'Ridership-26'!E11/'Revenue Hours-26'!E11</f>
        <v>4.1829440905874025</v>
      </c>
      <c r="O20" s="435">
        <f t="shared" si="2"/>
        <v>1.2707041716788596</v>
      </c>
      <c r="P20" s="436">
        <f t="shared" si="3"/>
        <v>5.4638162535772152E-4</v>
      </c>
      <c r="Q20" s="437">
        <f t="shared" si="4"/>
        <v>5.280742080875883E-4</v>
      </c>
      <c r="R20" s="438">
        <f>'Ridership-26'!B11/'Revenue Miles-26'!B11</f>
        <v>8.4451119157340354E-2</v>
      </c>
      <c r="S20" s="434">
        <f>'Ridership-26'!C11/'Revenue Miles-26'!C11</f>
        <v>0.10382691059084138</v>
      </c>
      <c r="T20" s="434">
        <f>'Ridership-26'!D11/'Revenue Miles-26'!D11</f>
        <v>0.19750504628030041</v>
      </c>
      <c r="U20" s="434">
        <f>'Ridership-26'!E11/'Revenue Miles-26'!E11</f>
        <v>0.21925659383462551</v>
      </c>
      <c r="V20" s="435">
        <f t="shared" si="5"/>
        <v>1.2027212402786347</v>
      </c>
      <c r="W20" s="436">
        <f t="shared" si="6"/>
        <v>5.1715009737276043E-4</v>
      </c>
      <c r="X20" s="437">
        <f t="shared" si="7"/>
        <v>5.0052103246988385E-4</v>
      </c>
      <c r="Y20" s="438">
        <f>'Op Cost-26'!B11/'Revenue Hours-26'!B11</f>
        <v>49.306209150326801</v>
      </c>
      <c r="Z20" s="434">
        <f>'Op Cost-26'!C11/'Revenue Hours-26'!C11</f>
        <v>54.219417475728157</v>
      </c>
      <c r="AA20" s="434">
        <f>'Op Cost-26'!D11/'Revenue Hours-26'!D11</f>
        <v>62.816602316602314</v>
      </c>
      <c r="AB20" s="434">
        <f>'Op Cost-26'!E11/'Revenue Hours-26'!E11</f>
        <v>79.922859164897375</v>
      </c>
      <c r="AC20" s="435">
        <f t="shared" si="8"/>
        <v>1.1250369583058519</v>
      </c>
      <c r="AD20" s="436">
        <f t="shared" si="9"/>
        <v>3.8219485856021856E-4</v>
      </c>
      <c r="AE20" s="437">
        <f t="shared" si="10"/>
        <v>3.8287405682439117E-4</v>
      </c>
      <c r="AF20" s="438">
        <f>'Op Cost-26'!B11/'Revenue Miles-26'!B11</f>
        <v>3.103954081632653</v>
      </c>
      <c r="AG20" s="434">
        <f>'Op Cost-26'!C11/'Revenue Miles-26'!C11</f>
        <v>3.1993660008402398</v>
      </c>
      <c r="AH20" s="434">
        <f>'Op Cost-26'!D11/'Revenue Miles-26'!D11</f>
        <v>3.5502900474623118</v>
      </c>
      <c r="AI20" s="434">
        <f>'Op Cost-26'!E11/'Revenue Miles-26'!E11</f>
        <v>4.1893014801350299</v>
      </c>
      <c r="AJ20" s="435">
        <f t="shared" si="11"/>
        <v>1.0625424592304593</v>
      </c>
      <c r="AK20" s="436">
        <f t="shared" si="12"/>
        <v>4.0467403200634142E-4</v>
      </c>
      <c r="AL20" s="437">
        <f t="shared" si="13"/>
        <v>4.0535749297026987E-4</v>
      </c>
      <c r="AM20" s="438">
        <f>'Op Cost-26'!B11/'Ridership-26'!B11</f>
        <v>36.754445797807549</v>
      </c>
      <c r="AN20" s="434">
        <f>'Op Cost-26'!C11/'Ridership-26'!C11</f>
        <v>30.814419716755562</v>
      </c>
      <c r="AO20" s="434">
        <f>'Op Cost-26'!D11/'Ridership-26'!D11</f>
        <v>17.97569284596262</v>
      </c>
      <c r="AP20" s="434">
        <f>'Op Cost-26'!E11/'Ridership-26'!E11</f>
        <v>19.106843752643602</v>
      </c>
      <c r="AQ20" s="439">
        <f t="shared" si="14"/>
        <v>0.93210492020148372</v>
      </c>
      <c r="AR20" s="436">
        <f t="shared" si="15"/>
        <v>4.6130358486014473E-4</v>
      </c>
      <c r="AS20" s="440">
        <f t="shared" si="16"/>
        <v>4.6399850623580173E-4</v>
      </c>
      <c r="AT20" s="432"/>
      <c r="AU20" s="441">
        <f t="shared" si="17"/>
        <v>0</v>
      </c>
      <c r="AV20" s="442">
        <f t="shared" si="18"/>
        <v>0</v>
      </c>
      <c r="AW20" s="442">
        <f t="shared" si="19"/>
        <v>0</v>
      </c>
      <c r="AX20" s="442">
        <f t="shared" si="20"/>
        <v>0</v>
      </c>
      <c r="AY20" s="443">
        <f t="shared" si="21"/>
        <v>0</v>
      </c>
      <c r="AZ20" s="444">
        <f t="shared" si="43"/>
        <v>-1</v>
      </c>
      <c r="BA20" s="445">
        <f t="shared" si="22"/>
        <v>0</v>
      </c>
      <c r="BB20" s="446">
        <f t="shared" si="22"/>
        <v>0</v>
      </c>
      <c r="BC20" s="446">
        <f t="shared" si="22"/>
        <v>0</v>
      </c>
      <c r="BD20" s="446">
        <f t="shared" si="22"/>
        <v>0</v>
      </c>
      <c r="BE20" s="446">
        <f t="shared" si="22"/>
        <v>0</v>
      </c>
      <c r="BF20" s="447">
        <f t="shared" si="44"/>
        <v>51756.933767531984</v>
      </c>
      <c r="BH20" s="448">
        <f>'Op Cost-26'!E11</f>
        <v>225862</v>
      </c>
      <c r="BI20" s="449">
        <f t="shared" si="23"/>
        <v>0.22915290649835734</v>
      </c>
      <c r="BJ20" s="450">
        <f t="shared" si="24"/>
        <v>51756.933767531984</v>
      </c>
      <c r="BK20" s="451">
        <f t="shared" si="25"/>
        <v>0</v>
      </c>
      <c r="BL20" s="1">
        <f t="shared" si="45"/>
        <v>0.3999531240019627</v>
      </c>
      <c r="BM20" s="112">
        <f t="shared" si="46"/>
        <v>0.29880344983477863</v>
      </c>
      <c r="BN20" s="112">
        <f t="shared" si="47"/>
        <v>0.23377220955493294</v>
      </c>
      <c r="BO20" s="113">
        <f t="shared" si="48"/>
        <v>0.53361841830906964</v>
      </c>
      <c r="BP20" s="452">
        <f t="shared" si="26"/>
        <v>51756.933767531984</v>
      </c>
      <c r="BQ20" s="115">
        <f t="shared" si="49"/>
        <v>1.719731805636334E-4</v>
      </c>
      <c r="BR20" s="116">
        <f t="shared" si="50"/>
        <v>1.719731805636334E-4</v>
      </c>
      <c r="BS20" s="453">
        <f t="shared" si="51"/>
        <v>1.8190517274869558E-4</v>
      </c>
      <c r="BT20" s="118">
        <f t="shared" si="52"/>
        <v>53118.3765909055</v>
      </c>
      <c r="BU20" s="119">
        <f t="shared" si="53"/>
        <v>67758.599999999991</v>
      </c>
      <c r="BV20" s="119">
        <f t="shared" si="54"/>
        <v>53118.3765909055</v>
      </c>
      <c r="BW20" s="119">
        <f t="shared" si="65"/>
        <v>0</v>
      </c>
      <c r="BX20" s="120">
        <f t="shared" si="55"/>
        <v>1.719731805636334E-4</v>
      </c>
      <c r="BY20" s="454">
        <f t="shared" si="56"/>
        <v>1.9608558347609104E-4</v>
      </c>
      <c r="BZ20" s="122">
        <f t="shared" si="57"/>
        <v>53174.202340636191</v>
      </c>
      <c r="CA20" s="455">
        <f t="shared" si="27"/>
        <v>4.5974856612233749E-4</v>
      </c>
      <c r="CB20" s="456">
        <f t="shared" si="28"/>
        <v>3440.9213132616092</v>
      </c>
      <c r="CC20" s="456">
        <f t="shared" si="29"/>
        <v>55197.85508079359</v>
      </c>
      <c r="CD20" s="457">
        <f t="shared" si="30"/>
        <v>0.24438752459817761</v>
      </c>
      <c r="CE20" s="458">
        <f t="shared" si="31"/>
        <v>0</v>
      </c>
      <c r="CF20" s="17"/>
      <c r="CG20" s="459">
        <f t="shared" si="32"/>
        <v>225862</v>
      </c>
      <c r="CH20" s="460">
        <f t="shared" si="58"/>
        <v>0.24438752459817761</v>
      </c>
      <c r="CI20" s="461">
        <f t="shared" si="33"/>
        <v>55197.85508079359</v>
      </c>
      <c r="CJ20" s="462">
        <f t="shared" si="34"/>
        <v>0</v>
      </c>
      <c r="CL20" s="463">
        <f t="shared" si="35"/>
        <v>55197.85508079359</v>
      </c>
      <c r="CM20" s="464">
        <f t="shared" si="36"/>
        <v>4.7460329555847731E-4</v>
      </c>
      <c r="CN20" s="465">
        <f t="shared" si="37"/>
        <v>72.35148211160697</v>
      </c>
      <c r="CO20" s="466">
        <f t="shared" si="59"/>
        <v>55270.206562905194</v>
      </c>
      <c r="CP20" s="467">
        <f t="shared" si="60"/>
        <v>0.24470785950228544</v>
      </c>
      <c r="CQ20" s="468">
        <f t="shared" si="38"/>
        <v>0</v>
      </c>
      <c r="CR20" s="469"/>
      <c r="CS20" s="470">
        <f t="shared" si="39"/>
        <v>67758.599999999991</v>
      </c>
      <c r="CT20" s="465">
        <f t="shared" si="40"/>
        <v>0</v>
      </c>
      <c r="CU20" s="471">
        <f t="shared" si="41"/>
        <v>55270.206562905194</v>
      </c>
      <c r="CV20" s="472">
        <f t="shared" si="42"/>
        <v>0.24470785950228544</v>
      </c>
      <c r="CY20" s="473">
        <v>685.4</v>
      </c>
      <c r="CZ20" s="474">
        <f t="shared" si="61"/>
        <v>55955.606562905195</v>
      </c>
      <c r="DA20" s="475">
        <f t="shared" si="62"/>
        <v>0.24774245584872709</v>
      </c>
      <c r="DB20" s="1">
        <f t="shared" si="63"/>
        <v>0</v>
      </c>
      <c r="DC20" s="293">
        <f t="shared" si="64"/>
        <v>0.23542783797467565</v>
      </c>
      <c r="DF20" s="476"/>
    </row>
    <row r="21" spans="1:110">
      <c r="A21" s="477" t="s">
        <v>92</v>
      </c>
      <c r="B21" s="428" t="s">
        <v>95</v>
      </c>
      <c r="C21" s="429"/>
      <c r="D21" s="91">
        <f>'Sizing - Reimb Exp-26'!B12</f>
        <v>129210017</v>
      </c>
      <c r="E21" s="92">
        <f>'Ridership-26'!$E12</f>
        <v>8574727</v>
      </c>
      <c r="F21" s="92">
        <f>'Revenue Hours-26'!$E12</f>
        <v>1002985.3500000001</v>
      </c>
      <c r="G21" s="92">
        <f>'Revenue Miles-26'!$E12</f>
        <v>13608118.7366</v>
      </c>
      <c r="H21" s="478">
        <f t="shared" si="0"/>
        <v>0.19910547903123477</v>
      </c>
      <c r="I21" s="431">
        <f t="shared" si="1"/>
        <v>0.19910547903123477</v>
      </c>
      <c r="J21" s="432"/>
      <c r="K21" s="433">
        <f>'Ridership-26'!B12/'Revenue Hours-26'!B12</f>
        <v>6.640780447028594</v>
      </c>
      <c r="L21" s="434">
        <f>'Ridership-26'!C12/'Revenue Hours-26'!C12</f>
        <v>7.1961861955660096</v>
      </c>
      <c r="M21" s="434">
        <f>'Ridership-26'!D12/'Revenue Hours-26'!D12</f>
        <v>7.4695517602798605</v>
      </c>
      <c r="N21" s="434">
        <f>'Ridership-26'!E12/'Revenue Hours-26'!E12</f>
        <v>8.5492046319520014</v>
      </c>
      <c r="O21" s="435">
        <f t="shared" si="2"/>
        <v>0.92912615428559064</v>
      </c>
      <c r="P21" s="436">
        <f t="shared" si="3"/>
        <v>0.18499410802948146</v>
      </c>
      <c r="Q21" s="437">
        <f t="shared" si="4"/>
        <v>0.17879557540863339</v>
      </c>
      <c r="R21" s="438">
        <f>'Ridership-26'!B12/'Revenue Miles-26'!B12</f>
        <v>0.46622665154015291</v>
      </c>
      <c r="S21" s="434">
        <f>'Ridership-26'!C12/'Revenue Miles-26'!C12</f>
        <v>0.49455273703023678</v>
      </c>
      <c r="T21" s="434">
        <f>'Ridership-26'!D12/'Revenue Miles-26'!D12</f>
        <v>0.51854760762331398</v>
      </c>
      <c r="U21" s="434">
        <f>'Ridership-26'!E12/'Revenue Miles-26'!E12</f>
        <v>0.6301184730948638</v>
      </c>
      <c r="V21" s="435">
        <f t="shared" si="5"/>
        <v>0.95181830349680541</v>
      </c>
      <c r="W21" s="436">
        <f t="shared" si="6"/>
        <v>0.18951223926842864</v>
      </c>
      <c r="X21" s="437">
        <f t="shared" si="7"/>
        <v>0.1834184352786507</v>
      </c>
      <c r="Y21" s="438">
        <f>'Op Cost-26'!B12/'Revenue Hours-26'!B12</f>
        <v>107.97198556298591</v>
      </c>
      <c r="Z21" s="434">
        <f>'Op Cost-26'!C12/'Revenue Hours-26'!C12</f>
        <v>112.49719845156518</v>
      </c>
      <c r="AA21" s="434">
        <f>'Op Cost-26'!D12/'Revenue Hours-26'!D12</f>
        <v>125.82563161812979</v>
      </c>
      <c r="AB21" s="434">
        <f>'Op Cost-26'!E12/'Revenue Hours-26'!E12</f>
        <v>129.05743638229609</v>
      </c>
      <c r="AC21" s="435">
        <f t="shared" si="8"/>
        <v>1.0144497417422516</v>
      </c>
      <c r="AD21" s="436">
        <f t="shared" si="9"/>
        <v>0.19626943636387942</v>
      </c>
      <c r="AE21" s="437">
        <f t="shared" si="10"/>
        <v>0.19661822666679105</v>
      </c>
      <c r="AF21" s="438">
        <f>'Op Cost-26'!B12/'Revenue Miles-26'!B12</f>
        <v>7.5803465708156237</v>
      </c>
      <c r="AG21" s="434">
        <f>'Op Cost-26'!C12/'Revenue Miles-26'!C12</f>
        <v>7.7312893094311175</v>
      </c>
      <c r="AH21" s="434">
        <f>'Op Cost-26'!D12/'Revenue Miles-26'!D12</f>
        <v>8.735006108429328</v>
      </c>
      <c r="AI21" s="434">
        <f>'Op Cost-26'!E12/'Revenue Miles-26'!E12</f>
        <v>9.512168471300491</v>
      </c>
      <c r="AJ21" s="435">
        <f t="shared" si="11"/>
        <v>1.0358017781168538</v>
      </c>
      <c r="AK21" s="436">
        <f t="shared" si="12"/>
        <v>0.19222353469330763</v>
      </c>
      <c r="AL21" s="437">
        <f t="shared" si="13"/>
        <v>0.19254818434196402</v>
      </c>
      <c r="AM21" s="438">
        <f>'Op Cost-26'!B12/'Ridership-26'!B12</f>
        <v>16.258930170067252</v>
      </c>
      <c r="AN21" s="434">
        <f>'Op Cost-26'!C12/'Ridership-26'!C12</f>
        <v>15.632891561488677</v>
      </c>
      <c r="AO21" s="434">
        <f>'Op Cost-26'!D12/'Ridership-26'!D12</f>
        <v>16.845138189847084</v>
      </c>
      <c r="AP21" s="434">
        <f>'Op Cost-26'!E12/'Ridership-26'!E12</f>
        <v>15.095841302002967</v>
      </c>
      <c r="AQ21" s="435">
        <f t="shared" si="14"/>
        <v>1.105548154721899</v>
      </c>
      <c r="AR21" s="436">
        <f t="shared" si="15"/>
        <v>0.18009661377556169</v>
      </c>
      <c r="AS21" s="440">
        <f t="shared" si="16"/>
        <v>0.18114873266229081</v>
      </c>
      <c r="AT21" s="432"/>
      <c r="AU21" s="441">
        <f t="shared" si="17"/>
        <v>0</v>
      </c>
      <c r="AV21" s="442">
        <f t="shared" si="18"/>
        <v>0</v>
      </c>
      <c r="AW21" s="442">
        <f t="shared" si="19"/>
        <v>0</v>
      </c>
      <c r="AX21" s="442">
        <f t="shared" si="20"/>
        <v>0</v>
      </c>
      <c r="AY21" s="443">
        <f t="shared" si="21"/>
        <v>0</v>
      </c>
      <c r="AZ21" s="444">
        <f t="shared" si="43"/>
        <v>-1</v>
      </c>
      <c r="BA21" s="445">
        <f t="shared" si="22"/>
        <v>0</v>
      </c>
      <c r="BB21" s="446">
        <f t="shared" si="22"/>
        <v>0</v>
      </c>
      <c r="BC21" s="446">
        <f t="shared" si="22"/>
        <v>0</v>
      </c>
      <c r="BD21" s="446">
        <f t="shared" si="22"/>
        <v>0</v>
      </c>
      <c r="BE21" s="446">
        <f t="shared" si="22"/>
        <v>0</v>
      </c>
      <c r="BF21" s="447">
        <f t="shared" si="44"/>
        <v>23966251.955943104</v>
      </c>
      <c r="BH21" s="448">
        <f>'Op Cost-26'!E12</f>
        <v>129442718</v>
      </c>
      <c r="BI21" s="449">
        <f t="shared" si="23"/>
        <v>0.18514948021983826</v>
      </c>
      <c r="BJ21" s="450">
        <f t="shared" si="24"/>
        <v>23966251.955943104</v>
      </c>
      <c r="BK21" s="451">
        <f t="shared" si="25"/>
        <v>0</v>
      </c>
      <c r="BL21" s="1">
        <f t="shared" si="45"/>
        <v>0.7411405096221847</v>
      </c>
      <c r="BM21" s="112">
        <f t="shared" si="46"/>
        <v>0.75568293432971434</v>
      </c>
      <c r="BN21" s="112">
        <f t="shared" si="47"/>
        <v>0.75400308625016021</v>
      </c>
      <c r="BO21" s="113">
        <f t="shared" si="48"/>
        <v>0.72743800895443211</v>
      </c>
      <c r="BP21" s="452">
        <f t="shared" si="26"/>
        <v>23966251.955943104</v>
      </c>
      <c r="BQ21" s="115">
        <f t="shared" si="49"/>
        <v>0.14756513619777856</v>
      </c>
      <c r="BR21" s="116">
        <f t="shared" si="50"/>
        <v>0.14756513619777856</v>
      </c>
      <c r="BS21" s="453">
        <f t="shared" si="51"/>
        <v>0.15608748703585978</v>
      </c>
      <c r="BT21" s="118">
        <f t="shared" si="52"/>
        <v>25134466.063504275</v>
      </c>
      <c r="BU21" s="119">
        <f t="shared" si="53"/>
        <v>38832815.399999999</v>
      </c>
      <c r="BV21" s="119">
        <f t="shared" si="54"/>
        <v>25134466.063504275</v>
      </c>
      <c r="BW21" s="119">
        <f t="shared" si="65"/>
        <v>0</v>
      </c>
      <c r="BX21" s="120">
        <f t="shared" si="55"/>
        <v>0.14756513619777856</v>
      </c>
      <c r="BY21" s="454">
        <f t="shared" si="56"/>
        <v>0.1682552810690362</v>
      </c>
      <c r="BZ21" s="122">
        <f t="shared" si="57"/>
        <v>25182368.500008345</v>
      </c>
      <c r="CA21" s="455">
        <f t="shared" si="27"/>
        <v>0.21288838364268733</v>
      </c>
      <c r="CB21" s="456">
        <f t="shared" si="28"/>
        <v>1593332.161534165</v>
      </c>
      <c r="CC21" s="456">
        <f t="shared" si="29"/>
        <v>25559584.117477268</v>
      </c>
      <c r="CD21" s="457">
        <f t="shared" si="30"/>
        <v>0.19745864821439602</v>
      </c>
      <c r="CE21" s="458">
        <f t="shared" si="31"/>
        <v>0</v>
      </c>
      <c r="CF21" s="17"/>
      <c r="CG21" s="459">
        <f t="shared" si="32"/>
        <v>129442718</v>
      </c>
      <c r="CH21" s="460">
        <f t="shared" si="58"/>
        <v>0.19745864821439602</v>
      </c>
      <c r="CI21" s="461">
        <f t="shared" si="33"/>
        <v>25559584.117477268</v>
      </c>
      <c r="CJ21" s="462">
        <f t="shared" si="34"/>
        <v>0</v>
      </c>
      <c r="CL21" s="463">
        <f t="shared" si="35"/>
        <v>25559584.117477268</v>
      </c>
      <c r="CM21" s="464">
        <f t="shared" si="36"/>
        <v>0.2197669245934116</v>
      </c>
      <c r="CN21" s="465">
        <f t="shared" si="37"/>
        <v>33502.638650523135</v>
      </c>
      <c r="CO21" s="466">
        <f t="shared" si="59"/>
        <v>25593086.75612779</v>
      </c>
      <c r="CP21" s="467">
        <f t="shared" si="60"/>
        <v>0.19771747033408082</v>
      </c>
      <c r="CQ21" s="468">
        <f t="shared" si="38"/>
        <v>0</v>
      </c>
      <c r="CR21" s="469"/>
      <c r="CS21" s="470">
        <f t="shared" si="39"/>
        <v>38832815.399999999</v>
      </c>
      <c r="CT21" s="465">
        <f t="shared" si="40"/>
        <v>0</v>
      </c>
      <c r="CU21" s="471">
        <f t="shared" si="41"/>
        <v>25593086.75612779</v>
      </c>
      <c r="CV21" s="472">
        <f t="shared" si="42"/>
        <v>0.19771747033408082</v>
      </c>
      <c r="CY21" s="473">
        <v>0</v>
      </c>
      <c r="CZ21" s="474">
        <f t="shared" si="61"/>
        <v>25593086.75612779</v>
      </c>
      <c r="DA21" s="475">
        <f t="shared" si="62"/>
        <v>0.19771747033408082</v>
      </c>
      <c r="DB21" s="1">
        <f t="shared" si="63"/>
        <v>0</v>
      </c>
      <c r="DC21" s="293">
        <f t="shared" si="64"/>
        <v>0.19454449728109344</v>
      </c>
      <c r="DF21" s="476"/>
    </row>
    <row r="22" spans="1:110">
      <c r="A22" s="477" t="s">
        <v>92</v>
      </c>
      <c r="B22" s="428" t="s">
        <v>96</v>
      </c>
      <c r="C22" s="429"/>
      <c r="D22" s="91">
        <f>'Sizing - Reimb Exp-26'!B13</f>
        <v>1304126</v>
      </c>
      <c r="E22" s="92">
        <f>'Ridership-26'!$E13</f>
        <v>101901</v>
      </c>
      <c r="F22" s="92">
        <f>'Revenue Hours-26'!$E13</f>
        <v>20119</v>
      </c>
      <c r="G22" s="92">
        <f>'Revenue Miles-26'!$E13</f>
        <v>529269</v>
      </c>
      <c r="H22" s="478">
        <f t="shared" si="0"/>
        <v>3.3215999564184069E-3</v>
      </c>
      <c r="I22" s="431">
        <f t="shared" si="1"/>
        <v>3.3215999564184069E-3</v>
      </c>
      <c r="J22" s="432"/>
      <c r="K22" s="433">
        <f>'Ridership-26'!B13/'Revenue Hours-26'!B13</f>
        <v>2.5445369916707494</v>
      </c>
      <c r="L22" s="434">
        <f>'Ridership-26'!C13/'Revenue Hours-26'!C13</f>
        <v>3.1323175227328584</v>
      </c>
      <c r="M22" s="434">
        <f>'Ridership-26'!D13/'Revenue Hours-26'!D13</f>
        <v>4.5268015794669303</v>
      </c>
      <c r="N22" s="434">
        <f>'Ridership-26'!E13/'Revenue Hours-26'!E13</f>
        <v>5.0649137631094989</v>
      </c>
      <c r="O22" s="435">
        <f t="shared" si="2"/>
        <v>1.073695224756283</v>
      </c>
      <c r="P22" s="436">
        <f t="shared" si="3"/>
        <v>3.5663860117571213E-3</v>
      </c>
      <c r="Q22" s="437">
        <f t="shared" si="4"/>
        <v>3.4468883679246495E-3</v>
      </c>
      <c r="R22" s="438">
        <f>'Ridership-26'!B13/'Revenue Miles-26'!B13</f>
        <v>0.1120356208297289</v>
      </c>
      <c r="S22" s="434">
        <f>'Ridership-26'!C13/'Revenue Miles-26'!C13</f>
        <v>0.13193504175827817</v>
      </c>
      <c r="T22" s="434">
        <f>'Ridership-26'!D13/'Revenue Miles-26'!D13</f>
        <v>0.17952070654971744</v>
      </c>
      <c r="U22" s="434">
        <f>'Ridership-26'!E13/'Revenue Miles-26'!E13</f>
        <v>0.1925315860176961</v>
      </c>
      <c r="V22" s="435">
        <f t="shared" si="5"/>
        <v>1.025802652359719</v>
      </c>
      <c r="W22" s="436">
        <f t="shared" si="6"/>
        <v>3.407306045371929E-3</v>
      </c>
      <c r="X22" s="437">
        <f t="shared" si="7"/>
        <v>3.2977434374167132E-3</v>
      </c>
      <c r="Y22" s="438">
        <f>'Op Cost-26'!B13/'Revenue Hours-26'!B13</f>
        <v>48.696570308672221</v>
      </c>
      <c r="Z22" s="434">
        <f>'Op Cost-26'!C13/'Revenue Hours-26'!C13</f>
        <v>59.030916687146721</v>
      </c>
      <c r="AA22" s="434">
        <f>'Op Cost-26'!D13/'Revenue Hours-26'!D13</f>
        <v>61.540424481737411</v>
      </c>
      <c r="AB22" s="434">
        <f>'Op Cost-26'!E13/'Revenue Hours-26'!E13</f>
        <v>66.988568020279331</v>
      </c>
      <c r="AC22" s="435">
        <f t="shared" si="8"/>
        <v>1.0677662862612751</v>
      </c>
      <c r="AD22" s="436">
        <f t="shared" si="9"/>
        <v>3.1107930631981331E-3</v>
      </c>
      <c r="AE22" s="437">
        <f t="shared" si="10"/>
        <v>3.1163212517684447E-3</v>
      </c>
      <c r="AF22" s="438">
        <f>'Op Cost-26'!B13/'Revenue Miles-26'!B13</f>
        <v>2.1441034281165527</v>
      </c>
      <c r="AG22" s="434">
        <f>'Op Cost-26'!C13/'Revenue Miles-26'!C13</f>
        <v>2.4864166552799274</v>
      </c>
      <c r="AH22" s="434">
        <f>'Op Cost-26'!D13/'Revenue Miles-26'!D13</f>
        <v>2.4405267804187702</v>
      </c>
      <c r="AI22" s="434">
        <f>'Op Cost-26'!E13/'Revenue Miles-26'!E13</f>
        <v>2.5464234633050489</v>
      </c>
      <c r="AJ22" s="435">
        <f t="shared" si="11"/>
        <v>1.0231988179124334</v>
      </c>
      <c r="AK22" s="436">
        <f t="shared" si="12"/>
        <v>3.2462898688597522E-3</v>
      </c>
      <c r="AL22" s="437">
        <f t="shared" si="13"/>
        <v>3.251772583903171E-3</v>
      </c>
      <c r="AM22" s="438">
        <f>'Op Cost-26'!B13/'Ridership-26'!B13</f>
        <v>19.13769399622598</v>
      </c>
      <c r="AN22" s="434">
        <f>'Op Cost-26'!C13/'Ridership-26'!C13</f>
        <v>18.84576396189998</v>
      </c>
      <c r="AO22" s="434">
        <f>'Op Cost-26'!D13/'Ridership-26'!D13</f>
        <v>13.594681233849073</v>
      </c>
      <c r="AP22" s="434">
        <f>'Op Cost-26'!E13/'Ridership-26'!E13</f>
        <v>13.226003670228948</v>
      </c>
      <c r="AQ22" s="439">
        <f t="shared" si="14"/>
        <v>1.0129687350188592</v>
      </c>
      <c r="AR22" s="436">
        <f t="shared" si="15"/>
        <v>3.2790745080168403E-3</v>
      </c>
      <c r="AS22" s="440">
        <f t="shared" si="16"/>
        <v>3.2982307605890064E-3</v>
      </c>
      <c r="AT22" s="432"/>
      <c r="AU22" s="441">
        <f t="shared" si="17"/>
        <v>0</v>
      </c>
      <c r="AV22" s="442">
        <f t="shared" si="18"/>
        <v>0</v>
      </c>
      <c r="AW22" s="442">
        <f t="shared" si="19"/>
        <v>0</v>
      </c>
      <c r="AX22" s="442">
        <f t="shared" si="20"/>
        <v>0</v>
      </c>
      <c r="AY22" s="443">
        <f t="shared" si="21"/>
        <v>0</v>
      </c>
      <c r="AZ22" s="444">
        <f t="shared" si="43"/>
        <v>-1</v>
      </c>
      <c r="BA22" s="445">
        <f t="shared" si="22"/>
        <v>0</v>
      </c>
      <c r="BB22" s="446">
        <f t="shared" si="22"/>
        <v>0</v>
      </c>
      <c r="BC22" s="446">
        <f t="shared" si="22"/>
        <v>0</v>
      </c>
      <c r="BD22" s="446">
        <f t="shared" si="22"/>
        <v>0</v>
      </c>
      <c r="BE22" s="446">
        <f t="shared" si="22"/>
        <v>0</v>
      </c>
      <c r="BF22" s="447">
        <f t="shared" si="44"/>
        <v>399819.74298097997</v>
      </c>
      <c r="BH22" s="448">
        <f>'Op Cost-26'!E13</f>
        <v>1347743</v>
      </c>
      <c r="BI22" s="449">
        <f t="shared" si="23"/>
        <v>0.29665874204576093</v>
      </c>
      <c r="BJ22" s="450">
        <f t="shared" si="24"/>
        <v>399819.74298097997</v>
      </c>
      <c r="BK22" s="451">
        <f t="shared" si="25"/>
        <v>0</v>
      </c>
      <c r="BL22" s="1">
        <f t="shared" si="45"/>
        <v>0.54479906674843637</v>
      </c>
      <c r="BM22" s="112">
        <f t="shared" si="46"/>
        <v>0.40858445759877987</v>
      </c>
      <c r="BN22" s="112">
        <f t="shared" si="47"/>
        <v>0.22959672005659082</v>
      </c>
      <c r="BO22" s="113">
        <f t="shared" si="48"/>
        <v>0.77050754466918736</v>
      </c>
      <c r="BP22" s="452">
        <f t="shared" si="26"/>
        <v>399819.74298097997</v>
      </c>
      <c r="BQ22" s="115">
        <f t="shared" si="49"/>
        <v>1.809604556368395E-3</v>
      </c>
      <c r="BR22" s="116">
        <f t="shared" si="50"/>
        <v>1.809604556368395E-3</v>
      </c>
      <c r="BS22" s="453">
        <f t="shared" si="51"/>
        <v>1.9141149123029558E-3</v>
      </c>
      <c r="BT22" s="118">
        <f t="shared" si="52"/>
        <v>414145.65780291444</v>
      </c>
      <c r="BU22" s="119">
        <f t="shared" si="53"/>
        <v>404322.89999999997</v>
      </c>
      <c r="BV22" s="119">
        <f t="shared" si="54"/>
        <v>404322.89999999997</v>
      </c>
      <c r="BW22" s="119">
        <f t="shared" si="65"/>
        <v>9822.7578029144788</v>
      </c>
      <c r="BX22" s="120">
        <f t="shared" si="55"/>
        <v>0</v>
      </c>
      <c r="BY22" s="454">
        <f t="shared" si="56"/>
        <v>0</v>
      </c>
      <c r="BZ22" s="122">
        <f t="shared" si="57"/>
        <v>404322.89999999997</v>
      </c>
      <c r="CA22" s="455">
        <f t="shared" si="27"/>
        <v>3.5515348410809131E-3</v>
      </c>
      <c r="CB22" s="456">
        <f t="shared" si="28"/>
        <v>26580.946260558103</v>
      </c>
      <c r="CC22" s="456">
        <f t="shared" si="29"/>
        <v>426400.68924153806</v>
      </c>
      <c r="CD22" s="457">
        <f t="shared" si="30"/>
        <v>0.31638130507191509</v>
      </c>
      <c r="CE22" s="458">
        <f t="shared" si="31"/>
        <v>1</v>
      </c>
      <c r="CF22" s="17"/>
      <c r="CG22" s="459">
        <f t="shared" si="32"/>
        <v>1347743</v>
      </c>
      <c r="CH22" s="460">
        <f t="shared" si="58"/>
        <v>0.31638130507191509</v>
      </c>
      <c r="CI22" s="461">
        <f t="shared" si="33"/>
        <v>404322.89999999997</v>
      </c>
      <c r="CJ22" s="462">
        <f t="shared" si="34"/>
        <v>22077.789241538092</v>
      </c>
      <c r="CL22" s="463">
        <f t="shared" si="35"/>
        <v>0</v>
      </c>
      <c r="CM22" s="464">
        <f t="shared" si="36"/>
        <v>0</v>
      </c>
      <c r="CN22" s="465">
        <f t="shared" si="37"/>
        <v>0</v>
      </c>
      <c r="CO22" s="466">
        <f t="shared" si="59"/>
        <v>404322.89999999997</v>
      </c>
      <c r="CP22" s="467">
        <f t="shared" si="60"/>
        <v>0.3</v>
      </c>
      <c r="CQ22" s="468">
        <f t="shared" si="38"/>
        <v>0</v>
      </c>
      <c r="CR22" s="469"/>
      <c r="CS22" s="470">
        <f t="shared" si="39"/>
        <v>404322.89999999997</v>
      </c>
      <c r="CT22" s="465">
        <f t="shared" si="40"/>
        <v>0</v>
      </c>
      <c r="CU22" s="471">
        <f t="shared" si="41"/>
        <v>404322.89999999997</v>
      </c>
      <c r="CV22" s="472">
        <f t="shared" si="42"/>
        <v>0.3</v>
      </c>
      <c r="CY22" s="473">
        <v>0</v>
      </c>
      <c r="CZ22" s="474">
        <f t="shared" si="61"/>
        <v>404322.89999999997</v>
      </c>
      <c r="DA22" s="475">
        <f t="shared" si="62"/>
        <v>0.3</v>
      </c>
      <c r="DB22" s="1">
        <f t="shared" si="63"/>
        <v>0</v>
      </c>
      <c r="DC22" s="293">
        <f t="shared" si="64"/>
        <v>0.3</v>
      </c>
      <c r="DF22" s="476"/>
    </row>
    <row r="23" spans="1:110">
      <c r="A23" s="477" t="s">
        <v>92</v>
      </c>
      <c r="B23" s="428" t="s">
        <v>97</v>
      </c>
      <c r="C23" s="429"/>
      <c r="D23" s="91">
        <f>'Sizing - Reimb Exp-26'!B14</f>
        <v>69734</v>
      </c>
      <c r="E23" s="92">
        <f>'Ridership-26'!$E14</f>
        <v>6243</v>
      </c>
      <c r="F23" s="92">
        <f>'Revenue Hours-26'!$E14</f>
        <v>3135</v>
      </c>
      <c r="G23" s="92">
        <f>'Revenue Miles-26'!$E14</f>
        <v>11686</v>
      </c>
      <c r="H23" s="430">
        <f t="shared" si="0"/>
        <v>2.1106617927306914E-4</v>
      </c>
      <c r="I23" s="431">
        <f t="shared" si="1"/>
        <v>2.1106617927306914E-4</v>
      </c>
      <c r="J23" s="432"/>
      <c r="K23" s="433">
        <f>'Ridership-26'!B14/'Revenue Hours-26'!B14</f>
        <v>1.0119225037257824</v>
      </c>
      <c r="L23" s="434">
        <f>'Ridership-26'!C14/'Revenue Hours-26'!C14</f>
        <v>3.4102272727272727</v>
      </c>
      <c r="M23" s="434">
        <f>'Ridership-26'!D14/'Revenue Hours-26'!D14</f>
        <v>6.2649402390438249</v>
      </c>
      <c r="N23" s="434">
        <f>'Ridership-26'!E14/'Revenue Hours-26'!E14</f>
        <v>1.9913875598086124</v>
      </c>
      <c r="O23" s="435">
        <f t="shared" si="2"/>
        <v>1.4905641336229849</v>
      </c>
      <c r="P23" s="436">
        <f t="shared" si="3"/>
        <v>3.1460767664527589E-4</v>
      </c>
      <c r="Q23" s="437">
        <f t="shared" si="4"/>
        <v>3.0406622769197094E-4</v>
      </c>
      <c r="R23" s="438">
        <f>'Ridership-26'!B14/'Revenue Miles-26'!B14</f>
        <v>0.14279705573080967</v>
      </c>
      <c r="S23" s="434">
        <f>'Ridership-26'!C14/'Revenue Miles-26'!C14</f>
        <v>0.44282130736314002</v>
      </c>
      <c r="T23" s="434">
        <f>'Ridership-26'!D14/'Revenue Miles-26'!D14</f>
        <v>0.67765567765567769</v>
      </c>
      <c r="U23" s="434">
        <f>'Ridership-26'!E14/'Revenue Miles-26'!E14</f>
        <v>0.53422899195618689</v>
      </c>
      <c r="V23" s="435">
        <f t="shared" si="5"/>
        <v>1.4948703613430017</v>
      </c>
      <c r="W23" s="436">
        <f t="shared" si="6"/>
        <v>3.1551657567721966E-4</v>
      </c>
      <c r="X23" s="437">
        <f t="shared" si="7"/>
        <v>3.053710770269738E-4</v>
      </c>
      <c r="Y23" s="438">
        <f>'Op Cost-26'!B14/'Revenue Hours-26'!B14</f>
        <v>58.488077496274215</v>
      </c>
      <c r="Z23" s="434">
        <f>'Op Cost-26'!C14/'Revenue Hours-26'!C14</f>
        <v>76.226136363636357</v>
      </c>
      <c r="AA23" s="434">
        <f>'Op Cost-26'!D14/'Revenue Hours-26'!D14</f>
        <v>100.44621513944223</v>
      </c>
      <c r="AB23" s="434">
        <f>'Op Cost-26'!E14/'Revenue Hours-26'!E14</f>
        <v>22.741307814992027</v>
      </c>
      <c r="AC23" s="435">
        <f t="shared" si="8"/>
        <v>0.90437497433822445</v>
      </c>
      <c r="AD23" s="436">
        <f t="shared" si="9"/>
        <v>2.333834805938948E-4</v>
      </c>
      <c r="AE23" s="437">
        <f t="shared" si="10"/>
        <v>2.3379822624354347E-4</v>
      </c>
      <c r="AF23" s="438">
        <f>'Op Cost-26'!B14/'Revenue Miles-26'!B14</f>
        <v>8.2535226077812833</v>
      </c>
      <c r="AG23" s="434">
        <f>'Op Cost-26'!C14/'Revenue Miles-26'!C14</f>
        <v>9.8980374797107871</v>
      </c>
      <c r="AH23" s="434">
        <f>'Op Cost-26'!D14/'Revenue Miles-26'!D14</f>
        <v>10.864899806076277</v>
      </c>
      <c r="AI23" s="434">
        <f>'Op Cost-26'!E14/'Revenue Miles-26'!E14</f>
        <v>6.1008043813109705</v>
      </c>
      <c r="AJ23" s="435">
        <f t="shared" si="11"/>
        <v>0.91713678138535648</v>
      </c>
      <c r="AK23" s="436">
        <f t="shared" si="12"/>
        <v>2.3013598795399828E-4</v>
      </c>
      <c r="AL23" s="437">
        <f t="shared" si="13"/>
        <v>2.3052466859995385E-4</v>
      </c>
      <c r="AM23" s="438">
        <f>'Op Cost-26'!B14/'Ridership-26'!B14</f>
        <v>57.798969072164951</v>
      </c>
      <c r="AN23" s="434">
        <f>'Op Cost-26'!C14/'Ridership-26'!C14</f>
        <v>22.352215928023991</v>
      </c>
      <c r="AO23" s="434">
        <f>'Op Cost-26'!D14/'Ridership-26'!D14</f>
        <v>16.033068362480126</v>
      </c>
      <c r="AP23" s="434">
        <f>'Op Cost-26'!E14/'Ridership-26'!E14</f>
        <v>11.419830209835014</v>
      </c>
      <c r="AQ23" s="439">
        <f t="shared" si="14"/>
        <v>0.66856560434544443</v>
      </c>
      <c r="AR23" s="436">
        <f t="shared" si="15"/>
        <v>3.1570002689520999E-4</v>
      </c>
      <c r="AS23" s="440">
        <f t="shared" si="16"/>
        <v>3.1754433675686725E-4</v>
      </c>
      <c r="AT23" s="432"/>
      <c r="AU23" s="441">
        <f t="shared" si="17"/>
        <v>0</v>
      </c>
      <c r="AV23" s="442">
        <f t="shared" si="18"/>
        <v>0</v>
      </c>
      <c r="AW23" s="442">
        <f t="shared" si="19"/>
        <v>0</v>
      </c>
      <c r="AX23" s="442">
        <f t="shared" si="20"/>
        <v>0</v>
      </c>
      <c r="AY23" s="443">
        <f t="shared" si="21"/>
        <v>0</v>
      </c>
      <c r="AZ23" s="444">
        <f t="shared" si="43"/>
        <v>-1</v>
      </c>
      <c r="BA23" s="445">
        <f t="shared" si="22"/>
        <v>0</v>
      </c>
      <c r="BB23" s="446">
        <f t="shared" si="22"/>
        <v>0</v>
      </c>
      <c r="BC23" s="446">
        <f t="shared" si="22"/>
        <v>0</v>
      </c>
      <c r="BD23" s="446">
        <f t="shared" si="22"/>
        <v>0</v>
      </c>
      <c r="BE23" s="446">
        <f t="shared" si="22"/>
        <v>0</v>
      </c>
      <c r="BF23" s="447">
        <f t="shared" si="44"/>
        <v>25405.956965368503</v>
      </c>
      <c r="BH23" s="448">
        <f>'Op Cost-26'!E14</f>
        <v>71294</v>
      </c>
      <c r="BI23" s="449">
        <f t="shared" si="23"/>
        <v>0.35635476990165377</v>
      </c>
      <c r="BJ23" s="450">
        <f t="shared" si="24"/>
        <v>21388.2</v>
      </c>
      <c r="BK23" s="451">
        <f t="shared" si="25"/>
        <v>4017.7569653685023</v>
      </c>
      <c r="BL23" s="1">
        <f t="shared" si="45"/>
        <v>0.65418905786279136</v>
      </c>
      <c r="BM23" s="112">
        <f t="shared" si="46"/>
        <v>0.38336591589831331</v>
      </c>
      <c r="BN23" s="112">
        <f t="shared" si="47"/>
        <v>0.75761989977426702</v>
      </c>
      <c r="BO23" s="113">
        <f t="shared" si="48"/>
        <v>0.73788520788929246</v>
      </c>
      <c r="BP23" s="452">
        <f t="shared" si="26"/>
        <v>0</v>
      </c>
      <c r="BQ23" s="115">
        <f t="shared" si="49"/>
        <v>1.3807718496534812E-4</v>
      </c>
      <c r="BR23" s="116">
        <f t="shared" si="50"/>
        <v>0</v>
      </c>
      <c r="BS23" s="453">
        <f t="shared" si="51"/>
        <v>0</v>
      </c>
      <c r="BT23" s="118">
        <f t="shared" si="52"/>
        <v>21388.2</v>
      </c>
      <c r="BU23" s="119">
        <f t="shared" si="53"/>
        <v>21388.2</v>
      </c>
      <c r="BV23" s="119">
        <f t="shared" si="54"/>
        <v>21388.2</v>
      </c>
      <c r="BW23" s="119">
        <f t="shared" si="65"/>
        <v>0</v>
      </c>
      <c r="BX23" s="120">
        <f t="shared" si="55"/>
        <v>0</v>
      </c>
      <c r="BY23" s="454">
        <f t="shared" si="56"/>
        <v>0</v>
      </c>
      <c r="BZ23" s="122">
        <f t="shared" si="57"/>
        <v>21388.2</v>
      </c>
      <c r="CA23" s="455">
        <f t="shared" si="27"/>
        <v>0</v>
      </c>
      <c r="CB23" s="456">
        <f t="shared" si="28"/>
        <v>0</v>
      </c>
      <c r="CC23" s="456">
        <f t="shared" si="29"/>
        <v>21388.2</v>
      </c>
      <c r="CD23" s="457">
        <f t="shared" si="30"/>
        <v>0.3</v>
      </c>
      <c r="CE23" s="458">
        <f t="shared" si="31"/>
        <v>0</v>
      </c>
      <c r="CF23" s="17"/>
      <c r="CG23" s="459">
        <f t="shared" si="32"/>
        <v>71294</v>
      </c>
      <c r="CH23" s="460">
        <f t="shared" si="58"/>
        <v>0.3</v>
      </c>
      <c r="CI23" s="461">
        <f t="shared" si="33"/>
        <v>21388.2</v>
      </c>
      <c r="CJ23" s="462">
        <f t="shared" si="34"/>
        <v>0</v>
      </c>
      <c r="CL23" s="463">
        <f t="shared" si="35"/>
        <v>0</v>
      </c>
      <c r="CM23" s="464">
        <f t="shared" si="36"/>
        <v>0</v>
      </c>
      <c r="CN23" s="465">
        <f t="shared" si="37"/>
        <v>0</v>
      </c>
      <c r="CO23" s="466">
        <f t="shared" si="59"/>
        <v>21388.2</v>
      </c>
      <c r="CP23" s="467">
        <f t="shared" si="60"/>
        <v>0.3</v>
      </c>
      <c r="CQ23" s="468">
        <f t="shared" si="38"/>
        <v>0</v>
      </c>
      <c r="CR23" s="469"/>
      <c r="CS23" s="470">
        <f t="shared" si="39"/>
        <v>21388.2</v>
      </c>
      <c r="CT23" s="465">
        <f t="shared" si="40"/>
        <v>0</v>
      </c>
      <c r="CU23" s="471">
        <f t="shared" si="41"/>
        <v>21388.2</v>
      </c>
      <c r="CV23" s="472">
        <f t="shared" si="42"/>
        <v>0.3</v>
      </c>
      <c r="CY23" s="473">
        <v>0</v>
      </c>
      <c r="CZ23" s="474">
        <f t="shared" si="61"/>
        <v>21388.2</v>
      </c>
      <c r="DA23" s="475">
        <f t="shared" si="62"/>
        <v>0.3</v>
      </c>
      <c r="DB23" s="1">
        <f t="shared" si="63"/>
        <v>0</v>
      </c>
      <c r="DC23" s="293">
        <f t="shared" si="64"/>
        <v>0.3</v>
      </c>
      <c r="DF23" s="476"/>
    </row>
    <row r="24" spans="1:110">
      <c r="A24" s="477" t="s">
        <v>92</v>
      </c>
      <c r="B24" s="428" t="s">
        <v>98</v>
      </c>
      <c r="C24" s="429"/>
      <c r="D24" s="91">
        <f>'Sizing - Reimb Exp-26'!B15</f>
        <v>7769877</v>
      </c>
      <c r="E24" s="92">
        <f>'Ridership-26'!$E15</f>
        <v>1423486</v>
      </c>
      <c r="F24" s="92">
        <f>'Revenue Hours-26'!$E15</f>
        <v>68607</v>
      </c>
      <c r="G24" s="92">
        <f>'Revenue Miles-26'!$E15</f>
        <v>1127856</v>
      </c>
      <c r="H24" s="478">
        <f t="shared" si="0"/>
        <v>1.8926581211380963E-2</v>
      </c>
      <c r="I24" s="431">
        <f t="shared" si="1"/>
        <v>1.8926581211380963E-2</v>
      </c>
      <c r="J24" s="432"/>
      <c r="K24" s="433">
        <f>'Ridership-26'!B15/'Revenue Hours-26'!B15</f>
        <v>14.316342020333447</v>
      </c>
      <c r="L24" s="434">
        <f>'Ridership-26'!C15/'Revenue Hours-26'!C15</f>
        <v>19.466079261836335</v>
      </c>
      <c r="M24" s="434">
        <f>'Ridership-26'!D15/'Revenue Hours-26'!D15</f>
        <v>23.218467236227433</v>
      </c>
      <c r="N24" s="434">
        <f>'Ridership-26'!E15/'Revenue Hours-26'!E15</f>
        <v>20.748407596892445</v>
      </c>
      <c r="O24" s="435">
        <f t="shared" si="2"/>
        <v>0.96624846266131004</v>
      </c>
      <c r="P24" s="436">
        <f t="shared" si="3"/>
        <v>1.8287779998931289E-2</v>
      </c>
      <c r="Q24" s="437">
        <f t="shared" si="4"/>
        <v>1.7675017775886849E-2</v>
      </c>
      <c r="R24" s="438">
        <f>'Ridership-26'!B15/'Revenue Miles-26'!B15</f>
        <v>1.0462325686324412</v>
      </c>
      <c r="S24" s="434">
        <f>'Ridership-26'!C15/'Revenue Miles-26'!C15</f>
        <v>1.4050534441156883</v>
      </c>
      <c r="T24" s="434">
        <f>'Ridership-26'!D15/'Revenue Miles-26'!D15</f>
        <v>1.5050852081552479</v>
      </c>
      <c r="U24" s="434">
        <f>'Ridership-26'!E15/'Revenue Miles-26'!E15</f>
        <v>1.2621167950518506</v>
      </c>
      <c r="V24" s="435">
        <f t="shared" si="5"/>
        <v>0.91602143366124933</v>
      </c>
      <c r="W24" s="436">
        <f t="shared" si="6"/>
        <v>1.7337154055555255E-2</v>
      </c>
      <c r="X24" s="437">
        <f t="shared" si="7"/>
        <v>1.6779674396389319E-2</v>
      </c>
      <c r="Y24" s="438">
        <f>'Op Cost-26'!B15/'Revenue Hours-26'!B15</f>
        <v>90.654407919074401</v>
      </c>
      <c r="Z24" s="434">
        <f>'Op Cost-26'!C15/'Revenue Hours-26'!C15</f>
        <v>94.089194776382797</v>
      </c>
      <c r="AA24" s="434">
        <f>'Op Cost-26'!D15/'Revenue Hours-26'!D15</f>
        <v>110.97560428152575</v>
      </c>
      <c r="AB24" s="434">
        <f>'Op Cost-26'!E15/'Revenue Hours-26'!E15</f>
        <v>113.25195679741134</v>
      </c>
      <c r="AC24" s="435">
        <f t="shared" si="8"/>
        <v>1.0300295581458903</v>
      </c>
      <c r="AD24" s="436">
        <f t="shared" si="9"/>
        <v>1.8374794258768503E-2</v>
      </c>
      <c r="AE24" s="437">
        <f t="shared" si="10"/>
        <v>1.8407448095118104E-2</v>
      </c>
      <c r="AF24" s="438">
        <f>'Op Cost-26'!B15/'Revenue Miles-26'!B15</f>
        <v>6.6249879976545323</v>
      </c>
      <c r="AG24" s="434">
        <f>'Op Cost-26'!C15/'Revenue Miles-26'!C15</f>
        <v>6.7913186521237527</v>
      </c>
      <c r="AH24" s="434">
        <f>'Op Cost-26'!D15/'Revenue Miles-26'!D15</f>
        <v>7.1937453394685633</v>
      </c>
      <c r="AI24" s="434">
        <f>'Op Cost-26'!E15/'Revenue Miles-26'!E15</f>
        <v>6.8890682853130185</v>
      </c>
      <c r="AJ24" s="435">
        <f t="shared" si="11"/>
        <v>0.97398110528978188</v>
      </c>
      <c r="AK24" s="436">
        <f t="shared" si="12"/>
        <v>1.9432185191877893E-2</v>
      </c>
      <c r="AL24" s="437">
        <f t="shared" si="13"/>
        <v>1.9465004545164859E-2</v>
      </c>
      <c r="AM24" s="438">
        <f>'Op Cost-26'!B15/'Ridership-26'!B15</f>
        <v>6.3322326185221254</v>
      </c>
      <c r="AN24" s="434">
        <f>'Op Cost-26'!C15/'Ridership-26'!C15</f>
        <v>4.833494896984555</v>
      </c>
      <c r="AO24" s="434">
        <f>'Op Cost-26'!D15/'Ridership-26'!D15</f>
        <v>4.779626628771263</v>
      </c>
      <c r="AP24" s="434">
        <f>'Op Cost-26'!E15/'Ridership-26'!E15</f>
        <v>5.4583445148037981</v>
      </c>
      <c r="AQ24" s="435">
        <f t="shared" si="14"/>
        <v>1.0742638725165357</v>
      </c>
      <c r="AR24" s="436">
        <f t="shared" si="15"/>
        <v>1.7618186458271345E-2</v>
      </c>
      <c r="AS24" s="440">
        <f t="shared" si="16"/>
        <v>1.7721111362488384E-2</v>
      </c>
      <c r="AT24" s="432"/>
      <c r="AU24" s="441">
        <f t="shared" si="17"/>
        <v>0</v>
      </c>
      <c r="AV24" s="442">
        <f t="shared" si="18"/>
        <v>0</v>
      </c>
      <c r="AW24" s="442">
        <f t="shared" si="19"/>
        <v>0</v>
      </c>
      <c r="AX24" s="442">
        <f t="shared" si="20"/>
        <v>0</v>
      </c>
      <c r="AY24" s="443">
        <f t="shared" si="21"/>
        <v>0</v>
      </c>
      <c r="AZ24" s="444">
        <f t="shared" si="43"/>
        <v>-1</v>
      </c>
      <c r="BA24" s="445">
        <f t="shared" si="22"/>
        <v>0</v>
      </c>
      <c r="BB24" s="446">
        <f t="shared" si="22"/>
        <v>0</v>
      </c>
      <c r="BC24" s="446">
        <f t="shared" si="22"/>
        <v>0</v>
      </c>
      <c r="BD24" s="446">
        <f t="shared" si="22"/>
        <v>0</v>
      </c>
      <c r="BE24" s="446">
        <f t="shared" si="22"/>
        <v>0</v>
      </c>
      <c r="BF24" s="447">
        <f t="shared" si="44"/>
        <v>2278185.4933555918</v>
      </c>
      <c r="BH24" s="448">
        <f>'Op Cost-26'!E15</f>
        <v>7769877</v>
      </c>
      <c r="BI24" s="449">
        <f t="shared" si="23"/>
        <v>0.29320740770485709</v>
      </c>
      <c r="BJ24" s="450">
        <f t="shared" si="24"/>
        <v>2278185.4933555918</v>
      </c>
      <c r="BK24" s="451">
        <f t="shared" si="25"/>
        <v>0</v>
      </c>
      <c r="BL24" s="1">
        <f t="shared" si="45"/>
        <v>2.1538546502571587</v>
      </c>
      <c r="BM24" s="112">
        <f t="shared" si="46"/>
        <v>2.0691401339452931</v>
      </c>
      <c r="BN24" s="112">
        <f t="shared" si="47"/>
        <v>1.9374821404583458</v>
      </c>
      <c r="BO24" s="113">
        <f t="shared" si="48"/>
        <v>2.3043981633124981</v>
      </c>
      <c r="BP24" s="452">
        <f t="shared" si="26"/>
        <v>2278185.4933555918</v>
      </c>
      <c r="BQ24" s="115">
        <f t="shared" si="49"/>
        <v>4.0765104955602656E-2</v>
      </c>
      <c r="BR24" s="116">
        <f t="shared" si="50"/>
        <v>4.0765104955602656E-2</v>
      </c>
      <c r="BS24" s="453">
        <f t="shared" si="51"/>
        <v>4.311941800904108E-2</v>
      </c>
      <c r="BT24" s="118">
        <f t="shared" si="52"/>
        <v>2600906.5095278639</v>
      </c>
      <c r="BU24" s="119">
        <f t="shared" si="53"/>
        <v>2330963.1</v>
      </c>
      <c r="BV24" s="119">
        <f t="shared" si="54"/>
        <v>2330963.1</v>
      </c>
      <c r="BW24" s="119">
        <f t="shared" si="65"/>
        <v>269943.40952786384</v>
      </c>
      <c r="BX24" s="120">
        <f t="shared" si="55"/>
        <v>0</v>
      </c>
      <c r="BY24" s="454">
        <f t="shared" si="56"/>
        <v>0</v>
      </c>
      <c r="BZ24" s="122">
        <f t="shared" si="57"/>
        <v>2330963.1</v>
      </c>
      <c r="CA24" s="455">
        <f t="shared" si="27"/>
        <v>2.0236757429165766E-2</v>
      </c>
      <c r="CB24" s="456">
        <f t="shared" si="28"/>
        <v>151459.06932702119</v>
      </c>
      <c r="CC24" s="456">
        <f t="shared" si="29"/>
        <v>2429644.5626826128</v>
      </c>
      <c r="CD24" s="457">
        <f t="shared" si="30"/>
        <v>0.31270051799824022</v>
      </c>
      <c r="CE24" s="458">
        <f t="shared" si="31"/>
        <v>1</v>
      </c>
      <c r="CF24" s="17"/>
      <c r="CG24" s="459">
        <f t="shared" si="32"/>
        <v>7769877</v>
      </c>
      <c r="CH24" s="460">
        <f t="shared" si="58"/>
        <v>0.31270051799824022</v>
      </c>
      <c r="CI24" s="461">
        <f t="shared" si="33"/>
        <v>2330963.1</v>
      </c>
      <c r="CJ24" s="462">
        <f t="shared" si="34"/>
        <v>98681.462682612706</v>
      </c>
      <c r="CL24" s="463">
        <f t="shared" si="35"/>
        <v>0</v>
      </c>
      <c r="CM24" s="464">
        <f t="shared" si="36"/>
        <v>0</v>
      </c>
      <c r="CN24" s="465">
        <f t="shared" si="37"/>
        <v>0</v>
      </c>
      <c r="CO24" s="466">
        <f t="shared" si="59"/>
        <v>2330963.1</v>
      </c>
      <c r="CP24" s="467">
        <f t="shared" si="60"/>
        <v>0.3</v>
      </c>
      <c r="CQ24" s="468">
        <f t="shared" si="38"/>
        <v>0</v>
      </c>
      <c r="CR24" s="469"/>
      <c r="CS24" s="470">
        <f t="shared" si="39"/>
        <v>2330963.1</v>
      </c>
      <c r="CT24" s="465">
        <f t="shared" si="40"/>
        <v>0</v>
      </c>
      <c r="CU24" s="471">
        <f t="shared" si="41"/>
        <v>2330963.1</v>
      </c>
      <c r="CV24" s="472">
        <f t="shared" si="42"/>
        <v>0.3</v>
      </c>
      <c r="CY24" s="473">
        <v>0</v>
      </c>
      <c r="CZ24" s="474">
        <f t="shared" si="61"/>
        <v>2330963.1</v>
      </c>
      <c r="DA24" s="475">
        <f t="shared" si="62"/>
        <v>0.3</v>
      </c>
      <c r="DB24" s="1">
        <f t="shared" si="63"/>
        <v>0</v>
      </c>
      <c r="DC24" s="293">
        <f t="shared" si="64"/>
        <v>0.3</v>
      </c>
      <c r="DF24" s="476"/>
    </row>
    <row r="25" spans="1:110">
      <c r="A25" s="477" t="s">
        <v>99</v>
      </c>
      <c r="B25" s="428" t="s">
        <v>100</v>
      </c>
      <c r="C25" s="429"/>
      <c r="D25" s="91">
        <f>'Sizing - Reimb Exp-26'!B16</f>
        <v>4067447</v>
      </c>
      <c r="E25" s="92">
        <f>'Ridership-26'!$E16</f>
        <v>259346</v>
      </c>
      <c r="F25" s="92">
        <f>'Revenue Hours-26'!$E16</f>
        <v>34940</v>
      </c>
      <c r="G25" s="92">
        <f>'Revenue Miles-26'!$E16</f>
        <v>565576</v>
      </c>
      <c r="H25" s="430">
        <f t="shared" si="0"/>
        <v>6.6175802316312017E-3</v>
      </c>
      <c r="I25" s="431">
        <f t="shared" si="1"/>
        <v>6.6175802316312017E-3</v>
      </c>
      <c r="J25" s="432"/>
      <c r="K25" s="433">
        <f>'Ridership-26'!B16/'Revenue Hours-26'!B16</f>
        <v>5.7639186016175321</v>
      </c>
      <c r="L25" s="434">
        <f>'Ridership-26'!C16/'Revenue Hours-26'!C16</f>
        <v>6.4797153630255435</v>
      </c>
      <c r="M25" s="434">
        <f>'Ridership-26'!D16/'Revenue Hours-26'!D16</f>
        <v>7.8693923906871097</v>
      </c>
      <c r="N25" s="434">
        <f>'Ridership-26'!E16/'Revenue Hours-26'!E16</f>
        <v>7.4226101888952494</v>
      </c>
      <c r="O25" s="435">
        <f t="shared" si="2"/>
        <v>0.92653452379767975</v>
      </c>
      <c r="P25" s="436">
        <f t="shared" si="3"/>
        <v>6.1314165486073546E-3</v>
      </c>
      <c r="Q25" s="437">
        <f t="shared" si="4"/>
        <v>5.9259733272346302E-3</v>
      </c>
      <c r="R25" s="438">
        <f>'Ridership-26'!B16/'Revenue Miles-26'!B16</f>
        <v>0.39323250859241093</v>
      </c>
      <c r="S25" s="434">
        <f>'Ridership-26'!C16/'Revenue Miles-26'!C16</f>
        <v>0.42963025620782347</v>
      </c>
      <c r="T25" s="434">
        <f>'Ridership-26'!D16/'Revenue Miles-26'!D16</f>
        <v>0.50038763229943484</v>
      </c>
      <c r="U25" s="434">
        <f>'Ridership-26'!E16/'Revenue Miles-26'!E16</f>
        <v>0.45855198947621539</v>
      </c>
      <c r="V25" s="435">
        <f t="shared" si="5"/>
        <v>0.89996760816377319</v>
      </c>
      <c r="W25" s="436">
        <f t="shared" si="6"/>
        <v>5.9556078528930009E-3</v>
      </c>
      <c r="X25" s="437">
        <f t="shared" si="7"/>
        <v>5.7641040902040542E-3</v>
      </c>
      <c r="Y25" s="438">
        <f>'Op Cost-26'!B16/'Revenue Hours-26'!B16</f>
        <v>72.997808505087406</v>
      </c>
      <c r="Z25" s="434">
        <f>'Op Cost-26'!C16/'Revenue Hours-26'!C16</f>
        <v>89.842457403679873</v>
      </c>
      <c r="AA25" s="434">
        <f>'Op Cost-26'!D16/'Revenue Hours-26'!D16</f>
        <v>122.89167251227578</v>
      </c>
      <c r="AB25" s="434">
        <f>'Op Cost-26'!E16/'Revenue Hours-26'!E16</f>
        <v>116.41233543216943</v>
      </c>
      <c r="AC25" s="435">
        <f t="shared" si="8"/>
        <v>1.1275204801752217</v>
      </c>
      <c r="AD25" s="436">
        <f t="shared" si="9"/>
        <v>5.8691441512466365E-3</v>
      </c>
      <c r="AE25" s="437">
        <f t="shared" si="10"/>
        <v>5.879574203955149E-3</v>
      </c>
      <c r="AF25" s="438">
        <f>'Op Cost-26'!B16/'Revenue Miles-26'!B16</f>
        <v>4.9801382261276927</v>
      </c>
      <c r="AG25" s="434">
        <f>'Op Cost-26'!C16/'Revenue Miles-26'!C16</f>
        <v>5.9569033252504751</v>
      </c>
      <c r="AH25" s="434">
        <f>'Op Cost-26'!D16/'Revenue Miles-26'!D16</f>
        <v>7.8142593461864411</v>
      </c>
      <c r="AI25" s="434">
        <f>'Op Cost-26'!E16/'Revenue Miles-26'!E16</f>
        <v>7.1916895342093721</v>
      </c>
      <c r="AJ25" s="435">
        <f t="shared" si="11"/>
        <v>1.0962426841958166</v>
      </c>
      <c r="AK25" s="436">
        <f t="shared" si="12"/>
        <v>6.0366014998638152E-3</v>
      </c>
      <c r="AL25" s="437">
        <f t="shared" si="13"/>
        <v>6.0467968204271179E-3</v>
      </c>
      <c r="AM25" s="438">
        <f>'Op Cost-26'!B16/'Ridership-26'!B16</f>
        <v>12.664614743969837</v>
      </c>
      <c r="AN25" s="434">
        <f>'Op Cost-26'!C16/'Ridership-26'!C16</f>
        <v>13.865185794477576</v>
      </c>
      <c r="AO25" s="434">
        <f>'Op Cost-26'!D16/'Ridership-26'!D16</f>
        <v>15.616411841111102</v>
      </c>
      <c r="AP25" s="434">
        <f>'Op Cost-26'!E16/'Ridership-26'!E16</f>
        <v>15.683476899585882</v>
      </c>
      <c r="AQ25" s="439">
        <f t="shared" si="14"/>
        <v>1.21686915565862</v>
      </c>
      <c r="AR25" s="436">
        <f t="shared" si="15"/>
        <v>5.4382019635048542E-3</v>
      </c>
      <c r="AS25" s="440">
        <f t="shared" si="16"/>
        <v>5.4699717723630109E-3</v>
      </c>
      <c r="AT25" s="432"/>
      <c r="AU25" s="441">
        <f t="shared" si="17"/>
        <v>0</v>
      </c>
      <c r="AV25" s="442">
        <f t="shared" si="18"/>
        <v>0</v>
      </c>
      <c r="AW25" s="442">
        <f t="shared" si="19"/>
        <v>0</v>
      </c>
      <c r="AX25" s="442">
        <f t="shared" si="20"/>
        <v>0</v>
      </c>
      <c r="AY25" s="443">
        <f t="shared" si="21"/>
        <v>0</v>
      </c>
      <c r="AZ25" s="444">
        <f t="shared" si="43"/>
        <v>-1</v>
      </c>
      <c r="BA25" s="445">
        <f t="shared" si="22"/>
        <v>0</v>
      </c>
      <c r="BB25" s="446">
        <f t="shared" si="22"/>
        <v>0</v>
      </c>
      <c r="BC25" s="446">
        <f t="shared" si="22"/>
        <v>0</v>
      </c>
      <c r="BD25" s="446">
        <f t="shared" si="22"/>
        <v>0</v>
      </c>
      <c r="BE25" s="446">
        <f t="shared" si="22"/>
        <v>0</v>
      </c>
      <c r="BF25" s="447">
        <f t="shared" si="44"/>
        <v>796555.65452852997</v>
      </c>
      <c r="BH25" s="448">
        <f>'Op Cost-26'!E16</f>
        <v>4067447</v>
      </c>
      <c r="BI25" s="449">
        <f t="shared" si="23"/>
        <v>0.19583676309206485</v>
      </c>
      <c r="BJ25" s="450">
        <f t="shared" si="24"/>
        <v>796555.65452852997</v>
      </c>
      <c r="BK25" s="451">
        <f t="shared" si="25"/>
        <v>0</v>
      </c>
      <c r="BL25" s="1">
        <f t="shared" si="45"/>
        <v>0.72187767974250427</v>
      </c>
      <c r="BM25" s="112">
        <f t="shared" si="46"/>
        <v>0.70835467652392647</v>
      </c>
      <c r="BN25" s="112">
        <f t="shared" si="47"/>
        <v>0.64040367121178543</v>
      </c>
      <c r="BO25" s="113">
        <f t="shared" si="48"/>
        <v>0.7693761856171526</v>
      </c>
      <c r="BP25" s="452">
        <f t="shared" si="26"/>
        <v>796555.65452852997</v>
      </c>
      <c r="BQ25" s="115">
        <f t="shared" si="49"/>
        <v>4.7770834631197957E-3</v>
      </c>
      <c r="BR25" s="116">
        <f t="shared" si="50"/>
        <v>4.7770834631197957E-3</v>
      </c>
      <c r="BS25" s="453">
        <f t="shared" si="51"/>
        <v>5.0529750612608197E-3</v>
      </c>
      <c r="BT25" s="118">
        <f t="shared" si="52"/>
        <v>834373.91186496534</v>
      </c>
      <c r="BU25" s="119">
        <f t="shared" si="53"/>
        <v>1220234.0999999999</v>
      </c>
      <c r="BV25" s="119">
        <f t="shared" si="54"/>
        <v>834373.91186496534</v>
      </c>
      <c r="BW25" s="119">
        <f t="shared" si="65"/>
        <v>0</v>
      </c>
      <c r="BX25" s="120">
        <f t="shared" si="55"/>
        <v>4.7770834631197957E-3</v>
      </c>
      <c r="BY25" s="454">
        <f t="shared" si="56"/>
        <v>5.4468795373196419E-3</v>
      </c>
      <c r="BZ25" s="122">
        <f t="shared" si="57"/>
        <v>835924.64358360134</v>
      </c>
      <c r="CA25" s="455">
        <f t="shared" si="27"/>
        <v>7.0756765006791201E-3</v>
      </c>
      <c r="CB25" s="456">
        <f t="shared" si="28"/>
        <v>52956.872236231175</v>
      </c>
      <c r="CC25" s="456">
        <f t="shared" si="29"/>
        <v>849512.52676476119</v>
      </c>
      <c r="CD25" s="457">
        <f t="shared" si="30"/>
        <v>0.20885644650434565</v>
      </c>
      <c r="CE25" s="458">
        <f t="shared" si="31"/>
        <v>0</v>
      </c>
      <c r="CF25" s="17"/>
      <c r="CG25" s="459">
        <f t="shared" si="32"/>
        <v>4067447</v>
      </c>
      <c r="CH25" s="460">
        <f t="shared" si="58"/>
        <v>0.20885644650434565</v>
      </c>
      <c r="CI25" s="461">
        <f t="shared" si="33"/>
        <v>849512.52676476119</v>
      </c>
      <c r="CJ25" s="462">
        <f t="shared" si="34"/>
        <v>0</v>
      </c>
      <c r="CL25" s="463">
        <f t="shared" si="35"/>
        <v>849512.52676476119</v>
      </c>
      <c r="CM25" s="464">
        <f t="shared" si="36"/>
        <v>7.3042955062406784E-3</v>
      </c>
      <c r="CN25" s="465">
        <f t="shared" si="37"/>
        <v>1113.5122966977974</v>
      </c>
      <c r="CO25" s="466">
        <f t="shared" si="59"/>
        <v>850626.03906145901</v>
      </c>
      <c r="CP25" s="467">
        <f t="shared" si="60"/>
        <v>0.20913020847265104</v>
      </c>
      <c r="CQ25" s="468">
        <f t="shared" si="38"/>
        <v>0</v>
      </c>
      <c r="CR25" s="469"/>
      <c r="CS25" s="470">
        <f t="shared" si="39"/>
        <v>1220234.0999999999</v>
      </c>
      <c r="CT25" s="465">
        <f t="shared" si="40"/>
        <v>0</v>
      </c>
      <c r="CU25" s="471">
        <f t="shared" si="41"/>
        <v>850626.03906145901</v>
      </c>
      <c r="CV25" s="472">
        <f t="shared" si="42"/>
        <v>0.20913020847265104</v>
      </c>
      <c r="CY25" s="473">
        <v>0</v>
      </c>
      <c r="CZ25" s="474">
        <f t="shared" si="61"/>
        <v>850626.03906145901</v>
      </c>
      <c r="DA25" s="475">
        <f t="shared" si="62"/>
        <v>0.20913020847265104</v>
      </c>
      <c r="DB25" s="1">
        <f t="shared" si="63"/>
        <v>0</v>
      </c>
      <c r="DC25" s="293">
        <f t="shared" si="64"/>
        <v>0.20551580477473985</v>
      </c>
      <c r="DF25" s="476"/>
    </row>
    <row r="26" spans="1:110">
      <c r="A26" s="477" t="s">
        <v>99</v>
      </c>
      <c r="B26" s="428" t="s">
        <v>101</v>
      </c>
      <c r="C26" s="429"/>
      <c r="D26" s="91">
        <f>'Sizing - Reimb Exp-26'!B17</f>
        <v>698366</v>
      </c>
      <c r="E26" s="92">
        <f>'Ridership-26'!$E17</f>
        <v>96178</v>
      </c>
      <c r="F26" s="92">
        <f>'Revenue Hours-26'!$E17</f>
        <v>11193</v>
      </c>
      <c r="G26" s="92">
        <f>'Revenue Miles-26'!$E17</f>
        <v>168612</v>
      </c>
      <c r="H26" s="430">
        <f t="shared" si="0"/>
        <v>1.8055633828733177E-3</v>
      </c>
      <c r="I26" s="431">
        <f t="shared" si="1"/>
        <v>1.8055633828733177E-3</v>
      </c>
      <c r="J26" s="432"/>
      <c r="K26" s="433">
        <f>'Ridership-26'!B17/'Revenue Hours-26'!B17</f>
        <v>6.5520235467255334</v>
      </c>
      <c r="L26" s="434">
        <f>'Ridership-26'!C17/'Revenue Hours-26'!C17</f>
        <v>6.5625580805947452</v>
      </c>
      <c r="M26" s="434">
        <f>'Ridership-26'!D17/'Revenue Hours-26'!D17</f>
        <v>7.7980103806228378</v>
      </c>
      <c r="N26" s="434">
        <f>'Ridership-26'!E17/'Revenue Hours-26'!E17</f>
        <v>8.5926918609845444</v>
      </c>
      <c r="O26" s="435">
        <f t="shared" si="2"/>
        <v>0.93668954813722882</v>
      </c>
      <c r="P26" s="436">
        <f t="shared" si="3"/>
        <v>1.6912523492367342E-3</v>
      </c>
      <c r="Q26" s="437">
        <f t="shared" si="4"/>
        <v>1.6345841506195157E-3</v>
      </c>
      <c r="R26" s="438">
        <f>'Ridership-26'!B17/'Revenue Miles-26'!B17</f>
        <v>0.47317713453679738</v>
      </c>
      <c r="S26" s="434">
        <f>'Ridership-26'!C17/'Revenue Miles-26'!C17</f>
        <v>0.44629120011030743</v>
      </c>
      <c r="T26" s="434">
        <f>'Ridership-26'!D17/'Revenue Miles-26'!D17</f>
        <v>0.52648024202497345</v>
      </c>
      <c r="U26" s="434">
        <f>'Ridership-26'!E17/'Revenue Miles-26'!E17</f>
        <v>0.57041017246696557</v>
      </c>
      <c r="V26" s="435">
        <f t="shared" si="5"/>
        <v>0.91643691347378609</v>
      </c>
      <c r="W26" s="436">
        <f t="shared" si="6"/>
        <v>1.6546849336817112E-3</v>
      </c>
      <c r="X26" s="437">
        <f t="shared" si="7"/>
        <v>1.6014782084083487E-3</v>
      </c>
      <c r="Y26" s="438">
        <f>'Op Cost-26'!B17/'Revenue Hours-26'!B17</f>
        <v>45.519278881530539</v>
      </c>
      <c r="Z26" s="434">
        <f>'Op Cost-26'!C17/'Revenue Hours-26'!C17</f>
        <v>51.194390470558417</v>
      </c>
      <c r="AA26" s="434">
        <f>'Op Cost-26'!D17/'Revenue Hours-26'!D17</f>
        <v>60.816435986159171</v>
      </c>
      <c r="AB26" s="434">
        <f>'Op Cost-26'!E17/'Revenue Hours-26'!E17</f>
        <v>62.393102832127219</v>
      </c>
      <c r="AC26" s="435">
        <f t="shared" si="8"/>
        <v>1.0630086809606323</v>
      </c>
      <c r="AD26" s="436">
        <f t="shared" si="9"/>
        <v>1.6985405812882401E-3</v>
      </c>
      <c r="AE26" s="437">
        <f t="shared" si="10"/>
        <v>1.7015590567820856E-3</v>
      </c>
      <c r="AF26" s="438">
        <f>'Op Cost-26'!B17/'Revenue Miles-26'!B17</f>
        <v>3.2873328054671349</v>
      </c>
      <c r="AG26" s="434">
        <f>'Op Cost-26'!C17/'Revenue Miles-26'!C17</f>
        <v>3.4815091434513583</v>
      </c>
      <c r="AH26" s="434">
        <f>'Op Cost-26'!D17/'Revenue Miles-26'!D17</f>
        <v>4.1060027332936189</v>
      </c>
      <c r="AI26" s="434">
        <f>'Op Cost-26'!E17/'Revenue Miles-26'!E17</f>
        <v>4.1418522999549259</v>
      </c>
      <c r="AJ26" s="435">
        <f t="shared" si="11"/>
        <v>1.0382731642613201</v>
      </c>
      <c r="AK26" s="436">
        <f t="shared" si="12"/>
        <v>1.7390061161388936E-3</v>
      </c>
      <c r="AL26" s="437">
        <f t="shared" si="13"/>
        <v>1.7419431536120447E-3</v>
      </c>
      <c r="AM26" s="438">
        <f>'Op Cost-26'!B17/'Ridership-26'!B17</f>
        <v>6.9473619190943596</v>
      </c>
      <c r="AN26" s="434">
        <f>'Op Cost-26'!C17/'Ridership-26'!C17</f>
        <v>7.8009809348489334</v>
      </c>
      <c r="AO26" s="434">
        <f>'Op Cost-26'!D17/'Ridership-26'!D17</f>
        <v>7.7989683288035945</v>
      </c>
      <c r="AP26" s="434">
        <f>'Op Cost-26'!E17/'Ridership-26'!E17</f>
        <v>7.261182390983385</v>
      </c>
      <c r="AQ26" s="439">
        <f t="shared" si="14"/>
        <v>1.1577327465899605</v>
      </c>
      <c r="AR26" s="436">
        <f t="shared" si="15"/>
        <v>1.559568378964409E-3</v>
      </c>
      <c r="AS26" s="440">
        <f t="shared" si="16"/>
        <v>1.5686793295384093E-3</v>
      </c>
      <c r="AT26" s="432"/>
      <c r="AU26" s="441">
        <f t="shared" si="17"/>
        <v>0</v>
      </c>
      <c r="AV26" s="442">
        <f t="shared" si="18"/>
        <v>0</v>
      </c>
      <c r="AW26" s="442">
        <f t="shared" si="19"/>
        <v>0</v>
      </c>
      <c r="AX26" s="442">
        <f t="shared" si="20"/>
        <v>0</v>
      </c>
      <c r="AY26" s="443">
        <f t="shared" si="21"/>
        <v>0</v>
      </c>
      <c r="AZ26" s="444">
        <f t="shared" si="43"/>
        <v>-1</v>
      </c>
      <c r="BA26" s="445">
        <f t="shared" si="22"/>
        <v>0</v>
      </c>
      <c r="BB26" s="446">
        <f t="shared" si="22"/>
        <v>0</v>
      </c>
      <c r="BC26" s="446">
        <f t="shared" si="22"/>
        <v>0</v>
      </c>
      <c r="BD26" s="446">
        <f t="shared" si="22"/>
        <v>0</v>
      </c>
      <c r="BE26" s="446">
        <f t="shared" si="22"/>
        <v>0</v>
      </c>
      <c r="BF26" s="447">
        <f t="shared" si="44"/>
        <v>217334.98830325252</v>
      </c>
      <c r="BH26" s="448">
        <f>'Op Cost-26'!E17</f>
        <v>698366</v>
      </c>
      <c r="BI26" s="449">
        <f t="shared" si="23"/>
        <v>0.31120499609553232</v>
      </c>
      <c r="BJ26" s="450">
        <f t="shared" si="24"/>
        <v>209509.8</v>
      </c>
      <c r="BK26" s="451">
        <f t="shared" si="25"/>
        <v>7825.1883032525366</v>
      </c>
      <c r="BL26" s="1">
        <f t="shared" si="45"/>
        <v>1.1181047385361</v>
      </c>
      <c r="BM26" s="112">
        <f t="shared" si="46"/>
        <v>0.74359907388519053</v>
      </c>
      <c r="BN26" s="112">
        <f t="shared" si="47"/>
        <v>0.70720190205380984</v>
      </c>
      <c r="BO26" s="113">
        <f t="shared" si="48"/>
        <v>1.5108089891026999</v>
      </c>
      <c r="BP26" s="452">
        <f t="shared" si="26"/>
        <v>0</v>
      </c>
      <c r="BQ26" s="115">
        <f t="shared" si="49"/>
        <v>2.0188089741179274E-3</v>
      </c>
      <c r="BR26" s="116">
        <f t="shared" si="50"/>
        <v>0</v>
      </c>
      <c r="BS26" s="453">
        <f t="shared" si="51"/>
        <v>0</v>
      </c>
      <c r="BT26" s="118">
        <f t="shared" si="52"/>
        <v>209509.8</v>
      </c>
      <c r="BU26" s="119">
        <f t="shared" si="53"/>
        <v>209509.8</v>
      </c>
      <c r="BV26" s="119">
        <f t="shared" si="54"/>
        <v>209509.8</v>
      </c>
      <c r="BW26" s="119">
        <f>BT26-BV26</f>
        <v>0</v>
      </c>
      <c r="BX26" s="120">
        <f t="shared" si="55"/>
        <v>0</v>
      </c>
      <c r="BY26" s="454">
        <f t="shared" si="56"/>
        <v>0</v>
      </c>
      <c r="BZ26" s="122">
        <f t="shared" si="57"/>
        <v>209509.8</v>
      </c>
      <c r="CA26" s="455">
        <f t="shared" si="27"/>
        <v>0</v>
      </c>
      <c r="CB26" s="456">
        <f t="shared" si="28"/>
        <v>0</v>
      </c>
      <c r="CC26" s="456">
        <f t="shared" si="29"/>
        <v>209509.8</v>
      </c>
      <c r="CD26" s="457">
        <f t="shared" si="30"/>
        <v>0.3</v>
      </c>
      <c r="CE26" s="458">
        <f t="shared" si="31"/>
        <v>0</v>
      </c>
      <c r="CF26" s="17"/>
      <c r="CG26" s="459">
        <f t="shared" si="32"/>
        <v>698366</v>
      </c>
      <c r="CH26" s="460">
        <f t="shared" si="58"/>
        <v>0.3</v>
      </c>
      <c r="CI26" s="461">
        <f t="shared" si="33"/>
        <v>209509.8</v>
      </c>
      <c r="CJ26" s="462">
        <f t="shared" si="34"/>
        <v>0</v>
      </c>
      <c r="CL26" s="463">
        <f t="shared" si="35"/>
        <v>0</v>
      </c>
      <c r="CM26" s="464">
        <f t="shared" si="36"/>
        <v>0</v>
      </c>
      <c r="CN26" s="465">
        <f t="shared" si="37"/>
        <v>0</v>
      </c>
      <c r="CO26" s="466">
        <f t="shared" si="59"/>
        <v>209509.8</v>
      </c>
      <c r="CP26" s="467">
        <f t="shared" si="60"/>
        <v>0.3</v>
      </c>
      <c r="CQ26" s="468">
        <f t="shared" si="38"/>
        <v>0</v>
      </c>
      <c r="CR26" s="469"/>
      <c r="CS26" s="470">
        <f t="shared" si="39"/>
        <v>209509.8</v>
      </c>
      <c r="CT26" s="465">
        <f t="shared" si="40"/>
        <v>0</v>
      </c>
      <c r="CU26" s="471">
        <f t="shared" si="41"/>
        <v>209509.8</v>
      </c>
      <c r="CV26" s="472">
        <f t="shared" si="42"/>
        <v>0.3</v>
      </c>
      <c r="CY26" s="473">
        <v>0</v>
      </c>
      <c r="CZ26" s="474">
        <f t="shared" si="61"/>
        <v>209509.8</v>
      </c>
      <c r="DA26" s="475">
        <f t="shared" si="62"/>
        <v>0.3</v>
      </c>
      <c r="DB26" s="1">
        <f t="shared" si="63"/>
        <v>0</v>
      </c>
      <c r="DC26" s="293">
        <f t="shared" si="64"/>
        <v>0.3</v>
      </c>
      <c r="DF26" s="476"/>
    </row>
    <row r="27" spans="1:110">
      <c r="A27" s="477" t="s">
        <v>99</v>
      </c>
      <c r="B27" s="428" t="s">
        <v>102</v>
      </c>
      <c r="C27" s="429"/>
      <c r="D27" s="91">
        <f>'Sizing - Reimb Exp-26'!B18</f>
        <v>8378754</v>
      </c>
      <c r="E27" s="92">
        <f>'Ridership-26'!$E18</f>
        <v>585649</v>
      </c>
      <c r="F27" s="92">
        <f>'Revenue Hours-26'!$E18</f>
        <v>80007.260000000009</v>
      </c>
      <c r="G27" s="92">
        <f>'Revenue Miles-26'!$E18</f>
        <v>1157573.97</v>
      </c>
      <c r="H27" s="430">
        <f t="shared" si="0"/>
        <v>1.4211123404390978E-2</v>
      </c>
      <c r="I27" s="431">
        <f t="shared" si="1"/>
        <v>1.4211123404390978E-2</v>
      </c>
      <c r="J27" s="432"/>
      <c r="K27" s="433">
        <f>'Ridership-26'!B18/'Revenue Hours-26'!B18</f>
        <v>6.2106387495687709</v>
      </c>
      <c r="L27" s="434">
        <f>'Ridership-26'!C18/'Revenue Hours-26'!C18</f>
        <v>5.9993407953505891</v>
      </c>
      <c r="M27" s="434">
        <f>'Ridership-26'!D18/'Revenue Hours-26'!D18</f>
        <v>6.5244789507405869</v>
      </c>
      <c r="N27" s="434">
        <f>'Ridership-26'!E18/'Revenue Hours-26'!E18</f>
        <v>7.3199482146995152</v>
      </c>
      <c r="O27" s="435">
        <f t="shared" si="2"/>
        <v>0.90539464268492109</v>
      </c>
      <c r="P27" s="436">
        <f t="shared" si="3"/>
        <v>1.2866674996869889E-2</v>
      </c>
      <c r="Q27" s="437">
        <f t="shared" si="4"/>
        <v>1.2435555835619422E-2</v>
      </c>
      <c r="R27" s="438">
        <f>'Ridership-26'!B18/'Revenue Miles-26'!B18</f>
        <v>0.43710720015539234</v>
      </c>
      <c r="S27" s="434">
        <f>'Ridership-26'!C18/'Revenue Miles-26'!C18</f>
        <v>0.41539215330115964</v>
      </c>
      <c r="T27" s="434">
        <f>'Ridership-26'!D18/'Revenue Miles-26'!D18</f>
        <v>0.45126387982562621</v>
      </c>
      <c r="U27" s="434">
        <f>'Ridership-26'!E18/'Revenue Miles-26'!E18</f>
        <v>0.50592792787142582</v>
      </c>
      <c r="V27" s="435">
        <f t="shared" si="5"/>
        <v>0.90393113365152045</v>
      </c>
      <c r="W27" s="436">
        <f t="shared" si="6"/>
        <v>1.2845876889392791E-2</v>
      </c>
      <c r="X27" s="437">
        <f t="shared" si="7"/>
        <v>1.2432815146557806E-2</v>
      </c>
      <c r="Y27" s="438">
        <f>'Op Cost-26'!B18/'Revenue Hours-26'!B18</f>
        <v>88.890998593530242</v>
      </c>
      <c r="Z27" s="434">
        <f>'Op Cost-26'!C18/'Revenue Hours-26'!C18</f>
        <v>103.53699617930367</v>
      </c>
      <c r="AA27" s="434">
        <f>'Op Cost-26'!D18/'Revenue Hours-26'!D18</f>
        <v>108.98527619693715</v>
      </c>
      <c r="AB27" s="434">
        <f>'Op Cost-26'!E18/'Revenue Hours-26'!E18</f>
        <v>112.5272881486005</v>
      </c>
      <c r="AC27" s="435">
        <f t="shared" si="8"/>
        <v>1.0371555930389649</v>
      </c>
      <c r="AD27" s="436">
        <f t="shared" si="9"/>
        <v>1.3702016842768045E-2</v>
      </c>
      <c r="AE27" s="437">
        <f t="shared" si="10"/>
        <v>1.3726366689048895E-2</v>
      </c>
      <c r="AF27" s="438">
        <f>'Op Cost-26'!B18/'Revenue Miles-26'!B18</f>
        <v>6.2561834749980854</v>
      </c>
      <c r="AG27" s="434">
        <f>'Op Cost-26'!C18/'Revenue Miles-26'!C18</f>
        <v>7.168863589577354</v>
      </c>
      <c r="AH27" s="434">
        <f>'Op Cost-26'!D18/'Revenue Miles-26'!D18</f>
        <v>7.537938117635405</v>
      </c>
      <c r="AI27" s="434">
        <f>'Op Cost-26'!E18/'Revenue Miles-26'!E18</f>
        <v>7.7774727432753172</v>
      </c>
      <c r="AJ27" s="435">
        <f t="shared" si="11"/>
        <v>1.0360687752653082</v>
      </c>
      <c r="AK27" s="436">
        <f t="shared" si="12"/>
        <v>1.3716390015471615E-2</v>
      </c>
      <c r="AL27" s="437">
        <f t="shared" si="13"/>
        <v>1.3739555863537315E-2</v>
      </c>
      <c r="AM27" s="438">
        <f>'Op Cost-26'!B18/'Ridership-26'!B18</f>
        <v>14.312698287225656</v>
      </c>
      <c r="AN27" s="434">
        <f>'Op Cost-26'!C18/'Ridership-26'!C18</f>
        <v>17.258062129016487</v>
      </c>
      <c r="AO27" s="434">
        <f>'Op Cost-26'!D18/'Ridership-26'!D18</f>
        <v>16.704058212122263</v>
      </c>
      <c r="AP27" s="434">
        <f>'Op Cost-26'!E18/'Ridership-26'!E18</f>
        <v>15.372689102175535</v>
      </c>
      <c r="AQ27" s="435">
        <f t="shared" si="14"/>
        <v>1.1776106082937341</v>
      </c>
      <c r="AR27" s="436">
        <f t="shared" si="15"/>
        <v>1.2067761027545249E-2</v>
      </c>
      <c r="AS27" s="440">
        <f t="shared" si="16"/>
        <v>1.2138260516855119E-2</v>
      </c>
      <c r="AT27" s="432"/>
      <c r="AU27" s="441">
        <f t="shared" si="17"/>
        <v>0</v>
      </c>
      <c r="AV27" s="442">
        <f t="shared" si="18"/>
        <v>0</v>
      </c>
      <c r="AW27" s="442">
        <f t="shared" si="19"/>
        <v>0</v>
      </c>
      <c r="AX27" s="442">
        <f t="shared" si="20"/>
        <v>0</v>
      </c>
      <c r="AY27" s="443">
        <f t="shared" si="21"/>
        <v>0</v>
      </c>
      <c r="AZ27" s="444">
        <f t="shared" si="43"/>
        <v>-1</v>
      </c>
      <c r="BA27" s="445">
        <f t="shared" si="22"/>
        <v>0</v>
      </c>
      <c r="BB27" s="446">
        <f t="shared" si="22"/>
        <v>0</v>
      </c>
      <c r="BC27" s="446">
        <f t="shared" si="22"/>
        <v>0</v>
      </c>
      <c r="BD27" s="446">
        <f t="shared" si="22"/>
        <v>0</v>
      </c>
      <c r="BE27" s="446">
        <f t="shared" si="22"/>
        <v>0</v>
      </c>
      <c r="BF27" s="447">
        <f t="shared" si="44"/>
        <v>1710587.6028313832</v>
      </c>
      <c r="BH27" s="448">
        <f>'Op Cost-26'!E18</f>
        <v>9003000</v>
      </c>
      <c r="BI27" s="449">
        <f t="shared" si="23"/>
        <v>0.19000195521841423</v>
      </c>
      <c r="BJ27" s="450">
        <f t="shared" si="24"/>
        <v>1710587.6028313832</v>
      </c>
      <c r="BK27" s="451">
        <f t="shared" si="25"/>
        <v>0</v>
      </c>
      <c r="BL27" s="1">
        <f t="shared" si="45"/>
        <v>0.66907444690671536</v>
      </c>
      <c r="BM27" s="112">
        <f t="shared" si="46"/>
        <v>0.64502078390837014</v>
      </c>
      <c r="BN27" s="112">
        <f t="shared" si="47"/>
        <v>0.63063667575506666</v>
      </c>
      <c r="BO27" s="113">
        <f t="shared" si="48"/>
        <v>0.70032016398171237</v>
      </c>
      <c r="BP27" s="452">
        <f t="shared" si="26"/>
        <v>1710587.6028313832</v>
      </c>
      <c r="BQ27" s="115">
        <f t="shared" si="49"/>
        <v>9.5082995317159712E-3</v>
      </c>
      <c r="BR27" s="116">
        <f t="shared" si="50"/>
        <v>9.5082995317159712E-3</v>
      </c>
      <c r="BS27" s="453">
        <f t="shared" si="51"/>
        <v>1.0057433741670821E-2</v>
      </c>
      <c r="BT27" s="118">
        <f t="shared" si="52"/>
        <v>1785861.0037042047</v>
      </c>
      <c r="BU27" s="119">
        <f t="shared" si="53"/>
        <v>2700900</v>
      </c>
      <c r="BV27" s="119">
        <f t="shared" si="54"/>
        <v>1785861.0037042047</v>
      </c>
      <c r="BW27" s="119">
        <f t="shared" si="65"/>
        <v>0</v>
      </c>
      <c r="BX27" s="120">
        <f t="shared" si="55"/>
        <v>9.5082995317159712E-3</v>
      </c>
      <c r="BY27" s="454">
        <f t="shared" si="56"/>
        <v>1.0841460601190024E-2</v>
      </c>
      <c r="BZ27" s="122">
        <f t="shared" si="57"/>
        <v>1788947.5777169799</v>
      </c>
      <c r="CA27" s="455">
        <f t="shared" si="27"/>
        <v>1.5194876133132185E-2</v>
      </c>
      <c r="CB27" s="456">
        <f t="shared" si="28"/>
        <v>113723.84166381933</v>
      </c>
      <c r="CC27" s="456">
        <f t="shared" si="29"/>
        <v>1824311.4444952025</v>
      </c>
      <c r="CD27" s="457">
        <f t="shared" si="30"/>
        <v>0.20263372703489976</v>
      </c>
      <c r="CE27" s="458">
        <f t="shared" si="31"/>
        <v>0</v>
      </c>
      <c r="CF27" s="17"/>
      <c r="CG27" s="459">
        <f t="shared" si="32"/>
        <v>9003000</v>
      </c>
      <c r="CH27" s="460">
        <f t="shared" si="58"/>
        <v>0.20263372703489976</v>
      </c>
      <c r="CI27" s="461">
        <f t="shared" si="33"/>
        <v>1824311.4444952025</v>
      </c>
      <c r="CJ27" s="462">
        <f t="shared" si="34"/>
        <v>0</v>
      </c>
      <c r="CL27" s="463">
        <f t="shared" si="35"/>
        <v>1824311.4444952025</v>
      </c>
      <c r="CM27" s="464">
        <f t="shared" si="36"/>
        <v>1.5685830951495391E-2</v>
      </c>
      <c r="CN27" s="465">
        <f t="shared" si="37"/>
        <v>2391.2457585389357</v>
      </c>
      <c r="CO27" s="466">
        <f t="shared" si="59"/>
        <v>1826702.6902537413</v>
      </c>
      <c r="CP27" s="467">
        <f t="shared" si="60"/>
        <v>0.20289933247292474</v>
      </c>
      <c r="CQ27" s="468">
        <f t="shared" si="38"/>
        <v>0</v>
      </c>
      <c r="CR27" s="469"/>
      <c r="CS27" s="470">
        <f t="shared" si="39"/>
        <v>2700900</v>
      </c>
      <c r="CT27" s="465">
        <f t="shared" si="40"/>
        <v>0</v>
      </c>
      <c r="CU27" s="471">
        <f t="shared" si="41"/>
        <v>1826702.6902537413</v>
      </c>
      <c r="CV27" s="472">
        <f t="shared" si="42"/>
        <v>0.20289933247292474</v>
      </c>
      <c r="CY27" s="473">
        <v>0</v>
      </c>
      <c r="CZ27" s="474">
        <f t="shared" si="61"/>
        <v>1826702.6902537413</v>
      </c>
      <c r="DA27" s="475">
        <f t="shared" si="62"/>
        <v>0.20289933247292474</v>
      </c>
      <c r="DB27" s="1">
        <f t="shared" si="63"/>
        <v>0</v>
      </c>
      <c r="DC27" s="293">
        <f t="shared" si="64"/>
        <v>0.19870571784038429</v>
      </c>
      <c r="DF27" s="476"/>
    </row>
    <row r="28" spans="1:110">
      <c r="A28" s="477" t="s">
        <v>99</v>
      </c>
      <c r="B28" s="428" t="s">
        <v>103</v>
      </c>
      <c r="C28" s="429"/>
      <c r="D28" s="91">
        <f>'Sizing - Reimb Exp-26'!B19</f>
        <v>165710</v>
      </c>
      <c r="E28" s="92">
        <f>'Ridership-26'!$E19</f>
        <v>15318</v>
      </c>
      <c r="F28" s="92">
        <f>'Revenue Hours-26'!$E19</f>
        <v>3004</v>
      </c>
      <c r="G28" s="92">
        <f>'Revenue Miles-26'!$E19</f>
        <v>50699</v>
      </c>
      <c r="H28" s="478">
        <f t="shared" si="0"/>
        <v>4.1441029273910611E-4</v>
      </c>
      <c r="I28" s="431">
        <f t="shared" si="1"/>
        <v>4.1441029273910611E-4</v>
      </c>
      <c r="J28" s="432"/>
      <c r="K28" s="433">
        <f>'Ridership-26'!B19/'Revenue Hours-26'!B19</f>
        <v>4.686815011624045</v>
      </c>
      <c r="L28" s="434">
        <f>'Ridership-26'!C19/'Revenue Hours-26'!C19</f>
        <v>4.8892540256325994</v>
      </c>
      <c r="M28" s="434">
        <f>'Ridership-26'!D19/'Revenue Hours-26'!D19</f>
        <v>4.7219286657859971</v>
      </c>
      <c r="N28" s="434">
        <f>'Ridership-26'!E19/'Revenue Hours-26'!E19</f>
        <v>5.099201065246338</v>
      </c>
      <c r="O28" s="435">
        <f t="shared" si="2"/>
        <v>0.87823638966897821</v>
      </c>
      <c r="P28" s="436">
        <f t="shared" si="3"/>
        <v>3.639501993368569E-4</v>
      </c>
      <c r="Q28" s="437">
        <f t="shared" si="4"/>
        <v>3.5175544780134232E-4</v>
      </c>
      <c r="R28" s="438">
        <f>'Ridership-26'!B19/'Revenue Miles-26'!B19</f>
        <v>0.28707433174661295</v>
      </c>
      <c r="S28" s="434">
        <f>'Ridership-26'!C19/'Revenue Miles-26'!C19</f>
        <v>0.30552817479875144</v>
      </c>
      <c r="T28" s="434">
        <f>'Ridership-26'!D19/'Revenue Miles-26'!D19</f>
        <v>0.29334044561158756</v>
      </c>
      <c r="U28" s="434">
        <f>'Ridership-26'!E19/'Revenue Miles-26'!E19</f>
        <v>0.30213613680743212</v>
      </c>
      <c r="V28" s="435">
        <f t="shared" si="5"/>
        <v>0.87051960662416128</v>
      </c>
      <c r="W28" s="436">
        <f t="shared" si="6"/>
        <v>3.6075228501625018E-4</v>
      </c>
      <c r="X28" s="437">
        <f t="shared" si="7"/>
        <v>3.4915222307703295E-4</v>
      </c>
      <c r="Y28" s="438">
        <f>'Op Cost-26'!B19/'Revenue Hours-26'!B19</f>
        <v>38.42344735968117</v>
      </c>
      <c r="Z28" s="434">
        <f>'Op Cost-26'!C19/'Revenue Hours-26'!C19</f>
        <v>35.43739730529083</v>
      </c>
      <c r="AA28" s="434">
        <f>'Op Cost-26'!D19/'Revenue Hours-26'!D19</f>
        <v>58.537318361955087</v>
      </c>
      <c r="AB28" s="434">
        <f>'Op Cost-26'!E19/'Revenue Hours-26'!E19</f>
        <v>55.163115845539281</v>
      </c>
      <c r="AC28" s="435">
        <f t="shared" si="8"/>
        <v>1.1105520609683832</v>
      </c>
      <c r="AD28" s="436">
        <f t="shared" si="9"/>
        <v>3.7315701559974339E-4</v>
      </c>
      <c r="AE28" s="437">
        <f t="shared" si="10"/>
        <v>3.7382015271836911E-4</v>
      </c>
      <c r="AF28" s="438">
        <f>'Op Cost-26'!B19/'Revenue Miles-26'!B19</f>
        <v>2.3534928190731925</v>
      </c>
      <c r="AG28" s="434">
        <f>'Op Cost-26'!C19/'Revenue Miles-26'!C19</f>
        <v>2.2144734680466569</v>
      </c>
      <c r="AH28" s="434">
        <f>'Op Cost-26'!D19/'Revenue Miles-26'!D19</f>
        <v>3.6365147101062738</v>
      </c>
      <c r="AI28" s="434">
        <f>'Op Cost-26'!E19/'Revenue Miles-26'!E19</f>
        <v>3.2685062821751907</v>
      </c>
      <c r="AJ28" s="435">
        <f t="shared" si="11"/>
        <v>1.1037169090605909</v>
      </c>
      <c r="AK28" s="436">
        <f t="shared" si="12"/>
        <v>3.7546792056653738E-4</v>
      </c>
      <c r="AL28" s="437">
        <f t="shared" si="13"/>
        <v>3.7610205482428141E-4</v>
      </c>
      <c r="AM28" s="438">
        <f>'Op Cost-26'!B19/'Ridership-26'!B19</f>
        <v>8.1982001133786842</v>
      </c>
      <c r="AN28" s="434">
        <f>'Op Cost-26'!C19/'Ridership-26'!C19</f>
        <v>7.2480172066137918</v>
      </c>
      <c r="AO28" s="434">
        <f>'Op Cost-26'!D19/'Ridership-26'!D19</f>
        <v>12.396908658553643</v>
      </c>
      <c r="AP28" s="434">
        <f>'Op Cost-26'!E19/'Ridership-26'!E19</f>
        <v>10.817991904948427</v>
      </c>
      <c r="AQ28" s="439">
        <f t="shared" si="14"/>
        <v>1.2936229881858146</v>
      </c>
      <c r="AR28" s="436">
        <f t="shared" si="15"/>
        <v>3.2034858418856474E-4</v>
      </c>
      <c r="AS28" s="440">
        <f t="shared" si="16"/>
        <v>3.2222005077916789E-4</v>
      </c>
      <c r="AT28" s="432"/>
      <c r="AU28" s="441">
        <f t="shared" si="17"/>
        <v>0</v>
      </c>
      <c r="AV28" s="442">
        <f t="shared" si="18"/>
        <v>0</v>
      </c>
      <c r="AW28" s="442">
        <f t="shared" si="19"/>
        <v>0</v>
      </c>
      <c r="AX28" s="442">
        <f t="shared" si="20"/>
        <v>0</v>
      </c>
      <c r="AY28" s="443">
        <f t="shared" si="21"/>
        <v>0</v>
      </c>
      <c r="AZ28" s="444">
        <f t="shared" si="43"/>
        <v>-1</v>
      </c>
      <c r="BA28" s="445">
        <f t="shared" si="22"/>
        <v>0</v>
      </c>
      <c r="BB28" s="446">
        <f t="shared" si="22"/>
        <v>0</v>
      </c>
      <c r="BC28" s="446">
        <f t="shared" si="22"/>
        <v>0</v>
      </c>
      <c r="BD28" s="446">
        <f t="shared" si="22"/>
        <v>0</v>
      </c>
      <c r="BE28" s="446">
        <f t="shared" si="22"/>
        <v>0</v>
      </c>
      <c r="BF28" s="447">
        <f t="shared" si="44"/>
        <v>49882.411761072086</v>
      </c>
      <c r="BH28" s="448">
        <f>'Op Cost-26'!E19</f>
        <v>165710</v>
      </c>
      <c r="BI28" s="449">
        <f t="shared" si="23"/>
        <v>0.30102233879109341</v>
      </c>
      <c r="BJ28" s="450">
        <f t="shared" si="24"/>
        <v>49713</v>
      </c>
      <c r="BK28" s="451">
        <f t="shared" si="25"/>
        <v>169.41176107208594</v>
      </c>
      <c r="BL28" s="1">
        <f t="shared" si="45"/>
        <v>0.82791078447065525</v>
      </c>
      <c r="BM28" s="112">
        <f t="shared" si="46"/>
        <v>0.48146255460879034</v>
      </c>
      <c r="BN28" s="112">
        <f t="shared" si="47"/>
        <v>0.41768161588658659</v>
      </c>
      <c r="BO28" s="113">
        <f t="shared" si="48"/>
        <v>1.2062494836936219</v>
      </c>
      <c r="BP28" s="452">
        <f t="shared" si="26"/>
        <v>0</v>
      </c>
      <c r="BQ28" s="115">
        <f t="shared" si="49"/>
        <v>3.4309475055434725E-4</v>
      </c>
      <c r="BR28" s="116">
        <f t="shared" si="50"/>
        <v>0</v>
      </c>
      <c r="BS28" s="453">
        <f t="shared" si="51"/>
        <v>0</v>
      </c>
      <c r="BT28" s="118">
        <f t="shared" si="52"/>
        <v>49713</v>
      </c>
      <c r="BU28" s="119">
        <f t="shared" si="53"/>
        <v>49713</v>
      </c>
      <c r="BV28" s="119">
        <f t="shared" si="54"/>
        <v>49713</v>
      </c>
      <c r="BW28" s="119">
        <f t="shared" si="65"/>
        <v>0</v>
      </c>
      <c r="BX28" s="120">
        <f t="shared" si="55"/>
        <v>0</v>
      </c>
      <c r="BY28" s="454">
        <f t="shared" si="56"/>
        <v>0</v>
      </c>
      <c r="BZ28" s="122">
        <f t="shared" si="57"/>
        <v>49713</v>
      </c>
      <c r="CA28" s="455">
        <f t="shared" si="27"/>
        <v>0</v>
      </c>
      <c r="CB28" s="456">
        <f t="shared" si="28"/>
        <v>0</v>
      </c>
      <c r="CC28" s="456">
        <f t="shared" si="29"/>
        <v>49713</v>
      </c>
      <c r="CD28" s="457">
        <f t="shared" si="30"/>
        <v>0.3</v>
      </c>
      <c r="CE28" s="458">
        <f t="shared" si="31"/>
        <v>0</v>
      </c>
      <c r="CF28" s="17"/>
      <c r="CG28" s="459">
        <f t="shared" si="32"/>
        <v>165710</v>
      </c>
      <c r="CH28" s="460">
        <f t="shared" si="58"/>
        <v>0.3</v>
      </c>
      <c r="CI28" s="461">
        <f t="shared" si="33"/>
        <v>49713</v>
      </c>
      <c r="CJ28" s="462">
        <f t="shared" si="34"/>
        <v>0</v>
      </c>
      <c r="CL28" s="463">
        <f t="shared" si="35"/>
        <v>0</v>
      </c>
      <c r="CM28" s="464">
        <f t="shared" si="36"/>
        <v>0</v>
      </c>
      <c r="CN28" s="465">
        <f t="shared" si="37"/>
        <v>0</v>
      </c>
      <c r="CO28" s="466">
        <f t="shared" si="59"/>
        <v>49713</v>
      </c>
      <c r="CP28" s="467">
        <f t="shared" si="60"/>
        <v>0.3</v>
      </c>
      <c r="CQ28" s="468">
        <f t="shared" si="38"/>
        <v>0</v>
      </c>
      <c r="CR28" s="469"/>
      <c r="CS28" s="470">
        <f t="shared" si="39"/>
        <v>49713</v>
      </c>
      <c r="CT28" s="465">
        <f t="shared" si="40"/>
        <v>0</v>
      </c>
      <c r="CU28" s="471">
        <f t="shared" si="41"/>
        <v>49713</v>
      </c>
      <c r="CV28" s="472">
        <f t="shared" si="42"/>
        <v>0.3</v>
      </c>
      <c r="CY28" s="473">
        <v>0</v>
      </c>
      <c r="CZ28" s="474">
        <f t="shared" si="61"/>
        <v>49713</v>
      </c>
      <c r="DA28" s="475">
        <f t="shared" si="62"/>
        <v>0.3</v>
      </c>
      <c r="DB28" s="1">
        <f t="shared" si="63"/>
        <v>0</v>
      </c>
      <c r="DC28" s="293">
        <f t="shared" si="64"/>
        <v>0.3</v>
      </c>
      <c r="DF28" s="476"/>
    </row>
    <row r="29" spans="1:110">
      <c r="A29" s="477" t="s">
        <v>104</v>
      </c>
      <c r="B29" s="428" t="s">
        <v>105</v>
      </c>
      <c r="C29" s="429"/>
      <c r="D29" s="91">
        <f>'Sizing - Reimb Exp-26'!B20</f>
        <v>25291520</v>
      </c>
      <c r="E29" s="92">
        <f>'Ridership-26'!$E20</f>
        <v>690827</v>
      </c>
      <c r="F29" s="92">
        <f>'Revenue Hours-26'!$E20</f>
        <v>172995.92</v>
      </c>
      <c r="G29" s="92">
        <f>'Revenue Miles-26'!$E20</f>
        <v>3894172</v>
      </c>
      <c r="H29" s="478">
        <f t="shared" si="0"/>
        <v>3.4511391754366877E-2</v>
      </c>
      <c r="I29" s="431">
        <f t="shared" si="1"/>
        <v>3.4511391754366877E-2</v>
      </c>
      <c r="J29" s="432"/>
      <c r="K29" s="433">
        <f>'Ridership-26'!B20/'Revenue Hours-26'!B20</f>
        <v>3.470492023892092</v>
      </c>
      <c r="L29" s="434">
        <f>'Ridership-26'!C20/'Revenue Hours-26'!C20</f>
        <v>4.2679119210326499</v>
      </c>
      <c r="M29" s="434">
        <f>'Ridership-26'!D20/'Revenue Hours-26'!D20</f>
        <v>4.451152820443574</v>
      </c>
      <c r="N29" s="434">
        <f>'Ridership-26'!E20/'Revenue Hours-26'!E20</f>
        <v>3.9933138307539271</v>
      </c>
      <c r="O29" s="435">
        <f t="shared" si="2"/>
        <v>0.89152476012892912</v>
      </c>
      <c r="P29" s="436">
        <f t="shared" si="3"/>
        <v>3.0767760255527431E-2</v>
      </c>
      <c r="Q29" s="437">
        <f t="shared" si="4"/>
        <v>2.9736835716114927E-2</v>
      </c>
      <c r="R29" s="438">
        <f>'Ridership-26'!B20/'Revenue Miles-26'!B20</f>
        <v>0.16305901321605187</v>
      </c>
      <c r="S29" s="434">
        <f>'Ridership-26'!C20/'Revenue Miles-26'!C20</f>
        <v>0.18749795684455406</v>
      </c>
      <c r="T29" s="434">
        <f>'Ridership-26'!D20/'Revenue Miles-26'!D20</f>
        <v>0.20352598918826306</v>
      </c>
      <c r="U29" s="434">
        <f>'Ridership-26'!E20/'Revenue Miles-26'!E20</f>
        <v>0.17740022782763576</v>
      </c>
      <c r="V29" s="435">
        <f t="shared" si="5"/>
        <v>0.87910488190980651</v>
      </c>
      <c r="W29" s="436">
        <f t="shared" si="6"/>
        <v>3.0339132972765765E-2</v>
      </c>
      <c r="X29" s="437">
        <f t="shared" si="7"/>
        <v>2.9363572078812239E-2</v>
      </c>
      <c r="Y29" s="438">
        <f>'Op Cost-26'!B20/'Revenue Hours-26'!B20</f>
        <v>179.69728056645377</v>
      </c>
      <c r="Z29" s="434">
        <f>'Op Cost-26'!C20/'Revenue Hours-26'!C20</f>
        <v>158.41301948873704</v>
      </c>
      <c r="AA29" s="434">
        <f>'Op Cost-26'!D20/'Revenue Hours-26'!D20</f>
        <v>159.2898254734497</v>
      </c>
      <c r="AB29" s="434">
        <f>'Op Cost-26'!E20/'Revenue Hours-26'!E20</f>
        <v>146.19720511327665</v>
      </c>
      <c r="AC29" s="435">
        <f t="shared" si="8"/>
        <v>0.89241794556285381</v>
      </c>
      <c r="AD29" s="436">
        <f t="shared" si="9"/>
        <v>3.867178145168329E-2</v>
      </c>
      <c r="AE29" s="437">
        <f t="shared" si="10"/>
        <v>3.8740505052344464E-2</v>
      </c>
      <c r="AF29" s="438">
        <f>'Op Cost-26'!B20/'Revenue Miles-26'!B20</f>
        <v>8.4429703468712045</v>
      </c>
      <c r="AG29" s="434">
        <f>'Op Cost-26'!C20/'Revenue Miles-26'!C20</f>
        <v>6.9594026402794391</v>
      </c>
      <c r="AH29" s="434">
        <f>'Op Cost-26'!D20/'Revenue Miles-26'!D20</f>
        <v>7.2834208585718461</v>
      </c>
      <c r="AI29" s="434">
        <f>'Op Cost-26'!E20/'Revenue Miles-26'!E20</f>
        <v>6.4947105572121622</v>
      </c>
      <c r="AJ29" s="435">
        <f t="shared" si="11"/>
        <v>0.88136384841768123</v>
      </c>
      <c r="AK29" s="436">
        <f t="shared" si="12"/>
        <v>3.9156804328116503E-2</v>
      </c>
      <c r="AL29" s="437">
        <f t="shared" si="13"/>
        <v>3.9222936931431245E-2</v>
      </c>
      <c r="AM29" s="438">
        <f>'Op Cost-26'!B20/'Ridership-26'!B20</f>
        <v>51.778617939287642</v>
      </c>
      <c r="AN29" s="434">
        <f>'Op Cost-26'!C20/'Ridership-26'!C20</f>
        <v>37.117218541475417</v>
      </c>
      <c r="AO29" s="434">
        <f>'Op Cost-26'!D20/'Ridership-26'!D20</f>
        <v>35.786195599003463</v>
      </c>
      <c r="AP29" s="434">
        <f>'Op Cost-26'!E20/'Ridership-26'!E20</f>
        <v>36.610497273557634</v>
      </c>
      <c r="AQ29" s="435">
        <f t="shared" si="14"/>
        <v>1.0046673128501329</v>
      </c>
      <c r="AR29" s="436">
        <f t="shared" si="15"/>
        <v>3.4351064589193986E-2</v>
      </c>
      <c r="AS29" s="440">
        <f t="shared" si="16"/>
        <v>3.4551742453568395E-2</v>
      </c>
      <c r="AT29" s="432"/>
      <c r="AU29" s="441">
        <f t="shared" si="17"/>
        <v>0</v>
      </c>
      <c r="AV29" s="442">
        <f t="shared" si="18"/>
        <v>0</v>
      </c>
      <c r="AW29" s="442">
        <f t="shared" si="19"/>
        <v>0</v>
      </c>
      <c r="AX29" s="442">
        <f t="shared" si="20"/>
        <v>0</v>
      </c>
      <c r="AY29" s="443">
        <f t="shared" si="21"/>
        <v>0</v>
      </c>
      <c r="AZ29" s="444">
        <f t="shared" si="43"/>
        <v>-1</v>
      </c>
      <c r="BA29" s="445">
        <f t="shared" si="22"/>
        <v>0</v>
      </c>
      <c r="BB29" s="446">
        <f t="shared" si="22"/>
        <v>0</v>
      </c>
      <c r="BC29" s="446">
        <f t="shared" si="22"/>
        <v>0</v>
      </c>
      <c r="BD29" s="446">
        <f t="shared" si="22"/>
        <v>0</v>
      </c>
      <c r="BE29" s="446">
        <f t="shared" si="22"/>
        <v>0</v>
      </c>
      <c r="BF29" s="447">
        <f t="shared" si="44"/>
        <v>4154123.3026824985</v>
      </c>
      <c r="BH29" s="448">
        <f>'Op Cost-26'!E20</f>
        <v>25291520</v>
      </c>
      <c r="BI29" s="449">
        <f t="shared" si="23"/>
        <v>0.16424964979101686</v>
      </c>
      <c r="BJ29" s="450">
        <f t="shared" si="24"/>
        <v>4154123.3026824985</v>
      </c>
      <c r="BK29" s="451">
        <f t="shared" si="25"/>
        <v>0</v>
      </c>
      <c r="BL29" s="1">
        <f t="shared" si="45"/>
        <v>0.32782868757937356</v>
      </c>
      <c r="BM29" s="112">
        <f t="shared" si="46"/>
        <v>0.41718683354150299</v>
      </c>
      <c r="BN29" s="112">
        <f t="shared" si="47"/>
        <v>0.26346022962069937</v>
      </c>
      <c r="BO29" s="113">
        <f t="shared" si="48"/>
        <v>0.31533384357764593</v>
      </c>
      <c r="BP29" s="452">
        <f t="shared" si="26"/>
        <v>4154123.3026824985</v>
      </c>
      <c r="BQ29" s="115">
        <f t="shared" si="49"/>
        <v>1.1313824265371707E-2</v>
      </c>
      <c r="BR29" s="116">
        <f t="shared" si="50"/>
        <v>1.1313824265371707E-2</v>
      </c>
      <c r="BS29" s="453">
        <f t="shared" si="51"/>
        <v>1.1967233208664817E-2</v>
      </c>
      <c r="BT29" s="118">
        <f t="shared" si="52"/>
        <v>4243690.3200541409</v>
      </c>
      <c r="BU29" s="119">
        <f t="shared" si="53"/>
        <v>7587456</v>
      </c>
      <c r="BV29" s="119">
        <f t="shared" si="54"/>
        <v>4243690.3200541409</v>
      </c>
      <c r="BW29" s="119">
        <f t="shared" si="65"/>
        <v>0</v>
      </c>
      <c r="BX29" s="120">
        <f t="shared" si="55"/>
        <v>1.1313824265371707E-2</v>
      </c>
      <c r="BY29" s="454">
        <f t="shared" si="56"/>
        <v>1.2900138411992029E-2</v>
      </c>
      <c r="BZ29" s="122">
        <f t="shared" si="57"/>
        <v>4247363.0015726518</v>
      </c>
      <c r="CA29" s="455">
        <f t="shared" si="27"/>
        <v>3.6900413005179815E-2</v>
      </c>
      <c r="CB29" s="456">
        <f t="shared" si="28"/>
        <v>276175.77722666011</v>
      </c>
      <c r="CC29" s="456">
        <f t="shared" si="29"/>
        <v>4430299.0799091589</v>
      </c>
      <c r="CD29" s="457">
        <f t="shared" si="30"/>
        <v>0.17516934845786883</v>
      </c>
      <c r="CE29" s="458">
        <f t="shared" si="31"/>
        <v>0</v>
      </c>
      <c r="CF29" s="17"/>
      <c r="CG29" s="459">
        <f t="shared" si="32"/>
        <v>25291520</v>
      </c>
      <c r="CH29" s="460">
        <f t="shared" si="58"/>
        <v>0.17516934845786883</v>
      </c>
      <c r="CI29" s="461">
        <f t="shared" si="33"/>
        <v>4430299.0799091589</v>
      </c>
      <c r="CJ29" s="462">
        <f t="shared" si="34"/>
        <v>0</v>
      </c>
      <c r="CL29" s="463">
        <f t="shared" si="35"/>
        <v>4430299.0799091589</v>
      </c>
      <c r="CM29" s="464">
        <f t="shared" si="36"/>
        <v>3.8092685676951246E-2</v>
      </c>
      <c r="CN29" s="465">
        <f t="shared" si="37"/>
        <v>5807.0862384043903</v>
      </c>
      <c r="CO29" s="466">
        <f t="shared" si="59"/>
        <v>4436106.1661475636</v>
      </c>
      <c r="CP29" s="467">
        <f t="shared" si="60"/>
        <v>0.17539895451706988</v>
      </c>
      <c r="CQ29" s="468">
        <f t="shared" si="38"/>
        <v>0</v>
      </c>
      <c r="CR29" s="469"/>
      <c r="CS29" s="470">
        <f t="shared" si="39"/>
        <v>7587456</v>
      </c>
      <c r="CT29" s="465">
        <f t="shared" si="40"/>
        <v>0</v>
      </c>
      <c r="CU29" s="471">
        <f t="shared" si="41"/>
        <v>4436106.1661475636</v>
      </c>
      <c r="CV29" s="472">
        <f t="shared" si="42"/>
        <v>0.17539895451706988</v>
      </c>
      <c r="CY29" s="473">
        <v>0</v>
      </c>
      <c r="CZ29" s="474">
        <f t="shared" si="61"/>
        <v>4436106.1661475636</v>
      </c>
      <c r="DA29" s="475">
        <f t="shared" si="62"/>
        <v>0.17539895451706988</v>
      </c>
      <c r="DB29" s="1">
        <f t="shared" si="63"/>
        <v>0</v>
      </c>
      <c r="DC29" s="293">
        <f t="shared" si="64"/>
        <v>0.16793624904998403</v>
      </c>
      <c r="DF29" s="476"/>
    </row>
    <row r="30" spans="1:110">
      <c r="A30" s="477" t="s">
        <v>104</v>
      </c>
      <c r="B30" s="428" t="s">
        <v>106</v>
      </c>
      <c r="C30" s="429"/>
      <c r="D30" s="91">
        <f>'Sizing - Reimb Exp-26'!B21</f>
        <v>28281032</v>
      </c>
      <c r="E30" s="92">
        <f>'Ridership-26'!$E21</f>
        <v>2458738</v>
      </c>
      <c r="F30" s="92">
        <f>'Revenue Hours-26'!$E21</f>
        <v>230883</v>
      </c>
      <c r="G30" s="92">
        <f>'Revenue Miles-26'!$E21</f>
        <v>2329537</v>
      </c>
      <c r="H30" s="478">
        <f t="shared" si="0"/>
        <v>4.6304697474169161E-2</v>
      </c>
      <c r="I30" s="431">
        <f t="shared" si="1"/>
        <v>4.6304697474169161E-2</v>
      </c>
      <c r="J30" s="432"/>
      <c r="K30" s="433">
        <f>'Ridership-26'!B21/'Revenue Hours-26'!B21</f>
        <v>7.8216167510040826</v>
      </c>
      <c r="L30" s="434">
        <f>'Ridership-26'!C21/'Revenue Hours-26'!C21</f>
        <v>8.8817225863249529</v>
      </c>
      <c r="M30" s="434">
        <f>'Ridership-26'!D21/'Revenue Hours-26'!D21</f>
        <v>9.7390196531791915</v>
      </c>
      <c r="N30" s="434">
        <f>'Ridership-26'!E21/'Revenue Hours-26'!E21</f>
        <v>10.649281237683155</v>
      </c>
      <c r="O30" s="435">
        <f t="shared" si="2"/>
        <v>0.94314927205126431</v>
      </c>
      <c r="P30" s="436">
        <f t="shared" si="3"/>
        <v>4.3672241715316661E-2</v>
      </c>
      <c r="Q30" s="437">
        <f t="shared" si="4"/>
        <v>4.2208931246775619E-2</v>
      </c>
      <c r="R30" s="438">
        <f>'Ridership-26'!B21/'Revenue Miles-26'!B21</f>
        <v>0.78433143162528551</v>
      </c>
      <c r="S30" s="434">
        <f>'Ridership-26'!C21/'Revenue Miles-26'!C21</f>
        <v>0.87157122671755427</v>
      </c>
      <c r="T30" s="434">
        <f>'Ridership-26'!D21/'Revenue Miles-26'!D21</f>
        <v>0.95474957839955032</v>
      </c>
      <c r="U30" s="434">
        <f>'Ridership-26'!E21/'Revenue Miles-26'!E21</f>
        <v>1.0554620939697459</v>
      </c>
      <c r="V30" s="435">
        <f t="shared" si="5"/>
        <v>0.94426272197974803</v>
      </c>
      <c r="W30" s="436">
        <f t="shared" si="6"/>
        <v>4.3723799677407735E-2</v>
      </c>
      <c r="X30" s="437">
        <f t="shared" si="7"/>
        <v>4.2317852146256246E-2</v>
      </c>
      <c r="Y30" s="438">
        <f>'Op Cost-26'!B21/'Revenue Hours-26'!B21</f>
        <v>115.12446224595757</v>
      </c>
      <c r="Z30" s="434">
        <f>'Op Cost-26'!C21/'Revenue Hours-26'!C21</f>
        <v>128.33355179497212</v>
      </c>
      <c r="AA30" s="434">
        <f>'Op Cost-26'!D21/'Revenue Hours-26'!D21</f>
        <v>109.8271676300578</v>
      </c>
      <c r="AB30" s="434">
        <f>'Op Cost-26'!E21/'Revenue Hours-26'!E21</f>
        <v>122.49075072655847</v>
      </c>
      <c r="AC30" s="435">
        <f t="shared" si="8"/>
        <v>0.98733751771107381</v>
      </c>
      <c r="AD30" s="436">
        <f t="shared" si="9"/>
        <v>4.689854952693024E-2</v>
      </c>
      <c r="AE30" s="437">
        <f t="shared" si="10"/>
        <v>4.6981892912424487E-2</v>
      </c>
      <c r="AF30" s="438">
        <f>'Op Cost-26'!B21/'Revenue Miles-26'!B21</f>
        <v>11.544382339734495</v>
      </c>
      <c r="AG30" s="434">
        <f>'Op Cost-26'!C21/'Revenue Miles-26'!C21</f>
        <v>12.593483986899244</v>
      </c>
      <c r="AH30" s="434">
        <f>'Op Cost-26'!D21/'Revenue Miles-26'!D21</f>
        <v>10.766734817850473</v>
      </c>
      <c r="AI30" s="434">
        <f>'Op Cost-26'!E21/'Revenue Miles-26'!E21</f>
        <v>12.140194381973757</v>
      </c>
      <c r="AJ30" s="435">
        <f t="shared" si="11"/>
        <v>0.98862782106337344</v>
      </c>
      <c r="AK30" s="436">
        <f t="shared" si="12"/>
        <v>4.683734008654903E-2</v>
      </c>
      <c r="AL30" s="437">
        <f t="shared" si="13"/>
        <v>4.6916444479397489E-2</v>
      </c>
      <c r="AM30" s="438">
        <f>'Op Cost-26'!B21/'Ridership-26'!B21</f>
        <v>14.718755202519828</v>
      </c>
      <c r="AN30" s="434">
        <f>'Op Cost-26'!C21/'Ridership-26'!C21</f>
        <v>14.449173631313958</v>
      </c>
      <c r="AO30" s="434">
        <f>'Op Cost-26'!D21/'Ridership-26'!D21</f>
        <v>11.277024951295379</v>
      </c>
      <c r="AP30" s="434">
        <f>'Op Cost-26'!E21/'Ridership-26'!E21</f>
        <v>11.502255221987866</v>
      </c>
      <c r="AQ30" s="435">
        <f t="shared" si="14"/>
        <v>1.0492744422797424</v>
      </c>
      <c r="AR30" s="436">
        <f t="shared" si="15"/>
        <v>4.4130206177102393E-2</v>
      </c>
      <c r="AS30" s="440">
        <f t="shared" si="16"/>
        <v>4.4388013486306117E-2</v>
      </c>
      <c r="AT30" s="432"/>
      <c r="AU30" s="441">
        <f t="shared" si="17"/>
        <v>0</v>
      </c>
      <c r="AV30" s="442">
        <f t="shared" si="18"/>
        <v>0</v>
      </c>
      <c r="AW30" s="442">
        <f t="shared" si="19"/>
        <v>0</v>
      </c>
      <c r="AX30" s="442">
        <f t="shared" si="20"/>
        <v>0</v>
      </c>
      <c r="AY30" s="443">
        <f t="shared" si="21"/>
        <v>0</v>
      </c>
      <c r="AZ30" s="444">
        <f t="shared" si="43"/>
        <v>-1</v>
      </c>
      <c r="BA30" s="445">
        <f t="shared" si="22"/>
        <v>0</v>
      </c>
      <c r="BB30" s="446">
        <f t="shared" si="22"/>
        <v>0</v>
      </c>
      <c r="BC30" s="446">
        <f t="shared" si="22"/>
        <v>0</v>
      </c>
      <c r="BD30" s="446">
        <f t="shared" si="22"/>
        <v>0</v>
      </c>
      <c r="BE30" s="446">
        <f t="shared" si="22"/>
        <v>0</v>
      </c>
      <c r="BF30" s="447">
        <f t="shared" si="44"/>
        <v>5573679.096171773</v>
      </c>
      <c r="BH30" s="448">
        <f>'Op Cost-26'!E21</f>
        <v>28281032</v>
      </c>
      <c r="BI30" s="449">
        <f t="shared" si="23"/>
        <v>0.19708188499527787</v>
      </c>
      <c r="BJ30" s="450">
        <f t="shared" si="24"/>
        <v>5573679.096171773</v>
      </c>
      <c r="BK30" s="451">
        <f t="shared" si="25"/>
        <v>0</v>
      </c>
      <c r="BL30" s="1">
        <f t="shared" si="45"/>
        <v>1.036507894270422</v>
      </c>
      <c r="BM30" s="112">
        <f t="shared" si="46"/>
        <v>0.95192291046529276</v>
      </c>
      <c r="BN30" s="112">
        <f t="shared" si="47"/>
        <v>1.3241992116992662</v>
      </c>
      <c r="BO30" s="113">
        <f t="shared" si="48"/>
        <v>0.93495472745856434</v>
      </c>
      <c r="BP30" s="452">
        <f t="shared" si="26"/>
        <v>5573679.096171773</v>
      </c>
      <c r="BQ30" s="115">
        <f t="shared" si="49"/>
        <v>4.7995184473780005E-2</v>
      </c>
      <c r="BR30" s="116">
        <f t="shared" si="50"/>
        <v>4.7995184473780005E-2</v>
      </c>
      <c r="BS30" s="453">
        <f t="shared" si="51"/>
        <v>5.076705736437772E-2</v>
      </c>
      <c r="BT30" s="118">
        <f t="shared" si="52"/>
        <v>5953637.7574244086</v>
      </c>
      <c r="BU30" s="119">
        <f t="shared" si="53"/>
        <v>8484309.5999999996</v>
      </c>
      <c r="BV30" s="119">
        <f t="shared" si="54"/>
        <v>5953637.7574244086</v>
      </c>
      <c r="BW30" s="119">
        <f t="shared" si="65"/>
        <v>0</v>
      </c>
      <c r="BX30" s="120">
        <f t="shared" si="55"/>
        <v>4.7995184473780005E-2</v>
      </c>
      <c r="BY30" s="454">
        <f t="shared" si="56"/>
        <v>5.4724601363649636E-2</v>
      </c>
      <c r="BZ30" s="122">
        <f t="shared" si="57"/>
        <v>5969217.9028164409</v>
      </c>
      <c r="CA30" s="455">
        <f t="shared" si="27"/>
        <v>4.9510100115291479E-2</v>
      </c>
      <c r="CB30" s="456">
        <f t="shared" si="28"/>
        <v>370551.14743542281</v>
      </c>
      <c r="CC30" s="456">
        <f t="shared" si="29"/>
        <v>5944230.243607196</v>
      </c>
      <c r="CD30" s="457">
        <f t="shared" si="30"/>
        <v>0.2101843470071105</v>
      </c>
      <c r="CE30" s="458">
        <f t="shared" si="31"/>
        <v>0</v>
      </c>
      <c r="CF30" s="17"/>
      <c r="CG30" s="459">
        <f t="shared" si="32"/>
        <v>28281032</v>
      </c>
      <c r="CH30" s="460">
        <f t="shared" si="58"/>
        <v>0.2101843470071105</v>
      </c>
      <c r="CI30" s="461">
        <f t="shared" si="33"/>
        <v>5944230.243607196</v>
      </c>
      <c r="CJ30" s="462">
        <f t="shared" si="34"/>
        <v>0</v>
      </c>
      <c r="CL30" s="463">
        <f t="shared" si="35"/>
        <v>5944230.243607196</v>
      </c>
      <c r="CM30" s="464">
        <f t="shared" si="36"/>
        <v>5.1109798723972179E-2</v>
      </c>
      <c r="CN30" s="465">
        <f t="shared" si="37"/>
        <v>7791.4960193311172</v>
      </c>
      <c r="CO30" s="466">
        <f t="shared" si="59"/>
        <v>5952021.7396265268</v>
      </c>
      <c r="CP30" s="467">
        <f t="shared" si="60"/>
        <v>0.21045984954249644</v>
      </c>
      <c r="CQ30" s="468">
        <f t="shared" si="38"/>
        <v>0</v>
      </c>
      <c r="CR30" s="469"/>
      <c r="CS30" s="470">
        <f t="shared" si="39"/>
        <v>8484309.5999999996</v>
      </c>
      <c r="CT30" s="465">
        <f t="shared" si="40"/>
        <v>0</v>
      </c>
      <c r="CU30" s="471">
        <f t="shared" si="41"/>
        <v>5952021.7396265268</v>
      </c>
      <c r="CV30" s="472">
        <f t="shared" si="42"/>
        <v>0.21045984954249644</v>
      </c>
      <c r="CY30" s="473">
        <v>0</v>
      </c>
      <c r="CZ30" s="474">
        <f t="shared" si="61"/>
        <v>5952021.7396265268</v>
      </c>
      <c r="DA30" s="475">
        <f t="shared" si="62"/>
        <v>0.21045984954249644</v>
      </c>
      <c r="DB30" s="1">
        <f t="shared" si="63"/>
        <v>0</v>
      </c>
      <c r="DC30" s="293">
        <f t="shared" si="64"/>
        <v>0.2110678953588554</v>
      </c>
      <c r="DF30" s="476"/>
    </row>
    <row r="31" spans="1:110">
      <c r="A31" s="477" t="s">
        <v>104</v>
      </c>
      <c r="B31" s="428" t="s">
        <v>107</v>
      </c>
      <c r="C31" s="429"/>
      <c r="D31" s="91">
        <f>'Sizing - Reimb Exp-26'!B22</f>
        <v>35845053</v>
      </c>
      <c r="E31" s="92">
        <f>'Ridership-26'!$E22</f>
        <v>5351810</v>
      </c>
      <c r="F31" s="92">
        <f>'Revenue Hours-26'!$E22</f>
        <v>308856.31</v>
      </c>
      <c r="G31" s="92">
        <f>'Revenue Miles-26'!$E22</f>
        <v>2865159</v>
      </c>
      <c r="H31" s="478">
        <f t="shared" si="0"/>
        <v>7.3746384257605296E-2</v>
      </c>
      <c r="I31" s="431">
        <f t="shared" si="1"/>
        <v>7.3746384257605296E-2</v>
      </c>
      <c r="J31" s="432"/>
      <c r="K31" s="433">
        <f>'Ridership-26'!B22/'Revenue Hours-26'!B22</f>
        <v>7.2218469159098948</v>
      </c>
      <c r="L31" s="434">
        <f>'Ridership-26'!C22/'Revenue Hours-26'!C22</f>
        <v>11.021126607734487</v>
      </c>
      <c r="M31" s="434">
        <f>'Ridership-26'!D22/'Revenue Hours-26'!D22</f>
        <v>14.745469355165852</v>
      </c>
      <c r="N31" s="434">
        <f>'Ridership-26'!E22/'Revenue Hours-26'!E22</f>
        <v>17.327831184669662</v>
      </c>
      <c r="O31" s="435">
        <f t="shared" si="2"/>
        <v>1.1378339509151447</v>
      </c>
      <c r="P31" s="436">
        <f t="shared" si="3"/>
        <v>8.3911139765537462E-2</v>
      </c>
      <c r="Q31" s="437">
        <f t="shared" si="4"/>
        <v>8.1099558669093366E-2</v>
      </c>
      <c r="R31" s="438">
        <f>'Ridership-26'!B22/'Revenue Miles-26'!B22</f>
        <v>0.80452628182287345</v>
      </c>
      <c r="S31" s="434">
        <f>'Ridership-26'!C22/'Revenue Miles-26'!C22</f>
        <v>1.2173072182855937</v>
      </c>
      <c r="T31" s="434">
        <f>'Ridership-26'!D22/'Revenue Miles-26'!D22</f>
        <v>1.5082541507857004</v>
      </c>
      <c r="U31" s="434">
        <f>'Ridership-26'!E22/'Revenue Miles-26'!E22</f>
        <v>1.8678928464353985</v>
      </c>
      <c r="V31" s="435">
        <f t="shared" si="5"/>
        <v>1.1322299531663331</v>
      </c>
      <c r="W31" s="436">
        <f t="shared" si="6"/>
        <v>8.3497865194174847E-2</v>
      </c>
      <c r="X31" s="437">
        <f t="shared" si="7"/>
        <v>8.0812974624455497E-2</v>
      </c>
      <c r="Y31" s="438">
        <f>'Op Cost-26'!B22/'Revenue Hours-26'!B22</f>
        <v>113.69054841372804</v>
      </c>
      <c r="Z31" s="434">
        <f>'Op Cost-26'!C22/'Revenue Hours-26'!C22</f>
        <v>98.632543150219192</v>
      </c>
      <c r="AA31" s="434">
        <f>'Op Cost-26'!D22/'Revenue Hours-26'!D22</f>
        <v>103.11566062580688</v>
      </c>
      <c r="AB31" s="434">
        <f>'Op Cost-26'!E22/'Revenue Hours-26'!E22</f>
        <v>116.71198169789699</v>
      </c>
      <c r="AC31" s="435">
        <f t="shared" si="8"/>
        <v>0.96878639742207318</v>
      </c>
      <c r="AD31" s="436">
        <f t="shared" si="9"/>
        <v>7.6122439842098696E-2</v>
      </c>
      <c r="AE31" s="437">
        <f t="shared" si="10"/>
        <v>7.6257716986328494E-2</v>
      </c>
      <c r="AF31" s="438">
        <f>'Op Cost-26'!B22/'Revenue Miles-26'!B22</f>
        <v>12.665324432756394</v>
      </c>
      <c r="AG31" s="434">
        <f>'Op Cost-26'!C22/'Revenue Miles-26'!C22</f>
        <v>10.894177247756708</v>
      </c>
      <c r="AH31" s="434">
        <f>'Op Cost-26'!D22/'Revenue Miles-26'!D22</f>
        <v>10.547281975490128</v>
      </c>
      <c r="AI31" s="434">
        <f>'Op Cost-26'!E22/'Revenue Miles-26'!E22</f>
        <v>12.581232664574635</v>
      </c>
      <c r="AJ31" s="435">
        <f t="shared" si="11"/>
        <v>0.96628072093214301</v>
      </c>
      <c r="AK31" s="436">
        <f t="shared" si="12"/>
        <v>7.6319834040013038E-2</v>
      </c>
      <c r="AL31" s="437">
        <f t="shared" si="13"/>
        <v>7.6448731926248126E-2</v>
      </c>
      <c r="AM31" s="438">
        <f>'Op Cost-26'!B22/'Ridership-26'!B22</f>
        <v>15.742586313102974</v>
      </c>
      <c r="AN31" s="434">
        <f>'Op Cost-26'!C22/'Ridership-26'!C22</f>
        <v>8.9494065952386492</v>
      </c>
      <c r="AO31" s="434">
        <f>'Op Cost-26'!D22/'Ridership-26'!D22</f>
        <v>6.9930402445739626</v>
      </c>
      <c r="AP31" s="434">
        <f>'Op Cost-26'!E22/'Ridership-26'!E22</f>
        <v>6.7355216272625524</v>
      </c>
      <c r="AQ31" s="435">
        <f t="shared" si="14"/>
        <v>0.85513349272278338</v>
      </c>
      <c r="AR31" s="436">
        <f t="shared" si="15"/>
        <v>8.6239616253122667E-2</v>
      </c>
      <c r="AS31" s="440">
        <f t="shared" si="16"/>
        <v>8.6743425442768265E-2</v>
      </c>
      <c r="AT31" s="432"/>
      <c r="AU31" s="441">
        <f t="shared" si="17"/>
        <v>0</v>
      </c>
      <c r="AV31" s="442">
        <f t="shared" si="18"/>
        <v>0</v>
      </c>
      <c r="AW31" s="442">
        <f t="shared" si="19"/>
        <v>0</v>
      </c>
      <c r="AX31" s="442">
        <f t="shared" si="20"/>
        <v>0</v>
      </c>
      <c r="AY31" s="443">
        <f t="shared" si="21"/>
        <v>0</v>
      </c>
      <c r="AZ31" s="444">
        <f t="shared" si="43"/>
        <v>-1</v>
      </c>
      <c r="BA31" s="445">
        <f t="shared" si="22"/>
        <v>0</v>
      </c>
      <c r="BB31" s="446">
        <f t="shared" si="22"/>
        <v>0</v>
      </c>
      <c r="BC31" s="446">
        <f t="shared" si="22"/>
        <v>0</v>
      </c>
      <c r="BD31" s="446">
        <f t="shared" si="22"/>
        <v>0</v>
      </c>
      <c r="BE31" s="446">
        <f t="shared" si="22"/>
        <v>0</v>
      </c>
      <c r="BF31" s="447">
        <f t="shared" si="44"/>
        <v>8876824.6587543637</v>
      </c>
      <c r="BH31" s="448">
        <f>'Op Cost-26'!E22</f>
        <v>36047232</v>
      </c>
      <c r="BI31" s="449">
        <f t="shared" si="23"/>
        <v>0.24625537569027114</v>
      </c>
      <c r="BJ31" s="450">
        <f t="shared" si="24"/>
        <v>8876824.6587543637</v>
      </c>
      <c r="BK31" s="451">
        <f t="shared" si="25"/>
        <v>0</v>
      </c>
      <c r="BL31" s="1">
        <f t="shared" si="45"/>
        <v>1.6382940658662195</v>
      </c>
      <c r="BM31" s="112">
        <f t="shared" si="46"/>
        <v>1.3858952102342199</v>
      </c>
      <c r="BN31" s="112">
        <f t="shared" si="47"/>
        <v>2.0904183970613501</v>
      </c>
      <c r="BO31" s="113">
        <f t="shared" si="48"/>
        <v>1.538431328084654</v>
      </c>
      <c r="BP31" s="452">
        <f t="shared" si="26"/>
        <v>8876824.6587543637</v>
      </c>
      <c r="BQ31" s="115">
        <f t="shared" si="49"/>
        <v>0.12081826370832474</v>
      </c>
      <c r="BR31" s="116">
        <f t="shared" si="50"/>
        <v>0.12081826370832474</v>
      </c>
      <c r="BS31" s="453">
        <f t="shared" si="51"/>
        <v>0.12779589851760742</v>
      </c>
      <c r="BT31" s="118">
        <f t="shared" si="52"/>
        <v>9833294.4845670257</v>
      </c>
      <c r="BU31" s="119">
        <f t="shared" si="53"/>
        <v>10814169.6</v>
      </c>
      <c r="BV31" s="119">
        <f t="shared" si="54"/>
        <v>9833294.4845670257</v>
      </c>
      <c r="BW31" s="119">
        <f t="shared" si="65"/>
        <v>0</v>
      </c>
      <c r="BX31" s="120">
        <f t="shared" si="55"/>
        <v>0.12081826370832474</v>
      </c>
      <c r="BY31" s="454">
        <f t="shared" si="56"/>
        <v>0.1377582228587618</v>
      </c>
      <c r="BZ31" s="122">
        <f t="shared" si="57"/>
        <v>9872514.3799633421</v>
      </c>
      <c r="CA31" s="455">
        <f t="shared" si="27"/>
        <v>7.8851413936384993E-2</v>
      </c>
      <c r="CB31" s="456">
        <f t="shared" si="28"/>
        <v>590151.94562308409</v>
      </c>
      <c r="CC31" s="456">
        <f t="shared" si="29"/>
        <v>9466976.6043774486</v>
      </c>
      <c r="CD31" s="457">
        <f t="shared" si="30"/>
        <v>0.26262700571232345</v>
      </c>
      <c r="CE31" s="458">
        <f t="shared" si="31"/>
        <v>0</v>
      </c>
      <c r="CF31" s="17"/>
      <c r="CG31" s="459">
        <f t="shared" si="32"/>
        <v>36047232</v>
      </c>
      <c r="CH31" s="460">
        <f t="shared" si="58"/>
        <v>0.26262700571232345</v>
      </c>
      <c r="CI31" s="461">
        <f t="shared" si="33"/>
        <v>9466976.6043774486</v>
      </c>
      <c r="CJ31" s="462">
        <f t="shared" si="34"/>
        <v>0</v>
      </c>
      <c r="CL31" s="463">
        <f t="shared" si="35"/>
        <v>9466976.6043774486</v>
      </c>
      <c r="CM31" s="464">
        <f t="shared" si="36"/>
        <v>8.139914655806843E-2</v>
      </c>
      <c r="CN31" s="465">
        <f t="shared" si="37"/>
        <v>12408.992839305974</v>
      </c>
      <c r="CO31" s="466">
        <f t="shared" si="59"/>
        <v>9479385.5972167552</v>
      </c>
      <c r="CP31" s="467">
        <f t="shared" si="60"/>
        <v>0.26297124831156954</v>
      </c>
      <c r="CQ31" s="468">
        <f t="shared" si="38"/>
        <v>0</v>
      </c>
      <c r="CR31" s="469"/>
      <c r="CS31" s="470">
        <f t="shared" si="39"/>
        <v>10814169.6</v>
      </c>
      <c r="CT31" s="465">
        <f t="shared" si="40"/>
        <v>0</v>
      </c>
      <c r="CU31" s="471">
        <f t="shared" si="41"/>
        <v>9479385.5972167552</v>
      </c>
      <c r="CV31" s="472">
        <f t="shared" si="42"/>
        <v>0.26297124831156954</v>
      </c>
      <c r="CY31" s="473">
        <v>170685.8</v>
      </c>
      <c r="CZ31" s="474">
        <f t="shared" si="61"/>
        <v>9650071.3972167559</v>
      </c>
      <c r="DA31" s="475">
        <f t="shared" si="62"/>
        <v>0.26770630813530305</v>
      </c>
      <c r="DB31" s="1">
        <f t="shared" si="63"/>
        <v>0</v>
      </c>
      <c r="DC31" s="293">
        <f t="shared" si="64"/>
        <v>0.27387718368953662</v>
      </c>
      <c r="DF31" s="476"/>
    </row>
    <row r="32" spans="1:110">
      <c r="A32" s="477" t="s">
        <v>104</v>
      </c>
      <c r="B32" s="428" t="s">
        <v>108</v>
      </c>
      <c r="C32" s="429"/>
      <c r="D32" s="91">
        <f>'Sizing - Reimb Exp-26'!B23</f>
        <v>5453602</v>
      </c>
      <c r="E32" s="92">
        <f>'Ridership-26'!$E23</f>
        <v>1002134</v>
      </c>
      <c r="F32" s="92">
        <f>'Revenue Hours-26'!$E23</f>
        <v>34526</v>
      </c>
      <c r="G32" s="92">
        <f>'Revenue Miles-26'!$E23</f>
        <v>434414</v>
      </c>
      <c r="H32" s="478">
        <f t="shared" si="0"/>
        <v>1.205585887728073E-2</v>
      </c>
      <c r="I32" s="431">
        <f t="shared" si="1"/>
        <v>1.205585887728073E-2</v>
      </c>
      <c r="J32" s="432"/>
      <c r="K32" s="433">
        <f>'Ridership-26'!B23/'Revenue Hours-26'!B23</f>
        <v>9.5356184364060681</v>
      </c>
      <c r="L32" s="434">
        <f>'Ridership-26'!C23/'Revenue Hours-26'!C23</f>
        <v>13.465131541402728</v>
      </c>
      <c r="M32" s="434">
        <f>'Ridership-26'!D23/'Revenue Hours-26'!D23</f>
        <v>24.467665569605636</v>
      </c>
      <c r="N32" s="434">
        <f>'Ridership-26'!E23/'Revenue Hours-26'!E23</f>
        <v>29.025488038000347</v>
      </c>
      <c r="O32" s="435">
        <f t="shared" si="2"/>
        <v>1.2460987517963511</v>
      </c>
      <c r="P32" s="436">
        <f t="shared" si="3"/>
        <v>1.5022790698812476E-2</v>
      </c>
      <c r="Q32" s="437">
        <f t="shared" si="4"/>
        <v>1.451942732581293E-2</v>
      </c>
      <c r="R32" s="438">
        <f>'Ridership-26'!B23/'Revenue Miles-26'!B23</f>
        <v>0.74451206457520036</v>
      </c>
      <c r="S32" s="434">
        <f>'Ridership-26'!C23/'Revenue Miles-26'!C23</f>
        <v>1.0865963144527517</v>
      </c>
      <c r="T32" s="434">
        <f>'Ridership-26'!D23/'Revenue Miles-26'!D23</f>
        <v>1.9292701193514095</v>
      </c>
      <c r="U32" s="434">
        <f>'Ridership-26'!E23/'Revenue Miles-26'!E23</f>
        <v>2.3068639592646645</v>
      </c>
      <c r="V32" s="435">
        <f t="shared" si="5"/>
        <v>1.2548259859674822</v>
      </c>
      <c r="W32" s="436">
        <f t="shared" si="6"/>
        <v>1.5128005002368614E-2</v>
      </c>
      <c r="X32" s="437">
        <f t="shared" si="7"/>
        <v>1.4641560973230007E-2</v>
      </c>
      <c r="Y32" s="438">
        <f>'Op Cost-26'!B23/'Revenue Hours-26'!B23</f>
        <v>133.20037922987166</v>
      </c>
      <c r="Z32" s="434">
        <f>'Op Cost-26'!C23/'Revenue Hours-26'!C23</f>
        <v>152.54685270786965</v>
      </c>
      <c r="AA32" s="434">
        <f>'Op Cost-26'!D23/'Revenue Hours-26'!D23</f>
        <v>153.82888734915412</v>
      </c>
      <c r="AB32" s="434">
        <f>'Op Cost-26'!E23/'Revenue Hours-26'!E23</f>
        <v>157.95638069860394</v>
      </c>
      <c r="AC32" s="435">
        <f t="shared" si="8"/>
        <v>1.0154239429893224</v>
      </c>
      <c r="AD32" s="436">
        <f t="shared" si="9"/>
        <v>1.1872734497267515E-2</v>
      </c>
      <c r="AE32" s="437">
        <f t="shared" si="10"/>
        <v>1.1893833526940244E-2</v>
      </c>
      <c r="AF32" s="438">
        <f>'Op Cost-26'!B23/'Revenue Miles-26'!B23</f>
        <v>10.399880196968939</v>
      </c>
      <c r="AG32" s="434">
        <f>'Op Cost-26'!C23/'Revenue Miles-26'!C23</f>
        <v>12.310080107577638</v>
      </c>
      <c r="AH32" s="434">
        <f>'Op Cost-26'!D23/'Revenue Miles-26'!D23</f>
        <v>12.129374378259513</v>
      </c>
      <c r="AI32" s="434">
        <f>'Op Cost-26'!E23/'Revenue Miles-26'!E23</f>
        <v>12.553927820005802</v>
      </c>
      <c r="AJ32" s="435">
        <f t="shared" si="11"/>
        <v>1.0297394729691056</v>
      </c>
      <c r="AK32" s="436">
        <f t="shared" si="12"/>
        <v>1.17076786835406E-2</v>
      </c>
      <c r="AL32" s="437">
        <f t="shared" si="13"/>
        <v>1.1727451984334687E-2</v>
      </c>
      <c r="AM32" s="438">
        <f>'Op Cost-26'!B23/'Ridership-26'!B23</f>
        <v>13.968719503427852</v>
      </c>
      <c r="AN32" s="434">
        <f>'Op Cost-26'!C23/'Ridership-26'!C23</f>
        <v>11.329028033541075</v>
      </c>
      <c r="AO32" s="434">
        <f>'Op Cost-26'!D23/'Ridership-26'!D23</f>
        <v>6.2870275430053413</v>
      </c>
      <c r="AP32" s="434">
        <f>'Op Cost-26'!E23/'Ridership-26'!E23</f>
        <v>5.4419887959095288</v>
      </c>
      <c r="AQ32" s="439">
        <f t="shared" si="14"/>
        <v>0.84226751674459921</v>
      </c>
      <c r="AR32" s="436">
        <f t="shared" si="15"/>
        <v>1.4313574532563184E-2</v>
      </c>
      <c r="AS32" s="440">
        <f t="shared" si="16"/>
        <v>1.4397193995398181E-2</v>
      </c>
      <c r="AT32" s="432"/>
      <c r="AU32" s="441">
        <f t="shared" si="17"/>
        <v>0</v>
      </c>
      <c r="AV32" s="442">
        <f t="shared" si="18"/>
        <v>0</v>
      </c>
      <c r="AW32" s="442">
        <f t="shared" si="19"/>
        <v>0</v>
      </c>
      <c r="AX32" s="442">
        <f t="shared" si="20"/>
        <v>0</v>
      </c>
      <c r="AY32" s="443">
        <f t="shared" si="21"/>
        <v>0</v>
      </c>
      <c r="AZ32" s="444">
        <f t="shared" si="43"/>
        <v>-1</v>
      </c>
      <c r="BA32" s="445">
        <f t="shared" si="22"/>
        <v>0</v>
      </c>
      <c r="BB32" s="446">
        <f t="shared" si="22"/>
        <v>0</v>
      </c>
      <c r="BC32" s="446">
        <f t="shared" si="22"/>
        <v>0</v>
      </c>
      <c r="BD32" s="446">
        <f t="shared" si="22"/>
        <v>0</v>
      </c>
      <c r="BE32" s="446">
        <f t="shared" si="22"/>
        <v>0</v>
      </c>
      <c r="BF32" s="447">
        <f t="shared" si="44"/>
        <v>1451159.2187419247</v>
      </c>
      <c r="BH32" s="448">
        <f>'Op Cost-26'!E23</f>
        <v>5453602</v>
      </c>
      <c r="BI32" s="449">
        <f t="shared" si="23"/>
        <v>0.26609188179517401</v>
      </c>
      <c r="BJ32" s="450">
        <f t="shared" si="24"/>
        <v>1451159.2187419247</v>
      </c>
      <c r="BK32" s="451">
        <f t="shared" si="25"/>
        <v>0</v>
      </c>
      <c r="BL32" s="1">
        <f t="shared" si="45"/>
        <v>1.9452574254696615</v>
      </c>
      <c r="BM32" s="112">
        <f t="shared" si="46"/>
        <v>2.1272704524751544</v>
      </c>
      <c r="BN32" s="112">
        <f t="shared" si="47"/>
        <v>2.3903450629609542</v>
      </c>
      <c r="BO32" s="113">
        <f t="shared" si="48"/>
        <v>1.6317070932212687</v>
      </c>
      <c r="BP32" s="452">
        <f t="shared" si="26"/>
        <v>1451159.2187419247</v>
      </c>
      <c r="BQ32" s="115">
        <f t="shared" si="49"/>
        <v>2.3451749001444675E-2</v>
      </c>
      <c r="BR32" s="116">
        <f t="shared" si="50"/>
        <v>2.3451749001444675E-2</v>
      </c>
      <c r="BS32" s="453">
        <f t="shared" si="51"/>
        <v>2.4806161282737587E-2</v>
      </c>
      <c r="BT32" s="118">
        <f t="shared" si="52"/>
        <v>1636817.3269942161</v>
      </c>
      <c r="BU32" s="119">
        <f t="shared" si="53"/>
        <v>1636080.5999999999</v>
      </c>
      <c r="BV32" s="119">
        <f t="shared" si="54"/>
        <v>1636080.5999999999</v>
      </c>
      <c r="BW32" s="119">
        <f t="shared" si="65"/>
        <v>736.72699421620928</v>
      </c>
      <c r="BX32" s="120">
        <f t="shared" si="55"/>
        <v>0</v>
      </c>
      <c r="BY32" s="454">
        <f t="shared" si="56"/>
        <v>0</v>
      </c>
      <c r="BZ32" s="122">
        <f t="shared" si="57"/>
        <v>1636080.5999999999</v>
      </c>
      <c r="CA32" s="455">
        <f t="shared" si="27"/>
        <v>1.2890415282876313E-2</v>
      </c>
      <c r="CB32" s="456">
        <f t="shared" si="28"/>
        <v>96476.439410666033</v>
      </c>
      <c r="CC32" s="456">
        <f t="shared" si="29"/>
        <v>1547635.6581525907</v>
      </c>
      <c r="CD32" s="457">
        <f t="shared" si="30"/>
        <v>0.28378228887120671</v>
      </c>
      <c r="CE32" s="458">
        <f t="shared" si="31"/>
        <v>0</v>
      </c>
      <c r="CF32" s="17"/>
      <c r="CG32" s="459">
        <f t="shared" si="32"/>
        <v>5453602</v>
      </c>
      <c r="CH32" s="460">
        <f t="shared" si="58"/>
        <v>0.28378228887120671</v>
      </c>
      <c r="CI32" s="461">
        <f t="shared" si="33"/>
        <v>1547635.6581525907</v>
      </c>
      <c r="CJ32" s="462">
        <f t="shared" si="34"/>
        <v>0</v>
      </c>
      <c r="CL32" s="463">
        <f t="shared" si="35"/>
        <v>1547635.6581525907</v>
      </c>
      <c r="CM32" s="464">
        <f t="shared" si="36"/>
        <v>1.3306911701694193E-2</v>
      </c>
      <c r="CN32" s="465">
        <f t="shared" si="37"/>
        <v>2028.5884926545657</v>
      </c>
      <c r="CO32" s="466">
        <f t="shared" si="59"/>
        <v>1549664.2466452452</v>
      </c>
      <c r="CP32" s="467">
        <f t="shared" si="60"/>
        <v>0.28415426110032327</v>
      </c>
      <c r="CQ32" s="468">
        <f t="shared" si="38"/>
        <v>0</v>
      </c>
      <c r="CR32" s="469"/>
      <c r="CS32" s="470">
        <f t="shared" si="39"/>
        <v>1636080.5999999999</v>
      </c>
      <c r="CT32" s="465">
        <f t="shared" si="40"/>
        <v>0</v>
      </c>
      <c r="CU32" s="471">
        <f t="shared" si="41"/>
        <v>1549664.2466452452</v>
      </c>
      <c r="CV32" s="472">
        <f t="shared" si="42"/>
        <v>0.28415426110032327</v>
      </c>
      <c r="CY32" s="473">
        <v>0</v>
      </c>
      <c r="CZ32" s="474">
        <f t="shared" si="61"/>
        <v>1549664.2466452452</v>
      </c>
      <c r="DA32" s="475">
        <f t="shared" si="62"/>
        <v>0.28415426110032327</v>
      </c>
      <c r="DB32" s="1">
        <f t="shared" si="63"/>
        <v>0</v>
      </c>
      <c r="DC32" s="293">
        <f t="shared" si="64"/>
        <v>0.3</v>
      </c>
      <c r="DF32" s="476"/>
    </row>
    <row r="33" spans="1:110">
      <c r="A33" s="477" t="s">
        <v>104</v>
      </c>
      <c r="B33" s="428" t="s">
        <v>109</v>
      </c>
      <c r="C33" s="429"/>
      <c r="D33" s="91">
        <f>'Sizing - Reimb Exp-26'!B24</f>
        <v>110780790</v>
      </c>
      <c r="E33" s="92">
        <f>'Ridership-26'!$E24</f>
        <v>8721363</v>
      </c>
      <c r="F33" s="92">
        <f>'Revenue Hours-26'!$E24</f>
        <v>819202.73699999996</v>
      </c>
      <c r="G33" s="92">
        <f>'Revenue Miles-26'!$E24</f>
        <v>10820543.213</v>
      </c>
      <c r="H33" s="478">
        <f t="shared" si="0"/>
        <v>0.1765071142056665</v>
      </c>
      <c r="I33" s="431">
        <f t="shared" si="1"/>
        <v>0.1765071142056665</v>
      </c>
      <c r="J33" s="432"/>
      <c r="K33" s="433">
        <f>'Ridership-26'!B24/'Revenue Hours-26'!B24</f>
        <v>5.8735316212753474</v>
      </c>
      <c r="L33" s="434">
        <f>'Ridership-26'!C24/'Revenue Hours-26'!C24</f>
        <v>6.1587343955565519</v>
      </c>
      <c r="M33" s="434">
        <f>'Ridership-26'!D24/'Revenue Hours-26'!D24</f>
        <v>9.8555669967058908</v>
      </c>
      <c r="N33" s="434">
        <f>'Ridership-26'!E24/'Revenue Hours-26'!E24</f>
        <v>10.646159498854312</v>
      </c>
      <c r="O33" s="435">
        <f t="shared" si="2"/>
        <v>1.0577335192633481</v>
      </c>
      <c r="P33" s="436">
        <f t="shared" si="3"/>
        <v>0.18669749108377734</v>
      </c>
      <c r="Q33" s="437">
        <f t="shared" si="4"/>
        <v>0.18044188380503706</v>
      </c>
      <c r="R33" s="438">
        <f>'Ridership-26'!B24/'Revenue Miles-26'!B24</f>
        <v>0.454872375587629</v>
      </c>
      <c r="S33" s="434">
        <f>'Ridership-26'!C24/'Revenue Miles-26'!C24</f>
        <v>0.47446458788106716</v>
      </c>
      <c r="T33" s="434">
        <f>'Ridership-26'!D24/'Revenue Miles-26'!D24</f>
        <v>0.7557807792342961</v>
      </c>
      <c r="U33" s="434">
        <f>'Ridership-26'!E24/'Revenue Miles-26'!E24</f>
        <v>0.80600047782462481</v>
      </c>
      <c r="V33" s="435">
        <f t="shared" si="5"/>
        <v>1.0532283509620195</v>
      </c>
      <c r="W33" s="436">
        <f t="shared" si="6"/>
        <v>0.18590229682789897</v>
      </c>
      <c r="X33" s="437">
        <f t="shared" si="7"/>
        <v>0.17992457125992581</v>
      </c>
      <c r="Y33" s="438">
        <f>'Op Cost-26'!B24/'Revenue Hours-26'!B24</f>
        <v>123.96447205256577</v>
      </c>
      <c r="Z33" s="434">
        <f>'Op Cost-26'!C24/'Revenue Hours-26'!C24</f>
        <v>123.17011468072208</v>
      </c>
      <c r="AA33" s="434">
        <f>'Op Cost-26'!D24/'Revenue Hours-26'!D24</f>
        <v>127.77476943594867</v>
      </c>
      <c r="AB33" s="434">
        <f>'Op Cost-26'!E24/'Revenue Hours-26'!E24</f>
        <v>135.70313913636252</v>
      </c>
      <c r="AC33" s="435">
        <f t="shared" si="8"/>
        <v>0.9854985928540646</v>
      </c>
      <c r="AD33" s="436">
        <f t="shared" si="9"/>
        <v>0.1791043797378655</v>
      </c>
      <c r="AE33" s="437">
        <f t="shared" si="10"/>
        <v>0.17942266602848159</v>
      </c>
      <c r="AF33" s="438">
        <f>'Op Cost-26'!B24/'Revenue Miles-26'!B24</f>
        <v>9.6003592943580749</v>
      </c>
      <c r="AG33" s="434">
        <f>'Op Cost-26'!C24/'Revenue Miles-26'!C24</f>
        <v>9.4889394391510358</v>
      </c>
      <c r="AH33" s="434">
        <f>'Op Cost-26'!D24/'Revenue Miles-26'!D24</f>
        <v>9.7984940737616739</v>
      </c>
      <c r="AI33" s="434">
        <f>'Op Cost-26'!E24/'Revenue Miles-26'!E24</f>
        <v>10.273826443984833</v>
      </c>
      <c r="AJ33" s="435">
        <f t="shared" si="11"/>
        <v>0.98269843075003915</v>
      </c>
      <c r="AK33" s="436">
        <f t="shared" si="12"/>
        <v>0.17961473091083335</v>
      </c>
      <c r="AL33" s="437">
        <f t="shared" si="13"/>
        <v>0.17991808533294795</v>
      </c>
      <c r="AM33" s="438">
        <f>'Op Cost-26'!B24/'Ridership-26'!B24</f>
        <v>21.10561073742015</v>
      </c>
      <c r="AN33" s="434">
        <f>'Op Cost-26'!C24/'Ridership-26'!C24</f>
        <v>19.999257439903197</v>
      </c>
      <c r="AO33" s="434">
        <f>'Op Cost-26'!D24/'Ridership-26'!D24</f>
        <v>12.964730439015423</v>
      </c>
      <c r="AP33" s="434">
        <f>'Op Cost-26'!E24/'Ridership-26'!E24</f>
        <v>12.746675376314458</v>
      </c>
      <c r="AQ33" s="435">
        <f t="shared" si="14"/>
        <v>0.97433760769024191</v>
      </c>
      <c r="AR33" s="436">
        <f t="shared" si="15"/>
        <v>0.18115601082472127</v>
      </c>
      <c r="AS33" s="440">
        <f t="shared" si="16"/>
        <v>0.18221431867647644</v>
      </c>
      <c r="AT33" s="432"/>
      <c r="AU33" s="441">
        <f t="shared" si="17"/>
        <v>0</v>
      </c>
      <c r="AV33" s="442">
        <f t="shared" si="18"/>
        <v>0</v>
      </c>
      <c r="AW33" s="442">
        <f t="shared" si="19"/>
        <v>0</v>
      </c>
      <c r="AX33" s="442">
        <f t="shared" si="20"/>
        <v>0</v>
      </c>
      <c r="AY33" s="443">
        <f t="shared" si="21"/>
        <v>0</v>
      </c>
      <c r="AZ33" s="444">
        <f t="shared" si="43"/>
        <v>-1</v>
      </c>
      <c r="BA33" s="445">
        <f t="shared" si="22"/>
        <v>0</v>
      </c>
      <c r="BB33" s="446">
        <f t="shared" si="22"/>
        <v>0</v>
      </c>
      <c r="BC33" s="446">
        <f t="shared" si="22"/>
        <v>0</v>
      </c>
      <c r="BD33" s="446">
        <f t="shared" si="22"/>
        <v>0</v>
      </c>
      <c r="BE33" s="446">
        <f t="shared" si="22"/>
        <v>0</v>
      </c>
      <c r="BF33" s="447">
        <f t="shared" si="44"/>
        <v>21246095.243847162</v>
      </c>
      <c r="BH33" s="448">
        <f>'Op Cost-26'!E24</f>
        <v>111168383</v>
      </c>
      <c r="BI33" s="449">
        <f t="shared" si="23"/>
        <v>0.19111634684699122</v>
      </c>
      <c r="BJ33" s="450">
        <f t="shared" si="24"/>
        <v>21246095.243847162</v>
      </c>
      <c r="BK33" s="451">
        <f t="shared" si="25"/>
        <v>0</v>
      </c>
      <c r="BL33" s="1">
        <f t="shared" si="45"/>
        <v>0.8347719909810063</v>
      </c>
      <c r="BM33" s="112">
        <f t="shared" si="46"/>
        <v>0.85363443147613216</v>
      </c>
      <c r="BN33" s="112">
        <f t="shared" si="47"/>
        <v>0.92178199047536946</v>
      </c>
      <c r="BO33" s="113">
        <f t="shared" si="48"/>
        <v>0.78183577098626167</v>
      </c>
      <c r="BP33" s="452">
        <f t="shared" si="26"/>
        <v>21246095.243847162</v>
      </c>
      <c r="BQ33" s="115">
        <f t="shared" si="49"/>
        <v>0.14734319514777608</v>
      </c>
      <c r="BR33" s="116">
        <f t="shared" si="50"/>
        <v>0.14734319514777608</v>
      </c>
      <c r="BS33" s="453">
        <f t="shared" si="51"/>
        <v>0.15585272819201906</v>
      </c>
      <c r="BT33" s="118">
        <f t="shared" si="52"/>
        <v>22412552.332966577</v>
      </c>
      <c r="BU33" s="119">
        <f t="shared" si="53"/>
        <v>33350514.899999999</v>
      </c>
      <c r="BV33" s="119">
        <f t="shared" si="54"/>
        <v>22412552.332966577</v>
      </c>
      <c r="BW33" s="119">
        <f t="shared" si="65"/>
        <v>0</v>
      </c>
      <c r="BX33" s="120">
        <f t="shared" si="55"/>
        <v>0.14734319514777608</v>
      </c>
      <c r="BY33" s="454">
        <f t="shared" si="56"/>
        <v>0.16800222160857614</v>
      </c>
      <c r="BZ33" s="122">
        <f t="shared" si="57"/>
        <v>22460382.723204643</v>
      </c>
      <c r="CA33" s="455">
        <f t="shared" si="27"/>
        <v>0.18872566655378056</v>
      </c>
      <c r="CB33" s="456">
        <f t="shared" si="28"/>
        <v>1412489.8178183914</v>
      </c>
      <c r="CC33" s="456">
        <f t="shared" si="29"/>
        <v>22658585.061665554</v>
      </c>
      <c r="CD33" s="457">
        <f t="shared" si="30"/>
        <v>0.20382220601036855</v>
      </c>
      <c r="CE33" s="458">
        <f t="shared" si="31"/>
        <v>0</v>
      </c>
      <c r="CF33" s="17"/>
      <c r="CG33" s="459">
        <f t="shared" si="32"/>
        <v>111168383</v>
      </c>
      <c r="CH33" s="460">
        <f t="shared" si="58"/>
        <v>0.20382220601036855</v>
      </c>
      <c r="CI33" s="461">
        <f t="shared" si="33"/>
        <v>22658585.061665554</v>
      </c>
      <c r="CJ33" s="462">
        <f t="shared" si="34"/>
        <v>0</v>
      </c>
      <c r="CL33" s="463">
        <f t="shared" si="35"/>
        <v>22658585.061665554</v>
      </c>
      <c r="CM33" s="464">
        <f t="shared" si="36"/>
        <v>0.1948234968046868</v>
      </c>
      <c r="CN33" s="465">
        <f t="shared" si="37"/>
        <v>29700.107175611112</v>
      </c>
      <c r="CO33" s="466">
        <f t="shared" si="59"/>
        <v>22688285.168841165</v>
      </c>
      <c r="CP33" s="467">
        <f t="shared" si="60"/>
        <v>0.20408936926645019</v>
      </c>
      <c r="CQ33" s="468">
        <f t="shared" si="38"/>
        <v>0</v>
      </c>
      <c r="CR33" s="469"/>
      <c r="CS33" s="470">
        <f t="shared" si="39"/>
        <v>33350514.899999999</v>
      </c>
      <c r="CT33" s="465">
        <f t="shared" si="40"/>
        <v>0</v>
      </c>
      <c r="CU33" s="471">
        <f t="shared" si="41"/>
        <v>22688285.168841165</v>
      </c>
      <c r="CV33" s="472">
        <f t="shared" si="42"/>
        <v>0.20408936926645019</v>
      </c>
      <c r="CY33" s="473">
        <v>0</v>
      </c>
      <c r="CZ33" s="474">
        <f t="shared" si="61"/>
        <v>22688285.168841165</v>
      </c>
      <c r="DA33" s="475">
        <f t="shared" si="62"/>
        <v>0.20408936926645019</v>
      </c>
      <c r="DB33" s="1">
        <f t="shared" si="63"/>
        <v>0</v>
      </c>
      <c r="DC33" s="293">
        <f t="shared" si="64"/>
        <v>0.20203930395573572</v>
      </c>
      <c r="DF33" s="476"/>
    </row>
    <row r="34" spans="1:110">
      <c r="A34" s="477" t="s">
        <v>104</v>
      </c>
      <c r="B34" s="428" t="s">
        <v>111</v>
      </c>
      <c r="C34" s="429"/>
      <c r="D34" s="91">
        <f>'Sizing - Reimb Exp-26'!B25</f>
        <v>43121644</v>
      </c>
      <c r="E34" s="92">
        <f>'Ridership-26'!$E25</f>
        <v>1972474</v>
      </c>
      <c r="F34" s="92">
        <f>'Revenue Hours-26'!$E25</f>
        <v>236658.2</v>
      </c>
      <c r="G34" s="92">
        <f>'Revenue Miles-26'!$E25</f>
        <v>5670767.6500000004</v>
      </c>
      <c r="H34" s="478">
        <f t="shared" si="0"/>
        <v>6.00105744931968E-2</v>
      </c>
      <c r="I34" s="431">
        <f t="shared" si="1"/>
        <v>6.00105744931968E-2</v>
      </c>
      <c r="J34" s="432"/>
      <c r="K34" s="433">
        <f>'Ridership-26'!B25/'Revenue Hours-26'!B25</f>
        <v>3.1822121529637459</v>
      </c>
      <c r="L34" s="434">
        <f>'Ridership-26'!C25/'Revenue Hours-26'!C25</f>
        <v>5.5899358680714615</v>
      </c>
      <c r="M34" s="434">
        <f>'Ridership-26'!D25/'Revenue Hours-26'!D25</f>
        <v>7.9037213878664074</v>
      </c>
      <c r="N34" s="434">
        <f>'Ridership-26'!E25/'Revenue Hours-26'!E25</f>
        <v>8.3346953538901243</v>
      </c>
      <c r="O34" s="435">
        <f t="shared" si="2"/>
        <v>1.1815671689829572</v>
      </c>
      <c r="P34" s="436">
        <f t="shared" si="3"/>
        <v>7.0906524612967411E-2</v>
      </c>
      <c r="Q34" s="437">
        <f t="shared" si="4"/>
        <v>6.8530684590135962E-2</v>
      </c>
      <c r="R34" s="438">
        <f>'Ridership-26'!B25/'Revenue Miles-26'!B25</f>
        <v>0.14309026388335411</v>
      </c>
      <c r="S34" s="434">
        <f>'Ridership-26'!C25/'Revenue Miles-26'!C25</f>
        <v>0.23474655175730527</v>
      </c>
      <c r="T34" s="434">
        <f>'Ridership-26'!D25/'Revenue Miles-26'!D25</f>
        <v>0.3221618701088883</v>
      </c>
      <c r="U34" s="434">
        <f>'Ridership-26'!E25/'Revenue Miles-26'!E25</f>
        <v>0.34783192007523001</v>
      </c>
      <c r="V34" s="435">
        <f t="shared" si="5"/>
        <v>1.1540245701714695</v>
      </c>
      <c r="W34" s="436">
        <f t="shared" si="6"/>
        <v>6.9253677435254388E-2</v>
      </c>
      <c r="X34" s="437">
        <f t="shared" si="7"/>
        <v>6.7026811574290163E-2</v>
      </c>
      <c r="Y34" s="438">
        <f>'Op Cost-26'!B25/'Revenue Hours-26'!B25</f>
        <v>162.67460550900779</v>
      </c>
      <c r="Z34" s="434">
        <f>'Op Cost-26'!C25/'Revenue Hours-26'!C25</f>
        <v>182.03086120018324</v>
      </c>
      <c r="AA34" s="434">
        <f>'Op Cost-26'!D25/'Revenue Hours-26'!D25</f>
        <v>228.02756454118199</v>
      </c>
      <c r="AB34" s="434">
        <f>'Op Cost-26'!E25/'Revenue Hours-26'!E25</f>
        <v>209.00700250403324</v>
      </c>
      <c r="AC34" s="435">
        <f t="shared" si="8"/>
        <v>1.045677971525393</v>
      </c>
      <c r="AD34" s="436">
        <f t="shared" si="9"/>
        <v>5.7389154335589367E-2</v>
      </c>
      <c r="AE34" s="437">
        <f t="shared" si="10"/>
        <v>5.74911405688786E-2</v>
      </c>
      <c r="AF34" s="438">
        <f>'Op Cost-26'!B25/'Revenue Miles-26'!B25</f>
        <v>7.31477070368339</v>
      </c>
      <c r="AG34" s="434">
        <f>'Op Cost-26'!C25/'Revenue Miles-26'!C25</f>
        <v>7.6442946732585657</v>
      </c>
      <c r="AH34" s="434">
        <f>'Op Cost-26'!D25/'Revenue Miles-26'!D25</f>
        <v>9.2945820106638735</v>
      </c>
      <c r="AI34" s="434">
        <f>'Op Cost-26'!E25/'Revenue Miles-26'!E25</f>
        <v>8.722491213336875</v>
      </c>
      <c r="AJ34" s="435">
        <f t="shared" si="11"/>
        <v>1.0220822440114024</v>
      </c>
      <c r="AK34" s="436">
        <f t="shared" si="12"/>
        <v>5.871403680556192E-2</v>
      </c>
      <c r="AL34" s="437">
        <f t="shared" si="13"/>
        <v>5.8813199956684582E-2</v>
      </c>
      <c r="AM34" s="438">
        <f>'Op Cost-26'!B25/'Ridership-26'!B25</f>
        <v>51.119974938660576</v>
      </c>
      <c r="AN34" s="434">
        <f>'Op Cost-26'!C25/'Ridership-26'!C25</f>
        <v>32.564033916722593</v>
      </c>
      <c r="AO34" s="434">
        <f>'Op Cost-26'!D25/'Ridership-26'!D25</f>
        <v>28.850658234391222</v>
      </c>
      <c r="AP34" s="434">
        <f>'Op Cost-26'!E25/'Ridership-26'!E25</f>
        <v>25.07674169596152</v>
      </c>
      <c r="AQ34" s="435">
        <f t="shared" si="14"/>
        <v>0.88959546780913978</v>
      </c>
      <c r="AR34" s="436">
        <f t="shared" si="15"/>
        <v>6.745827363642988E-2</v>
      </c>
      <c r="AS34" s="440">
        <f t="shared" si="16"/>
        <v>6.7852362799302637E-2</v>
      </c>
      <c r="AT34" s="432"/>
      <c r="AU34" s="441">
        <f t="shared" si="17"/>
        <v>0</v>
      </c>
      <c r="AV34" s="442">
        <f t="shared" si="18"/>
        <v>0</v>
      </c>
      <c r="AW34" s="442">
        <f t="shared" si="19"/>
        <v>0</v>
      </c>
      <c r="AX34" s="442">
        <f t="shared" si="20"/>
        <v>0</v>
      </c>
      <c r="AY34" s="443">
        <f t="shared" si="21"/>
        <v>0</v>
      </c>
      <c r="AZ34" s="444">
        <f t="shared" si="43"/>
        <v>-1</v>
      </c>
      <c r="BA34" s="445">
        <f t="shared" si="22"/>
        <v>0</v>
      </c>
      <c r="BB34" s="446">
        <f t="shared" si="22"/>
        <v>0</v>
      </c>
      <c r="BC34" s="446">
        <f t="shared" si="22"/>
        <v>0</v>
      </c>
      <c r="BD34" s="446">
        <f t="shared" si="22"/>
        <v>0</v>
      </c>
      <c r="BE34" s="446">
        <f t="shared" si="22"/>
        <v>0</v>
      </c>
      <c r="BF34" s="447">
        <f t="shared" si="44"/>
        <v>7223450.3807864795</v>
      </c>
      <c r="BH34" s="448">
        <f>'Op Cost-26'!E25</f>
        <v>49463221</v>
      </c>
      <c r="BI34" s="449">
        <f t="shared" si="23"/>
        <v>0.14603679733647915</v>
      </c>
      <c r="BJ34" s="450">
        <f t="shared" si="24"/>
        <v>7223450.3807864795</v>
      </c>
      <c r="BK34" s="451">
        <f t="shared" si="25"/>
        <v>0</v>
      </c>
      <c r="BL34" s="1">
        <f t="shared" si="45"/>
        <v>0.47968474389397842</v>
      </c>
      <c r="BM34" s="112">
        <f t="shared" si="46"/>
        <v>0.70295849407118316</v>
      </c>
      <c r="BN34" s="112">
        <f t="shared" si="47"/>
        <v>0.41191790318802796</v>
      </c>
      <c r="BO34" s="113">
        <f t="shared" si="48"/>
        <v>0.40193128915835125</v>
      </c>
      <c r="BP34" s="452">
        <f t="shared" si="26"/>
        <v>7223450.3807864795</v>
      </c>
      <c r="BQ34" s="115">
        <f t="shared" si="49"/>
        <v>2.878615705669962E-2</v>
      </c>
      <c r="BR34" s="116">
        <f t="shared" si="50"/>
        <v>2.878615705669962E-2</v>
      </c>
      <c r="BS34" s="453">
        <f t="shared" si="51"/>
        <v>3.0448648184607345E-2</v>
      </c>
      <c r="BT34" s="118">
        <f t="shared" si="52"/>
        <v>7451338.8620537389</v>
      </c>
      <c r="BU34" s="119">
        <f t="shared" si="53"/>
        <v>14838966.299999999</v>
      </c>
      <c r="BV34" s="119">
        <f t="shared" si="54"/>
        <v>7451338.8620537389</v>
      </c>
      <c r="BW34" s="119">
        <f t="shared" si="65"/>
        <v>0</v>
      </c>
      <c r="BX34" s="120">
        <f t="shared" si="55"/>
        <v>2.878615705669962E-2</v>
      </c>
      <c r="BY34" s="454">
        <f t="shared" si="56"/>
        <v>3.2822271379744285E-2</v>
      </c>
      <c r="BZ34" s="122">
        <f t="shared" si="57"/>
        <v>7460683.3935341053</v>
      </c>
      <c r="CA34" s="455">
        <f t="shared" si="27"/>
        <v>6.4164754618940334E-2</v>
      </c>
      <c r="CB34" s="456">
        <f t="shared" si="28"/>
        <v>480231.77884096483</v>
      </c>
      <c r="CC34" s="456">
        <f t="shared" si="29"/>
        <v>7703682.1596274441</v>
      </c>
      <c r="CD34" s="457">
        <f t="shared" si="30"/>
        <v>0.15574566321969699</v>
      </c>
      <c r="CE34" s="458">
        <f t="shared" si="31"/>
        <v>0</v>
      </c>
      <c r="CF34" s="17"/>
      <c r="CG34" s="459">
        <f t="shared" si="32"/>
        <v>49463221</v>
      </c>
      <c r="CH34" s="460">
        <f t="shared" si="58"/>
        <v>0.15574566321969699</v>
      </c>
      <c r="CI34" s="461">
        <f t="shared" si="33"/>
        <v>7703682.1596274441</v>
      </c>
      <c r="CJ34" s="462">
        <f t="shared" si="34"/>
        <v>0</v>
      </c>
      <c r="CL34" s="463">
        <f t="shared" si="35"/>
        <v>7703682.1596274441</v>
      </c>
      <c r="CM34" s="464">
        <f t="shared" si="36"/>
        <v>6.623795318754018E-2</v>
      </c>
      <c r="CN34" s="465">
        <f t="shared" si="37"/>
        <v>10097.726100950104</v>
      </c>
      <c r="CO34" s="466">
        <f t="shared" si="59"/>
        <v>7713779.8857283946</v>
      </c>
      <c r="CP34" s="467">
        <f t="shared" si="60"/>
        <v>0.15594980936903391</v>
      </c>
      <c r="CQ34" s="468">
        <f t="shared" si="38"/>
        <v>0</v>
      </c>
      <c r="CR34" s="469"/>
      <c r="CS34" s="470">
        <f t="shared" si="39"/>
        <v>14838966.299999999</v>
      </c>
      <c r="CT34" s="465">
        <f t="shared" si="40"/>
        <v>0</v>
      </c>
      <c r="CU34" s="471">
        <f t="shared" si="41"/>
        <v>7713779.8857283946</v>
      </c>
      <c r="CV34" s="472">
        <f t="shared" si="42"/>
        <v>0.15594980936903391</v>
      </c>
      <c r="CY34" s="473">
        <v>0</v>
      </c>
      <c r="CZ34" s="474">
        <f t="shared" si="61"/>
        <v>7713779.8857283946</v>
      </c>
      <c r="DA34" s="475">
        <f t="shared" si="62"/>
        <v>0.15594980936903391</v>
      </c>
      <c r="DB34" s="1">
        <f t="shared" si="63"/>
        <v>0</v>
      </c>
      <c r="DC34" s="293">
        <f t="shared" si="64"/>
        <v>0.15083294704026867</v>
      </c>
      <c r="DF34" s="476"/>
    </row>
    <row r="35" spans="1:110">
      <c r="A35" s="477" t="s">
        <v>112</v>
      </c>
      <c r="B35" s="428" t="s">
        <v>113</v>
      </c>
      <c r="C35" s="429"/>
      <c r="D35" s="91">
        <f>'Sizing - Reimb Exp-26'!B26</f>
        <v>3929042</v>
      </c>
      <c r="E35" s="92">
        <f>'Ridership-26'!$E26</f>
        <v>471466</v>
      </c>
      <c r="F35" s="92">
        <f>'Revenue Hours-26'!$E26</f>
        <v>41575</v>
      </c>
      <c r="G35" s="92">
        <f>'Revenue Miles-26'!$E26</f>
        <v>539337</v>
      </c>
      <c r="H35" s="430">
        <f t="shared" si="0"/>
        <v>8.0836285974683411E-3</v>
      </c>
      <c r="I35" s="431">
        <f t="shared" si="1"/>
        <v>8.0836285974683411E-3</v>
      </c>
      <c r="J35" s="432"/>
      <c r="K35" s="433">
        <f>'Ridership-26'!B26/'Revenue Hours-26'!B26</f>
        <v>7.0651748073074137</v>
      </c>
      <c r="L35" s="434">
        <f>'Ridership-26'!C26/'Revenue Hours-26'!C26</f>
        <v>8.5454680032144825</v>
      </c>
      <c r="M35" s="434">
        <f>'Ridership-26'!D26/'Revenue Hours-26'!D26</f>
        <v>10.854112978631212</v>
      </c>
      <c r="N35" s="434">
        <f>'Ridership-26'!E26/'Revenue Hours-26'!E26</f>
        <v>11.340132291040289</v>
      </c>
      <c r="O35" s="435">
        <f t="shared" si="2"/>
        <v>0.99594867084409577</v>
      </c>
      <c r="P35" s="436">
        <f t="shared" si="3"/>
        <v>8.0508791572459163E-3</v>
      </c>
      <c r="Q35" s="437">
        <f t="shared" si="4"/>
        <v>7.7811211762255595E-3</v>
      </c>
      <c r="R35" s="438">
        <f>'Ridership-26'!B26/'Revenue Miles-26'!B26</f>
        <v>0.60435953803758868</v>
      </c>
      <c r="S35" s="434">
        <f>'Ridership-26'!C26/'Revenue Miles-26'!C26</f>
        <v>0.7290038463481342</v>
      </c>
      <c r="T35" s="434">
        <f>'Ridership-26'!D26/'Revenue Miles-26'!D26</f>
        <v>0.86015998033680452</v>
      </c>
      <c r="U35" s="434">
        <f>'Ridership-26'!E26/'Revenue Miles-26'!E26</f>
        <v>0.8741584575135769</v>
      </c>
      <c r="V35" s="435">
        <f t="shared" si="5"/>
        <v>0.96537457981459074</v>
      </c>
      <c r="W35" s="436">
        <f t="shared" si="6"/>
        <v>7.8037295606582097E-3</v>
      </c>
      <c r="X35" s="437">
        <f t="shared" si="7"/>
        <v>7.5527990745035394E-3</v>
      </c>
      <c r="Y35" s="438">
        <f>'Op Cost-26'!B26/'Revenue Hours-26'!B26</f>
        <v>99.128071370778855</v>
      </c>
      <c r="Z35" s="434">
        <f>'Op Cost-26'!C26/'Revenue Hours-26'!C26</f>
        <v>86.295224802267057</v>
      </c>
      <c r="AA35" s="434">
        <f>'Op Cost-26'!D26/'Revenue Hours-26'!D26</f>
        <v>108.01972678966453</v>
      </c>
      <c r="AB35" s="434">
        <f>'Op Cost-26'!E26/'Revenue Hours-26'!E26</f>
        <v>94.504918821407102</v>
      </c>
      <c r="AC35" s="435">
        <f t="shared" si="8"/>
        <v>0.94994437862677639</v>
      </c>
      <c r="AD35" s="436">
        <f t="shared" si="9"/>
        <v>8.5095809600493656E-3</v>
      </c>
      <c r="AE35" s="437">
        <f t="shared" si="10"/>
        <v>8.5247033314979903E-3</v>
      </c>
      <c r="AF35" s="438">
        <f>'Op Cost-26'!B26/'Revenue Miles-26'!B26</f>
        <v>8.4794781522232086</v>
      </c>
      <c r="AG35" s="434">
        <f>'Op Cost-26'!C26/'Revenue Miles-26'!C26</f>
        <v>7.3617443513527165</v>
      </c>
      <c r="AH35" s="434">
        <f>'Op Cost-26'!D26/'Revenue Miles-26'!D26</f>
        <v>8.5602799836621983</v>
      </c>
      <c r="AI35" s="434">
        <f>'Op Cost-26'!E26/'Revenue Miles-26'!E26</f>
        <v>7.2849480009715633</v>
      </c>
      <c r="AJ35" s="435">
        <f t="shared" si="11"/>
        <v>0.91837200860332668</v>
      </c>
      <c r="AK35" s="436">
        <f t="shared" si="12"/>
        <v>8.8021286817768322E-3</v>
      </c>
      <c r="AL35" s="437">
        <f t="shared" si="13"/>
        <v>8.816994748975765E-3</v>
      </c>
      <c r="AM35" s="438">
        <f>'Op Cost-26'!B26/'Ridership-26'!B26</f>
        <v>14.030519282870687</v>
      </c>
      <c r="AN35" s="434">
        <f>'Op Cost-26'!C26/'Ridership-26'!C26</f>
        <v>10.098361467131589</v>
      </c>
      <c r="AO35" s="434">
        <f>'Op Cost-26'!D26/'Ridership-26'!D26</f>
        <v>9.9519626341024754</v>
      </c>
      <c r="AP35" s="434">
        <f>'Op Cost-26'!E26/'Ridership-26'!E26</f>
        <v>8.3336698722707467</v>
      </c>
      <c r="AQ35" s="439">
        <f t="shared" si="14"/>
        <v>0.94966951764901175</v>
      </c>
      <c r="AR35" s="436">
        <f t="shared" si="15"/>
        <v>8.5120438713038368E-3</v>
      </c>
      <c r="AS35" s="440">
        <f t="shared" si="16"/>
        <v>8.5617709701865854E-3</v>
      </c>
      <c r="AT35" s="432"/>
      <c r="AU35" s="441">
        <f t="shared" si="17"/>
        <v>0</v>
      </c>
      <c r="AV35" s="442">
        <f t="shared" si="18"/>
        <v>0</v>
      </c>
      <c r="AW35" s="442">
        <f t="shared" si="19"/>
        <v>0</v>
      </c>
      <c r="AX35" s="442">
        <f t="shared" si="20"/>
        <v>0</v>
      </c>
      <c r="AY35" s="443">
        <f t="shared" si="21"/>
        <v>0</v>
      </c>
      <c r="AZ35" s="444">
        <f t="shared" si="43"/>
        <v>-1</v>
      </c>
      <c r="BA35" s="445">
        <f t="shared" si="22"/>
        <v>0</v>
      </c>
      <c r="BB35" s="446">
        <f t="shared" si="22"/>
        <v>0</v>
      </c>
      <c r="BC35" s="446">
        <f t="shared" si="22"/>
        <v>0</v>
      </c>
      <c r="BD35" s="446">
        <f t="shared" si="22"/>
        <v>0</v>
      </c>
      <c r="BE35" s="446">
        <f t="shared" si="22"/>
        <v>0</v>
      </c>
      <c r="BF35" s="447">
        <f t="shared" si="44"/>
        <v>973023.34736253589</v>
      </c>
      <c r="BH35" s="448">
        <f>'Op Cost-26'!E26</f>
        <v>3929042</v>
      </c>
      <c r="BI35" s="449">
        <f t="shared" si="23"/>
        <v>0.24764900638948015</v>
      </c>
      <c r="BJ35" s="450">
        <f t="shared" si="24"/>
        <v>973023.34736253589</v>
      </c>
      <c r="BK35" s="451">
        <f t="shared" si="25"/>
        <v>0</v>
      </c>
      <c r="BL35" s="1">
        <f t="shared" si="45"/>
        <v>1.1426171688096205</v>
      </c>
      <c r="BM35" s="112">
        <f t="shared" si="46"/>
        <v>0.99475978628782669</v>
      </c>
      <c r="BN35" s="112">
        <f t="shared" si="47"/>
        <v>1.1314019486307303</v>
      </c>
      <c r="BO35" s="113">
        <f t="shared" si="48"/>
        <v>1.2221534701599628</v>
      </c>
      <c r="BP35" s="452">
        <f t="shared" si="26"/>
        <v>973023.34736253589</v>
      </c>
      <c r="BQ35" s="115">
        <f t="shared" si="49"/>
        <v>9.236492821747759E-3</v>
      </c>
      <c r="BR35" s="116">
        <f t="shared" si="50"/>
        <v>9.236492821747759E-3</v>
      </c>
      <c r="BS35" s="453">
        <f t="shared" si="51"/>
        <v>9.769929339129825E-3</v>
      </c>
      <c r="BT35" s="118">
        <f t="shared" si="52"/>
        <v>1046144.9633266979</v>
      </c>
      <c r="BU35" s="119">
        <f t="shared" si="53"/>
        <v>1178712.5999999999</v>
      </c>
      <c r="BV35" s="119">
        <f t="shared" si="54"/>
        <v>1046144.9633266979</v>
      </c>
      <c r="BW35" s="119">
        <f t="shared" si="65"/>
        <v>0</v>
      </c>
      <c r="BX35" s="120">
        <f t="shared" si="55"/>
        <v>9.236492821747759E-3</v>
      </c>
      <c r="BY35" s="454">
        <f t="shared" si="56"/>
        <v>1.053154380403506E-2</v>
      </c>
      <c r="BZ35" s="122">
        <f t="shared" si="57"/>
        <v>1049143.3037363261</v>
      </c>
      <c r="CA35" s="455">
        <f t="shared" si="27"/>
        <v>8.643210796890578E-3</v>
      </c>
      <c r="CB35" s="456">
        <f t="shared" si="28"/>
        <v>64688.854816612467</v>
      </c>
      <c r="CC35" s="456">
        <f t="shared" si="29"/>
        <v>1037712.2021791483</v>
      </c>
      <c r="CD35" s="457">
        <f t="shared" si="30"/>
        <v>0.26411328822118685</v>
      </c>
      <c r="CE35" s="458">
        <f t="shared" si="31"/>
        <v>0</v>
      </c>
      <c r="CF35" s="17"/>
      <c r="CG35" s="459">
        <f t="shared" si="32"/>
        <v>3929042</v>
      </c>
      <c r="CH35" s="460">
        <f t="shared" si="58"/>
        <v>0.26411328822118685</v>
      </c>
      <c r="CI35" s="461">
        <f t="shared" si="33"/>
        <v>1037712.2021791483</v>
      </c>
      <c r="CJ35" s="462">
        <f t="shared" si="34"/>
        <v>0</v>
      </c>
      <c r="CL35" s="463">
        <f t="shared" si="35"/>
        <v>1037712.2021791483</v>
      </c>
      <c r="CM35" s="464">
        <f t="shared" si="36"/>
        <v>8.9224776990806925E-3</v>
      </c>
      <c r="CN35" s="465">
        <f t="shared" si="37"/>
        <v>1360.1980678971247</v>
      </c>
      <c r="CO35" s="466">
        <f t="shared" si="59"/>
        <v>1039072.4002470454</v>
      </c>
      <c r="CP35" s="467">
        <f t="shared" si="60"/>
        <v>0.2644594789892919</v>
      </c>
      <c r="CQ35" s="468">
        <f t="shared" si="38"/>
        <v>0</v>
      </c>
      <c r="CR35" s="469"/>
      <c r="CS35" s="470">
        <f t="shared" si="39"/>
        <v>1178712.5999999999</v>
      </c>
      <c r="CT35" s="465">
        <f t="shared" si="40"/>
        <v>0</v>
      </c>
      <c r="CU35" s="471">
        <f t="shared" si="41"/>
        <v>1039072.4002470454</v>
      </c>
      <c r="CV35" s="472">
        <f t="shared" si="42"/>
        <v>0.2644594789892919</v>
      </c>
      <c r="CY35" s="473">
        <v>0</v>
      </c>
      <c r="CZ35" s="474">
        <f t="shared" si="61"/>
        <v>1039072.4002470454</v>
      </c>
      <c r="DA35" s="475">
        <f t="shared" si="62"/>
        <v>0.2644594789892919</v>
      </c>
      <c r="DB35" s="1">
        <f t="shared" si="63"/>
        <v>0</v>
      </c>
      <c r="DC35" s="293">
        <f t="shared" si="64"/>
        <v>0.26702267467141511</v>
      </c>
      <c r="DF35" s="476"/>
    </row>
    <row r="36" spans="1:110">
      <c r="A36" s="477" t="s">
        <v>112</v>
      </c>
      <c r="B36" s="428" t="s">
        <v>114</v>
      </c>
      <c r="C36" s="429"/>
      <c r="D36" s="91">
        <f>'Sizing - Reimb Exp-26'!B27</f>
        <v>74193463</v>
      </c>
      <c r="E36" s="92">
        <f>'Ridership-26'!$E27</f>
        <v>10824111</v>
      </c>
      <c r="F36" s="92">
        <f>'Revenue Hours-26'!$E27</f>
        <v>633650.79</v>
      </c>
      <c r="G36" s="92">
        <f>'Revenue Miles-26'!$E27</f>
        <v>7725466.0599999996</v>
      </c>
      <c r="H36" s="478">
        <f t="shared" si="0"/>
        <v>0.15487192680007283</v>
      </c>
      <c r="I36" s="431">
        <f t="shared" si="1"/>
        <v>0.15487192680007283</v>
      </c>
      <c r="J36" s="432"/>
      <c r="K36" s="433">
        <f>'Ridership-26'!B27/'Revenue Hours-26'!B27</f>
        <v>12.685908078458269</v>
      </c>
      <c r="L36" s="434">
        <f>'Ridership-26'!C27/'Revenue Hours-26'!C27</f>
        <v>14.999735241854868</v>
      </c>
      <c r="M36" s="434">
        <f>'Ridership-26'!D27/'Revenue Hours-26'!D27</f>
        <v>16.489050494667865</v>
      </c>
      <c r="N36" s="434">
        <f>'Ridership-26'!E27/'Revenue Hours-26'!E27</f>
        <v>17.082139201625552</v>
      </c>
      <c r="O36" s="435">
        <f t="shared" si="2"/>
        <v>0.93821685004918709</v>
      </c>
      <c r="P36" s="436">
        <f t="shared" si="3"/>
        <v>0.1453034513234126</v>
      </c>
      <c r="Q36" s="437">
        <f t="shared" si="4"/>
        <v>0.14043481960025281</v>
      </c>
      <c r="R36" s="438">
        <f>'Ridership-26'!B27/'Revenue Miles-26'!B27</f>
        <v>1.0554722157446399</v>
      </c>
      <c r="S36" s="434">
        <f>'Ridership-26'!C27/'Revenue Miles-26'!C27</f>
        <v>1.2009259173704827</v>
      </c>
      <c r="T36" s="434">
        <f>'Ridership-26'!D27/'Revenue Miles-26'!D27</f>
        <v>1.3706452252341543</v>
      </c>
      <c r="U36" s="434">
        <f>'Ridership-26'!E27/'Revenue Miles-26'!E27</f>
        <v>1.4010948874714233</v>
      </c>
      <c r="V36" s="435">
        <f t="shared" si="5"/>
        <v>0.93828620848089661</v>
      </c>
      <c r="W36" s="436">
        <f t="shared" si="6"/>
        <v>0.14531419299737131</v>
      </c>
      <c r="X36" s="437">
        <f t="shared" si="7"/>
        <v>0.14064158603289723</v>
      </c>
      <c r="Y36" s="438">
        <f>'Op Cost-26'!B27/'Revenue Hours-26'!B27</f>
        <v>106.94058914595765</v>
      </c>
      <c r="Z36" s="434">
        <f>'Op Cost-26'!C27/'Revenue Hours-26'!C27</f>
        <v>99.059409351732896</v>
      </c>
      <c r="AA36" s="434">
        <f>'Op Cost-26'!D27/'Revenue Hours-26'!D27</f>
        <v>117.86879438091567</v>
      </c>
      <c r="AB36" s="434">
        <f>'Op Cost-26'!E27/'Revenue Hours-26'!E27</f>
        <v>120.78064796541956</v>
      </c>
      <c r="AC36" s="435">
        <f t="shared" si="8"/>
        <v>0.99770100373043302</v>
      </c>
      <c r="AD36" s="436">
        <f t="shared" si="9"/>
        <v>0.15522879722582436</v>
      </c>
      <c r="AE36" s="437">
        <f t="shared" si="10"/>
        <v>0.15550465423243759</v>
      </c>
      <c r="AF36" s="438">
        <f>'Op Cost-26'!B27/'Revenue Miles-26'!B27</f>
        <v>8.897496330640184</v>
      </c>
      <c r="AG36" s="434">
        <f>'Op Cost-26'!C27/'Revenue Miles-26'!C27</f>
        <v>7.9310074565820816</v>
      </c>
      <c r="AH36" s="434">
        <f>'Op Cost-26'!D27/'Revenue Miles-26'!D27</f>
        <v>9.7977928004133119</v>
      </c>
      <c r="AI36" s="434">
        <f>'Op Cost-26'!E27/'Revenue Miles-26'!E27</f>
        <v>9.9065548156715355</v>
      </c>
      <c r="AJ36" s="435">
        <f t="shared" si="11"/>
        <v>0.99958570531382751</v>
      </c>
      <c r="AK36" s="436">
        <f t="shared" si="12"/>
        <v>0.15493611600963184</v>
      </c>
      <c r="AL36" s="437">
        <f t="shared" si="13"/>
        <v>0.15519779029268446</v>
      </c>
      <c r="AM36" s="438">
        <f>'Op Cost-26'!B27/'Ridership-26'!B27</f>
        <v>8.4298726180707302</v>
      </c>
      <c r="AN36" s="434">
        <f>'Op Cost-26'!C27/'Ridership-26'!C27</f>
        <v>6.6040771889973175</v>
      </c>
      <c r="AO36" s="434">
        <f>'Op Cost-26'!D27/'Ridership-26'!D27</f>
        <v>7.148306957943479</v>
      </c>
      <c r="AP36" s="434">
        <f>'Op Cost-26'!E27/'Ridership-26'!E27</f>
        <v>7.0705809465553333</v>
      </c>
      <c r="AQ36" s="435">
        <f t="shared" si="14"/>
        <v>1.0639513252329815</v>
      </c>
      <c r="AR36" s="436">
        <f t="shared" si="15"/>
        <v>0.145562981244616</v>
      </c>
      <c r="AS36" s="440">
        <f t="shared" si="16"/>
        <v>0.14641335571066183</v>
      </c>
      <c r="AT36" s="432"/>
      <c r="AU36" s="441">
        <f t="shared" si="17"/>
        <v>0</v>
      </c>
      <c r="AV36" s="442">
        <f t="shared" si="18"/>
        <v>0</v>
      </c>
      <c r="AW36" s="442">
        <f t="shared" si="19"/>
        <v>0</v>
      </c>
      <c r="AX36" s="442">
        <f t="shared" si="20"/>
        <v>0</v>
      </c>
      <c r="AY36" s="443">
        <f t="shared" si="21"/>
        <v>0</v>
      </c>
      <c r="AZ36" s="444">
        <f t="shared" si="43"/>
        <v>-1</v>
      </c>
      <c r="BA36" s="445">
        <f t="shared" si="22"/>
        <v>0</v>
      </c>
      <c r="BB36" s="446">
        <f t="shared" si="22"/>
        <v>0</v>
      </c>
      <c r="BC36" s="446">
        <f t="shared" si="22"/>
        <v>0</v>
      </c>
      <c r="BD36" s="446">
        <f t="shared" si="22"/>
        <v>0</v>
      </c>
      <c r="BE36" s="446">
        <f t="shared" si="22"/>
        <v>0</v>
      </c>
      <c r="BF36" s="447">
        <f t="shared" si="44"/>
        <v>18641875.837131776</v>
      </c>
      <c r="BG36" s="301"/>
      <c r="BH36" s="448">
        <f>'Op Cost-26'!E27</f>
        <v>76532753</v>
      </c>
      <c r="BI36" s="449">
        <f t="shared" si="23"/>
        <v>0.24358036404533592</v>
      </c>
      <c r="BJ36" s="461">
        <f t="shared" si="24"/>
        <v>18641875.837131776</v>
      </c>
      <c r="BK36" s="451">
        <f t="shared" si="25"/>
        <v>0</v>
      </c>
      <c r="BL36" s="1">
        <f t="shared" si="45"/>
        <v>1.6840991133190748</v>
      </c>
      <c r="BM36" s="112">
        <f t="shared" si="46"/>
        <v>1.5824101672409621</v>
      </c>
      <c r="BN36" s="112">
        <f t="shared" si="47"/>
        <v>1.8270587849369022</v>
      </c>
      <c r="BO36" s="113">
        <f t="shared" si="48"/>
        <v>1.6634637505492176</v>
      </c>
      <c r="BP36" s="452">
        <f t="shared" si="26"/>
        <v>18641875.837131776</v>
      </c>
      <c r="BQ36" s="115">
        <f t="shared" si="49"/>
        <v>0.26081967460201932</v>
      </c>
      <c r="BR36" s="116">
        <f t="shared" si="50"/>
        <v>0.26081967460201932</v>
      </c>
      <c r="BS36" s="453">
        <f t="shared" si="51"/>
        <v>0.27588283131847724</v>
      </c>
      <c r="BT36" s="118">
        <f t="shared" si="52"/>
        <v>20706680.785308827</v>
      </c>
      <c r="BU36" s="119">
        <f t="shared" si="53"/>
        <v>22959825.899999999</v>
      </c>
      <c r="BV36" s="119">
        <f t="shared" si="54"/>
        <v>20706680.785308827</v>
      </c>
      <c r="BW36" s="119">
        <f t="shared" si="65"/>
        <v>0</v>
      </c>
      <c r="BX36" s="120">
        <f t="shared" si="55"/>
        <v>0.26081967460201932</v>
      </c>
      <c r="BY36" s="454">
        <f t="shared" si="56"/>
        <v>0.2973892667959192</v>
      </c>
      <c r="BZ36" s="122">
        <f t="shared" si="57"/>
        <v>20791347.78880002</v>
      </c>
      <c r="CA36" s="455">
        <f t="shared" si="27"/>
        <v>0.16559280200884802</v>
      </c>
      <c r="CB36" s="456">
        <f t="shared" si="28"/>
        <v>1239355.2557667692</v>
      </c>
      <c r="CC36" s="456">
        <f t="shared" si="29"/>
        <v>19881231.092898544</v>
      </c>
      <c r="CD36" s="457">
        <f t="shared" si="30"/>
        <v>0.25977415307271834</v>
      </c>
      <c r="CE36" s="458">
        <f t="shared" si="31"/>
        <v>0</v>
      </c>
      <c r="CF36" s="17"/>
      <c r="CG36" s="459">
        <f t="shared" si="32"/>
        <v>76532753</v>
      </c>
      <c r="CH36" s="460">
        <f t="shared" si="58"/>
        <v>0.25977415307271834</v>
      </c>
      <c r="CI36" s="461">
        <f t="shared" si="33"/>
        <v>19881231.092898544</v>
      </c>
      <c r="CJ36" s="462">
        <f t="shared" si="34"/>
        <v>0</v>
      </c>
      <c r="CL36" s="463">
        <f t="shared" si="35"/>
        <v>19881231.092898544</v>
      </c>
      <c r="CM36" s="464">
        <f t="shared" si="36"/>
        <v>0.17094319666295368</v>
      </c>
      <c r="CN36" s="465">
        <f t="shared" si="37"/>
        <v>26059.645500157945</v>
      </c>
      <c r="CO36" s="466">
        <f t="shared" si="59"/>
        <v>19907290.738398701</v>
      </c>
      <c r="CP36" s="467">
        <f t="shared" si="60"/>
        <v>0.26011465624918395</v>
      </c>
      <c r="CQ36" s="468">
        <f t="shared" si="38"/>
        <v>0</v>
      </c>
      <c r="CR36" s="469"/>
      <c r="CS36" s="470">
        <f t="shared" si="39"/>
        <v>22959825.899999999</v>
      </c>
      <c r="CT36" s="465">
        <f t="shared" si="40"/>
        <v>0</v>
      </c>
      <c r="CU36" s="471">
        <f t="shared" si="41"/>
        <v>19907290.738398701</v>
      </c>
      <c r="CV36" s="472">
        <f t="shared" si="42"/>
        <v>0.26011465624918395</v>
      </c>
      <c r="CY36" s="473">
        <v>370745.59999999998</v>
      </c>
      <c r="CZ36" s="474">
        <f t="shared" si="61"/>
        <v>20278036.338398702</v>
      </c>
      <c r="DA36" s="475">
        <f t="shared" si="62"/>
        <v>0.26495892991591069</v>
      </c>
      <c r="DB36" s="1">
        <f t="shared" si="63"/>
        <v>0</v>
      </c>
      <c r="DC36" s="293">
        <f t="shared" si="64"/>
        <v>0.27166601192041295</v>
      </c>
      <c r="DF36" s="476"/>
    </row>
    <row r="37" spans="1:110">
      <c r="A37" s="477" t="s">
        <v>115</v>
      </c>
      <c r="B37" s="428" t="s">
        <v>116</v>
      </c>
      <c r="C37" s="429"/>
      <c r="D37" s="91">
        <f>'Sizing - Reimb Exp-26'!B28</f>
        <v>12808994</v>
      </c>
      <c r="E37" s="92">
        <f>'Ridership-26'!$E28</f>
        <v>3791431</v>
      </c>
      <c r="F37" s="92">
        <f>'Revenue Hours-26'!$E28</f>
        <v>99331.900000000009</v>
      </c>
      <c r="G37" s="92">
        <f>'Revenue Miles-26'!$E28</f>
        <v>1022384</v>
      </c>
      <c r="H37" s="478">
        <f t="shared" si="0"/>
        <v>3.8382149811633182E-2</v>
      </c>
      <c r="I37" s="431">
        <f t="shared" si="1"/>
        <v>3.8382149811633182E-2</v>
      </c>
      <c r="J37" s="432"/>
      <c r="K37" s="433">
        <f>'Ridership-26'!B28/'Revenue Hours-26'!B28</f>
        <v>7.7359808402431227</v>
      </c>
      <c r="L37" s="434">
        <f>'Ridership-26'!C28/'Revenue Hours-26'!C28</f>
        <v>32.633977790205321</v>
      </c>
      <c r="M37" s="434">
        <f>'Ridership-26'!D28/'Revenue Hours-26'!D28</f>
        <v>37.897163158744682</v>
      </c>
      <c r="N37" s="434">
        <f>'Ridership-26'!E28/'Revenue Hours-26'!E28</f>
        <v>38.169319221720308</v>
      </c>
      <c r="O37" s="435">
        <f t="shared" si="2"/>
        <v>1.7360665328826819</v>
      </c>
      <c r="P37" s="436">
        <f t="shared" si="3"/>
        <v>6.6633965748065696E-2</v>
      </c>
      <c r="Q37" s="437">
        <f t="shared" si="4"/>
        <v>6.4401284854898891E-2</v>
      </c>
      <c r="R37" s="438">
        <f>'Ridership-26'!B28/'Revenue Miles-26'!B28</f>
        <v>0.74890286156611607</v>
      </c>
      <c r="S37" s="434">
        <f>'Ridership-26'!C28/'Revenue Miles-26'!C28</f>
        <v>3.1121743743196539</v>
      </c>
      <c r="T37" s="434">
        <f>'Ridership-26'!D28/'Revenue Miles-26'!D28</f>
        <v>3.6271477751754029</v>
      </c>
      <c r="U37" s="434">
        <f>'Ridership-26'!E28/'Revenue Miles-26'!E28</f>
        <v>3.7084216889153194</v>
      </c>
      <c r="V37" s="435">
        <f t="shared" si="5"/>
        <v>1.7450415348457822</v>
      </c>
      <c r="W37" s="436">
        <f t="shared" si="6"/>
        <v>6.6978445617973115E-2</v>
      </c>
      <c r="X37" s="437">
        <f t="shared" si="7"/>
        <v>6.4824740291543975E-2</v>
      </c>
      <c r="Y37" s="438">
        <f>'Op Cost-26'!B28/'Revenue Hours-26'!B28</f>
        <v>94.638769882541524</v>
      </c>
      <c r="Z37" s="434">
        <f>'Op Cost-26'!C28/'Revenue Hours-26'!C28</f>
        <v>99.879114404410004</v>
      </c>
      <c r="AA37" s="434">
        <f>'Op Cost-26'!D28/'Revenue Hours-26'!D28</f>
        <v>129.41512623136137</v>
      </c>
      <c r="AB37" s="434">
        <f>'Op Cost-26'!E28/'Revenue Hours-26'!E28</f>
        <v>128.95146473590054</v>
      </c>
      <c r="AC37" s="435">
        <f t="shared" si="8"/>
        <v>1.0634476998773559</v>
      </c>
      <c r="AD37" s="436">
        <f t="shared" si="9"/>
        <v>3.6092183768002578E-2</v>
      </c>
      <c r="AE37" s="437">
        <f t="shared" si="10"/>
        <v>3.6156323167098041E-2</v>
      </c>
      <c r="AF37" s="438">
        <f>'Op Cost-26'!B28/'Revenue Miles-26'!B28</f>
        <v>9.1617659148578081</v>
      </c>
      <c r="AG37" s="434">
        <f>'Op Cost-26'!C28/'Revenue Miles-26'!C28</f>
        <v>9.5250791177666656</v>
      </c>
      <c r="AH37" s="434">
        <f>'Op Cost-26'!D28/'Revenue Miles-26'!D28</f>
        <v>12.386356868398249</v>
      </c>
      <c r="AI37" s="434">
        <f>'Op Cost-26'!E28/'Revenue Miles-26'!E28</f>
        <v>12.528554828714064</v>
      </c>
      <c r="AJ37" s="435">
        <f t="shared" si="11"/>
        <v>1.0693597112593702</v>
      </c>
      <c r="AK37" s="436">
        <f t="shared" si="12"/>
        <v>3.5892646232604977E-2</v>
      </c>
      <c r="AL37" s="437">
        <f t="shared" si="13"/>
        <v>3.5953265942919616E-2</v>
      </c>
      <c r="AM37" s="438">
        <f>'Op Cost-26'!B28/'Ridership-26'!B28</f>
        <v>12.233583799771571</v>
      </c>
      <c r="AN37" s="434">
        <f>'Op Cost-26'!C28/'Ridership-26'!C28</f>
        <v>3.0605865777841972</v>
      </c>
      <c r="AO37" s="434">
        <f>'Op Cost-26'!D28/'Ridership-26'!D28</f>
        <v>3.4149027379506931</v>
      </c>
      <c r="AP37" s="434">
        <f>'Op Cost-26'!E28/'Ridership-26'!E28</f>
        <v>3.3784062007194646</v>
      </c>
      <c r="AQ37" s="435">
        <f t="shared" si="14"/>
        <v>0.85035846976223872</v>
      </c>
      <c r="AR37" s="436">
        <f t="shared" si="15"/>
        <v>4.5136435017063894E-2</v>
      </c>
      <c r="AS37" s="440">
        <f t="shared" si="16"/>
        <v>4.5400120684248375E-2</v>
      </c>
      <c r="AT37" s="432"/>
      <c r="AU37" s="441">
        <f t="shared" si="17"/>
        <v>0</v>
      </c>
      <c r="AV37" s="442">
        <f t="shared" si="18"/>
        <v>0</v>
      </c>
      <c r="AW37" s="442">
        <f t="shared" si="19"/>
        <v>0</v>
      </c>
      <c r="AX37" s="442">
        <f t="shared" si="20"/>
        <v>0</v>
      </c>
      <c r="AY37" s="443">
        <f t="shared" si="21"/>
        <v>0</v>
      </c>
      <c r="AZ37" s="444">
        <f t="shared" si="43"/>
        <v>-1</v>
      </c>
      <c r="BA37" s="445">
        <f t="shared" si="22"/>
        <v>0</v>
      </c>
      <c r="BB37" s="446">
        <f t="shared" si="22"/>
        <v>0</v>
      </c>
      <c r="BC37" s="446">
        <f t="shared" si="22"/>
        <v>0</v>
      </c>
      <c r="BD37" s="446">
        <f t="shared" si="22"/>
        <v>0</v>
      </c>
      <c r="BE37" s="446">
        <f t="shared" si="22"/>
        <v>0</v>
      </c>
      <c r="BF37" s="447">
        <f t="shared" si="44"/>
        <v>4620045.0006302893</v>
      </c>
      <c r="BH37" s="448">
        <f>'Op Cost-26'!E28</f>
        <v>12808994</v>
      </c>
      <c r="BI37" s="449">
        <f t="shared" si="23"/>
        <v>0.36068757629446069</v>
      </c>
      <c r="BJ37" s="450">
        <f t="shared" si="24"/>
        <v>3842698.1999999997</v>
      </c>
      <c r="BK37" s="451">
        <f t="shared" si="25"/>
        <v>777346.8006302896</v>
      </c>
      <c r="BL37" s="1">
        <f t="shared" si="45"/>
        <v>3.8450078755817154</v>
      </c>
      <c r="BM37" s="112">
        <f t="shared" si="46"/>
        <v>3.5359790874063037</v>
      </c>
      <c r="BN37" s="112">
        <f t="shared" si="47"/>
        <v>4.8003402533524939</v>
      </c>
      <c r="BO37" s="113">
        <f t="shared" si="48"/>
        <v>3.521856080784032</v>
      </c>
      <c r="BP37" s="452">
        <f t="shared" si="26"/>
        <v>0</v>
      </c>
      <c r="BQ37" s="115">
        <f t="shared" si="49"/>
        <v>0.14757966830748684</v>
      </c>
      <c r="BR37" s="116">
        <f t="shared" si="50"/>
        <v>0</v>
      </c>
      <c r="BS37" s="453">
        <f t="shared" si="51"/>
        <v>0</v>
      </c>
      <c r="BT37" s="118">
        <f t="shared" si="52"/>
        <v>3842698.1999999997</v>
      </c>
      <c r="BU37" s="119">
        <f t="shared" si="53"/>
        <v>3842698.1999999997</v>
      </c>
      <c r="BV37" s="119">
        <f t="shared" si="54"/>
        <v>3842698.1999999997</v>
      </c>
      <c r="BW37" s="119">
        <f t="shared" si="65"/>
        <v>0</v>
      </c>
      <c r="BX37" s="120">
        <f t="shared" si="55"/>
        <v>0</v>
      </c>
      <c r="BY37" s="454">
        <f t="shared" si="56"/>
        <v>0</v>
      </c>
      <c r="BZ37" s="122">
        <f t="shared" si="57"/>
        <v>3842698.1999999997</v>
      </c>
      <c r="CA37" s="455">
        <f t="shared" si="27"/>
        <v>0</v>
      </c>
      <c r="CB37" s="456">
        <f t="shared" si="28"/>
        <v>0</v>
      </c>
      <c r="CC37" s="456">
        <f t="shared" si="29"/>
        <v>3842698.1999999997</v>
      </c>
      <c r="CD37" s="457">
        <f t="shared" si="30"/>
        <v>0.3</v>
      </c>
      <c r="CE37" s="458">
        <f t="shared" si="31"/>
        <v>0</v>
      </c>
      <c r="CF37" s="17"/>
      <c r="CG37" s="459">
        <f t="shared" si="32"/>
        <v>12808994</v>
      </c>
      <c r="CH37" s="460">
        <f t="shared" si="58"/>
        <v>0.3</v>
      </c>
      <c r="CI37" s="461">
        <f t="shared" si="33"/>
        <v>3842698.1999999997</v>
      </c>
      <c r="CJ37" s="462">
        <f t="shared" si="34"/>
        <v>0</v>
      </c>
      <c r="CL37" s="463">
        <f t="shared" si="35"/>
        <v>0</v>
      </c>
      <c r="CM37" s="464">
        <f t="shared" si="36"/>
        <v>0</v>
      </c>
      <c r="CN37" s="465">
        <f t="shared" si="37"/>
        <v>0</v>
      </c>
      <c r="CO37" s="466">
        <f t="shared" si="59"/>
        <v>3842698.1999999997</v>
      </c>
      <c r="CP37" s="467">
        <f t="shared" si="60"/>
        <v>0.3</v>
      </c>
      <c r="CQ37" s="468">
        <f t="shared" si="38"/>
        <v>0</v>
      </c>
      <c r="CR37" s="469"/>
      <c r="CS37" s="470">
        <f t="shared" si="39"/>
        <v>3842698.1999999997</v>
      </c>
      <c r="CT37" s="465">
        <f t="shared" si="40"/>
        <v>0</v>
      </c>
      <c r="CU37" s="471">
        <f t="shared" si="41"/>
        <v>3842698.1999999997</v>
      </c>
      <c r="CV37" s="472">
        <f t="shared" si="42"/>
        <v>0.3</v>
      </c>
      <c r="CY37" s="473">
        <v>0</v>
      </c>
      <c r="CZ37" s="474">
        <f t="shared" si="61"/>
        <v>3842698.1999999997</v>
      </c>
      <c r="DA37" s="475">
        <f t="shared" si="62"/>
        <v>0.3</v>
      </c>
      <c r="DB37" s="1">
        <f t="shared" si="63"/>
        <v>0</v>
      </c>
      <c r="DC37" s="293">
        <f t="shared" si="64"/>
        <v>0.3</v>
      </c>
      <c r="DF37" s="476"/>
    </row>
    <row r="38" spans="1:110">
      <c r="A38" s="477" t="s">
        <v>115</v>
      </c>
      <c r="B38" s="428" t="s">
        <v>117</v>
      </c>
      <c r="C38" s="429"/>
      <c r="D38" s="91">
        <f>'Sizing - Reimb Exp-26'!B29</f>
        <v>2846110</v>
      </c>
      <c r="E38" s="92">
        <f>'Ridership-26'!$E29</f>
        <v>90833</v>
      </c>
      <c r="F38" s="92">
        <f>'Revenue Hours-26'!$E29</f>
        <v>36673.339999999997</v>
      </c>
      <c r="G38" s="92">
        <f>'Revenue Miles-26'!$E29</f>
        <v>438033</v>
      </c>
      <c r="H38" s="478">
        <f t="shared" si="0"/>
        <v>4.5207609440009351E-3</v>
      </c>
      <c r="I38" s="431">
        <f t="shared" si="1"/>
        <v>4.5207609440009351E-3</v>
      </c>
      <c r="J38" s="432"/>
      <c r="K38" s="433">
        <f>'Ridership-26'!B29/'Revenue Hours-26'!B29</f>
        <v>3.353975911522431</v>
      </c>
      <c r="L38" s="434">
        <f>'Ridership-26'!C29/'Revenue Hours-26'!C29</f>
        <v>4.039822296622992</v>
      </c>
      <c r="M38" s="434">
        <f>'Ridership-26'!D29/'Revenue Hours-26'!D29</f>
        <v>3.7461598379809939</v>
      </c>
      <c r="N38" s="434">
        <f>'Ridership-26'!E29/'Revenue Hours-26'!E29</f>
        <v>2.4768128564237677</v>
      </c>
      <c r="O38" s="435">
        <f t="shared" si="2"/>
        <v>0.77907852184148563</v>
      </c>
      <c r="P38" s="436">
        <f t="shared" si="3"/>
        <v>3.5220277538509678E-3</v>
      </c>
      <c r="Q38" s="437">
        <f t="shared" si="4"/>
        <v>3.4040164065906628E-3</v>
      </c>
      <c r="R38" s="438">
        <f>'Ridership-26'!B29/'Revenue Miles-26'!B29</f>
        <v>0.29134203947124609</v>
      </c>
      <c r="S38" s="434">
        <f>'Ridership-26'!C29/'Revenue Miles-26'!C29</f>
        <v>0.3358526722031458</v>
      </c>
      <c r="T38" s="434">
        <f>'Ridership-26'!D29/'Revenue Miles-26'!D29</f>
        <v>0.30962589842834592</v>
      </c>
      <c r="U38" s="434">
        <f>'Ridership-26'!E29/'Revenue Miles-26'!E29</f>
        <v>0.20736565509904506</v>
      </c>
      <c r="V38" s="435">
        <f t="shared" si="5"/>
        <v>0.77142009613882967</v>
      </c>
      <c r="W38" s="436">
        <f t="shared" si="6"/>
        <v>3.4874058420418679E-3</v>
      </c>
      <c r="X38" s="437">
        <f t="shared" si="7"/>
        <v>3.3752676090905466E-3</v>
      </c>
      <c r="Y38" s="438">
        <f>'Op Cost-26'!B29/'Revenue Hours-26'!B29</f>
        <v>54.975878704341831</v>
      </c>
      <c r="Z38" s="434">
        <f>'Op Cost-26'!C29/'Revenue Hours-26'!C29</f>
        <v>56.597366641985644</v>
      </c>
      <c r="AA38" s="434">
        <f>'Op Cost-26'!D29/'Revenue Hours-26'!D29</f>
        <v>81.316934101885025</v>
      </c>
      <c r="AB38" s="434">
        <f>'Op Cost-26'!E29/'Revenue Hours-26'!E29</f>
        <v>77.607057333747079</v>
      </c>
      <c r="AC38" s="435">
        <f t="shared" si="8"/>
        <v>1.084327821452679</v>
      </c>
      <c r="AD38" s="436">
        <f t="shared" si="9"/>
        <v>4.1691828380318145E-3</v>
      </c>
      <c r="AE38" s="437">
        <f t="shared" si="10"/>
        <v>4.1765918904645887E-3</v>
      </c>
      <c r="AF38" s="438">
        <f>'Op Cost-26'!B29/'Revenue Miles-26'!B29</f>
        <v>4.775462032515458</v>
      </c>
      <c r="AG38" s="434">
        <f>'Op Cost-26'!C29/'Revenue Miles-26'!C29</f>
        <v>4.7052507339893959</v>
      </c>
      <c r="AH38" s="434">
        <f>'Op Cost-26'!D29/'Revenue Miles-26'!D29</f>
        <v>6.7209702382331962</v>
      </c>
      <c r="AI38" s="434">
        <f>'Op Cost-26'!E29/'Revenue Miles-26'!E29</f>
        <v>6.4974785004782749</v>
      </c>
      <c r="AJ38" s="435">
        <f t="shared" si="11"/>
        <v>1.0755645694817073</v>
      </c>
      <c r="AK38" s="436">
        <f t="shared" si="12"/>
        <v>4.2031516026782081E-3</v>
      </c>
      <c r="AL38" s="437">
        <f t="shared" si="13"/>
        <v>4.2102503780349102E-3</v>
      </c>
      <c r="AM38" s="438">
        <f>'Op Cost-26'!B29/'Ridership-26'!B29</f>
        <v>16.391256274523233</v>
      </c>
      <c r="AN38" s="434">
        <f>'Op Cost-26'!C29/'Ridership-26'!C29</f>
        <v>14.009865406529656</v>
      </c>
      <c r="AO38" s="434">
        <f>'Op Cost-26'!D29/'Ridership-26'!D29</f>
        <v>21.706744404614373</v>
      </c>
      <c r="AP38" s="434">
        <f>'Op Cost-26'!E29/'Ridership-26'!E29</f>
        <v>31.333436086003985</v>
      </c>
      <c r="AQ38" s="439">
        <f t="shared" si="14"/>
        <v>1.4195954903170527</v>
      </c>
      <c r="AR38" s="436">
        <f t="shared" si="15"/>
        <v>3.184541635160638E-3</v>
      </c>
      <c r="AS38" s="440">
        <f t="shared" si="16"/>
        <v>3.2031456295927778E-3</v>
      </c>
      <c r="AT38" s="432"/>
      <c r="AU38" s="441">
        <f t="shared" si="17"/>
        <v>0</v>
      </c>
      <c r="AV38" s="442">
        <f t="shared" si="18"/>
        <v>0</v>
      </c>
      <c r="AW38" s="442">
        <f t="shared" si="19"/>
        <v>0</v>
      </c>
      <c r="AX38" s="442">
        <f t="shared" si="20"/>
        <v>0</v>
      </c>
      <c r="AY38" s="443">
        <f t="shared" si="21"/>
        <v>0</v>
      </c>
      <c r="AZ38" s="444">
        <f t="shared" si="43"/>
        <v>-1</v>
      </c>
      <c r="BA38" s="445">
        <f t="shared" si="22"/>
        <v>0</v>
      </c>
      <c r="BB38" s="446">
        <f t="shared" si="22"/>
        <v>0</v>
      </c>
      <c r="BC38" s="446">
        <f t="shared" si="22"/>
        <v>0</v>
      </c>
      <c r="BD38" s="446">
        <f t="shared" si="22"/>
        <v>0</v>
      </c>
      <c r="BE38" s="446">
        <f t="shared" si="22"/>
        <v>0</v>
      </c>
      <c r="BF38" s="447">
        <f t="shared" si="44"/>
        <v>544162.30203045707</v>
      </c>
      <c r="BH38" s="448">
        <f>'Op Cost-26'!E29</f>
        <v>2846110</v>
      </c>
      <c r="BI38" s="449">
        <f t="shared" si="23"/>
        <v>0.19119510561097677</v>
      </c>
      <c r="BJ38" s="450">
        <f t="shared" si="24"/>
        <v>544162.30203045707</v>
      </c>
      <c r="BK38" s="451">
        <f t="shared" si="25"/>
        <v>0</v>
      </c>
      <c r="BL38" s="1">
        <f t="shared" si="45"/>
        <v>0.47707959159268243</v>
      </c>
      <c r="BM38" s="112">
        <f t="shared" si="46"/>
        <v>0.34188156419746241</v>
      </c>
      <c r="BN38" s="112">
        <f t="shared" si="47"/>
        <v>0.4017258712089124</v>
      </c>
      <c r="BO38" s="113">
        <f t="shared" si="48"/>
        <v>0.58235546548217743</v>
      </c>
      <c r="BP38" s="452">
        <f t="shared" si="26"/>
        <v>544162.30203045707</v>
      </c>
      <c r="BQ38" s="115">
        <f t="shared" si="49"/>
        <v>2.1567627848521156E-3</v>
      </c>
      <c r="BR38" s="116">
        <f t="shared" si="50"/>
        <v>2.1567627848521156E-3</v>
      </c>
      <c r="BS38" s="453">
        <f t="shared" si="51"/>
        <v>2.2813226206007953E-3</v>
      </c>
      <c r="BT38" s="118">
        <f t="shared" si="52"/>
        <v>561236.5295671717</v>
      </c>
      <c r="BU38" s="119">
        <f t="shared" si="53"/>
        <v>853833</v>
      </c>
      <c r="BV38" s="119">
        <f t="shared" si="54"/>
        <v>561236.5295671717</v>
      </c>
      <c r="BW38" s="119">
        <f t="shared" si="65"/>
        <v>0</v>
      </c>
      <c r="BX38" s="120">
        <f t="shared" si="55"/>
        <v>2.1567627848521156E-3</v>
      </c>
      <c r="BY38" s="454">
        <f t="shared" si="56"/>
        <v>2.4591630375223605E-3</v>
      </c>
      <c r="BZ38" s="122">
        <f t="shared" si="57"/>
        <v>561936.65559299162</v>
      </c>
      <c r="CA38" s="455">
        <f t="shared" si="27"/>
        <v>4.8337067110662928E-3</v>
      </c>
      <c r="CB38" s="456">
        <f t="shared" si="28"/>
        <v>36177.175242647427</v>
      </c>
      <c r="CC38" s="456">
        <f t="shared" si="29"/>
        <v>580339.47727310448</v>
      </c>
      <c r="CD38" s="457">
        <f t="shared" si="30"/>
        <v>0.20390620084013072</v>
      </c>
      <c r="CE38" s="458">
        <f t="shared" si="31"/>
        <v>0</v>
      </c>
      <c r="CF38" s="17"/>
      <c r="CG38" s="459">
        <f t="shared" si="32"/>
        <v>2846110</v>
      </c>
      <c r="CH38" s="460">
        <f t="shared" si="58"/>
        <v>0.20390620084013072</v>
      </c>
      <c r="CI38" s="461">
        <f t="shared" si="33"/>
        <v>580339.47727310448</v>
      </c>
      <c r="CJ38" s="462">
        <f t="shared" si="34"/>
        <v>0</v>
      </c>
      <c r="CL38" s="463">
        <f t="shared" si="35"/>
        <v>580339.47727310448</v>
      </c>
      <c r="CM38" s="464">
        <f t="shared" si="36"/>
        <v>4.9898864376767644E-3</v>
      </c>
      <c r="CN38" s="465">
        <f t="shared" si="37"/>
        <v>760.68936459805423</v>
      </c>
      <c r="CO38" s="466">
        <f t="shared" si="59"/>
        <v>581100.1666377025</v>
      </c>
      <c r="CP38" s="467">
        <f t="shared" si="60"/>
        <v>0.20417347419379522</v>
      </c>
      <c r="CQ38" s="468">
        <f t="shared" si="38"/>
        <v>0</v>
      </c>
      <c r="CR38" s="469"/>
      <c r="CS38" s="470">
        <f t="shared" si="39"/>
        <v>853833</v>
      </c>
      <c r="CT38" s="465">
        <f t="shared" si="40"/>
        <v>0</v>
      </c>
      <c r="CU38" s="471">
        <f t="shared" si="41"/>
        <v>581100.1666377025</v>
      </c>
      <c r="CV38" s="472">
        <f t="shared" si="42"/>
        <v>0.20417347419379522</v>
      </c>
      <c r="CY38" s="473">
        <v>0</v>
      </c>
      <c r="CZ38" s="474">
        <f t="shared" si="61"/>
        <v>581100.1666377025</v>
      </c>
      <c r="DA38" s="475">
        <f t="shared" si="62"/>
        <v>0.20417347419379522</v>
      </c>
      <c r="DB38" s="1">
        <f t="shared" si="63"/>
        <v>0</v>
      </c>
      <c r="DC38" s="293">
        <f t="shared" si="64"/>
        <v>0.19744024496347351</v>
      </c>
      <c r="DF38" s="476"/>
    </row>
    <row r="39" spans="1:110">
      <c r="A39" s="477" t="s">
        <v>115</v>
      </c>
      <c r="B39" s="428" t="s">
        <v>118</v>
      </c>
      <c r="C39" s="429"/>
      <c r="D39" s="91">
        <f>'Sizing - Reimb Exp-26'!B30</f>
        <v>14257696</v>
      </c>
      <c r="E39" s="92">
        <f>'Ridership-26'!$E30</f>
        <v>1396636</v>
      </c>
      <c r="F39" s="92">
        <f>'Revenue Hours-26'!$E30</f>
        <v>143067</v>
      </c>
      <c r="G39" s="92">
        <f>'Revenue Miles-26'!$E30</f>
        <v>2359994</v>
      </c>
      <c r="H39" s="478">
        <f t="shared" si="0"/>
        <v>2.792800926360255E-2</v>
      </c>
      <c r="I39" s="431">
        <f t="shared" si="1"/>
        <v>2.792800926360255E-2</v>
      </c>
      <c r="J39" s="432"/>
      <c r="K39" s="433">
        <f>'Ridership-26'!B30/'Revenue Hours-26'!B30</f>
        <v>7.5369057433360815</v>
      </c>
      <c r="L39" s="434">
        <f>'Ridership-26'!C30/'Revenue Hours-26'!C30</f>
        <v>7.2816302952503209</v>
      </c>
      <c r="M39" s="434">
        <f>'Ridership-26'!D30/'Revenue Hours-26'!D30</f>
        <v>9.0953319765962863</v>
      </c>
      <c r="N39" s="434">
        <f>'Ridership-26'!E30/'Revenue Hours-26'!E30</f>
        <v>9.762111458267805</v>
      </c>
      <c r="O39" s="435">
        <f t="shared" si="2"/>
        <v>0.93562893210464482</v>
      </c>
      <c r="P39" s="436">
        <f t="shared" si="3"/>
        <v>2.613025348311308E-2</v>
      </c>
      <c r="Q39" s="437">
        <f t="shared" si="4"/>
        <v>2.5254716254758253E-2</v>
      </c>
      <c r="R39" s="438">
        <f>'Ridership-26'!B30/'Revenue Miles-26'!B30</f>
        <v>0.4322966250764449</v>
      </c>
      <c r="S39" s="434">
        <f>'Ridership-26'!C30/'Revenue Miles-26'!C30</f>
        <v>0.43926607650153893</v>
      </c>
      <c r="T39" s="434">
        <f>'Ridership-26'!D30/'Revenue Miles-26'!D30</f>
        <v>0.56790094587284767</v>
      </c>
      <c r="U39" s="434">
        <f>'Ridership-26'!E30/'Revenue Miles-26'!E30</f>
        <v>0.59179641982140629</v>
      </c>
      <c r="V39" s="435">
        <f t="shared" si="5"/>
        <v>0.95458036924452949</v>
      </c>
      <c r="W39" s="436">
        <f t="shared" si="6"/>
        <v>2.6659529395114363E-2</v>
      </c>
      <c r="X39" s="437">
        <f t="shared" si="7"/>
        <v>2.5802286890774358E-2</v>
      </c>
      <c r="Y39" s="438">
        <f>'Op Cost-26'!B30/'Revenue Hours-26'!B30</f>
        <v>71.568899422918378</v>
      </c>
      <c r="Z39" s="434">
        <f>'Op Cost-26'!C30/'Revenue Hours-26'!C30</f>
        <v>68.191964056482675</v>
      </c>
      <c r="AA39" s="434">
        <f>'Op Cost-26'!D30/'Revenue Hours-26'!D30</f>
        <v>90.06116622855366</v>
      </c>
      <c r="AB39" s="434">
        <f>'Op Cost-26'!E30/'Revenue Hours-26'!E30</f>
        <v>100.1120523950317</v>
      </c>
      <c r="AC39" s="435">
        <f t="shared" si="8"/>
        <v>1.0742332216255097</v>
      </c>
      <c r="AD39" s="436">
        <f t="shared" si="9"/>
        <v>2.5998087474284594E-2</v>
      </c>
      <c r="AE39" s="437">
        <f t="shared" si="10"/>
        <v>2.6044288660639799E-2</v>
      </c>
      <c r="AF39" s="438">
        <f>'Op Cost-26'!B30/'Revenue Miles-26'!B30</f>
        <v>4.104999416812201</v>
      </c>
      <c r="AG39" s="434">
        <f>'Op Cost-26'!C30/'Revenue Miles-26'!C30</f>
        <v>4.1136964231161048</v>
      </c>
      <c r="AH39" s="434">
        <f>'Op Cost-26'!D30/'Revenue Miles-26'!D30</f>
        <v>5.6233045279945362</v>
      </c>
      <c r="AI39" s="434">
        <f>'Op Cost-26'!E30/'Revenue Miles-26'!E30</f>
        <v>6.0689692431421438</v>
      </c>
      <c r="AJ39" s="435">
        <f t="shared" si="11"/>
        <v>1.0986857066039803</v>
      </c>
      <c r="AK39" s="436">
        <f t="shared" si="12"/>
        <v>2.5419470823851504E-2</v>
      </c>
      <c r="AL39" s="437">
        <f t="shared" si="13"/>
        <v>2.5462402207280497E-2</v>
      </c>
      <c r="AM39" s="438">
        <f>'Op Cost-26'!B30/'Ridership-26'!B30</f>
        <v>9.4957933481120662</v>
      </c>
      <c r="AN39" s="434">
        <f>'Op Cost-26'!C30/'Ridership-26'!C30</f>
        <v>9.3649308316247648</v>
      </c>
      <c r="AO39" s="434">
        <f>'Op Cost-26'!D30/'Ridership-26'!D30</f>
        <v>9.9019108329740089</v>
      </c>
      <c r="AP39" s="434">
        <f>'Op Cost-26'!E30/'Ridership-26'!E30</f>
        <v>10.255163836532926</v>
      </c>
      <c r="AQ39" s="435">
        <f t="shared" si="14"/>
        <v>1.1567680100553506</v>
      </c>
      <c r="AR39" s="436">
        <f t="shared" si="15"/>
        <v>2.414313762209435E-2</v>
      </c>
      <c r="AS39" s="440">
        <f t="shared" si="16"/>
        <v>2.4284181090622643E-2</v>
      </c>
      <c r="AT39" s="432"/>
      <c r="AU39" s="441">
        <f t="shared" si="17"/>
        <v>0</v>
      </c>
      <c r="AV39" s="442">
        <f t="shared" si="18"/>
        <v>0</v>
      </c>
      <c r="AW39" s="442">
        <f t="shared" si="19"/>
        <v>0</v>
      </c>
      <c r="AX39" s="442">
        <f t="shared" si="20"/>
        <v>0</v>
      </c>
      <c r="AY39" s="443">
        <f t="shared" si="21"/>
        <v>0</v>
      </c>
      <c r="AZ39" s="444">
        <f t="shared" si="43"/>
        <v>-1</v>
      </c>
      <c r="BA39" s="445">
        <f t="shared" si="22"/>
        <v>0</v>
      </c>
      <c r="BB39" s="446">
        <f t="shared" si="22"/>
        <v>0</v>
      </c>
      <c r="BC39" s="446">
        <f t="shared" si="22"/>
        <v>0</v>
      </c>
      <c r="BD39" s="446">
        <f t="shared" si="22"/>
        <v>0</v>
      </c>
      <c r="BE39" s="446">
        <f t="shared" si="22"/>
        <v>0</v>
      </c>
      <c r="BF39" s="447">
        <f t="shared" si="44"/>
        <v>3361684.0174167701</v>
      </c>
      <c r="BH39" s="448">
        <f>'Op Cost-26'!E30</f>
        <v>14322731</v>
      </c>
      <c r="BI39" s="449">
        <f t="shared" si="23"/>
        <v>0.23470970846389352</v>
      </c>
      <c r="BJ39" s="450">
        <f t="shared" si="24"/>
        <v>3361684.0174167701</v>
      </c>
      <c r="BK39" s="451">
        <f t="shared" si="25"/>
        <v>0</v>
      </c>
      <c r="BL39" s="1">
        <f t="shared" si="45"/>
        <v>0.98100485252800873</v>
      </c>
      <c r="BM39" s="112">
        <f t="shared" si="46"/>
        <v>0.84571985383176429</v>
      </c>
      <c r="BN39" s="112">
        <f t="shared" si="47"/>
        <v>0.73076746496732425</v>
      </c>
      <c r="BO39" s="113">
        <f t="shared" si="48"/>
        <v>1.1737660456564731</v>
      </c>
      <c r="BP39" s="452">
        <f t="shared" si="26"/>
        <v>3361684.0174167701</v>
      </c>
      <c r="BQ39" s="115">
        <f t="shared" si="49"/>
        <v>2.7397512609041282E-2</v>
      </c>
      <c r="BR39" s="116">
        <f t="shared" si="50"/>
        <v>2.7397512609041282E-2</v>
      </c>
      <c r="BS39" s="453">
        <f t="shared" si="51"/>
        <v>2.8979805151583719E-2</v>
      </c>
      <c r="BT39" s="118">
        <f t="shared" si="52"/>
        <v>3578579.1565170377</v>
      </c>
      <c r="BU39" s="119">
        <f t="shared" si="53"/>
        <v>4296819.3</v>
      </c>
      <c r="BV39" s="119">
        <f t="shared" si="54"/>
        <v>3578579.1565170377</v>
      </c>
      <c r="BW39" s="119">
        <f t="shared" si="65"/>
        <v>0</v>
      </c>
      <c r="BX39" s="120">
        <f t="shared" si="55"/>
        <v>2.7397512609041282E-2</v>
      </c>
      <c r="BY39" s="454">
        <f t="shared" si="56"/>
        <v>3.123892474471961E-2</v>
      </c>
      <c r="BZ39" s="122">
        <f t="shared" si="57"/>
        <v>3587472.9077237258</v>
      </c>
      <c r="CA39" s="455">
        <f t="shared" si="27"/>
        <v>2.9861301554406923E-2</v>
      </c>
      <c r="CB39" s="456">
        <f t="shared" si="28"/>
        <v>223492.57079129049</v>
      </c>
      <c r="CC39" s="456">
        <f t="shared" si="29"/>
        <v>3585176.5882080607</v>
      </c>
      <c r="CD39" s="457">
        <f t="shared" si="30"/>
        <v>0.25031375568025821</v>
      </c>
      <c r="CE39" s="458">
        <f t="shared" si="31"/>
        <v>0</v>
      </c>
      <c r="CF39" s="17"/>
      <c r="CG39" s="459">
        <f t="shared" si="32"/>
        <v>14322731</v>
      </c>
      <c r="CH39" s="460">
        <f t="shared" si="58"/>
        <v>0.25031375568025821</v>
      </c>
      <c r="CI39" s="461">
        <f t="shared" si="33"/>
        <v>3585176.5882080607</v>
      </c>
      <c r="CJ39" s="462">
        <f t="shared" si="34"/>
        <v>0</v>
      </c>
      <c r="CL39" s="463">
        <f t="shared" si="35"/>
        <v>3585176.5882080607</v>
      </c>
      <c r="CM39" s="464">
        <f t="shared" si="36"/>
        <v>3.0826136657522093E-2</v>
      </c>
      <c r="CN39" s="465">
        <f t="shared" si="37"/>
        <v>4699.3282512338928</v>
      </c>
      <c r="CO39" s="466">
        <f t="shared" si="59"/>
        <v>3589875.9164592945</v>
      </c>
      <c r="CP39" s="467">
        <f t="shared" si="60"/>
        <v>0.25064185848769305</v>
      </c>
      <c r="CQ39" s="468">
        <f t="shared" si="38"/>
        <v>0</v>
      </c>
      <c r="CR39" s="469"/>
      <c r="CS39" s="470">
        <f t="shared" si="39"/>
        <v>4296819.3</v>
      </c>
      <c r="CT39" s="465">
        <f t="shared" si="40"/>
        <v>0</v>
      </c>
      <c r="CU39" s="471">
        <f t="shared" si="41"/>
        <v>3589875.9164592945</v>
      </c>
      <c r="CV39" s="472">
        <f t="shared" si="42"/>
        <v>0.25064185848769305</v>
      </c>
      <c r="CY39" s="473">
        <v>0</v>
      </c>
      <c r="CZ39" s="474">
        <f t="shared" si="61"/>
        <v>3589875.9164592945</v>
      </c>
      <c r="DA39" s="475">
        <f t="shared" si="62"/>
        <v>0.25064185848769305</v>
      </c>
      <c r="DB39" s="1">
        <f t="shared" si="63"/>
        <v>0</v>
      </c>
      <c r="DC39" s="293">
        <f t="shared" si="64"/>
        <v>0.25047408261201903</v>
      </c>
      <c r="DF39" s="476"/>
    </row>
    <row r="40" spans="1:110">
      <c r="A40" s="477" t="s">
        <v>115</v>
      </c>
      <c r="B40" s="428" t="s">
        <v>119</v>
      </c>
      <c r="C40" s="429"/>
      <c r="D40" s="91">
        <f>'Sizing - Reimb Exp-26'!B31</f>
        <v>744369</v>
      </c>
      <c r="E40" s="92">
        <f>'Ridership-26'!$E31</f>
        <v>28456</v>
      </c>
      <c r="F40" s="92">
        <f>'Revenue Hours-26'!$E31</f>
        <v>18710.25</v>
      </c>
      <c r="G40" s="92">
        <f>'Revenue Miles-26'!$E31</f>
        <v>231250</v>
      </c>
      <c r="H40" s="478">
        <f t="shared" si="0"/>
        <v>1.7706242603158051E-3</v>
      </c>
      <c r="I40" s="431">
        <f t="shared" si="1"/>
        <v>1.7706242603158051E-3</v>
      </c>
      <c r="J40" s="432"/>
      <c r="K40" s="433">
        <f>'Ridership-26'!B31/'Revenue Hours-26'!B31</f>
        <v>2.0660778541053322</v>
      </c>
      <c r="L40" s="434">
        <f>'Ridership-26'!C31/'Revenue Hours-26'!C31</f>
        <v>1.5442640125720273</v>
      </c>
      <c r="M40" s="434">
        <f>'Ridership-26'!D31/'Revenue Hours-26'!D31</f>
        <v>1.4436910689691704</v>
      </c>
      <c r="N40" s="434">
        <f>'Ridership-26'!E31/'Revenue Hours-26'!E31</f>
        <v>1.5208775938322576</v>
      </c>
      <c r="O40" s="435">
        <f t="shared" si="2"/>
        <v>0.78444065442179911</v>
      </c>
      <c r="P40" s="436">
        <f t="shared" si="3"/>
        <v>1.3889496534972442E-3</v>
      </c>
      <c r="Q40" s="437">
        <f t="shared" si="4"/>
        <v>1.3424106051587628E-3</v>
      </c>
      <c r="R40" s="438">
        <f>'Ridership-26'!B31/'Revenue Miles-26'!B31</f>
        <v>0.17929853281414856</v>
      </c>
      <c r="S40" s="434">
        <f>'Ridership-26'!C31/'Revenue Miles-26'!C31</f>
        <v>0.13392938268912755</v>
      </c>
      <c r="T40" s="434">
        <f>'Ridership-26'!D31/'Revenue Miles-26'!D31</f>
        <v>0.11958963737845332</v>
      </c>
      <c r="U40" s="434">
        <f>'Ridership-26'!E31/'Revenue Miles-26'!E31</f>
        <v>0.12305297297297298</v>
      </c>
      <c r="V40" s="435">
        <f t="shared" si="5"/>
        <v>0.76729798078618916</v>
      </c>
      <c r="W40" s="436">
        <f t="shared" si="6"/>
        <v>1.358596419671357E-3</v>
      </c>
      <c r="X40" s="437">
        <f t="shared" si="7"/>
        <v>1.3149104798362799E-3</v>
      </c>
      <c r="Y40" s="438">
        <f>'Op Cost-26'!B31/'Revenue Hours-26'!B31</f>
        <v>43.551303020390364</v>
      </c>
      <c r="Z40" s="434">
        <f>'Op Cost-26'!C31/'Revenue Hours-26'!C31</f>
        <v>41.282399161864852</v>
      </c>
      <c r="AA40" s="434">
        <f>'Op Cost-26'!D31/'Revenue Hours-26'!D31</f>
        <v>39.012660239432144</v>
      </c>
      <c r="AB40" s="434">
        <f>'Op Cost-26'!E31/'Revenue Hours-26'!E31</f>
        <v>39.784022126909051</v>
      </c>
      <c r="AC40" s="435">
        <f t="shared" si="8"/>
        <v>0.92869241192469454</v>
      </c>
      <c r="AD40" s="436">
        <f t="shared" si="9"/>
        <v>1.9065777189308842E-3</v>
      </c>
      <c r="AE40" s="437">
        <f t="shared" si="10"/>
        <v>1.9099658971028415E-3</v>
      </c>
      <c r="AF40" s="438">
        <f>'Op Cost-26'!B31/'Revenue Miles-26'!B31</f>
        <v>3.7794726458078038</v>
      </c>
      <c r="AG40" s="434">
        <f>'Op Cost-26'!C31/'Revenue Miles-26'!C31</f>
        <v>3.5802985698449907</v>
      </c>
      <c r="AH40" s="434">
        <f>'Op Cost-26'!D31/'Revenue Miles-26'!D31</f>
        <v>3.2316539123108785</v>
      </c>
      <c r="AI40" s="434">
        <f>'Op Cost-26'!E31/'Revenue Miles-26'!E31</f>
        <v>3.2188929729729732</v>
      </c>
      <c r="AJ40" s="435">
        <f t="shared" si="11"/>
        <v>0.91256401539541976</v>
      </c>
      <c r="AK40" s="436">
        <f t="shared" si="12"/>
        <v>1.9402740305824817E-3</v>
      </c>
      <c r="AL40" s="437">
        <f t="shared" si="13"/>
        <v>1.943550992913503E-3</v>
      </c>
      <c r="AM40" s="438">
        <f>'Op Cost-26'!B31/'Ridership-26'!B31</f>
        <v>21.079216803884314</v>
      </c>
      <c r="AN40" s="434">
        <f>'Op Cost-26'!C31/'Ridership-26'!C31</f>
        <v>26.732734056987788</v>
      </c>
      <c r="AO40" s="434">
        <f>'Op Cost-26'!D31/'Ridership-26'!D31</f>
        <v>27.022859029867174</v>
      </c>
      <c r="AP40" s="434">
        <f>'Op Cost-26'!E31/'Ridership-26'!E31</f>
        <v>26.158595726736014</v>
      </c>
      <c r="AQ40" s="439">
        <f t="shared" si="14"/>
        <v>1.2360109324116764</v>
      </c>
      <c r="AR40" s="436">
        <f t="shared" si="15"/>
        <v>1.4325312292028059E-3</v>
      </c>
      <c r="AS40" s="440">
        <f t="shared" si="16"/>
        <v>1.4409000326493374E-3</v>
      </c>
      <c r="AT40" s="432"/>
      <c r="AU40" s="441">
        <f t="shared" si="17"/>
        <v>0</v>
      </c>
      <c r="AV40" s="442">
        <f t="shared" si="18"/>
        <v>0</v>
      </c>
      <c r="AW40" s="442">
        <f t="shared" si="19"/>
        <v>0</v>
      </c>
      <c r="AX40" s="442">
        <f t="shared" si="20"/>
        <v>0</v>
      </c>
      <c r="AY40" s="443">
        <f t="shared" si="21"/>
        <v>0</v>
      </c>
      <c r="AZ40" s="444">
        <f t="shared" si="43"/>
        <v>-1</v>
      </c>
      <c r="BA40" s="445">
        <f t="shared" si="22"/>
        <v>0</v>
      </c>
      <c r="BB40" s="446">
        <f t="shared" si="22"/>
        <v>0</v>
      </c>
      <c r="BC40" s="446">
        <f t="shared" si="22"/>
        <v>0</v>
      </c>
      <c r="BD40" s="446">
        <f t="shared" si="22"/>
        <v>0</v>
      </c>
      <c r="BE40" s="446">
        <f t="shared" si="22"/>
        <v>0</v>
      </c>
      <c r="BF40" s="447">
        <f t="shared" si="44"/>
        <v>213129.37920395916</v>
      </c>
      <c r="BH40" s="448">
        <f>'Op Cost-26'!E31</f>
        <v>744369</v>
      </c>
      <c r="BI40" s="449">
        <f t="shared" si="23"/>
        <v>0.2863222127788223</v>
      </c>
      <c r="BJ40" s="450">
        <f t="shared" si="24"/>
        <v>213129.37920395916</v>
      </c>
      <c r="BK40" s="451">
        <f t="shared" si="25"/>
        <v>0</v>
      </c>
      <c r="BL40" s="1">
        <f t="shared" si="45"/>
        <v>0.29686815250012838</v>
      </c>
      <c r="BM40" s="112">
        <f t="shared" si="46"/>
        <v>0.14793012765882388</v>
      </c>
      <c r="BN40" s="112">
        <f t="shared" si="47"/>
        <v>0.17519837190333995</v>
      </c>
      <c r="BO40" s="113">
        <f t="shared" si="48"/>
        <v>0.43217205521917484</v>
      </c>
      <c r="BP40" s="452">
        <f t="shared" si="26"/>
        <v>213129.37920395916</v>
      </c>
      <c r="BQ40" s="115">
        <f t="shared" si="49"/>
        <v>5.2564195293185948E-4</v>
      </c>
      <c r="BR40" s="116">
        <f t="shared" si="50"/>
        <v>5.2564195293185948E-4</v>
      </c>
      <c r="BS40" s="453">
        <f t="shared" si="51"/>
        <v>5.5599942932178011E-4</v>
      </c>
      <c r="BT40" s="118">
        <f t="shared" si="52"/>
        <v>217290.67611163788</v>
      </c>
      <c r="BU40" s="119">
        <f t="shared" si="53"/>
        <v>223310.69999999998</v>
      </c>
      <c r="BV40" s="119">
        <f t="shared" si="54"/>
        <v>217290.67611163788</v>
      </c>
      <c r="BW40" s="119">
        <f t="shared" si="65"/>
        <v>0</v>
      </c>
      <c r="BX40" s="120">
        <f t="shared" si="55"/>
        <v>5.2564195293185948E-4</v>
      </c>
      <c r="BY40" s="454">
        <f t="shared" si="56"/>
        <v>5.9934234339532649E-4</v>
      </c>
      <c r="BZ40" s="122">
        <f t="shared" si="57"/>
        <v>217461.30943955653</v>
      </c>
      <c r="CA40" s="455">
        <f t="shared" si="27"/>
        <v>1.8931941936064308E-3</v>
      </c>
      <c r="CB40" s="456">
        <f t="shared" si="28"/>
        <v>14169.336743923748</v>
      </c>
      <c r="CC40" s="456">
        <f t="shared" si="29"/>
        <v>227298.71594788291</v>
      </c>
      <c r="CD40" s="457">
        <f t="shared" si="30"/>
        <v>0.30535757930258101</v>
      </c>
      <c r="CE40" s="458">
        <f t="shared" si="31"/>
        <v>1</v>
      </c>
      <c r="CF40" s="17"/>
      <c r="CG40" s="459">
        <f t="shared" si="32"/>
        <v>744369</v>
      </c>
      <c r="CH40" s="460">
        <f t="shared" si="58"/>
        <v>0.30535757930258101</v>
      </c>
      <c r="CI40" s="461">
        <f t="shared" si="33"/>
        <v>223310.69999999998</v>
      </c>
      <c r="CJ40" s="462">
        <f t="shared" si="34"/>
        <v>3988.01594788293</v>
      </c>
      <c r="CL40" s="463">
        <f t="shared" si="35"/>
        <v>0</v>
      </c>
      <c r="CM40" s="464">
        <f t="shared" si="36"/>
        <v>0</v>
      </c>
      <c r="CN40" s="465">
        <f t="shared" si="37"/>
        <v>0</v>
      </c>
      <c r="CO40" s="466">
        <f t="shared" si="59"/>
        <v>223310.69999999998</v>
      </c>
      <c r="CP40" s="467">
        <f t="shared" si="60"/>
        <v>0.3</v>
      </c>
      <c r="CQ40" s="468">
        <f t="shared" si="38"/>
        <v>0</v>
      </c>
      <c r="CR40" s="469"/>
      <c r="CS40" s="470">
        <f t="shared" si="39"/>
        <v>223310.69999999998</v>
      </c>
      <c r="CT40" s="465">
        <f t="shared" si="40"/>
        <v>0</v>
      </c>
      <c r="CU40" s="471">
        <f t="shared" si="41"/>
        <v>223310.69999999998</v>
      </c>
      <c r="CV40" s="472">
        <f t="shared" si="42"/>
        <v>0.3</v>
      </c>
      <c r="CY40" s="473">
        <v>0</v>
      </c>
      <c r="CZ40" s="474">
        <f t="shared" si="61"/>
        <v>223310.69999999998</v>
      </c>
      <c r="DA40" s="475">
        <f t="shared" si="62"/>
        <v>0.3</v>
      </c>
      <c r="DB40" s="1">
        <f t="shared" si="63"/>
        <v>0</v>
      </c>
      <c r="DC40" s="293">
        <f t="shared" si="64"/>
        <v>0.29214181332048555</v>
      </c>
      <c r="DF40" s="476"/>
    </row>
    <row r="41" spans="1:110">
      <c r="A41" s="477" t="s">
        <v>120</v>
      </c>
      <c r="B41" s="428" t="s">
        <v>121</v>
      </c>
      <c r="C41" s="429"/>
      <c r="D41" s="91">
        <f>'Sizing - Reimb Exp-26'!B32</f>
        <v>2428469</v>
      </c>
      <c r="E41" s="92">
        <f>'Ridership-26'!$E32</f>
        <v>212642</v>
      </c>
      <c r="F41" s="92">
        <f>'Revenue Hours-26'!$E32</f>
        <v>36534.629999999997</v>
      </c>
      <c r="G41" s="92">
        <f>'Revenue Miles-26'!$E32</f>
        <v>705618.94</v>
      </c>
      <c r="H41" s="478">
        <f t="shared" si="0"/>
        <v>5.6702484862446237E-3</v>
      </c>
      <c r="I41" s="431">
        <f t="shared" si="1"/>
        <v>5.6702484862446237E-3</v>
      </c>
      <c r="J41" s="432"/>
      <c r="K41" s="433">
        <f>'Ridership-26'!B32/'Revenue Hours-26'!B32</f>
        <v>4.4820247253569612</v>
      </c>
      <c r="L41" s="434">
        <f>'Ridership-26'!C32/'Revenue Hours-26'!C32</f>
        <v>4.4056907707718551</v>
      </c>
      <c r="M41" s="434">
        <f>'Ridership-26'!D32/'Revenue Hours-26'!D32</f>
        <v>5.2133876816389186</v>
      </c>
      <c r="N41" s="434">
        <f>'Ridership-26'!E32/'Revenue Hours-26'!E32</f>
        <v>5.8202861230563991</v>
      </c>
      <c r="O41" s="435">
        <f t="shared" si="2"/>
        <v>0.93497400249378815</v>
      </c>
      <c r="P41" s="436">
        <f t="shared" si="3"/>
        <v>5.3015349223184795E-3</v>
      </c>
      <c r="Q41" s="437">
        <f t="shared" si="4"/>
        <v>5.123898253201864E-3</v>
      </c>
      <c r="R41" s="438">
        <f>'Ridership-26'!B32/'Revenue Miles-26'!B32</f>
        <v>0.24753017027607868</v>
      </c>
      <c r="S41" s="434">
        <f>'Ridership-26'!C32/'Revenue Miles-26'!C32</f>
        <v>0.22914428374898088</v>
      </c>
      <c r="T41" s="434">
        <f>'Ridership-26'!D32/'Revenue Miles-26'!D32</f>
        <v>0.26595741807949275</v>
      </c>
      <c r="U41" s="434">
        <f>'Ridership-26'!E32/'Revenue Miles-26'!E32</f>
        <v>0.30135528958448876</v>
      </c>
      <c r="V41" s="435">
        <f t="shared" si="5"/>
        <v>0.92190780884659318</v>
      </c>
      <c r="W41" s="436">
        <f t="shared" si="6"/>
        <v>5.2274463575694933E-3</v>
      </c>
      <c r="X41" s="437">
        <f t="shared" si="7"/>
        <v>5.0593567735242803E-3</v>
      </c>
      <c r="Y41" s="438">
        <f>'Op Cost-26'!B32/'Revenue Hours-26'!B32</f>
        <v>68.510851019247468</v>
      </c>
      <c r="Z41" s="434">
        <f>'Op Cost-26'!C32/'Revenue Hours-26'!C32</f>
        <v>68.297046322116032</v>
      </c>
      <c r="AA41" s="434">
        <f>'Op Cost-26'!D32/'Revenue Hours-26'!D32</f>
        <v>80.659776077922771</v>
      </c>
      <c r="AB41" s="434">
        <f>'Op Cost-26'!E32/'Revenue Hours-26'!E32</f>
        <v>92.151528563447897</v>
      </c>
      <c r="AC41" s="435">
        <f t="shared" si="8"/>
        <v>1.0561797921469089</v>
      </c>
      <c r="AD41" s="436">
        <f t="shared" si="9"/>
        <v>5.3686394384791659E-3</v>
      </c>
      <c r="AE41" s="437">
        <f t="shared" si="10"/>
        <v>5.3781800445493787E-3</v>
      </c>
      <c r="AF41" s="438">
        <f>'Op Cost-26'!B32/'Revenue Miles-26'!B32</f>
        <v>3.7836700281038187</v>
      </c>
      <c r="AG41" s="434">
        <f>'Op Cost-26'!C32/'Revenue Miles-26'!C32</f>
        <v>3.5521961426517614</v>
      </c>
      <c r="AH41" s="434">
        <f>'Op Cost-26'!D32/'Revenue Miles-26'!D32</f>
        <v>4.1148034826005002</v>
      </c>
      <c r="AI41" s="434">
        <f>'Op Cost-26'!E32/'Revenue Miles-26'!E32</f>
        <v>4.7713033326458048</v>
      </c>
      <c r="AJ41" s="435">
        <f t="shared" si="11"/>
        <v>1.0398241904816219</v>
      </c>
      <c r="AK41" s="436">
        <f t="shared" si="12"/>
        <v>5.4530838368150479E-3</v>
      </c>
      <c r="AL41" s="437">
        <f t="shared" si="13"/>
        <v>5.4622936443161976E-3</v>
      </c>
      <c r="AM41" s="438">
        <f>'Op Cost-26'!B32/'Ridership-26'!B32</f>
        <v>15.285692341599267</v>
      </c>
      <c r="AN41" s="434">
        <f>'Op Cost-26'!C32/'Ridership-26'!C32</f>
        <v>15.502006353966314</v>
      </c>
      <c r="AO41" s="434">
        <f>'Op Cost-26'!D32/'Ridership-26'!D32</f>
        <v>15.471662765844025</v>
      </c>
      <c r="AP41" s="434">
        <f>'Op Cost-26'!E32/'Ridership-26'!E32</f>
        <v>15.832817599533488</v>
      </c>
      <c r="AQ41" s="439">
        <f t="shared" si="14"/>
        <v>1.1428923483074012</v>
      </c>
      <c r="AR41" s="436">
        <f t="shared" si="15"/>
        <v>4.9613145933141813E-3</v>
      </c>
      <c r="AS41" s="440">
        <f t="shared" si="16"/>
        <v>4.9902984408013735E-3</v>
      </c>
      <c r="AT41" s="432"/>
      <c r="AU41" s="441">
        <f t="shared" si="17"/>
        <v>0</v>
      </c>
      <c r="AV41" s="442">
        <f t="shared" si="18"/>
        <v>0</v>
      </c>
      <c r="AW41" s="442">
        <f t="shared" si="19"/>
        <v>0</v>
      </c>
      <c r="AX41" s="442">
        <f t="shared" si="20"/>
        <v>0</v>
      </c>
      <c r="AY41" s="443">
        <f t="shared" si="21"/>
        <v>0</v>
      </c>
      <c r="AZ41" s="444">
        <f t="shared" si="43"/>
        <v>-1</v>
      </c>
      <c r="BA41" s="445">
        <f t="shared" si="22"/>
        <v>0</v>
      </c>
      <c r="BB41" s="446">
        <f t="shared" si="22"/>
        <v>0</v>
      </c>
      <c r="BC41" s="446">
        <f t="shared" si="22"/>
        <v>0</v>
      </c>
      <c r="BD41" s="446">
        <f t="shared" si="22"/>
        <v>0</v>
      </c>
      <c r="BE41" s="446">
        <f t="shared" si="22"/>
        <v>0</v>
      </c>
      <c r="BF41" s="447">
        <f t="shared" si="44"/>
        <v>682525.68706471962</v>
      </c>
      <c r="BH41" s="448">
        <f>'Op Cost-26'!E32</f>
        <v>3366722</v>
      </c>
      <c r="BI41" s="449">
        <f t="shared" si="23"/>
        <v>0.20272707014856575</v>
      </c>
      <c r="BJ41" s="450">
        <f t="shared" si="24"/>
        <v>682525.68706471962</v>
      </c>
      <c r="BK41" s="451">
        <f t="shared" si="25"/>
        <v>0</v>
      </c>
      <c r="BL41" s="1">
        <f t="shared" si="45"/>
        <v>0.58531688501073886</v>
      </c>
      <c r="BM41" s="112">
        <f t="shared" si="46"/>
        <v>0.50004173978274979</v>
      </c>
      <c r="BN41" s="112">
        <f t="shared" si="47"/>
        <v>0.36468308671238714</v>
      </c>
      <c r="BO41" s="113">
        <f t="shared" si="48"/>
        <v>0.7382713567739092</v>
      </c>
      <c r="BP41" s="452">
        <f t="shared" si="26"/>
        <v>682525.68706471962</v>
      </c>
      <c r="BQ41" s="115">
        <f t="shared" si="49"/>
        <v>3.3188921812055605E-3</v>
      </c>
      <c r="BR41" s="116">
        <f t="shared" si="50"/>
        <v>3.3188921812055605E-3</v>
      </c>
      <c r="BS41" s="453">
        <f t="shared" si="51"/>
        <v>3.5105686455168118E-3</v>
      </c>
      <c r="BT41" s="118">
        <f t="shared" si="52"/>
        <v>708800.02778949833</v>
      </c>
      <c r="BU41" s="119">
        <f t="shared" si="53"/>
        <v>1010016.6</v>
      </c>
      <c r="BV41" s="119">
        <f t="shared" si="54"/>
        <v>708800.02778949833</v>
      </c>
      <c r="BW41" s="119">
        <f t="shared" si="65"/>
        <v>0</v>
      </c>
      <c r="BX41" s="120">
        <f t="shared" si="55"/>
        <v>3.3188921812055605E-3</v>
      </c>
      <c r="BY41" s="454">
        <f t="shared" si="56"/>
        <v>3.7842348889112107E-3</v>
      </c>
      <c r="BZ41" s="122">
        <f t="shared" si="57"/>
        <v>709877.40301558818</v>
      </c>
      <c r="CA41" s="455">
        <f t="shared" si="27"/>
        <v>6.0627665344138697E-3</v>
      </c>
      <c r="CB41" s="456">
        <f t="shared" si="28"/>
        <v>45375.894832139042</v>
      </c>
      <c r="CC41" s="456">
        <f t="shared" si="29"/>
        <v>727901.58189685864</v>
      </c>
      <c r="CD41" s="457">
        <f t="shared" si="30"/>
        <v>0.2162048371967922</v>
      </c>
      <c r="CE41" s="458">
        <f t="shared" si="31"/>
        <v>0</v>
      </c>
      <c r="CF41" s="17"/>
      <c r="CG41" s="459">
        <f t="shared" si="32"/>
        <v>3366722</v>
      </c>
      <c r="CH41" s="460">
        <f t="shared" si="58"/>
        <v>0.2162048371967922</v>
      </c>
      <c r="CI41" s="461">
        <f t="shared" si="33"/>
        <v>727901.58189685864</v>
      </c>
      <c r="CJ41" s="462">
        <f t="shared" si="34"/>
        <v>0</v>
      </c>
      <c r="CL41" s="463">
        <f t="shared" si="35"/>
        <v>727901.58189685864</v>
      </c>
      <c r="CM41" s="464">
        <f t="shared" si="36"/>
        <v>6.2586578609769988E-3</v>
      </c>
      <c r="CN41" s="465">
        <f t="shared" si="37"/>
        <v>954.10878202667675</v>
      </c>
      <c r="CO41" s="466">
        <f t="shared" si="59"/>
        <v>728855.69067888532</v>
      </c>
      <c r="CP41" s="467">
        <f t="shared" si="60"/>
        <v>0.21648823118715632</v>
      </c>
      <c r="CQ41" s="468">
        <f t="shared" si="38"/>
        <v>0</v>
      </c>
      <c r="CR41" s="469"/>
      <c r="CS41" s="470">
        <f t="shared" si="39"/>
        <v>1010016.6</v>
      </c>
      <c r="CT41" s="465">
        <f t="shared" si="40"/>
        <v>0</v>
      </c>
      <c r="CU41" s="471">
        <f t="shared" si="41"/>
        <v>728855.69067888532</v>
      </c>
      <c r="CV41" s="472">
        <f t="shared" si="42"/>
        <v>0.21648823118715632</v>
      </c>
      <c r="CY41" s="473">
        <v>0</v>
      </c>
      <c r="CZ41" s="474">
        <f t="shared" si="61"/>
        <v>728855.69067888532</v>
      </c>
      <c r="DA41" s="475">
        <f t="shared" si="62"/>
        <v>0.21648823118715632</v>
      </c>
      <c r="DB41" s="1">
        <f t="shared" si="63"/>
        <v>0</v>
      </c>
      <c r="DC41" s="293">
        <f t="shared" si="64"/>
        <v>0.21085120868773488</v>
      </c>
      <c r="DF41" s="476"/>
    </row>
    <row r="42" spans="1:110">
      <c r="A42" s="477" t="s">
        <v>120</v>
      </c>
      <c r="B42" s="428" t="s">
        <v>122</v>
      </c>
      <c r="C42" s="429"/>
      <c r="D42" s="91">
        <f>'Sizing - Reimb Exp-26'!B33</f>
        <v>7144704</v>
      </c>
      <c r="E42" s="92">
        <f>'Ridership-26'!$E33</f>
        <v>1877126</v>
      </c>
      <c r="F42" s="92">
        <f>'Revenue Hours-26'!$E33</f>
        <v>76614</v>
      </c>
      <c r="G42" s="92">
        <f>'Revenue Miles-26'!$E33</f>
        <v>768657</v>
      </c>
      <c r="H42" s="478">
        <f t="shared" si="0"/>
        <v>2.0972505324955166E-2</v>
      </c>
      <c r="I42" s="431">
        <f t="shared" si="1"/>
        <v>2.0972505324955166E-2</v>
      </c>
      <c r="J42" s="432"/>
      <c r="K42" s="433">
        <f>'Ridership-26'!B33/'Revenue Hours-26'!B33</f>
        <v>6.5232631919715116</v>
      </c>
      <c r="L42" s="434">
        <f>'Ridership-26'!C33/'Revenue Hours-26'!C33</f>
        <v>18.24961092626382</v>
      </c>
      <c r="M42" s="434">
        <f>'Ridership-26'!D33/'Revenue Hours-26'!D33</f>
        <v>21.145138445302301</v>
      </c>
      <c r="N42" s="434">
        <f>'Ridership-26'!E33/'Revenue Hours-26'!E33</f>
        <v>24.501083352912001</v>
      </c>
      <c r="O42" s="435">
        <f t="shared" si="2"/>
        <v>1.4130477342171865</v>
      </c>
      <c r="P42" s="436">
        <f t="shared" si="3"/>
        <v>2.9635151130285777E-2</v>
      </c>
      <c r="Q42" s="437">
        <f t="shared" si="4"/>
        <v>2.8642176527140229E-2</v>
      </c>
      <c r="R42" s="438">
        <f>'Ridership-26'!B33/'Revenue Miles-26'!B33</f>
        <v>0.66929775146545356</v>
      </c>
      <c r="S42" s="434">
        <f>'Ridership-26'!C33/'Revenue Miles-26'!C33</f>
        <v>1.8049204125068334</v>
      </c>
      <c r="T42" s="434">
        <f>'Ridership-26'!D33/'Revenue Miles-26'!D33</f>
        <v>2.1042721223804488</v>
      </c>
      <c r="U42" s="434">
        <f>'Ridership-26'!E33/'Revenue Miles-26'!E33</f>
        <v>2.4420853514636569</v>
      </c>
      <c r="V42" s="435">
        <f t="shared" si="5"/>
        <v>1.4013283640407588</v>
      </c>
      <c r="W42" s="436">
        <f t="shared" si="6"/>
        <v>2.9389366576855525E-2</v>
      </c>
      <c r="X42" s="437">
        <f t="shared" si="7"/>
        <v>2.8444345611484432E-2</v>
      </c>
      <c r="Y42" s="438">
        <f>'Op Cost-26'!B33/'Revenue Hours-26'!B33</f>
        <v>76.682473292327614</v>
      </c>
      <c r="Z42" s="434">
        <f>'Op Cost-26'!C33/'Revenue Hours-26'!C33</f>
        <v>79.970349898035849</v>
      </c>
      <c r="AA42" s="434">
        <f>'Op Cost-26'!D33/'Revenue Hours-26'!D33</f>
        <v>91.352487016413477</v>
      </c>
      <c r="AB42" s="434">
        <f>'Op Cost-26'!E33/'Revenue Hours-26'!E33</f>
        <v>97.052784086459397</v>
      </c>
      <c r="AC42" s="435">
        <f t="shared" si="8"/>
        <v>1.0338380562910368</v>
      </c>
      <c r="AD42" s="436">
        <f t="shared" si="9"/>
        <v>2.0286064337963563E-2</v>
      </c>
      <c r="AE42" s="437">
        <f t="shared" si="10"/>
        <v>2.0322114691275858E-2</v>
      </c>
      <c r="AF42" s="438">
        <f>'Op Cost-26'!B33/'Revenue Miles-26'!B33</f>
        <v>7.8677504557122129</v>
      </c>
      <c r="AG42" s="434">
        <f>'Op Cost-26'!C33/'Revenue Miles-26'!C33</f>
        <v>7.9092161202490328</v>
      </c>
      <c r="AH42" s="434">
        <f>'Op Cost-26'!D33/'Revenue Miles-26'!D33</f>
        <v>9.0910018033704372</v>
      </c>
      <c r="AI42" s="434">
        <f>'Op Cost-26'!E33/'Revenue Miles-26'!E33</f>
        <v>9.6734980622045992</v>
      </c>
      <c r="AJ42" s="435">
        <f t="shared" si="11"/>
        <v>1.0288308715377539</v>
      </c>
      <c r="AK42" s="436">
        <f t="shared" si="12"/>
        <v>2.0384793949279893E-2</v>
      </c>
      <c r="AL42" s="437">
        <f t="shared" si="13"/>
        <v>2.0419222179954798E-2</v>
      </c>
      <c r="AM42" s="438">
        <f>'Op Cost-26'!B33/'Ridership-26'!B33</f>
        <v>11.755232164586637</v>
      </c>
      <c r="AN42" s="434">
        <f>'Op Cost-26'!C33/'Ridership-26'!C33</f>
        <v>4.3820304016973317</v>
      </c>
      <c r="AO42" s="434">
        <f>'Op Cost-26'!D33/'Ridership-26'!D33</f>
        <v>4.3202595836731801</v>
      </c>
      <c r="AP42" s="434">
        <f>'Op Cost-26'!E33/'Ridership-26'!E33</f>
        <v>3.9611629693478223</v>
      </c>
      <c r="AQ42" s="439">
        <f t="shared" si="14"/>
        <v>0.83032174110192136</v>
      </c>
      <c r="AR42" s="436">
        <f t="shared" si="15"/>
        <v>2.525828758515045E-2</v>
      </c>
      <c r="AS42" s="440">
        <f t="shared" si="16"/>
        <v>2.5405845725515543E-2</v>
      </c>
      <c r="AT42" s="432"/>
      <c r="AU42" s="441">
        <f t="shared" si="17"/>
        <v>0</v>
      </c>
      <c r="AV42" s="442">
        <f t="shared" si="18"/>
        <v>0</v>
      </c>
      <c r="AW42" s="442">
        <f t="shared" si="19"/>
        <v>0</v>
      </c>
      <c r="AX42" s="442">
        <f t="shared" si="20"/>
        <v>0</v>
      </c>
      <c r="AY42" s="443">
        <f t="shared" si="21"/>
        <v>0</v>
      </c>
      <c r="AZ42" s="444">
        <f t="shared" si="43"/>
        <v>-1</v>
      </c>
      <c r="BA42" s="445">
        <f t="shared" si="22"/>
        <v>0</v>
      </c>
      <c r="BB42" s="446">
        <f t="shared" si="22"/>
        <v>0</v>
      </c>
      <c r="BC42" s="446">
        <f t="shared" si="22"/>
        <v>0</v>
      </c>
      <c r="BD42" s="446">
        <f t="shared" si="22"/>
        <v>0</v>
      </c>
      <c r="BE42" s="446">
        <f t="shared" si="22"/>
        <v>0</v>
      </c>
      <c r="BF42" s="447">
        <f t="shared" si="44"/>
        <v>2524452.6128102345</v>
      </c>
      <c r="BH42" s="448">
        <f>'Op Cost-26'!E33</f>
        <v>7435602</v>
      </c>
      <c r="BI42" s="449">
        <f t="shared" si="23"/>
        <v>0.33950884041537382</v>
      </c>
      <c r="BJ42" s="450">
        <f t="shared" si="24"/>
        <v>2230680.6</v>
      </c>
      <c r="BK42" s="451">
        <f t="shared" si="25"/>
        <v>293772.01281023445</v>
      </c>
      <c r="BL42" s="1">
        <f t="shared" si="45"/>
        <v>2.6075386374638807</v>
      </c>
      <c r="BM42" s="112">
        <f t="shared" si="46"/>
        <v>2.0686563016726853</v>
      </c>
      <c r="BN42" s="112">
        <f t="shared" si="47"/>
        <v>2.9050413069956806</v>
      </c>
      <c r="BO42" s="113">
        <f t="shared" si="48"/>
        <v>2.728228470593578</v>
      </c>
      <c r="BP42" s="452">
        <f t="shared" si="26"/>
        <v>0</v>
      </c>
      <c r="BQ42" s="115">
        <f t="shared" si="49"/>
        <v>5.4686617959237578E-2</v>
      </c>
      <c r="BR42" s="116">
        <f t="shared" si="50"/>
        <v>0</v>
      </c>
      <c r="BS42" s="453">
        <f t="shared" si="51"/>
        <v>0</v>
      </c>
      <c r="BT42" s="118">
        <f t="shared" si="52"/>
        <v>2230680.6</v>
      </c>
      <c r="BU42" s="119">
        <f t="shared" si="53"/>
        <v>2230680.6</v>
      </c>
      <c r="BV42" s="119">
        <f t="shared" si="54"/>
        <v>2230680.6</v>
      </c>
      <c r="BW42" s="119">
        <f t="shared" si="65"/>
        <v>0</v>
      </c>
      <c r="BX42" s="120">
        <f t="shared" si="55"/>
        <v>0</v>
      </c>
      <c r="BY42" s="454">
        <f t="shared" si="56"/>
        <v>0</v>
      </c>
      <c r="BZ42" s="122">
        <f t="shared" si="57"/>
        <v>2230680.6</v>
      </c>
      <c r="CA42" s="455">
        <f t="shared" si="27"/>
        <v>0</v>
      </c>
      <c r="CB42" s="456">
        <f t="shared" si="28"/>
        <v>0</v>
      </c>
      <c r="CC42" s="456">
        <f t="shared" si="29"/>
        <v>2230680.6</v>
      </c>
      <c r="CD42" s="457">
        <f t="shared" si="30"/>
        <v>0.3</v>
      </c>
      <c r="CE42" s="458">
        <f t="shared" si="31"/>
        <v>0</v>
      </c>
      <c r="CF42" s="17"/>
      <c r="CG42" s="459">
        <f t="shared" si="32"/>
        <v>7435602</v>
      </c>
      <c r="CH42" s="460">
        <f t="shared" si="58"/>
        <v>0.3</v>
      </c>
      <c r="CI42" s="461">
        <f t="shared" si="33"/>
        <v>2230680.6</v>
      </c>
      <c r="CJ42" s="462">
        <f t="shared" si="34"/>
        <v>0</v>
      </c>
      <c r="CL42" s="463">
        <f t="shared" si="35"/>
        <v>0</v>
      </c>
      <c r="CM42" s="464">
        <f t="shared" si="36"/>
        <v>0</v>
      </c>
      <c r="CN42" s="465">
        <f t="shared" si="37"/>
        <v>0</v>
      </c>
      <c r="CO42" s="466">
        <f t="shared" si="59"/>
        <v>2230680.6</v>
      </c>
      <c r="CP42" s="467">
        <f t="shared" si="60"/>
        <v>0.3</v>
      </c>
      <c r="CQ42" s="468">
        <f t="shared" si="38"/>
        <v>0</v>
      </c>
      <c r="CR42" s="469"/>
      <c r="CS42" s="470">
        <f t="shared" si="39"/>
        <v>2230680.6</v>
      </c>
      <c r="CT42" s="465">
        <f t="shared" si="40"/>
        <v>0</v>
      </c>
      <c r="CU42" s="471">
        <f t="shared" si="41"/>
        <v>2230680.6</v>
      </c>
      <c r="CV42" s="472">
        <f t="shared" si="42"/>
        <v>0.3</v>
      </c>
      <c r="CY42" s="473">
        <v>0</v>
      </c>
      <c r="CZ42" s="474">
        <f t="shared" si="61"/>
        <v>2230680.6</v>
      </c>
      <c r="DA42" s="475">
        <f t="shared" si="62"/>
        <v>0.3</v>
      </c>
      <c r="DB42" s="1">
        <f t="shared" si="63"/>
        <v>0</v>
      </c>
      <c r="DC42" s="293">
        <f t="shared" si="64"/>
        <v>0.3</v>
      </c>
      <c r="DF42" s="476"/>
    </row>
    <row r="43" spans="1:110">
      <c r="A43" s="477" t="s">
        <v>120</v>
      </c>
      <c r="B43" s="428" t="s">
        <v>123</v>
      </c>
      <c r="C43" s="429"/>
      <c r="D43" s="91">
        <f>'Sizing - Reimb Exp-26'!B34</f>
        <v>2376491</v>
      </c>
      <c r="E43" s="92">
        <f>'Ridership-26'!$E34</f>
        <v>181306</v>
      </c>
      <c r="F43" s="92">
        <f>'Revenue Hours-26'!$E34</f>
        <v>25268</v>
      </c>
      <c r="G43" s="92">
        <f>'Revenue Miles-26'!$E34</f>
        <v>331246</v>
      </c>
      <c r="H43" s="430">
        <f t="shared" si="0"/>
        <v>4.2200607362598746E-3</v>
      </c>
      <c r="I43" s="431">
        <f t="shared" si="1"/>
        <v>4.2200607362598746E-3</v>
      </c>
      <c r="J43" s="432"/>
      <c r="K43" s="433">
        <f>'Ridership-26'!B34/'Revenue Hours-26'!B34</f>
        <v>5.1692512721104915</v>
      </c>
      <c r="L43" s="434">
        <f>'Ridership-26'!C34/'Revenue Hours-26'!C34</f>
        <v>7.7540727902946278</v>
      </c>
      <c r="M43" s="434">
        <f>'Ridership-26'!D34/'Revenue Hours-26'!D34</f>
        <v>8.9334289529650324</v>
      </c>
      <c r="N43" s="434">
        <f>'Ridership-26'!E34/'Revenue Hours-26'!E34</f>
        <v>7.1753205635586514</v>
      </c>
      <c r="O43" s="435">
        <f t="shared" si="2"/>
        <v>0.9631888761247418</v>
      </c>
      <c r="P43" s="436">
        <f t="shared" si="3"/>
        <v>4.064715557736299E-3</v>
      </c>
      <c r="Q43" s="437">
        <f t="shared" si="4"/>
        <v>3.9285205607849259E-3</v>
      </c>
      <c r="R43" s="438">
        <f>'Ridership-26'!B34/'Revenue Miles-26'!B34</f>
        <v>0.48672727894958989</v>
      </c>
      <c r="S43" s="434">
        <f>'Ridership-26'!C34/'Revenue Miles-26'!C34</f>
        <v>0.72460145651246777</v>
      </c>
      <c r="T43" s="434">
        <f>'Ridership-26'!D34/'Revenue Miles-26'!D34</f>
        <v>0.79643813026090104</v>
      </c>
      <c r="U43" s="434">
        <f>'Ridership-26'!E34/'Revenue Miles-26'!E34</f>
        <v>0.54734547737934947</v>
      </c>
      <c r="V43" s="435">
        <f t="shared" si="5"/>
        <v>0.91548196708866847</v>
      </c>
      <c r="W43" s="436">
        <f t="shared" si="6"/>
        <v>3.8633895040648446E-3</v>
      </c>
      <c r="X43" s="437">
        <f t="shared" si="7"/>
        <v>3.7391614411976747E-3</v>
      </c>
      <c r="Y43" s="438">
        <f>'Op Cost-26'!B34/'Revenue Hours-26'!B34</f>
        <v>76.918100314998782</v>
      </c>
      <c r="Z43" s="434">
        <f>'Op Cost-26'!C34/'Revenue Hours-26'!C34</f>
        <v>82.248006932409012</v>
      </c>
      <c r="AA43" s="434">
        <f>'Op Cost-26'!D34/'Revenue Hours-26'!D34</f>
        <v>95.121865571986746</v>
      </c>
      <c r="AB43" s="434">
        <f>'Op Cost-26'!E34/'Revenue Hours-26'!E34</f>
        <v>94.216123159727715</v>
      </c>
      <c r="AC43" s="435">
        <f t="shared" si="8"/>
        <v>1.0237533675916397</v>
      </c>
      <c r="AD43" s="436">
        <f t="shared" si="9"/>
        <v>4.1221458896760332E-3</v>
      </c>
      <c r="AE43" s="437">
        <f t="shared" si="10"/>
        <v>4.1294713527748337E-3</v>
      </c>
      <c r="AF43" s="438">
        <f>'Op Cost-26'!B34/'Revenue Miles-26'!B34</f>
        <v>7.2424681443287211</v>
      </c>
      <c r="AG43" s="434">
        <f>'Op Cost-26'!C34/'Revenue Miles-26'!C34</f>
        <v>7.6858996852680619</v>
      </c>
      <c r="AH43" s="434">
        <f>'Op Cost-26'!D34/'Revenue Miles-26'!D34</f>
        <v>8.480358568020776</v>
      </c>
      <c r="AI43" s="434">
        <f>'Op Cost-26'!E34/'Revenue Miles-26'!E34</f>
        <v>7.1869637671096402</v>
      </c>
      <c r="AJ43" s="435">
        <f t="shared" si="11"/>
        <v>0.96417599187899372</v>
      </c>
      <c r="AK43" s="436">
        <f t="shared" si="12"/>
        <v>4.3768573080063804E-3</v>
      </c>
      <c r="AL43" s="437">
        <f t="shared" si="13"/>
        <v>4.384249457929805E-3</v>
      </c>
      <c r="AM43" s="438">
        <f>'Op Cost-26'!B34/'Ridership-26'!B34</f>
        <v>14.879930625541988</v>
      </c>
      <c r="AN43" s="434">
        <f>'Op Cost-26'!C34/'Ridership-26'!C34</f>
        <v>10.607071813325586</v>
      </c>
      <c r="AO43" s="434">
        <f>'Op Cost-26'!D34/'Ridership-26'!D34</f>
        <v>10.647856055363322</v>
      </c>
      <c r="AP43" s="434">
        <f>'Op Cost-26'!E34/'Ridership-26'!E34</f>
        <v>13.13058034483139</v>
      </c>
      <c r="AQ43" s="439">
        <f t="shared" si="14"/>
        <v>1.0897265159750711</v>
      </c>
      <c r="AR43" s="436">
        <f t="shared" si="15"/>
        <v>3.8725869971915172E-3</v>
      </c>
      <c r="AS43" s="440">
        <f t="shared" si="16"/>
        <v>3.8952105314980778E-3</v>
      </c>
      <c r="AT43" s="432"/>
      <c r="AU43" s="441">
        <f t="shared" si="17"/>
        <v>0</v>
      </c>
      <c r="AV43" s="442">
        <f t="shared" si="18"/>
        <v>0</v>
      </c>
      <c r="AW43" s="442">
        <f t="shared" si="19"/>
        <v>0</v>
      </c>
      <c r="AX43" s="442">
        <f t="shared" si="20"/>
        <v>0</v>
      </c>
      <c r="AY43" s="443">
        <f t="shared" si="21"/>
        <v>0</v>
      </c>
      <c r="AZ43" s="444">
        <f t="shared" si="43"/>
        <v>-1</v>
      </c>
      <c r="BA43" s="445">
        <f t="shared" si="22"/>
        <v>0</v>
      </c>
      <c r="BB43" s="446">
        <f t="shared" si="22"/>
        <v>0</v>
      </c>
      <c r="BC43" s="446">
        <f t="shared" si="22"/>
        <v>0</v>
      </c>
      <c r="BD43" s="446">
        <f t="shared" si="22"/>
        <v>0</v>
      </c>
      <c r="BE43" s="446">
        <f t="shared" si="22"/>
        <v>0</v>
      </c>
      <c r="BF43" s="447">
        <f t="shared" si="44"/>
        <v>507967.13062185841</v>
      </c>
      <c r="BH43" s="448">
        <f>'Op Cost-26'!E34</f>
        <v>2380653</v>
      </c>
      <c r="BI43" s="449">
        <f t="shared" si="23"/>
        <v>0.21337302438526673</v>
      </c>
      <c r="BJ43" s="450">
        <f t="shared" si="24"/>
        <v>507967.13062185841</v>
      </c>
      <c r="BK43" s="451">
        <f t="shared" si="25"/>
        <v>0</v>
      </c>
      <c r="BL43" s="1">
        <f t="shared" si="45"/>
        <v>0.94587385418705061</v>
      </c>
      <c r="BM43" s="112">
        <f t="shared" si="46"/>
        <v>0.78226134835311656</v>
      </c>
      <c r="BN43" s="112">
        <f t="shared" si="47"/>
        <v>0.9652772495023324</v>
      </c>
      <c r="BO43" s="113">
        <f t="shared" si="48"/>
        <v>1.0179784094463769</v>
      </c>
      <c r="BP43" s="452">
        <f t="shared" si="26"/>
        <v>507967.13062185841</v>
      </c>
      <c r="BQ43" s="115">
        <f t="shared" si="49"/>
        <v>3.9916451135095701E-3</v>
      </c>
      <c r="BR43" s="116">
        <f t="shared" si="50"/>
        <v>3.9916451135095701E-3</v>
      </c>
      <c r="BS43" s="453">
        <f t="shared" si="51"/>
        <v>4.2221751760634189E-3</v>
      </c>
      <c r="BT43" s="118">
        <f t="shared" si="52"/>
        <v>539567.38698410406</v>
      </c>
      <c r="BU43" s="119">
        <f t="shared" si="53"/>
        <v>714195.9</v>
      </c>
      <c r="BV43" s="119">
        <f t="shared" si="54"/>
        <v>539567.38698410406</v>
      </c>
      <c r="BW43" s="119">
        <f t="shared" si="65"/>
        <v>0</v>
      </c>
      <c r="BX43" s="120">
        <f t="shared" si="55"/>
        <v>3.9916451135095701E-3</v>
      </c>
      <c r="BY43" s="454">
        <f t="shared" si="56"/>
        <v>4.5513146791071653E-3</v>
      </c>
      <c r="BZ43" s="122">
        <f t="shared" si="57"/>
        <v>540863.15054671408</v>
      </c>
      <c r="CA43" s="455">
        <f t="shared" si="27"/>
        <v>4.5121907914718743E-3</v>
      </c>
      <c r="CB43" s="456">
        <f t="shared" si="28"/>
        <v>33770.836078577137</v>
      </c>
      <c r="CC43" s="456">
        <f t="shared" si="29"/>
        <v>541737.9667004355</v>
      </c>
      <c r="CD43" s="457">
        <f t="shared" si="30"/>
        <v>0.22755855922742016</v>
      </c>
      <c r="CE43" s="458">
        <f t="shared" si="31"/>
        <v>0</v>
      </c>
      <c r="CF43" s="17"/>
      <c r="CG43" s="459">
        <f t="shared" si="32"/>
        <v>2380653</v>
      </c>
      <c r="CH43" s="460">
        <f t="shared" si="58"/>
        <v>0.22755855922742016</v>
      </c>
      <c r="CI43" s="461">
        <f t="shared" si="33"/>
        <v>541737.9667004355</v>
      </c>
      <c r="CJ43" s="462">
        <f t="shared" si="34"/>
        <v>0</v>
      </c>
      <c r="CL43" s="463">
        <f t="shared" si="35"/>
        <v>541737.9667004355</v>
      </c>
      <c r="CM43" s="464">
        <f t="shared" si="36"/>
        <v>4.657982161604653E-3</v>
      </c>
      <c r="CN43" s="465">
        <f t="shared" si="37"/>
        <v>710.0918097185845</v>
      </c>
      <c r="CO43" s="466">
        <f t="shared" si="59"/>
        <v>542448.05851015414</v>
      </c>
      <c r="CP43" s="467">
        <f t="shared" si="60"/>
        <v>0.22785683529273446</v>
      </c>
      <c r="CQ43" s="468">
        <f t="shared" si="38"/>
        <v>0</v>
      </c>
      <c r="CR43" s="469"/>
      <c r="CS43" s="470">
        <f t="shared" si="39"/>
        <v>714195.9</v>
      </c>
      <c r="CT43" s="465">
        <f t="shared" si="40"/>
        <v>0</v>
      </c>
      <c r="CU43" s="471">
        <f t="shared" si="41"/>
        <v>542448.05851015414</v>
      </c>
      <c r="CV43" s="472">
        <f t="shared" si="42"/>
        <v>0.22785683529273446</v>
      </c>
      <c r="CY43" s="473">
        <v>0</v>
      </c>
      <c r="CZ43" s="474">
        <f t="shared" si="61"/>
        <v>542448.05851015414</v>
      </c>
      <c r="DA43" s="475">
        <f t="shared" si="62"/>
        <v>0.22785683529273446</v>
      </c>
      <c r="DB43" s="1">
        <f t="shared" si="63"/>
        <v>0</v>
      </c>
      <c r="DC43" s="293">
        <f t="shared" si="64"/>
        <v>0.22719109023730635</v>
      </c>
      <c r="DF43" s="476"/>
    </row>
    <row r="44" spans="1:110">
      <c r="A44" s="477" t="s">
        <v>124</v>
      </c>
      <c r="B44" s="428" t="s">
        <v>125</v>
      </c>
      <c r="C44" s="429"/>
      <c r="D44" s="91">
        <f>'Sizing - Reimb Exp-26'!B35</f>
        <v>5173162</v>
      </c>
      <c r="E44" s="92">
        <f>'Ridership-26'!$E35</f>
        <v>131277</v>
      </c>
      <c r="F44" s="92">
        <f>'Revenue Hours-26'!$E35</f>
        <v>61710.71</v>
      </c>
      <c r="G44" s="92">
        <f>'Revenue Miles-26'!$E35</f>
        <v>1392527</v>
      </c>
      <c r="H44" s="478">
        <f t="shared" si="0"/>
        <v>9.1906277955202675E-3</v>
      </c>
      <c r="I44" s="431">
        <f t="shared" si="1"/>
        <v>9.1906277955202675E-3</v>
      </c>
      <c r="J44" s="432"/>
      <c r="K44" s="433">
        <f>'Ridership-26'!B35/'Revenue Hours-26'!B35</f>
        <v>1.944317205840252</v>
      </c>
      <c r="L44" s="434">
        <f>'Ridership-26'!C35/'Revenue Hours-26'!C35</f>
        <v>2.0984220777077214</v>
      </c>
      <c r="M44" s="434">
        <f>'Ridership-26'!D35/'Revenue Hours-26'!D35</f>
        <v>2.1059981833517161</v>
      </c>
      <c r="N44" s="434">
        <f>'Ridership-26'!E35/'Revenue Hours-26'!E35</f>
        <v>2.1272968662976006</v>
      </c>
      <c r="O44" s="435">
        <f t="shared" si="2"/>
        <v>0.87651228790853652</v>
      </c>
      <c r="P44" s="436">
        <f t="shared" si="3"/>
        <v>8.0556981963672593E-3</v>
      </c>
      <c r="Q44" s="437">
        <f t="shared" si="4"/>
        <v>7.7857787454951709E-3</v>
      </c>
      <c r="R44" s="438">
        <f>'Ridership-26'!B35/'Revenue Miles-26'!B35</f>
        <v>8.4847547858705061E-2</v>
      </c>
      <c r="S44" s="434">
        <f>'Ridership-26'!C35/'Revenue Miles-26'!C35</f>
        <v>9.06701755136681E-2</v>
      </c>
      <c r="T44" s="434">
        <f>'Ridership-26'!D35/'Revenue Miles-26'!D35</f>
        <v>9.3205239748349655E-2</v>
      </c>
      <c r="U44" s="434">
        <f>'Ridership-26'!E35/'Revenue Miles-26'!E35</f>
        <v>9.4272498845623817E-2</v>
      </c>
      <c r="V44" s="435">
        <f t="shared" si="5"/>
        <v>0.8848941187265198</v>
      </c>
      <c r="W44" s="436">
        <f t="shared" si="6"/>
        <v>8.1327324836603654E-3</v>
      </c>
      <c r="X44" s="437">
        <f t="shared" si="7"/>
        <v>7.871222842657552E-3</v>
      </c>
      <c r="Y44" s="438">
        <f>'Op Cost-26'!B35/'Revenue Hours-26'!B35</f>
        <v>69.859111079301456</v>
      </c>
      <c r="Z44" s="434">
        <f>'Op Cost-26'!C35/'Revenue Hours-26'!C35</f>
        <v>76.546396857359781</v>
      </c>
      <c r="AA44" s="434">
        <f>'Op Cost-26'!D35/'Revenue Hours-26'!D35</f>
        <v>81.113410757153048</v>
      </c>
      <c r="AB44" s="434">
        <f>'Op Cost-26'!E35/'Revenue Hours-26'!E35</f>
        <v>94.049687647411616</v>
      </c>
      <c r="AC44" s="435">
        <f t="shared" si="8"/>
        <v>1.0573411582619359</v>
      </c>
      <c r="AD44" s="436">
        <f t="shared" si="9"/>
        <v>8.6922066011578328E-3</v>
      </c>
      <c r="AE44" s="437">
        <f t="shared" si="10"/>
        <v>8.7076535165286368E-3</v>
      </c>
      <c r="AF44" s="438">
        <f>'Op Cost-26'!B35/'Revenue Miles-26'!B35</f>
        <v>3.0485633994613872</v>
      </c>
      <c r="AG44" s="434">
        <f>'Op Cost-26'!C35/'Revenue Miles-26'!C35</f>
        <v>3.3074734162048824</v>
      </c>
      <c r="AH44" s="434">
        <f>'Op Cost-26'!D35/'Revenue Miles-26'!D35</f>
        <v>3.5898392297730726</v>
      </c>
      <c r="AI44" s="434">
        <f>'Op Cost-26'!E35/'Revenue Miles-26'!E35</f>
        <v>4.1678710717996852</v>
      </c>
      <c r="AJ44" s="435">
        <f t="shared" si="11"/>
        <v>1.0673150531526312</v>
      </c>
      <c r="AK44" s="436">
        <f t="shared" si="12"/>
        <v>8.6109792683735E-3</v>
      </c>
      <c r="AL44" s="437">
        <f t="shared" si="13"/>
        <v>8.6255225000257812E-3</v>
      </c>
      <c r="AM44" s="438">
        <f>'Op Cost-26'!B35/'Ridership-26'!B35</f>
        <v>35.929893985128473</v>
      </c>
      <c r="AN44" s="434">
        <f>'Op Cost-26'!C35/'Ridership-26'!C35</f>
        <v>36.47807448774924</v>
      </c>
      <c r="AO44" s="434">
        <f>'Op Cost-26'!D35/'Ridership-26'!D35</f>
        <v>38.515422946880371</v>
      </c>
      <c r="AP44" s="434">
        <f>'Op Cost-26'!E35/'Ridership-26'!E35</f>
        <v>44.210889950257851</v>
      </c>
      <c r="AQ44" s="439">
        <f t="shared" si="14"/>
        <v>1.2071736239215365</v>
      </c>
      <c r="AR44" s="436">
        <f t="shared" si="15"/>
        <v>7.61334377540843E-3</v>
      </c>
      <c r="AS44" s="440">
        <f t="shared" si="16"/>
        <v>7.6578206959309397E-3</v>
      </c>
      <c r="AT44" s="432"/>
      <c r="AU44" s="441">
        <f t="shared" si="17"/>
        <v>0</v>
      </c>
      <c r="AV44" s="442">
        <f t="shared" si="18"/>
        <v>0</v>
      </c>
      <c r="AW44" s="442">
        <f t="shared" si="19"/>
        <v>0</v>
      </c>
      <c r="AX44" s="442">
        <f t="shared" si="20"/>
        <v>0</v>
      </c>
      <c r="AY44" s="443">
        <f t="shared" si="21"/>
        <v>0</v>
      </c>
      <c r="AZ44" s="444">
        <f t="shared" si="43"/>
        <v>-1</v>
      </c>
      <c r="BA44" s="445">
        <f t="shared" si="22"/>
        <v>0</v>
      </c>
      <c r="BB44" s="446">
        <f t="shared" si="22"/>
        <v>0</v>
      </c>
      <c r="BC44" s="446">
        <f t="shared" si="22"/>
        <v>0</v>
      </c>
      <c r="BD44" s="446">
        <f t="shared" si="22"/>
        <v>0</v>
      </c>
      <c r="BE44" s="446">
        <f t="shared" si="22"/>
        <v>0</v>
      </c>
      <c r="BF44" s="447">
        <f t="shared" si="44"/>
        <v>1106272.4263161966</v>
      </c>
      <c r="BH44" s="448">
        <f>'Op Cost-26'!E35</f>
        <v>5803873</v>
      </c>
      <c r="BI44" s="449">
        <f t="shared" si="23"/>
        <v>0.19060934419416078</v>
      </c>
      <c r="BJ44" s="450">
        <f t="shared" si="24"/>
        <v>1106272.4263161966</v>
      </c>
      <c r="BK44" s="451">
        <f t="shared" si="25"/>
        <v>0</v>
      </c>
      <c r="BL44" s="1">
        <f t="shared" si="45"/>
        <v>0.23031623159647788</v>
      </c>
      <c r="BM44" s="112">
        <f t="shared" si="46"/>
        <v>0.20733905770550351</v>
      </c>
      <c r="BN44" s="112">
        <f t="shared" si="47"/>
        <v>0.12860033261752671</v>
      </c>
      <c r="BO44" s="113">
        <f t="shared" si="48"/>
        <v>0.29266276803144065</v>
      </c>
      <c r="BP44" s="452">
        <f t="shared" si="26"/>
        <v>1106272.4263161966</v>
      </c>
      <c r="BQ44" s="115">
        <f t="shared" si="49"/>
        <v>2.1167507598700728E-3</v>
      </c>
      <c r="BR44" s="116">
        <f t="shared" si="50"/>
        <v>2.1167507598700728E-3</v>
      </c>
      <c r="BS44" s="453">
        <f t="shared" si="51"/>
        <v>2.2389997753028885E-3</v>
      </c>
      <c r="BT44" s="118">
        <f t="shared" si="52"/>
        <v>1123029.8946694043</v>
      </c>
      <c r="BU44" s="119">
        <f t="shared" si="53"/>
        <v>1741161.9</v>
      </c>
      <c r="BV44" s="119">
        <f t="shared" si="54"/>
        <v>1123029.8946694043</v>
      </c>
      <c r="BW44" s="119">
        <f t="shared" si="65"/>
        <v>0</v>
      </c>
      <c r="BX44" s="120">
        <f t="shared" si="55"/>
        <v>2.1167507598700728E-3</v>
      </c>
      <c r="BY44" s="454">
        <f t="shared" si="56"/>
        <v>2.4135409164512166E-3</v>
      </c>
      <c r="BZ44" s="122">
        <f t="shared" si="57"/>
        <v>1123717.0320345182</v>
      </c>
      <c r="CA44" s="455">
        <f t="shared" si="27"/>
        <v>9.8268410571610929E-3</v>
      </c>
      <c r="CB44" s="456">
        <f t="shared" si="28"/>
        <v>73547.563444977059</v>
      </c>
      <c r="CC44" s="456">
        <f t="shared" si="29"/>
        <v>1179819.9897611737</v>
      </c>
      <c r="CD44" s="457">
        <f t="shared" si="30"/>
        <v>0.20328149664218595</v>
      </c>
      <c r="CE44" s="458">
        <f t="shared" si="31"/>
        <v>0</v>
      </c>
      <c r="CF44" s="17"/>
      <c r="CG44" s="459">
        <f t="shared" si="32"/>
        <v>5803873</v>
      </c>
      <c r="CH44" s="460">
        <f t="shared" si="58"/>
        <v>0.20328149664218595</v>
      </c>
      <c r="CI44" s="461">
        <f t="shared" si="33"/>
        <v>1179819.9897611737</v>
      </c>
      <c r="CJ44" s="462">
        <f t="shared" si="34"/>
        <v>0</v>
      </c>
      <c r="CL44" s="463">
        <f t="shared" si="35"/>
        <v>1179819.9897611737</v>
      </c>
      <c r="CM44" s="464">
        <f t="shared" si="36"/>
        <v>1.0144351705094761E-2</v>
      </c>
      <c r="CN44" s="465">
        <f t="shared" si="37"/>
        <v>1546.4681509666846</v>
      </c>
      <c r="CO44" s="466">
        <f t="shared" si="59"/>
        <v>1181366.4579121405</v>
      </c>
      <c r="CP44" s="467">
        <f t="shared" si="60"/>
        <v>0.20354795115471006</v>
      </c>
      <c r="CQ44" s="468">
        <f t="shared" si="38"/>
        <v>0</v>
      </c>
      <c r="CR44" s="469"/>
      <c r="CS44" s="470">
        <f t="shared" si="39"/>
        <v>1741161.9</v>
      </c>
      <c r="CT44" s="465">
        <f t="shared" si="40"/>
        <v>0</v>
      </c>
      <c r="CU44" s="471">
        <f t="shared" si="41"/>
        <v>1181366.4579121405</v>
      </c>
      <c r="CV44" s="472">
        <f t="shared" si="42"/>
        <v>0.20354795115471006</v>
      </c>
      <c r="CY44" s="473">
        <v>0</v>
      </c>
      <c r="CZ44" s="474">
        <f t="shared" si="61"/>
        <v>1181366.4579121405</v>
      </c>
      <c r="DA44" s="475">
        <f t="shared" si="62"/>
        <v>0.20354795115471006</v>
      </c>
      <c r="DB44" s="1">
        <f t="shared" si="63"/>
        <v>0</v>
      </c>
      <c r="DC44" s="293">
        <f t="shared" si="64"/>
        <v>0.19361502776413581</v>
      </c>
      <c r="DF44" s="476"/>
    </row>
    <row r="45" spans="1:110">
      <c r="A45" s="477" t="s">
        <v>124</v>
      </c>
      <c r="B45" s="428" t="s">
        <v>126</v>
      </c>
      <c r="C45" s="429"/>
      <c r="D45" s="91">
        <f>'Sizing - Reimb Exp-26'!B36</f>
        <v>604843</v>
      </c>
      <c r="E45" s="92">
        <f>'Ridership-26'!$E36</f>
        <v>28882</v>
      </c>
      <c r="F45" s="92">
        <f>'Revenue Hours-26'!$E36</f>
        <v>15534</v>
      </c>
      <c r="G45" s="92">
        <f>'Revenue Miles-26'!$E36</f>
        <v>413556</v>
      </c>
      <c r="H45" s="478">
        <f t="shared" si="0"/>
        <v>2.000041928521097E-3</v>
      </c>
      <c r="I45" s="431">
        <f t="shared" si="1"/>
        <v>2.000041928521097E-3</v>
      </c>
      <c r="J45" s="432"/>
      <c r="K45" s="433">
        <f>'Ridership-26'!B36/'Revenue Hours-26'!B36</f>
        <v>1.3983089137029627</v>
      </c>
      <c r="L45" s="434">
        <f>'Ridership-26'!C36/'Revenue Hours-26'!C36</f>
        <v>1.5445728965960179</v>
      </c>
      <c r="M45" s="434">
        <f>'Ridership-26'!D36/'Revenue Hours-26'!D36</f>
        <v>1.8291929463251384</v>
      </c>
      <c r="N45" s="434">
        <f>'Ridership-26'!E36/'Revenue Hours-26'!E36</f>
        <v>1.8592764259044676</v>
      </c>
      <c r="O45" s="435">
        <f t="shared" si="2"/>
        <v>0.93575618620058609</v>
      </c>
      <c r="P45" s="436">
        <f t="shared" si="3"/>
        <v>1.8715516072741669E-3</v>
      </c>
      <c r="Q45" s="437">
        <f t="shared" si="4"/>
        <v>1.8088421847262833E-3</v>
      </c>
      <c r="R45" s="438">
        <f>'Ridership-26'!B36/'Revenue Miles-26'!B36</f>
        <v>5.2832581392513109E-2</v>
      </c>
      <c r="S45" s="434">
        <f>'Ridership-26'!C36/'Revenue Miles-26'!C36</f>
        <v>5.8014121779238044E-2</v>
      </c>
      <c r="T45" s="434">
        <f>'Ridership-26'!D36/'Revenue Miles-26'!D36</f>
        <v>6.7953110393320887E-2</v>
      </c>
      <c r="U45" s="434">
        <f>'Ridership-26'!E36/'Revenue Miles-26'!E36</f>
        <v>6.9838183946067764E-2</v>
      </c>
      <c r="V45" s="435">
        <f t="shared" si="5"/>
        <v>0.93786015683866342</v>
      </c>
      <c r="W45" s="436">
        <f t="shared" si="6"/>
        <v>1.8757596367666989E-3</v>
      </c>
      <c r="X45" s="437">
        <f t="shared" si="7"/>
        <v>1.8154442101614393E-3</v>
      </c>
      <c r="Y45" s="438">
        <f>'Op Cost-26'!B36/'Revenue Hours-26'!B36</f>
        <v>37.360937197444009</v>
      </c>
      <c r="Z45" s="434">
        <f>'Op Cost-26'!C36/'Revenue Hours-26'!C36</f>
        <v>36.826011560693644</v>
      </c>
      <c r="AA45" s="434">
        <f>'Op Cost-26'!D36/'Revenue Hours-26'!D36</f>
        <v>46.109795340455655</v>
      </c>
      <c r="AB45" s="434">
        <f>'Op Cost-26'!E36/'Revenue Hours-26'!E36</f>
        <v>38.936719454100682</v>
      </c>
      <c r="AC45" s="435">
        <f t="shared" si="8"/>
        <v>0.97827769072150195</v>
      </c>
      <c r="AD45" s="436">
        <f t="shared" si="9"/>
        <v>2.0444521504380019E-3</v>
      </c>
      <c r="AE45" s="437">
        <f t="shared" si="10"/>
        <v>2.0480853451831965E-3</v>
      </c>
      <c r="AF45" s="438">
        <f>'Op Cost-26'!B36/'Revenue Miles-26'!B36</f>
        <v>1.4116156566272406</v>
      </c>
      <c r="AG45" s="434">
        <f>'Op Cost-26'!C36/'Revenue Miles-26'!C36</f>
        <v>1.3831841307289821</v>
      </c>
      <c r="AH45" s="434">
        <f>'Op Cost-26'!D36/'Revenue Miles-26'!D36</f>
        <v>1.712943415443541</v>
      </c>
      <c r="AI45" s="434">
        <f>'Op Cost-26'!E36/'Revenue Miles-26'!E36</f>
        <v>1.4625419532058537</v>
      </c>
      <c r="AJ45" s="435">
        <f t="shared" si="11"/>
        <v>0.97981392718326255</v>
      </c>
      <c r="AK45" s="436">
        <f t="shared" si="12"/>
        <v>2.0412466826949002E-3</v>
      </c>
      <c r="AL45" s="437">
        <f t="shared" si="13"/>
        <v>2.0446941794825088E-3</v>
      </c>
      <c r="AM45" s="438">
        <f>'Op Cost-26'!B36/'Ridership-26'!B36</f>
        <v>26.718657680945348</v>
      </c>
      <c r="AN45" s="434">
        <f>'Op Cost-26'!C36/'Ridership-26'!C36</f>
        <v>23.842197180755957</v>
      </c>
      <c r="AO45" s="434">
        <f>'Op Cost-26'!D36/'Ridership-26'!D36</f>
        <v>25.207726409119697</v>
      </c>
      <c r="AP45" s="434">
        <f>'Op Cost-26'!E36/'Ridership-26'!E36</f>
        <v>20.941866906723909</v>
      </c>
      <c r="AQ45" s="439">
        <f t="shared" si="14"/>
        <v>1.0464177737850957</v>
      </c>
      <c r="AR45" s="436">
        <f t="shared" si="15"/>
        <v>1.9113225889565676E-3</v>
      </c>
      <c r="AS45" s="440">
        <f t="shared" si="16"/>
        <v>1.9224884768226174E-3</v>
      </c>
      <c r="AT45" s="432"/>
      <c r="AU45" s="441">
        <f t="shared" si="17"/>
        <v>0</v>
      </c>
      <c r="AV45" s="442">
        <f t="shared" si="18"/>
        <v>0</v>
      </c>
      <c r="AW45" s="442">
        <f t="shared" si="19"/>
        <v>0</v>
      </c>
      <c r="AX45" s="442">
        <f t="shared" si="20"/>
        <v>0</v>
      </c>
      <c r="AY45" s="443">
        <f t="shared" si="21"/>
        <v>0</v>
      </c>
      <c r="AZ45" s="444">
        <f t="shared" si="43"/>
        <v>-1</v>
      </c>
      <c r="BA45" s="445">
        <f t="shared" si="22"/>
        <v>0</v>
      </c>
      <c r="BB45" s="446">
        <f t="shared" si="22"/>
        <v>0</v>
      </c>
      <c r="BC45" s="446">
        <f t="shared" si="22"/>
        <v>0</v>
      </c>
      <c r="BD45" s="446">
        <f t="shared" si="22"/>
        <v>0</v>
      </c>
      <c r="BE45" s="446">
        <f t="shared" si="22"/>
        <v>0</v>
      </c>
      <c r="BF45" s="447">
        <f t="shared" si="44"/>
        <v>240744.2980203843</v>
      </c>
      <c r="BH45" s="448">
        <f>'Op Cost-26'!E36</f>
        <v>604843</v>
      </c>
      <c r="BI45" s="449">
        <f t="shared" si="23"/>
        <v>0.39802774938353308</v>
      </c>
      <c r="BJ45" s="450">
        <f t="shared" si="24"/>
        <v>181452.9</v>
      </c>
      <c r="BK45" s="451">
        <f t="shared" si="25"/>
        <v>59291.398020384309</v>
      </c>
      <c r="BL45" s="1">
        <f t="shared" si="45"/>
        <v>0.31275587526287396</v>
      </c>
      <c r="BM45" s="112">
        <f t="shared" si="46"/>
        <v>0.17002622229982969</v>
      </c>
      <c r="BN45" s="112">
        <f t="shared" si="47"/>
        <v>8.992823383672148E-2</v>
      </c>
      <c r="BO45" s="113">
        <f t="shared" si="48"/>
        <v>0.49553452245747237</v>
      </c>
      <c r="BP45" s="452">
        <f t="shared" si="26"/>
        <v>0</v>
      </c>
      <c r="BQ45" s="115">
        <f t="shared" si="49"/>
        <v>6.2552486391706204E-4</v>
      </c>
      <c r="BR45" s="116">
        <f t="shared" si="50"/>
        <v>0</v>
      </c>
      <c r="BS45" s="453">
        <f t="shared" si="51"/>
        <v>0</v>
      </c>
      <c r="BT45" s="118">
        <f t="shared" si="52"/>
        <v>181452.9</v>
      </c>
      <c r="BU45" s="119">
        <f t="shared" si="53"/>
        <v>181452.9</v>
      </c>
      <c r="BV45" s="119">
        <f t="shared" si="54"/>
        <v>181452.9</v>
      </c>
      <c r="BW45" s="119">
        <f t="shared" si="65"/>
        <v>0</v>
      </c>
      <c r="BX45" s="120">
        <f t="shared" si="55"/>
        <v>0</v>
      </c>
      <c r="BY45" s="454">
        <f t="shared" si="56"/>
        <v>0</v>
      </c>
      <c r="BZ45" s="122">
        <f t="shared" si="57"/>
        <v>181452.9</v>
      </c>
      <c r="CA45" s="455">
        <f t="shared" si="27"/>
        <v>0</v>
      </c>
      <c r="CB45" s="456">
        <f t="shared" si="28"/>
        <v>0</v>
      </c>
      <c r="CC45" s="456">
        <f t="shared" si="29"/>
        <v>181452.9</v>
      </c>
      <c r="CD45" s="457">
        <f t="shared" si="30"/>
        <v>0.3</v>
      </c>
      <c r="CE45" s="458">
        <f t="shared" si="31"/>
        <v>0</v>
      </c>
      <c r="CF45" s="17"/>
      <c r="CG45" s="459">
        <f t="shared" si="32"/>
        <v>604843</v>
      </c>
      <c r="CH45" s="460">
        <f t="shared" si="58"/>
        <v>0.3</v>
      </c>
      <c r="CI45" s="461">
        <f t="shared" si="33"/>
        <v>181452.9</v>
      </c>
      <c r="CJ45" s="462">
        <f t="shared" si="34"/>
        <v>0</v>
      </c>
      <c r="CL45" s="463">
        <f t="shared" si="35"/>
        <v>0</v>
      </c>
      <c r="CM45" s="464">
        <f t="shared" si="36"/>
        <v>0</v>
      </c>
      <c r="CN45" s="465">
        <f t="shared" si="37"/>
        <v>0</v>
      </c>
      <c r="CO45" s="466">
        <f t="shared" si="59"/>
        <v>181452.9</v>
      </c>
      <c r="CP45" s="467">
        <f t="shared" si="60"/>
        <v>0.3</v>
      </c>
      <c r="CQ45" s="468">
        <f t="shared" si="38"/>
        <v>0</v>
      </c>
      <c r="CR45" s="469"/>
      <c r="CS45" s="470">
        <f t="shared" si="39"/>
        <v>181452.9</v>
      </c>
      <c r="CT45" s="465">
        <f t="shared" si="40"/>
        <v>0</v>
      </c>
      <c r="CU45" s="471">
        <f t="shared" si="41"/>
        <v>181452.9</v>
      </c>
      <c r="CV45" s="472">
        <f t="shared" si="42"/>
        <v>0.3</v>
      </c>
      <c r="CY45" s="473">
        <v>0</v>
      </c>
      <c r="CZ45" s="474">
        <f t="shared" si="61"/>
        <v>181452.9</v>
      </c>
      <c r="DA45" s="475">
        <f t="shared" si="62"/>
        <v>0.3</v>
      </c>
      <c r="DB45" s="1">
        <f t="shared" si="63"/>
        <v>0</v>
      </c>
      <c r="DC45" s="293">
        <f t="shared" si="64"/>
        <v>0.3</v>
      </c>
      <c r="DF45" s="476"/>
    </row>
    <row r="46" spans="1:110">
      <c r="A46" s="477" t="s">
        <v>124</v>
      </c>
      <c r="B46" s="428" t="s">
        <v>127</v>
      </c>
      <c r="C46" s="429"/>
      <c r="D46" s="91">
        <f>'Sizing - Reimb Exp-26'!B37</f>
        <v>4844103</v>
      </c>
      <c r="E46" s="92">
        <f>'Ridership-26'!$E37</f>
        <v>125848</v>
      </c>
      <c r="F46" s="92">
        <f>'Revenue Hours-26'!$E37</f>
        <v>46101.396664300002</v>
      </c>
      <c r="G46" s="92">
        <f>'Revenue Miles-26'!$E37</f>
        <v>906466.02099999995</v>
      </c>
      <c r="H46" s="478">
        <f t="shared" si="0"/>
        <v>7.3477645101618127E-3</v>
      </c>
      <c r="I46" s="431">
        <f t="shared" si="1"/>
        <v>7.3477645101618127E-3</v>
      </c>
      <c r="J46" s="432"/>
      <c r="K46" s="433">
        <f>'Ridership-26'!B37/'Revenue Hours-26'!B37</f>
        <v>2.0644874296866029</v>
      </c>
      <c r="L46" s="434">
        <f>'Ridership-26'!C37/'Revenue Hours-26'!C37</f>
        <v>2.271031556749429</v>
      </c>
      <c r="M46" s="434">
        <f>'Ridership-26'!D37/'Revenue Hours-26'!D37</f>
        <v>2.6724711742855303</v>
      </c>
      <c r="N46" s="434">
        <f>'Ridership-26'!E37/'Revenue Hours-26'!E37</f>
        <v>2.7298088367343145</v>
      </c>
      <c r="O46" s="435">
        <f t="shared" si="2"/>
        <v>0.93402485678415115</v>
      </c>
      <c r="P46" s="436">
        <f t="shared" si="3"/>
        <v>6.8629946942875553E-3</v>
      </c>
      <c r="Q46" s="437">
        <f t="shared" si="4"/>
        <v>6.6330387408662208E-3</v>
      </c>
      <c r="R46" s="438">
        <f>'Ridership-26'!B37/'Revenue Miles-26'!B37</f>
        <v>9.9364322496519109E-2</v>
      </c>
      <c r="S46" s="434">
        <f>'Ridership-26'!C37/'Revenue Miles-26'!C37</f>
        <v>0.11118198611423494</v>
      </c>
      <c r="T46" s="434">
        <f>'Ridership-26'!D37/'Revenue Miles-26'!D37</f>
        <v>0.13217419191779745</v>
      </c>
      <c r="U46" s="434">
        <f>'Ridership-26'!E37/'Revenue Miles-26'!E37</f>
        <v>0.13883366511760292</v>
      </c>
      <c r="V46" s="435">
        <f t="shared" si="5"/>
        <v>0.95531263932332255</v>
      </c>
      <c r="W46" s="436">
        <f t="shared" si="6"/>
        <v>7.0194123073289219E-3</v>
      </c>
      <c r="X46" s="437">
        <f t="shared" si="7"/>
        <v>6.793701699457786E-3</v>
      </c>
      <c r="Y46" s="438">
        <f>'Op Cost-26'!B37/'Revenue Hours-26'!B37</f>
        <v>134.38379634944323</v>
      </c>
      <c r="Z46" s="434">
        <f>'Op Cost-26'!C37/'Revenue Hours-26'!C37</f>
        <v>98.371300178244169</v>
      </c>
      <c r="AA46" s="434">
        <f>'Op Cost-26'!D37/'Revenue Hours-26'!D37</f>
        <v>93.44738367723788</v>
      </c>
      <c r="AB46" s="434">
        <f>'Op Cost-26'!E37/'Revenue Hours-26'!E37</f>
        <v>108.95381405851531</v>
      </c>
      <c r="AC46" s="435">
        <f t="shared" si="8"/>
        <v>0.90591383740562093</v>
      </c>
      <c r="AD46" s="436">
        <f t="shared" si="9"/>
        <v>8.1108867165607355E-3</v>
      </c>
      <c r="AE46" s="437">
        <f t="shared" si="10"/>
        <v>8.1253005686976829E-3</v>
      </c>
      <c r="AF46" s="438">
        <f>'Op Cost-26'!B37/'Revenue Miles-26'!B37</f>
        <v>6.4679274316529272</v>
      </c>
      <c r="AG46" s="434">
        <f>'Op Cost-26'!C37/'Revenue Miles-26'!C37</f>
        <v>4.8159245070602568</v>
      </c>
      <c r="AH46" s="434">
        <f>'Op Cost-26'!D37/'Revenue Miles-26'!D37</f>
        <v>4.6216896717972462</v>
      </c>
      <c r="AI46" s="434">
        <f>'Op Cost-26'!E37/'Revenue Miles-26'!E37</f>
        <v>5.5412148758304092</v>
      </c>
      <c r="AJ46" s="435">
        <f t="shared" si="11"/>
        <v>0.92676229872522475</v>
      </c>
      <c r="AK46" s="436">
        <f t="shared" si="12"/>
        <v>7.9284240632886884E-3</v>
      </c>
      <c r="AL46" s="437">
        <f t="shared" si="13"/>
        <v>7.941814515663068E-3</v>
      </c>
      <c r="AM46" s="438">
        <f>'Op Cost-26'!B37/'Ridership-26'!B37</f>
        <v>65.093056231319935</v>
      </c>
      <c r="AN46" s="434">
        <f>'Op Cost-26'!C37/'Ridership-26'!C37</f>
        <v>43.315690566204594</v>
      </c>
      <c r="AO46" s="434">
        <f>'Op Cost-26'!D37/'Ridership-26'!D37</f>
        <v>34.966657293214958</v>
      </c>
      <c r="AP46" s="434">
        <f>'Op Cost-26'!E37/'Ridership-26'!E37</f>
        <v>39.912616807577393</v>
      </c>
      <c r="AQ46" s="439">
        <f t="shared" si="14"/>
        <v>0.96694396142407157</v>
      </c>
      <c r="AR46" s="436">
        <f t="shared" si="15"/>
        <v>7.5989558891710286E-3</v>
      </c>
      <c r="AS46" s="440">
        <f t="shared" si="16"/>
        <v>7.6433487561040061E-3</v>
      </c>
      <c r="AT46" s="432"/>
      <c r="AU46" s="441">
        <f t="shared" si="17"/>
        <v>0</v>
      </c>
      <c r="AV46" s="442">
        <f t="shared" si="18"/>
        <v>0</v>
      </c>
      <c r="AW46" s="442">
        <f t="shared" si="19"/>
        <v>0</v>
      </c>
      <c r="AX46" s="442">
        <f t="shared" si="20"/>
        <v>0</v>
      </c>
      <c r="AY46" s="443">
        <f t="shared" si="21"/>
        <v>0</v>
      </c>
      <c r="AZ46" s="444">
        <f t="shared" si="43"/>
        <v>-1</v>
      </c>
      <c r="BA46" s="445">
        <f t="shared" si="22"/>
        <v>0</v>
      </c>
      <c r="BB46" s="446">
        <f t="shared" si="22"/>
        <v>0</v>
      </c>
      <c r="BC46" s="446">
        <f t="shared" si="22"/>
        <v>0</v>
      </c>
      <c r="BD46" s="446">
        <f t="shared" si="22"/>
        <v>0</v>
      </c>
      <c r="BE46" s="446">
        <f t="shared" si="22"/>
        <v>0</v>
      </c>
      <c r="BF46" s="447">
        <f t="shared" si="44"/>
        <v>884447.66271775658</v>
      </c>
      <c r="BH46" s="448">
        <f>'Op Cost-26'!E37</f>
        <v>5022923</v>
      </c>
      <c r="BI46" s="449">
        <f t="shared" si="23"/>
        <v>0.17608226578782046</v>
      </c>
      <c r="BJ46" s="450">
        <f t="shared" si="24"/>
        <v>884447.66271775658</v>
      </c>
      <c r="BK46" s="451">
        <f t="shared" si="25"/>
        <v>0</v>
      </c>
      <c r="BL46" s="1">
        <f t="shared" si="45"/>
        <v>0.25304361872766934</v>
      </c>
      <c r="BM46" s="112">
        <f t="shared" si="46"/>
        <v>0.24934209306320124</v>
      </c>
      <c r="BN46" s="112">
        <f t="shared" si="47"/>
        <v>0.17527784395424714</v>
      </c>
      <c r="BO46" s="113">
        <f t="shared" si="48"/>
        <v>0.29377726894661449</v>
      </c>
      <c r="BP46" s="452">
        <f t="shared" si="26"/>
        <v>884447.66271775658</v>
      </c>
      <c r="BQ46" s="115">
        <f t="shared" si="49"/>
        <v>1.8593049212100859E-3</v>
      </c>
      <c r="BR46" s="116">
        <f t="shared" si="50"/>
        <v>1.8593049212100859E-3</v>
      </c>
      <c r="BS46" s="453">
        <f t="shared" si="51"/>
        <v>1.9666856295657894E-3</v>
      </c>
      <c r="BT46" s="118">
        <f t="shared" si="52"/>
        <v>899167.03543127049</v>
      </c>
      <c r="BU46" s="119">
        <f t="shared" si="53"/>
        <v>1506876.9</v>
      </c>
      <c r="BV46" s="119">
        <f t="shared" si="54"/>
        <v>899167.03543127049</v>
      </c>
      <c r="BW46" s="119">
        <f t="shared" si="65"/>
        <v>0</v>
      </c>
      <c r="BX46" s="120">
        <f t="shared" si="55"/>
        <v>1.8593049212100859E-3</v>
      </c>
      <c r="BY46" s="454">
        <f t="shared" si="56"/>
        <v>2.1199985319835636E-3</v>
      </c>
      <c r="BZ46" s="122">
        <f t="shared" si="57"/>
        <v>899770.60100390413</v>
      </c>
      <c r="CA46" s="455">
        <f t="shared" si="27"/>
        <v>7.8564071544714141E-3</v>
      </c>
      <c r="CB46" s="456">
        <f t="shared" si="28"/>
        <v>58800.137326123207</v>
      </c>
      <c r="CC46" s="456">
        <f t="shared" si="29"/>
        <v>943247.80004387978</v>
      </c>
      <c r="CD46" s="457">
        <f t="shared" si="30"/>
        <v>0.18778862428189319</v>
      </c>
      <c r="CE46" s="458">
        <f t="shared" si="31"/>
        <v>0</v>
      </c>
      <c r="CF46" s="17"/>
      <c r="CG46" s="459">
        <f t="shared" si="32"/>
        <v>5022923</v>
      </c>
      <c r="CH46" s="460">
        <f t="shared" si="58"/>
        <v>0.18778862428189319</v>
      </c>
      <c r="CI46" s="461">
        <f t="shared" si="33"/>
        <v>943247.80004387978</v>
      </c>
      <c r="CJ46" s="462">
        <f t="shared" si="34"/>
        <v>0</v>
      </c>
      <c r="CL46" s="463">
        <f t="shared" si="35"/>
        <v>943247.80004387978</v>
      </c>
      <c r="CM46" s="464">
        <f t="shared" si="36"/>
        <v>8.1102519975432483E-3</v>
      </c>
      <c r="CN46" s="465">
        <f t="shared" si="37"/>
        <v>1236.3773235716501</v>
      </c>
      <c r="CO46" s="466">
        <f t="shared" si="59"/>
        <v>944484.17736745137</v>
      </c>
      <c r="CP46" s="467">
        <f t="shared" si="60"/>
        <v>0.18803477126116633</v>
      </c>
      <c r="CQ46" s="468">
        <f t="shared" si="38"/>
        <v>0</v>
      </c>
      <c r="CR46" s="469"/>
      <c r="CS46" s="470">
        <f t="shared" si="39"/>
        <v>1506876.9</v>
      </c>
      <c r="CT46" s="465">
        <f t="shared" si="40"/>
        <v>0</v>
      </c>
      <c r="CU46" s="471">
        <f t="shared" si="41"/>
        <v>944484.17736745137</v>
      </c>
      <c r="CV46" s="472">
        <f t="shared" si="42"/>
        <v>0.18803477126116633</v>
      </c>
      <c r="CY46" s="473">
        <v>0</v>
      </c>
      <c r="CZ46" s="474">
        <f t="shared" si="61"/>
        <v>944484.17736745137</v>
      </c>
      <c r="DA46" s="475">
        <f t="shared" si="62"/>
        <v>0.18803477126116633</v>
      </c>
      <c r="DB46" s="1">
        <f t="shared" si="63"/>
        <v>0</v>
      </c>
      <c r="DC46" s="293">
        <f t="shared" si="64"/>
        <v>0.17913286765572639</v>
      </c>
      <c r="DF46" s="476"/>
    </row>
    <row r="47" spans="1:110" ht="16.5" customHeight="1">
      <c r="A47" s="477" t="s">
        <v>124</v>
      </c>
      <c r="B47" s="428" t="s">
        <v>128</v>
      </c>
      <c r="C47" s="429"/>
      <c r="D47" s="91">
        <f>'Sizing - Reimb Exp-26'!B38</f>
        <v>457239</v>
      </c>
      <c r="E47" s="92">
        <f>'Ridership-26'!$E38</f>
        <v>12090</v>
      </c>
      <c r="F47" s="92">
        <f>'Revenue Hours-26'!$E38</f>
        <v>5064</v>
      </c>
      <c r="G47" s="92">
        <f>'Revenue Miles-26'!$E38</f>
        <v>59926</v>
      </c>
      <c r="H47" s="430">
        <f t="shared" si="0"/>
        <v>6.5952695118819875E-4</v>
      </c>
      <c r="I47" s="431">
        <f t="shared" si="1"/>
        <v>6.5952695118819875E-4</v>
      </c>
      <c r="J47" s="432"/>
      <c r="K47" s="433">
        <f>'Ridership-26'!B38/'Revenue Hours-26'!B38</f>
        <v>2.06749490079733</v>
      </c>
      <c r="L47" s="434">
        <f>'Ridership-26'!C38/'Revenue Hours-26'!C38</f>
        <v>2.1966604823747682</v>
      </c>
      <c r="M47" s="434">
        <f>'Ridership-26'!D38/'Revenue Hours-26'!D38</f>
        <v>2.1937241638481773</v>
      </c>
      <c r="N47" s="434">
        <f>'Ridership-26'!E38/'Revenue Hours-26'!E38</f>
        <v>2.3874407582938391</v>
      </c>
      <c r="O47" s="435">
        <f t="shared" si="2"/>
        <v>0.89509204736198367</v>
      </c>
      <c r="P47" s="436">
        <f t="shared" si="3"/>
        <v>5.9033732902945193E-4</v>
      </c>
      <c r="Q47" s="437">
        <f t="shared" si="4"/>
        <v>5.7055710343053591E-4</v>
      </c>
      <c r="R47" s="438">
        <f>'Ridership-26'!B38/'Revenue Miles-26'!B38</f>
        <v>0.21433239783168659</v>
      </c>
      <c r="S47" s="434">
        <f>'Ridership-26'!C38/'Revenue Miles-26'!C38</f>
        <v>0.21260549470281917</v>
      </c>
      <c r="T47" s="434">
        <f>'Ridership-26'!D38/'Revenue Miles-26'!D38</f>
        <v>0.19288275041715541</v>
      </c>
      <c r="U47" s="434">
        <f>'Ridership-26'!E38/'Revenue Miles-26'!E38</f>
        <v>0.20174882354904383</v>
      </c>
      <c r="V47" s="435">
        <f t="shared" si="5"/>
        <v>0.84151676129837449</v>
      </c>
      <c r="W47" s="436">
        <f t="shared" si="6"/>
        <v>5.5500298395288409E-4</v>
      </c>
      <c r="X47" s="437">
        <f t="shared" si="7"/>
        <v>5.3715675190472436E-4</v>
      </c>
      <c r="Y47" s="438">
        <f>'Op Cost-26'!B38/'Revenue Hours-26'!B38</f>
        <v>27.145188206934915</v>
      </c>
      <c r="Z47" s="434">
        <f>'Op Cost-26'!C38/'Revenue Hours-26'!C38</f>
        <v>30.05751391465677</v>
      </c>
      <c r="AA47" s="434">
        <f>'Op Cost-26'!D38/'Revenue Hours-26'!D38</f>
        <v>32.056181886508831</v>
      </c>
      <c r="AB47" s="434">
        <f>'Op Cost-26'!E38/'Revenue Hours-26'!E38</f>
        <v>90.292061611374407</v>
      </c>
      <c r="AC47" s="435">
        <f t="shared" si="8"/>
        <v>1.5961923046443367</v>
      </c>
      <c r="AD47" s="436">
        <f t="shared" si="9"/>
        <v>4.1318765243336669E-4</v>
      </c>
      <c r="AE47" s="437">
        <f t="shared" si="10"/>
        <v>4.1392192797377425E-4</v>
      </c>
      <c r="AF47" s="438">
        <f>'Op Cost-26'!B38/'Revenue Miles-26'!B38</f>
        <v>2.8140786590288722</v>
      </c>
      <c r="AG47" s="434">
        <f>'Op Cost-26'!C38/'Revenue Miles-26'!C38</f>
        <v>2.9091398814868019</v>
      </c>
      <c r="AH47" s="434">
        <f>'Op Cost-26'!D38/'Revenue Miles-26'!D38</f>
        <v>2.8185332650465065</v>
      </c>
      <c r="AI47" s="434">
        <f>'Op Cost-26'!E38/'Revenue Miles-26'!E38</f>
        <v>7.6300604078363312</v>
      </c>
      <c r="AJ47" s="435">
        <f t="shared" si="11"/>
        <v>1.5109100097087511</v>
      </c>
      <c r="AK47" s="436">
        <f t="shared" si="12"/>
        <v>4.3650975038237502E-4</v>
      </c>
      <c r="AL47" s="437">
        <f t="shared" si="13"/>
        <v>4.3724697924107242E-4</v>
      </c>
      <c r="AM47" s="438">
        <f>'Op Cost-26'!B38/'Ridership-26'!B38</f>
        <v>13.129506726457398</v>
      </c>
      <c r="AN47" s="434">
        <f>'Op Cost-26'!C38/'Ridership-26'!C38</f>
        <v>13.683277027027026</v>
      </c>
      <c r="AO47" s="434">
        <f>'Op Cost-26'!D38/'Ridership-26'!D38</f>
        <v>14.612676659528908</v>
      </c>
      <c r="AP47" s="434">
        <f>'Op Cost-26'!E38/'Ridership-26'!E38</f>
        <v>37.819602977667493</v>
      </c>
      <c r="AQ47" s="439">
        <f t="shared" si="14"/>
        <v>1.7190933112114191</v>
      </c>
      <c r="AR47" s="436">
        <f t="shared" si="15"/>
        <v>3.8364813991594216E-4</v>
      </c>
      <c r="AS47" s="440">
        <f t="shared" si="16"/>
        <v>3.8588940056711181E-4</v>
      </c>
      <c r="AT47" s="432"/>
      <c r="AU47" s="441">
        <f t="shared" si="17"/>
        <v>0</v>
      </c>
      <c r="AV47" s="442">
        <f t="shared" si="18"/>
        <v>0</v>
      </c>
      <c r="AW47" s="442">
        <f t="shared" si="19"/>
        <v>0</v>
      </c>
      <c r="AX47" s="442">
        <f t="shared" si="20"/>
        <v>0</v>
      </c>
      <c r="AY47" s="443">
        <f t="shared" si="21"/>
        <v>0</v>
      </c>
      <c r="AZ47" s="444">
        <f t="shared" si="43"/>
        <v>-1</v>
      </c>
      <c r="BA47" s="445">
        <f t="shared" si="22"/>
        <v>0</v>
      </c>
      <c r="BB47" s="446">
        <f t="shared" si="22"/>
        <v>0</v>
      </c>
      <c r="BC47" s="446">
        <f t="shared" si="22"/>
        <v>0</v>
      </c>
      <c r="BD47" s="446">
        <f t="shared" si="22"/>
        <v>0</v>
      </c>
      <c r="BE47" s="446">
        <f t="shared" si="22"/>
        <v>0</v>
      </c>
      <c r="BF47" s="447">
        <f t="shared" si="44"/>
        <v>79387.012154656608</v>
      </c>
      <c r="BH47" s="448">
        <f>'Op Cost-26'!E38</f>
        <v>457239</v>
      </c>
      <c r="BI47" s="449">
        <f t="shared" si="23"/>
        <v>0.17362257409069787</v>
      </c>
      <c r="BJ47" s="450">
        <f t="shared" si="24"/>
        <v>79387.012154656608</v>
      </c>
      <c r="BK47" s="451">
        <f t="shared" si="25"/>
        <v>0</v>
      </c>
      <c r="BL47" s="1">
        <f t="shared" si="45"/>
        <v>0.45273787987855313</v>
      </c>
      <c r="BM47" s="112">
        <f t="shared" si="46"/>
        <v>0.22142278769203516</v>
      </c>
      <c r="BN47" s="112">
        <f t="shared" si="47"/>
        <v>0.28212661572565917</v>
      </c>
      <c r="BO47" s="113">
        <f t="shared" si="48"/>
        <v>0.65370105804825906</v>
      </c>
      <c r="BP47" s="452">
        <f t="shared" si="26"/>
        <v>79387.012154656608</v>
      </c>
      <c r="BQ47" s="115">
        <f t="shared" si="49"/>
        <v>2.985928336037111E-4</v>
      </c>
      <c r="BR47" s="116">
        <f t="shared" si="50"/>
        <v>2.985928336037111E-4</v>
      </c>
      <c r="BS47" s="453">
        <f t="shared" si="51"/>
        <v>3.1583750908245704E-4</v>
      </c>
      <c r="BT47" s="118">
        <f t="shared" si="52"/>
        <v>81750.852080674114</v>
      </c>
      <c r="BU47" s="119">
        <f t="shared" si="53"/>
        <v>137171.69999999998</v>
      </c>
      <c r="BV47" s="119">
        <f t="shared" si="54"/>
        <v>81750.852080674114</v>
      </c>
      <c r="BW47" s="119">
        <f t="shared" si="65"/>
        <v>0</v>
      </c>
      <c r="BX47" s="120">
        <f t="shared" si="55"/>
        <v>2.985928336037111E-4</v>
      </c>
      <c r="BY47" s="454">
        <f t="shared" si="56"/>
        <v>3.4045860992434521E-4</v>
      </c>
      <c r="BZ47" s="122">
        <f t="shared" si="57"/>
        <v>81847.780966594029</v>
      </c>
      <c r="CA47" s="455">
        <f t="shared" si="27"/>
        <v>7.0518213406482397E-4</v>
      </c>
      <c r="CB47" s="456">
        <f t="shared" si="28"/>
        <v>5277.8331758609147</v>
      </c>
      <c r="CC47" s="456">
        <f t="shared" si="29"/>
        <v>84664.845330517521</v>
      </c>
      <c r="CD47" s="457">
        <f t="shared" si="30"/>
        <v>0.18516540656093972</v>
      </c>
      <c r="CE47" s="458">
        <f t="shared" si="31"/>
        <v>0</v>
      </c>
      <c r="CF47" s="17"/>
      <c r="CG47" s="459">
        <f t="shared" si="32"/>
        <v>457239</v>
      </c>
      <c r="CH47" s="460">
        <f t="shared" si="58"/>
        <v>0.18516540656093972</v>
      </c>
      <c r="CI47" s="461">
        <f t="shared" si="33"/>
        <v>84664.845330517521</v>
      </c>
      <c r="CJ47" s="462">
        <f t="shared" si="34"/>
        <v>0</v>
      </c>
      <c r="CL47" s="463">
        <f t="shared" si="35"/>
        <v>84664.845330517521</v>
      </c>
      <c r="CM47" s="464">
        <f t="shared" si="36"/>
        <v>7.2796695728479497E-4</v>
      </c>
      <c r="CN47" s="465">
        <f t="shared" si="37"/>
        <v>110.97581660459041</v>
      </c>
      <c r="CO47" s="466">
        <f t="shared" si="59"/>
        <v>84775.821147122115</v>
      </c>
      <c r="CP47" s="467">
        <f t="shared" si="60"/>
        <v>0.18540811511511948</v>
      </c>
      <c r="CQ47" s="468">
        <f t="shared" si="38"/>
        <v>0</v>
      </c>
      <c r="CR47" s="469"/>
      <c r="CS47" s="470">
        <f t="shared" si="39"/>
        <v>137171.69999999998</v>
      </c>
      <c r="CT47" s="465">
        <f t="shared" si="40"/>
        <v>0</v>
      </c>
      <c r="CU47" s="471">
        <f t="shared" si="41"/>
        <v>84775.821147122115</v>
      </c>
      <c r="CV47" s="472">
        <f t="shared" si="42"/>
        <v>0.18540811511511948</v>
      </c>
      <c r="CY47" s="473">
        <v>0</v>
      </c>
      <c r="CZ47" s="474">
        <f t="shared" si="61"/>
        <v>84775.821147122115</v>
      </c>
      <c r="DA47" s="475">
        <f t="shared" si="62"/>
        <v>0.18540811511511948</v>
      </c>
      <c r="DB47" s="1">
        <f t="shared" si="63"/>
        <v>0</v>
      </c>
      <c r="DC47" s="293">
        <f t="shared" si="64"/>
        <v>0.17900437400701608</v>
      </c>
      <c r="DF47" s="476"/>
    </row>
    <row r="48" spans="1:110">
      <c r="A48" s="477" t="s">
        <v>124</v>
      </c>
      <c r="B48" s="428" t="s">
        <v>129</v>
      </c>
      <c r="C48" s="429"/>
      <c r="D48" s="91">
        <f>'Sizing - Reimb Exp-26'!B39</f>
        <v>1214573</v>
      </c>
      <c r="E48" s="92">
        <f>'Ridership-26'!$E39</f>
        <v>62326</v>
      </c>
      <c r="F48" s="92">
        <f>'Revenue Hours-26'!$E39</f>
        <v>18443</v>
      </c>
      <c r="G48" s="92">
        <f>'Revenue Miles-26'!$E39</f>
        <v>310461</v>
      </c>
      <c r="H48" s="478">
        <f t="shared" si="0"/>
        <v>2.454721788138943E-3</v>
      </c>
      <c r="I48" s="431">
        <f t="shared" si="1"/>
        <v>2.454721788138943E-3</v>
      </c>
      <c r="J48" s="432"/>
      <c r="K48" s="433">
        <f>'Ridership-26'!B39/'Revenue Hours-26'!B39</f>
        <v>1.8714498597475455</v>
      </c>
      <c r="L48" s="434">
        <f>'Ridership-26'!C39/'Revenue Hours-26'!C39</f>
        <v>2.7255388346838654</v>
      </c>
      <c r="M48" s="434">
        <f>'Ridership-26'!D39/'Revenue Hours-26'!D39</f>
        <v>3.379350030141941</v>
      </c>
      <c r="N48" s="434">
        <f>'Ridership-26'!E39/'Revenue Hours-26'!E39</f>
        <v>3.379385132570623</v>
      </c>
      <c r="O48" s="435">
        <f t="shared" si="2"/>
        <v>1.0377100683979792</v>
      </c>
      <c r="P48" s="436">
        <f t="shared" si="3"/>
        <v>2.5472895146676725E-3</v>
      </c>
      <c r="Q48" s="437">
        <f t="shared" si="4"/>
        <v>2.4619383793282944E-3</v>
      </c>
      <c r="R48" s="438">
        <f>'Ridership-26'!B39/'Revenue Miles-26'!B39</f>
        <v>0.12054951539089166</v>
      </c>
      <c r="S48" s="434">
        <f>'Ridership-26'!C39/'Revenue Miles-26'!C39</f>
        <v>0.1590504069225078</v>
      </c>
      <c r="T48" s="434">
        <f>'Ridership-26'!D39/'Revenue Miles-26'!D39</f>
        <v>0.19664325941233121</v>
      </c>
      <c r="U48" s="434">
        <f>'Ridership-26'!E39/'Revenue Miles-26'!E39</f>
        <v>0.20075307365498404</v>
      </c>
      <c r="V48" s="435">
        <f t="shared" si="5"/>
        <v>1.0125894313685293</v>
      </c>
      <c r="W48" s="436">
        <f t="shared" si="6"/>
        <v>2.4856253396195517E-3</v>
      </c>
      <c r="X48" s="437">
        <f t="shared" si="7"/>
        <v>2.4056995592576175E-3</v>
      </c>
      <c r="Y48" s="438">
        <f>'Op Cost-26'!B39/'Revenue Hours-26'!B39</f>
        <v>53.352691093969142</v>
      </c>
      <c r="Z48" s="434">
        <f>'Op Cost-26'!C39/'Revenue Hours-26'!C39</f>
        <v>79.509949837384923</v>
      </c>
      <c r="AA48" s="434">
        <f>'Op Cost-26'!D39/'Revenue Hours-26'!D39</f>
        <v>73.872855811914292</v>
      </c>
      <c r="AB48" s="434">
        <f>'Op Cost-26'!E39/'Revenue Hours-26'!E39</f>
        <v>66.185056661063825</v>
      </c>
      <c r="AC48" s="435">
        <f t="shared" si="8"/>
        <v>1.0631089096658457</v>
      </c>
      <c r="AD48" s="436">
        <f t="shared" si="9"/>
        <v>2.3090031188907128E-3</v>
      </c>
      <c r="AE48" s="437">
        <f t="shared" si="10"/>
        <v>2.3131064470103733E-3</v>
      </c>
      <c r="AF48" s="438">
        <f>'Op Cost-26'!B39/'Revenue Miles-26'!B39</f>
        <v>3.4367156686984583</v>
      </c>
      <c r="AG48" s="434">
        <f>'Op Cost-26'!C39/'Revenue Miles-26'!C39</f>
        <v>4.639849454756007</v>
      </c>
      <c r="AH48" s="434">
        <f>'Op Cost-26'!D39/'Revenue Miles-26'!D39</f>
        <v>4.2986370217298404</v>
      </c>
      <c r="AI48" s="434">
        <f>'Op Cost-26'!E39/'Revenue Miles-26'!E39</f>
        <v>3.9317369975616905</v>
      </c>
      <c r="AJ48" s="435">
        <f t="shared" si="11"/>
        <v>1.0292620787887317</v>
      </c>
      <c r="AK48" s="436">
        <f t="shared" si="12"/>
        <v>2.3849336711479138E-3</v>
      </c>
      <c r="AL48" s="437">
        <f t="shared" si="13"/>
        <v>2.3889616268279626E-3</v>
      </c>
      <c r="AM48" s="438">
        <f>'Op Cost-26'!B39/'Ridership-26'!B39</f>
        <v>28.508747277453804</v>
      </c>
      <c r="AN48" s="434">
        <f>'Op Cost-26'!C39/'Ridership-26'!C39</f>
        <v>29.17219480624545</v>
      </c>
      <c r="AO48" s="434">
        <f>'Op Cost-26'!D39/'Ridership-26'!D39</f>
        <v>21.860078166809917</v>
      </c>
      <c r="AP48" s="434">
        <f>'Op Cost-26'!E39/'Ridership-26'!E39</f>
        <v>19.584940474280398</v>
      </c>
      <c r="AQ48" s="439">
        <f t="shared" si="14"/>
        <v>1.01288844997681</v>
      </c>
      <c r="AR48" s="436">
        <f t="shared" si="15"/>
        <v>2.4234867997508943E-3</v>
      </c>
      <c r="AS48" s="440">
        <f t="shared" si="16"/>
        <v>2.4376447352073278E-3</v>
      </c>
      <c r="AT48" s="432"/>
      <c r="AU48" s="441">
        <f t="shared" si="17"/>
        <v>0</v>
      </c>
      <c r="AV48" s="442">
        <f t="shared" si="18"/>
        <v>0</v>
      </c>
      <c r="AW48" s="442">
        <f t="shared" si="19"/>
        <v>0</v>
      </c>
      <c r="AX48" s="442">
        <f t="shared" si="20"/>
        <v>0</v>
      </c>
      <c r="AY48" s="443">
        <f t="shared" si="21"/>
        <v>0</v>
      </c>
      <c r="AZ48" s="444">
        <f t="shared" si="43"/>
        <v>-1</v>
      </c>
      <c r="BA48" s="445">
        <f t="shared" si="22"/>
        <v>0</v>
      </c>
      <c r="BB48" s="446">
        <f t="shared" si="22"/>
        <v>0</v>
      </c>
      <c r="BC48" s="446">
        <f t="shared" si="22"/>
        <v>0</v>
      </c>
      <c r="BD48" s="446">
        <f t="shared" si="22"/>
        <v>0</v>
      </c>
      <c r="BE48" s="446">
        <f t="shared" si="22"/>
        <v>0</v>
      </c>
      <c r="BF48" s="447">
        <f t="shared" si="44"/>
        <v>295473.94246771099</v>
      </c>
      <c r="BH48" s="448">
        <f>'Op Cost-26'!E39</f>
        <v>1220651</v>
      </c>
      <c r="BI48" s="449">
        <f t="shared" si="23"/>
        <v>0.24206258993578916</v>
      </c>
      <c r="BJ48" s="450">
        <f t="shared" si="24"/>
        <v>295473.94246771099</v>
      </c>
      <c r="BK48" s="451">
        <f t="shared" si="25"/>
        <v>0</v>
      </c>
      <c r="BL48" s="1">
        <f t="shared" si="45"/>
        <v>0.39024928664800418</v>
      </c>
      <c r="BM48" s="112">
        <f t="shared" si="46"/>
        <v>0.30769502269297994</v>
      </c>
      <c r="BN48" s="112">
        <f t="shared" si="47"/>
        <v>0.25499580448950343</v>
      </c>
      <c r="BO48" s="113">
        <f t="shared" si="48"/>
        <v>0.49915315970476676</v>
      </c>
      <c r="BP48" s="452">
        <f t="shared" si="26"/>
        <v>295473.94246771099</v>
      </c>
      <c r="BQ48" s="115">
        <f t="shared" si="49"/>
        <v>9.579534267405357E-4</v>
      </c>
      <c r="BR48" s="116">
        <f t="shared" si="50"/>
        <v>9.579534267405357E-4</v>
      </c>
      <c r="BS48" s="453">
        <f t="shared" si="51"/>
        <v>1.0132782507442416E-3</v>
      </c>
      <c r="BT48" s="118">
        <f t="shared" si="52"/>
        <v>303057.67624345166</v>
      </c>
      <c r="BU48" s="119">
        <f t="shared" si="53"/>
        <v>366195.3</v>
      </c>
      <c r="BV48" s="119">
        <f t="shared" si="54"/>
        <v>303057.67624345166</v>
      </c>
      <c r="BW48" s="119">
        <f t="shared" si="65"/>
        <v>0</v>
      </c>
      <c r="BX48" s="120">
        <f t="shared" si="55"/>
        <v>9.579534267405357E-4</v>
      </c>
      <c r="BY48" s="454">
        <f t="shared" si="56"/>
        <v>1.092268317709191E-3</v>
      </c>
      <c r="BZ48" s="122">
        <f t="shared" si="57"/>
        <v>303368.64605909149</v>
      </c>
      <c r="CA48" s="455">
        <f t="shared" si="27"/>
        <v>2.6246477812265855E-3</v>
      </c>
      <c r="CB48" s="456">
        <f t="shared" si="28"/>
        <v>19643.794795053651</v>
      </c>
      <c r="CC48" s="456">
        <f t="shared" si="29"/>
        <v>315117.73726276465</v>
      </c>
      <c r="CD48" s="457">
        <f t="shared" si="30"/>
        <v>0.25815547381091292</v>
      </c>
      <c r="CE48" s="458">
        <f t="shared" si="31"/>
        <v>0</v>
      </c>
      <c r="CF48" s="17"/>
      <c r="CG48" s="459">
        <f t="shared" si="32"/>
        <v>1220651</v>
      </c>
      <c r="CH48" s="460">
        <f t="shared" si="58"/>
        <v>0.25815547381091292</v>
      </c>
      <c r="CI48" s="461">
        <f t="shared" si="33"/>
        <v>315117.73726276465</v>
      </c>
      <c r="CJ48" s="462">
        <f t="shared" si="34"/>
        <v>0</v>
      </c>
      <c r="CL48" s="463">
        <f t="shared" si="35"/>
        <v>315117.73726276465</v>
      </c>
      <c r="CM48" s="464">
        <f t="shared" si="36"/>
        <v>2.7094515968950636E-3</v>
      </c>
      <c r="CN48" s="465">
        <f t="shared" si="37"/>
        <v>413.04567536628986</v>
      </c>
      <c r="CO48" s="466">
        <f t="shared" si="59"/>
        <v>315530.78293813096</v>
      </c>
      <c r="CP48" s="467">
        <f t="shared" si="60"/>
        <v>0.25849385527733232</v>
      </c>
      <c r="CQ48" s="468">
        <f t="shared" si="38"/>
        <v>0</v>
      </c>
      <c r="CR48" s="469"/>
      <c r="CS48" s="470">
        <f t="shared" si="39"/>
        <v>366195.3</v>
      </c>
      <c r="CT48" s="465">
        <f t="shared" si="40"/>
        <v>0</v>
      </c>
      <c r="CU48" s="471">
        <f t="shared" si="41"/>
        <v>315530.78293813096</v>
      </c>
      <c r="CV48" s="472">
        <f t="shared" si="42"/>
        <v>0.25849385527733232</v>
      </c>
      <c r="CY48" s="473">
        <v>0</v>
      </c>
      <c r="CZ48" s="474">
        <f t="shared" si="61"/>
        <v>315530.78293813096</v>
      </c>
      <c r="DA48" s="475">
        <f t="shared" si="62"/>
        <v>0.25849385527733232</v>
      </c>
      <c r="DB48" s="1">
        <f t="shared" si="63"/>
        <v>0</v>
      </c>
      <c r="DC48" s="293">
        <f t="shared" si="64"/>
        <v>0.24853020729028322</v>
      </c>
      <c r="DF48" s="476"/>
    </row>
    <row r="49" spans="1:110">
      <c r="A49" s="477" t="s">
        <v>124</v>
      </c>
      <c r="B49" s="428" t="s">
        <v>130</v>
      </c>
      <c r="C49" s="429"/>
      <c r="D49" s="91">
        <f>'Sizing - Reimb Exp-26'!B40</f>
        <v>4861903</v>
      </c>
      <c r="E49" s="92">
        <f>'Ridership-26'!$E40</f>
        <v>192152</v>
      </c>
      <c r="F49" s="92">
        <f>'Revenue Hours-26'!$E40</f>
        <v>63064.05</v>
      </c>
      <c r="G49" s="92">
        <f>'Revenue Miles-26'!$E40</f>
        <v>985112</v>
      </c>
      <c r="H49" s="478">
        <f t="shared" si="0"/>
        <v>8.5179450349820891E-3</v>
      </c>
      <c r="I49" s="431">
        <f t="shared" si="1"/>
        <v>8.5179450349820891E-3</v>
      </c>
      <c r="J49" s="432"/>
      <c r="K49" s="433">
        <f>'Ridership-26'!B40/'Revenue Hours-26'!B40</f>
        <v>2.6052602436323364</v>
      </c>
      <c r="L49" s="434">
        <f>'Ridership-26'!C40/'Revenue Hours-26'!C40</f>
        <v>2.7993357457988401</v>
      </c>
      <c r="M49" s="434">
        <f>'Ridership-26'!D40/'Revenue Hours-26'!D40</f>
        <v>2.9370912341787041</v>
      </c>
      <c r="N49" s="434">
        <f>'Ridership-26'!E40/'Revenue Hours-26'!E40</f>
        <v>3.0469340297681482</v>
      </c>
      <c r="O49" s="435">
        <f t="shared" si="2"/>
        <v>0.89655682269168502</v>
      </c>
      <c r="P49" s="436">
        <f t="shared" si="3"/>
        <v>7.636821736425956E-3</v>
      </c>
      <c r="Q49" s="437">
        <f t="shared" si="4"/>
        <v>7.380937432017223E-3</v>
      </c>
      <c r="R49" s="438">
        <f>'Ridership-26'!B40/'Revenue Miles-26'!B40</f>
        <v>0.16890249812434263</v>
      </c>
      <c r="S49" s="434">
        <f>'Ridership-26'!C40/'Revenue Miles-26'!C40</f>
        <v>0.1810610173694088</v>
      </c>
      <c r="T49" s="434">
        <f>'Ridership-26'!D40/'Revenue Miles-26'!D40</f>
        <v>0.18826739427012279</v>
      </c>
      <c r="U49" s="434">
        <f>'Ridership-26'!E40/'Revenue Miles-26'!E40</f>
        <v>0.19505599363321124</v>
      </c>
      <c r="V49" s="435">
        <f t="shared" si="5"/>
        <v>0.89673887950738995</v>
      </c>
      <c r="W49" s="436">
        <f t="shared" si="6"/>
        <v>7.638372486375374E-3</v>
      </c>
      <c r="X49" s="437">
        <f t="shared" si="7"/>
        <v>7.3927590900450483E-3</v>
      </c>
      <c r="Y49" s="438">
        <f>'Op Cost-26'!B40/'Revenue Hours-26'!B40</f>
        <v>61.375230712440015</v>
      </c>
      <c r="Z49" s="434">
        <f>'Op Cost-26'!C40/'Revenue Hours-26'!C40</f>
        <v>66.464250896412693</v>
      </c>
      <c r="AA49" s="434">
        <f>'Op Cost-26'!D40/'Revenue Hours-26'!D40</f>
        <v>73.070531219122003</v>
      </c>
      <c r="AB49" s="434">
        <f>'Op Cost-26'!E40/'Revenue Hours-26'!E40</f>
        <v>77.638416815919683</v>
      </c>
      <c r="AC49" s="435">
        <f t="shared" si="8"/>
        <v>1.0340237832501058</v>
      </c>
      <c r="AD49" s="436">
        <f t="shared" si="9"/>
        <v>8.2376683911551778E-3</v>
      </c>
      <c r="AE49" s="437">
        <f t="shared" si="10"/>
        <v>8.2523075469334087E-3</v>
      </c>
      <c r="AF49" s="438">
        <f>'Op Cost-26'!B40/'Revenue Miles-26'!B40</f>
        <v>3.9790381078535897</v>
      </c>
      <c r="AG49" s="434">
        <f>'Op Cost-26'!C40/'Revenue Miles-26'!C40</f>
        <v>4.2989073047277451</v>
      </c>
      <c r="AH49" s="434">
        <f>'Op Cost-26'!D40/'Revenue Miles-26'!D40</f>
        <v>4.6838172238134641</v>
      </c>
      <c r="AI49" s="434">
        <f>'Op Cost-26'!E40/'Revenue Miles-26'!E40</f>
        <v>4.9701891764591233</v>
      </c>
      <c r="AJ49" s="435">
        <f t="shared" si="11"/>
        <v>1.0349971909494167</v>
      </c>
      <c r="AK49" s="436">
        <f t="shared" si="12"/>
        <v>8.2299209210108734E-3</v>
      </c>
      <c r="AL49" s="437">
        <f t="shared" si="13"/>
        <v>8.2438205766370114E-3</v>
      </c>
      <c r="AM49" s="438">
        <f>'Op Cost-26'!B40/'Ridership-26'!B40</f>
        <v>23.558195716704567</v>
      </c>
      <c r="AN49" s="434">
        <f>'Op Cost-26'!C40/'Ridership-26'!C40</f>
        <v>23.742865069386646</v>
      </c>
      <c r="AO49" s="434">
        <f>'Op Cost-26'!D40/'Ridership-26'!D40</f>
        <v>24.878536413443978</v>
      </c>
      <c r="AP49" s="434">
        <f>'Op Cost-26'!E40/'Ridership-26'!E40</f>
        <v>25.48083288230151</v>
      </c>
      <c r="AQ49" s="439">
        <f t="shared" si="14"/>
        <v>1.1585307516945786</v>
      </c>
      <c r="AR49" s="436">
        <f t="shared" si="15"/>
        <v>7.3523685258444138E-3</v>
      </c>
      <c r="AS49" s="440">
        <f t="shared" si="16"/>
        <v>7.3953208369737823E-3</v>
      </c>
      <c r="AT49" s="432"/>
      <c r="AU49" s="441">
        <f t="shared" si="17"/>
        <v>0</v>
      </c>
      <c r="AV49" s="442">
        <f t="shared" si="18"/>
        <v>0</v>
      </c>
      <c r="AW49" s="442">
        <f t="shared" si="19"/>
        <v>0</v>
      </c>
      <c r="AX49" s="442">
        <f t="shared" si="20"/>
        <v>0</v>
      </c>
      <c r="AY49" s="443">
        <f t="shared" si="21"/>
        <v>0</v>
      </c>
      <c r="AZ49" s="444">
        <f t="shared" si="43"/>
        <v>-1</v>
      </c>
      <c r="BA49" s="445">
        <f t="shared" si="22"/>
        <v>0</v>
      </c>
      <c r="BB49" s="446">
        <f t="shared" si="22"/>
        <v>0</v>
      </c>
      <c r="BC49" s="446">
        <f t="shared" si="22"/>
        <v>0</v>
      </c>
      <c r="BD49" s="446">
        <f t="shared" si="22"/>
        <v>0</v>
      </c>
      <c r="BE49" s="446">
        <f t="shared" si="22"/>
        <v>0</v>
      </c>
      <c r="BF49" s="447">
        <f t="shared" si="44"/>
        <v>1025301.8543162757</v>
      </c>
      <c r="BH49" s="448">
        <f>'Op Cost-26'!E40</f>
        <v>4896193</v>
      </c>
      <c r="BI49" s="449">
        <f t="shared" si="23"/>
        <v>0.20940797356564084</v>
      </c>
      <c r="BJ49" s="450">
        <f t="shared" si="24"/>
        <v>1025301.8543162757</v>
      </c>
      <c r="BK49" s="451">
        <f t="shared" si="25"/>
        <v>0</v>
      </c>
      <c r="BL49" s="1">
        <f t="shared" si="45"/>
        <v>0.3704301011210811</v>
      </c>
      <c r="BM49" s="112">
        <f t="shared" si="46"/>
        <v>0.28675899757386536</v>
      </c>
      <c r="BN49" s="112">
        <f t="shared" si="47"/>
        <v>0.26057705247318308</v>
      </c>
      <c r="BO49" s="113">
        <f t="shared" si="48"/>
        <v>0.46719217721863798</v>
      </c>
      <c r="BP49" s="452">
        <f t="shared" si="26"/>
        <v>1025301.8543162757</v>
      </c>
      <c r="BQ49" s="115">
        <f t="shared" si="49"/>
        <v>3.1553032406522259E-3</v>
      </c>
      <c r="BR49" s="116">
        <f t="shared" si="50"/>
        <v>3.1553032406522259E-3</v>
      </c>
      <c r="BS49" s="453">
        <f t="shared" si="51"/>
        <v>3.337531929014848E-3</v>
      </c>
      <c r="BT49" s="118">
        <f t="shared" si="52"/>
        <v>1050281.1268893247</v>
      </c>
      <c r="BU49" s="119">
        <f t="shared" si="53"/>
        <v>1468857.9</v>
      </c>
      <c r="BV49" s="119">
        <f t="shared" si="54"/>
        <v>1050281.1268893247</v>
      </c>
      <c r="BW49" s="119">
        <f t="shared" si="65"/>
        <v>0</v>
      </c>
      <c r="BX49" s="120">
        <f t="shared" si="55"/>
        <v>3.1553032406522259E-3</v>
      </c>
      <c r="BY49" s="454">
        <f t="shared" si="56"/>
        <v>3.5977091018465994E-3</v>
      </c>
      <c r="BZ49" s="122">
        <f t="shared" si="57"/>
        <v>1051305.3980486984</v>
      </c>
      <c r="CA49" s="455">
        <f t="shared" si="27"/>
        <v>9.1075924142203918E-3</v>
      </c>
      <c r="CB49" s="456">
        <f t="shared" si="28"/>
        <v>68164.45152816776</v>
      </c>
      <c r="CC49" s="456">
        <f t="shared" si="29"/>
        <v>1093466.3058444434</v>
      </c>
      <c r="CD49" s="457">
        <f t="shared" si="30"/>
        <v>0.22332990260891336</v>
      </c>
      <c r="CE49" s="458">
        <f t="shared" si="31"/>
        <v>0</v>
      </c>
      <c r="CF49" s="17"/>
      <c r="CG49" s="459">
        <f t="shared" si="32"/>
        <v>4896193</v>
      </c>
      <c r="CH49" s="460">
        <f t="shared" si="58"/>
        <v>0.22332990260891336</v>
      </c>
      <c r="CI49" s="461">
        <f t="shared" si="33"/>
        <v>1093466.3058444434</v>
      </c>
      <c r="CJ49" s="462">
        <f t="shared" si="34"/>
        <v>0</v>
      </c>
      <c r="CL49" s="463">
        <f t="shared" si="35"/>
        <v>1093466.3058444434</v>
      </c>
      <c r="CM49" s="464">
        <f t="shared" si="36"/>
        <v>9.4018637422833978E-3</v>
      </c>
      <c r="CN49" s="465">
        <f t="shared" si="37"/>
        <v>1433.2786618456364</v>
      </c>
      <c r="CO49" s="466">
        <f t="shared" si="59"/>
        <v>1094899.5845062891</v>
      </c>
      <c r="CP49" s="467">
        <f t="shared" si="60"/>
        <v>0.2236226358941098</v>
      </c>
      <c r="CQ49" s="468">
        <f t="shared" si="38"/>
        <v>0</v>
      </c>
      <c r="CR49" s="469"/>
      <c r="CS49" s="470">
        <f t="shared" si="39"/>
        <v>1468857.9</v>
      </c>
      <c r="CT49" s="465">
        <f t="shared" si="40"/>
        <v>0</v>
      </c>
      <c r="CU49" s="471">
        <f t="shared" si="41"/>
        <v>1094899.5845062891</v>
      </c>
      <c r="CV49" s="472">
        <f t="shared" si="42"/>
        <v>0.2236226358941098</v>
      </c>
      <c r="CY49" s="473">
        <v>4766</v>
      </c>
      <c r="CZ49" s="474">
        <f t="shared" si="61"/>
        <v>1099665.5845062891</v>
      </c>
      <c r="DA49" s="475">
        <f t="shared" si="62"/>
        <v>0.22459604523479551</v>
      </c>
      <c r="DB49" s="1">
        <f t="shared" si="63"/>
        <v>0</v>
      </c>
      <c r="DC49" s="293">
        <f t="shared" si="64"/>
        <v>0.2147189455253701</v>
      </c>
      <c r="DF49" s="476"/>
    </row>
    <row r="50" spans="1:110" s="171" customFormat="1" ht="15" thickBot="1">
      <c r="A50" s="479"/>
      <c r="B50" s="480" t="s">
        <v>131</v>
      </c>
      <c r="C50" s="429"/>
      <c r="D50" s="481">
        <f t="shared" ref="D50:I50" si="66">SUM(D12:D49)</f>
        <v>568658897</v>
      </c>
      <c r="E50" s="482">
        <f t="shared" si="66"/>
        <v>53095068</v>
      </c>
      <c r="F50" s="482">
        <f t="shared" si="66"/>
        <v>4681948.6436643004</v>
      </c>
      <c r="G50" s="482">
        <f t="shared" si="66"/>
        <v>66013685.590599991</v>
      </c>
      <c r="H50" s="483">
        <f t="shared" si="66"/>
        <v>1</v>
      </c>
      <c r="I50" s="484">
        <f t="shared" si="66"/>
        <v>1</v>
      </c>
      <c r="J50" s="485"/>
      <c r="K50" s="486">
        <f>'Ridership-26'!B41/'Revenue Hours-26'!B41</f>
        <v>6.9503910166537581</v>
      </c>
      <c r="L50" s="487">
        <f>'Ridership-26'!C41/'Revenue Hours-26'!C41</f>
        <v>8.9103336909540651</v>
      </c>
      <c r="M50" s="487">
        <f>'Ridership-26'!D41/'Revenue Hours-26'!D41</f>
        <v>10.58680012169124</v>
      </c>
      <c r="N50" s="487">
        <f>'Ridership-26'!E41/'Revenue Hours-26'!E41</f>
        <v>11.340378129061545</v>
      </c>
      <c r="O50" s="488"/>
      <c r="P50" s="489">
        <f>SUM(P12:P49)</f>
        <v>1.0346682662961959</v>
      </c>
      <c r="Q50" s="490">
        <f>SUM(Q12:Q49)</f>
        <v>0.99999999999999989</v>
      </c>
      <c r="R50" s="491">
        <f>'Ridership-26'!B41/'Revenue Miles-26'!B41</f>
        <v>0.50001375435483453</v>
      </c>
      <c r="S50" s="487">
        <f>'Ridership-26'!C41/'Revenue Miles-26'!C41</f>
        <v>0.62877909337252769</v>
      </c>
      <c r="T50" s="487">
        <f>'Ridership-26'!D41/'Revenue Miles-26'!D41</f>
        <v>0.74929493676777836</v>
      </c>
      <c r="U50" s="487">
        <f>'Ridership-26'!E41/'Revenue Miles-26'!E41</f>
        <v>0.80430394887026979</v>
      </c>
      <c r="V50" s="488"/>
      <c r="W50" s="489">
        <f>SUM(W12:W49)</f>
        <v>1.0332235087521064</v>
      </c>
      <c r="X50" s="490">
        <f>SUM(X12:X49)</f>
        <v>0.99999999999999967</v>
      </c>
      <c r="Y50" s="492">
        <f>'Op Cost-26'!B41/'Revenue Hours-26'!B41</f>
        <v>108.38174623012041</v>
      </c>
      <c r="Z50" s="493">
        <f>'Op Cost-26'!C41/'Revenue Hours-26'!C41</f>
        <v>109.41026264200019</v>
      </c>
      <c r="AA50" s="493">
        <f>'Op Cost-26'!D41/'Revenue Hours-26'!D41</f>
        <v>119.77918538846754</v>
      </c>
      <c r="AB50" s="493">
        <f>'Op Cost-26'!E41/'Revenue Hours-26'!E41</f>
        <v>124.14956084291406</v>
      </c>
      <c r="AC50" s="488"/>
      <c r="AD50" s="489">
        <f>SUM(AD12:AD49)</f>
        <v>0.99822605305304313</v>
      </c>
      <c r="AE50" s="490">
        <f>SUM(AE12:AE49)</f>
        <v>1</v>
      </c>
      <c r="AF50" s="492">
        <f>'Op Cost-26'!B41/'Revenue Miles-26'!B41</f>
        <v>7.7970237510674849</v>
      </c>
      <c r="AG50" s="493">
        <f>'Op Cost-26'!C41/'Revenue Miles-26'!C41</f>
        <v>7.7207979112531833</v>
      </c>
      <c r="AH50" s="493">
        <f>'Op Cost-26'!D41/'Revenue Miles-26'!D41</f>
        <v>8.4775320314076392</v>
      </c>
      <c r="AI50" s="493">
        <f>'Op Cost-26'!E41/'Revenue Miles-26'!E41</f>
        <v>8.8051721820962641</v>
      </c>
      <c r="AJ50" s="488"/>
      <c r="AK50" s="489">
        <f>SUM(AK12:AK49)</f>
        <v>0.9983139303558437</v>
      </c>
      <c r="AL50" s="490">
        <f>SUM(AL12:AL49)</f>
        <v>0.99999999999999989</v>
      </c>
      <c r="AM50" s="492">
        <f>'Op Cost-26'!B41/'Ridership-26'!B41</f>
        <v>15.593618541809814</v>
      </c>
      <c r="AN50" s="493">
        <f>'Op Cost-26'!C41/'Ridership-26'!C41</f>
        <v>12.279030891185982</v>
      </c>
      <c r="AO50" s="493">
        <f>'Op Cost-26'!D41/'Ridership-26'!D41</f>
        <v>11.314012167194182</v>
      </c>
      <c r="AP50" s="493">
        <f>'Op Cost-26'!E41/'Ridership-26'!E41</f>
        <v>10.947568011401737</v>
      </c>
      <c r="AQ50" s="494"/>
      <c r="AR50" s="489">
        <f>SUM(AR12:AR49)</f>
        <v>0.99419196109591035</v>
      </c>
      <c r="AS50" s="495">
        <f>SUM(AS12:AS49)</f>
        <v>0.99999999999999989</v>
      </c>
      <c r="AT50" s="485"/>
      <c r="AU50" s="496">
        <f>SUM(AU12:AU49)</f>
        <v>0</v>
      </c>
      <c r="AV50" s="497">
        <f>SUM(AV12:AV49)</f>
        <v>0</v>
      </c>
      <c r="AW50" s="497">
        <f>SUM(AW12:AW49)</f>
        <v>0</v>
      </c>
      <c r="AX50" s="497">
        <f>SUM(AX12:AX49)</f>
        <v>0</v>
      </c>
      <c r="AY50" s="498">
        <f>SUM(AY12:AY49)</f>
        <v>0</v>
      </c>
      <c r="AZ50" s="485"/>
      <c r="BA50" s="499">
        <f t="shared" si="22"/>
        <v>0</v>
      </c>
      <c r="BB50" s="500">
        <f t="shared" si="22"/>
        <v>0</v>
      </c>
      <c r="BC50" s="500">
        <f t="shared" si="22"/>
        <v>0</v>
      </c>
      <c r="BD50" s="500">
        <f t="shared" si="22"/>
        <v>0</v>
      </c>
      <c r="BE50" s="500">
        <f t="shared" si="22"/>
        <v>0</v>
      </c>
      <c r="BF50" s="501">
        <f t="shared" ref="BF50" si="67">SUM(BA50:BE50)</f>
        <v>0</v>
      </c>
      <c r="BH50" s="502">
        <f>'Op Cost-26'!E41</f>
        <v>581261868</v>
      </c>
      <c r="BI50" s="503"/>
      <c r="BJ50" s="504">
        <f>SUM(BJ12:BJ49)</f>
        <v>119220514.36180416</v>
      </c>
      <c r="BK50" s="505">
        <f>SUM(BK12:BK49)</f>
        <v>1149111.1881958526</v>
      </c>
      <c r="BP50" s="481">
        <f>SUM(BP12:BP49)</f>
        <v>112576607.26180415</v>
      </c>
      <c r="BQ50" s="506">
        <f>SUM(BQ12:BQ49)</f>
        <v>1.1516232356316705</v>
      </c>
      <c r="BR50" s="507">
        <f>SUM(BR12:BR49)</f>
        <v>0.945400166279035</v>
      </c>
      <c r="BS50" s="508">
        <f>SUM(BS12:BS49)</f>
        <v>1</v>
      </c>
      <c r="BT50" s="509">
        <f>SUM(BT12:BT49)</f>
        <v>126704868.99999997</v>
      </c>
      <c r="BU50" s="509"/>
      <c r="BV50" s="509">
        <f t="shared" ref="BV50" si="68">SUM(BV12:BV49)</f>
        <v>126420168.06104748</v>
      </c>
      <c r="BW50" s="510">
        <f>SUM(BW12:BW49)</f>
        <v>284700.93895249232</v>
      </c>
      <c r="BX50" s="511">
        <f>SUM(BX12:BX49)</f>
        <v>0.87703123052186194</v>
      </c>
      <c r="BY50" s="512">
        <f>SUM(BY12:BY49)</f>
        <v>0.99999999999999989</v>
      </c>
      <c r="BZ50" s="513">
        <f>SUM(BZ12:BZ49)</f>
        <v>126704868.99999997</v>
      </c>
      <c r="CA50" s="514"/>
      <c r="CB50" s="515">
        <f>SUM(CB12:CB49)</f>
        <v>7484354.6381958509</v>
      </c>
      <c r="CC50" s="515">
        <f>SUM(CC12:CC49)</f>
        <v>126704868.99999999</v>
      </c>
      <c r="CD50" s="516"/>
      <c r="CE50" s="517">
        <f>SUM(CE12:CE49)</f>
        <v>4</v>
      </c>
      <c r="CG50" s="518">
        <f>SUM(CG12:CG49)</f>
        <v>581261868</v>
      </c>
      <c r="CH50" s="519"/>
      <c r="CI50" s="520">
        <f>SUM(CI12:CI49)</f>
        <v>126552422.77219521</v>
      </c>
      <c r="CJ50" s="521">
        <f t="shared" si="34"/>
        <v>152446.22780478001</v>
      </c>
      <c r="CK50" s="1"/>
      <c r="CL50" s="522">
        <f>SUM(CL12:CL49)</f>
        <v>116303143.27219521</v>
      </c>
      <c r="CM50" s="523">
        <f t="shared" si="36"/>
        <v>1</v>
      </c>
      <c r="CN50" s="524">
        <f t="shared" si="37"/>
        <v>152446.22780478001</v>
      </c>
      <c r="CO50" s="525">
        <f>(CN50+CI50)</f>
        <v>126704868.99999999</v>
      </c>
      <c r="CP50" s="526">
        <f>CO50/CG50</f>
        <v>0.21798242061872186</v>
      </c>
      <c r="CQ50" s="527">
        <f>SUM(CQ12:CQ49)</f>
        <v>1</v>
      </c>
      <c r="CR50" s="528"/>
      <c r="CS50" s="529">
        <f>SUM(CS12:CS49)</f>
        <v>174378560.39999998</v>
      </c>
      <c r="CT50" s="520">
        <f>SUM(CT12:CT49)</f>
        <v>4.8967683283262886</v>
      </c>
      <c r="CU50" s="530">
        <f>SUM(CU12:CU49)</f>
        <v>126704864.10323165</v>
      </c>
      <c r="CV50" s="531">
        <f>AVERAGE(CV12:CV49)</f>
        <v>0.24642943435515391</v>
      </c>
      <c r="CY50" s="532">
        <f>SUM(CY12:CY49)</f>
        <v>547448.79999999993</v>
      </c>
      <c r="CZ50" s="533">
        <f>SUM(CZ12:CZ49)</f>
        <v>127252312.90323167</v>
      </c>
      <c r="DA50" s="534">
        <f>AVERAGE(DA12:DA49)</f>
        <v>0.24682026945922492</v>
      </c>
      <c r="DB50" s="1">
        <f>SUM(DB12:DB49)</f>
        <v>0</v>
      </c>
    </row>
    <row r="51" spans="1:110">
      <c r="BL51" s="1">
        <f>MEDIAN(BL12:BL49)</f>
        <v>0.64847120474527964</v>
      </c>
      <c r="BS51" s="535"/>
    </row>
    <row r="52" spans="1:110">
      <c r="B52" s="1">
        <f>1</f>
        <v>1</v>
      </c>
      <c r="C52" s="1">
        <f>B52+1</f>
        <v>2</v>
      </c>
      <c r="D52" s="1">
        <f t="shared" ref="D52:BO52" si="69">C52+1</f>
        <v>3</v>
      </c>
      <c r="E52" s="1">
        <f t="shared" si="69"/>
        <v>4</v>
      </c>
      <c r="F52" s="1">
        <f t="shared" si="69"/>
        <v>5</v>
      </c>
      <c r="G52" s="1">
        <f t="shared" si="69"/>
        <v>6</v>
      </c>
      <c r="H52" s="1">
        <f t="shared" si="69"/>
        <v>7</v>
      </c>
      <c r="I52" s="1">
        <f t="shared" si="69"/>
        <v>8</v>
      </c>
      <c r="J52" s="1">
        <f t="shared" si="69"/>
        <v>9</v>
      </c>
      <c r="K52" s="1">
        <f t="shared" si="69"/>
        <v>10</v>
      </c>
      <c r="L52" s="1">
        <f t="shared" si="69"/>
        <v>11</v>
      </c>
      <c r="M52" s="1">
        <f t="shared" si="69"/>
        <v>12</v>
      </c>
      <c r="N52" s="1">
        <f t="shared" si="69"/>
        <v>13</v>
      </c>
      <c r="O52" s="1">
        <f t="shared" si="69"/>
        <v>14</v>
      </c>
      <c r="P52" s="1">
        <f t="shared" si="69"/>
        <v>15</v>
      </c>
      <c r="Q52" s="1">
        <f t="shared" si="69"/>
        <v>16</v>
      </c>
      <c r="R52" s="1">
        <f t="shared" si="69"/>
        <v>17</v>
      </c>
      <c r="S52" s="1">
        <f t="shared" si="69"/>
        <v>18</v>
      </c>
      <c r="T52" s="1">
        <f t="shared" si="69"/>
        <v>19</v>
      </c>
      <c r="U52" s="1">
        <f t="shared" si="69"/>
        <v>20</v>
      </c>
      <c r="V52" s="1">
        <f t="shared" si="69"/>
        <v>21</v>
      </c>
      <c r="W52" s="1">
        <f t="shared" si="69"/>
        <v>22</v>
      </c>
      <c r="X52" s="1">
        <f t="shared" si="69"/>
        <v>23</v>
      </c>
      <c r="Y52" s="1">
        <f t="shared" si="69"/>
        <v>24</v>
      </c>
      <c r="Z52" s="1">
        <f t="shared" si="69"/>
        <v>25</v>
      </c>
      <c r="AA52" s="1">
        <f t="shared" si="69"/>
        <v>26</v>
      </c>
      <c r="AB52" s="1">
        <f t="shared" si="69"/>
        <v>27</v>
      </c>
      <c r="AC52" s="1">
        <f t="shared" si="69"/>
        <v>28</v>
      </c>
      <c r="AD52" s="1">
        <f t="shared" si="69"/>
        <v>29</v>
      </c>
      <c r="AE52" s="1">
        <f t="shared" si="69"/>
        <v>30</v>
      </c>
      <c r="AF52" s="1">
        <f t="shared" si="69"/>
        <v>31</v>
      </c>
      <c r="AG52" s="1">
        <f t="shared" si="69"/>
        <v>32</v>
      </c>
      <c r="AH52" s="1">
        <f t="shared" si="69"/>
        <v>33</v>
      </c>
      <c r="AI52" s="1">
        <f t="shared" si="69"/>
        <v>34</v>
      </c>
      <c r="AJ52" s="1">
        <f t="shared" si="69"/>
        <v>35</v>
      </c>
      <c r="AK52" s="1">
        <f t="shared" si="69"/>
        <v>36</v>
      </c>
      <c r="AL52" s="1">
        <f t="shared" si="69"/>
        <v>37</v>
      </c>
      <c r="AM52" s="1">
        <f t="shared" si="69"/>
        <v>38</v>
      </c>
      <c r="AN52" s="1">
        <f t="shared" si="69"/>
        <v>39</v>
      </c>
      <c r="AO52" s="1">
        <f t="shared" si="69"/>
        <v>40</v>
      </c>
      <c r="AP52" s="1">
        <f t="shared" si="69"/>
        <v>41</v>
      </c>
      <c r="AQ52" s="1">
        <f t="shared" si="69"/>
        <v>42</v>
      </c>
      <c r="AR52" s="1">
        <f t="shared" si="69"/>
        <v>43</v>
      </c>
      <c r="AS52" s="1">
        <f t="shared" si="69"/>
        <v>44</v>
      </c>
      <c r="AT52" s="1">
        <f t="shared" si="69"/>
        <v>45</v>
      </c>
      <c r="AU52" s="1">
        <f t="shared" si="69"/>
        <v>46</v>
      </c>
      <c r="AV52" s="1">
        <f t="shared" si="69"/>
        <v>47</v>
      </c>
      <c r="AW52" s="1">
        <f t="shared" si="69"/>
        <v>48</v>
      </c>
      <c r="AX52" s="1">
        <f t="shared" si="69"/>
        <v>49</v>
      </c>
      <c r="AY52" s="1">
        <f t="shared" si="69"/>
        <v>50</v>
      </c>
      <c r="AZ52" s="1">
        <f t="shared" si="69"/>
        <v>51</v>
      </c>
      <c r="BA52" s="1">
        <f t="shared" si="69"/>
        <v>52</v>
      </c>
      <c r="BB52" s="1">
        <f t="shared" si="69"/>
        <v>53</v>
      </c>
      <c r="BC52" s="1">
        <f t="shared" si="69"/>
        <v>54</v>
      </c>
      <c r="BD52" s="1">
        <f t="shared" si="69"/>
        <v>55</v>
      </c>
      <c r="BE52" s="1">
        <f t="shared" si="69"/>
        <v>56</v>
      </c>
      <c r="BF52" s="1">
        <f t="shared" si="69"/>
        <v>57</v>
      </c>
      <c r="BG52" s="1">
        <f t="shared" si="69"/>
        <v>58</v>
      </c>
      <c r="BH52" s="1">
        <f t="shared" si="69"/>
        <v>59</v>
      </c>
      <c r="BI52" s="1">
        <f t="shared" si="69"/>
        <v>60</v>
      </c>
      <c r="BJ52" s="1">
        <f t="shared" si="69"/>
        <v>61</v>
      </c>
      <c r="BK52" s="1">
        <f t="shared" si="69"/>
        <v>62</v>
      </c>
      <c r="BL52" s="1">
        <f t="shared" si="69"/>
        <v>63</v>
      </c>
      <c r="BM52" s="1">
        <f t="shared" si="69"/>
        <v>64</v>
      </c>
      <c r="BN52" s="1">
        <f t="shared" si="69"/>
        <v>65</v>
      </c>
      <c r="BO52" s="1">
        <f t="shared" si="69"/>
        <v>66</v>
      </c>
      <c r="BP52" s="1">
        <f t="shared" ref="BP52:BZ52" si="70">BO52+1</f>
        <v>67</v>
      </c>
      <c r="BQ52" s="1">
        <f t="shared" si="70"/>
        <v>68</v>
      </c>
      <c r="BR52" s="1">
        <f t="shared" si="70"/>
        <v>69</v>
      </c>
      <c r="BS52" s="1">
        <f t="shared" si="70"/>
        <v>70</v>
      </c>
      <c r="BT52" s="1">
        <f t="shared" si="70"/>
        <v>71</v>
      </c>
      <c r="BU52" s="1">
        <f t="shared" si="70"/>
        <v>72</v>
      </c>
      <c r="BV52" s="1">
        <f t="shared" si="70"/>
        <v>73</v>
      </c>
      <c r="BW52" s="1">
        <f t="shared" si="70"/>
        <v>74</v>
      </c>
      <c r="BX52" s="1">
        <f t="shared" si="70"/>
        <v>75</v>
      </c>
      <c r="BY52" s="1">
        <f t="shared" si="70"/>
        <v>76</v>
      </c>
      <c r="BZ52" s="1">
        <f t="shared" si="70"/>
        <v>77</v>
      </c>
      <c r="CU52" s="301"/>
    </row>
    <row r="53" spans="1:110">
      <c r="BS53" s="535"/>
    </row>
    <row r="54" spans="1:110">
      <c r="BS54" s="535">
        <v>0.03</v>
      </c>
    </row>
    <row r="55" spans="1:110">
      <c r="BS55" s="535"/>
    </row>
    <row r="56" spans="1:110">
      <c r="BS56" s="535"/>
    </row>
    <row r="57" spans="1:110">
      <c r="BS57" s="535"/>
    </row>
    <row r="58" spans="1:110">
      <c r="BS58" s="535"/>
    </row>
    <row r="59" spans="1:110">
      <c r="BS59" s="535"/>
    </row>
    <row r="60" spans="1:110">
      <c r="BS60" s="535"/>
    </row>
    <row r="61" spans="1:110">
      <c r="BS61" s="535"/>
    </row>
    <row r="62" spans="1:110">
      <c r="BS62" s="535"/>
    </row>
    <row r="63" spans="1:110">
      <c r="BS63" s="535"/>
    </row>
    <row r="64" spans="1:110">
      <c r="BS64" s="535"/>
    </row>
    <row r="65" spans="71:71">
      <c r="BS65" s="535"/>
    </row>
    <row r="66" spans="71:71">
      <c r="BS66" s="535"/>
    </row>
    <row r="67" spans="71:71">
      <c r="BS67" s="535"/>
    </row>
    <row r="68" spans="71:71">
      <c r="BS68" s="535"/>
    </row>
    <row r="69" spans="71:71">
      <c r="BS69" s="535"/>
    </row>
    <row r="70" spans="71:71">
      <c r="BS70" s="535"/>
    </row>
    <row r="71" spans="71:71">
      <c r="BS71" s="535"/>
    </row>
    <row r="72" spans="71:71">
      <c r="BS72" s="535"/>
    </row>
    <row r="73" spans="71:71">
      <c r="BS73" s="535"/>
    </row>
    <row r="74" spans="71:71">
      <c r="BS74" s="535"/>
    </row>
    <row r="75" spans="71:71">
      <c r="BS75" s="535"/>
    </row>
    <row r="76" spans="71:71">
      <c r="BS76" s="535"/>
    </row>
    <row r="77" spans="71:71">
      <c r="BS77" s="535"/>
    </row>
    <row r="78" spans="71:71">
      <c r="BS78" s="535"/>
    </row>
    <row r="79" spans="71:71">
      <c r="BS79" s="535"/>
    </row>
    <row r="80" spans="71:71">
      <c r="BS80" s="535"/>
    </row>
    <row r="81" spans="71:71">
      <c r="BS81" s="535"/>
    </row>
    <row r="82" spans="71:71">
      <c r="BS82" s="535"/>
    </row>
    <row r="83" spans="71:71">
      <c r="BS83" s="535"/>
    </row>
    <row r="84" spans="71:71">
      <c r="BS84" s="535"/>
    </row>
    <row r="85" spans="71:71">
      <c r="BS85" s="535"/>
    </row>
    <row r="86" spans="71:71">
      <c r="BS86" s="535"/>
    </row>
    <row r="87" spans="71:71">
      <c r="BS87" s="538"/>
    </row>
  </sheetData>
  <autoFilter ref="A11:CO11" xr:uid="{00000000-0001-0000-0F00-000000000000}"/>
  <mergeCells count="11">
    <mergeCell ref="CS3:CV3"/>
    <mergeCell ref="CY3:CZ3"/>
    <mergeCell ref="AU5:AY5"/>
    <mergeCell ref="A9:A11"/>
    <mergeCell ref="B9:B11"/>
    <mergeCell ref="D3:I3"/>
    <mergeCell ref="K3:AS3"/>
    <mergeCell ref="AU3:AY3"/>
    <mergeCell ref="BA3:BF3"/>
    <mergeCell ref="BH3:CE3"/>
    <mergeCell ref="CG3:CQ3"/>
  </mergeCells>
  <conditionalFormatting sqref="BI12:BI49">
    <cfRule type="cellIs" dxfId="50" priority="5" operator="greaterThan">
      <formula>$BJ$6</formula>
    </cfRule>
  </conditionalFormatting>
  <conditionalFormatting sqref="BL12:BL49">
    <cfRule type="cellIs" dxfId="49" priority="1" operator="greaterThan">
      <formula>$BL$51</formula>
    </cfRule>
  </conditionalFormatting>
  <conditionalFormatting sqref="BS51:BS86">
    <cfRule type="cellIs" dxfId="48" priority="2" operator="greaterThan">
      <formula>0.04</formula>
    </cfRule>
  </conditionalFormatting>
  <conditionalFormatting sqref="CD12:CD49">
    <cfRule type="cellIs" dxfId="47" priority="7" operator="greaterThan">
      <formula>$BJ$6</formula>
    </cfRule>
  </conditionalFormatting>
  <conditionalFormatting sqref="CE12:CE49 CQ12:CR49">
    <cfRule type="cellIs" dxfId="46" priority="8" operator="greaterThan">
      <formula>0</formula>
    </cfRule>
  </conditionalFormatting>
  <conditionalFormatting sqref="CP12:CP49">
    <cfRule type="cellIs" dxfId="45" priority="6" operator="greaterThan">
      <formula>$BJ$6</formula>
    </cfRule>
  </conditionalFormatting>
  <conditionalFormatting sqref="CV12:CV49">
    <cfRule type="cellIs" dxfId="44" priority="3" operator="equal">
      <formula>$BJ$6</formula>
    </cfRule>
    <cfRule type="cellIs" dxfId="43" priority="4" operator="greaterThan">
      <formula>$BJ$6</formula>
    </cfRule>
  </conditionalFormatting>
  <printOptions horizontalCentered="1"/>
  <pageMargins left="0.25" right="0.25" top="0.75" bottom="0.75" header="0.3" footer="0.3"/>
  <pageSetup paperSize="17" scale="18" orientation="landscape" r:id="rId1"/>
  <headerFooter alignWithMargins="0">
    <oddFooter>&amp;L&amp;F&amp;R&amp;D</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C0B7B-0DDB-48FD-A21E-7C17A528B41C}">
  <sheetPr>
    <tabColor theme="5"/>
    <pageSetUpPr fitToPage="1"/>
  </sheetPr>
  <dimension ref="A1:DF87"/>
  <sheetViews>
    <sheetView zoomScale="80" zoomScaleNormal="80" workbookViewId="0">
      <pane xSplit="2" topLeftCell="C1" activePane="topRight" state="frozen"/>
      <selection activeCell="A2" sqref="A2"/>
      <selection pane="topRight" activeCell="A2" sqref="A2"/>
    </sheetView>
  </sheetViews>
  <sheetFormatPr defaultColWidth="9.28515625" defaultRowHeight="14.25"/>
  <cols>
    <col min="1" max="1" width="21.28515625" style="10" customWidth="1"/>
    <col min="2" max="2" width="49.42578125" style="1" bestFit="1" customWidth="1"/>
    <col min="3" max="3" width="5.85546875" style="1" customWidth="1"/>
    <col min="4" max="4" width="21.28515625" style="1" customWidth="1"/>
    <col min="5" max="5" width="17.42578125" style="1" customWidth="1"/>
    <col min="6" max="6" width="14.28515625" style="1" customWidth="1"/>
    <col min="7" max="7" width="13.5703125" style="1" customWidth="1"/>
    <col min="8" max="8" width="16.28515625" style="1" customWidth="1"/>
    <col min="9" max="9" width="17.42578125" style="4" customWidth="1"/>
    <col min="10" max="10" width="8" style="1" customWidth="1"/>
    <col min="11" max="11" width="8.7109375" style="1" customWidth="1"/>
    <col min="12" max="12" width="11.5703125" style="1" customWidth="1"/>
    <col min="13" max="14" width="8.7109375" style="1" customWidth="1"/>
    <col min="15" max="17" width="15.7109375" style="1" customWidth="1"/>
    <col min="18" max="21" width="8.7109375" style="1" customWidth="1"/>
    <col min="22" max="23" width="15.7109375" style="1" customWidth="1"/>
    <col min="24" max="24" width="15.7109375" style="5" customWidth="1"/>
    <col min="25" max="28" width="10.7109375" style="1" customWidth="1"/>
    <col min="29" max="30" width="15.7109375" style="1" customWidth="1"/>
    <col min="31" max="31" width="15.7109375" style="5" customWidth="1"/>
    <col min="32" max="35" width="8.7109375" style="1" customWidth="1"/>
    <col min="36" max="37" width="15.7109375" style="1" customWidth="1"/>
    <col min="38" max="38" width="15.7109375" style="5" customWidth="1"/>
    <col min="39" max="41" width="8.7109375" style="1" customWidth="1"/>
    <col min="42" max="42" width="9.28515625" style="1" customWidth="1"/>
    <col min="43" max="44" width="15.7109375" style="1" customWidth="1"/>
    <col min="45" max="45" width="15.7109375" style="5" customWidth="1"/>
    <col min="46" max="46" width="9.28515625" style="1" customWidth="1"/>
    <col min="47" max="51" width="17.7109375" style="1" customWidth="1"/>
    <col min="52" max="52" width="9.28515625" style="1" customWidth="1"/>
    <col min="53" max="53" width="20.28515625" style="1" customWidth="1"/>
    <col min="54" max="58" width="17.7109375" style="1" customWidth="1"/>
    <col min="59" max="59" width="14.28515625" style="1" bestFit="1" customWidth="1"/>
    <col min="60" max="60" width="15.7109375" style="6" customWidth="1"/>
    <col min="61" max="61" width="18.5703125" style="1" customWidth="1"/>
    <col min="62" max="62" width="23.5703125" style="1" customWidth="1"/>
    <col min="63" max="63" width="24.85546875" style="1" customWidth="1"/>
    <col min="64" max="64" width="9.28515625" style="1" customWidth="1"/>
    <col min="65" max="67" width="16.5703125" style="1" customWidth="1"/>
    <col min="68" max="68" width="23.140625" style="1" customWidth="1"/>
    <col min="69" max="69" width="23.28515625" style="1" customWidth="1"/>
    <col min="70" max="70" width="22.5703125" style="1" customWidth="1"/>
    <col min="71" max="74" width="21.7109375" style="1" customWidth="1"/>
    <col min="75" max="76" width="23.85546875" style="1" customWidth="1"/>
    <col min="77" max="77" width="26.7109375" style="1" customWidth="1"/>
    <col min="78" max="78" width="21.7109375" style="1" customWidth="1"/>
    <col min="79" max="79" width="21.7109375" style="1" hidden="1" customWidth="1"/>
    <col min="80" max="80" width="18.42578125" style="1" hidden="1" customWidth="1"/>
    <col min="81" max="81" width="18.42578125" style="8" hidden="1" customWidth="1"/>
    <col min="82" max="82" width="20.5703125" style="8" hidden="1" customWidth="1"/>
    <col min="83" max="83" width="22.42578125" style="1" hidden="1" customWidth="1"/>
    <col min="84" max="84" width="12.42578125" style="1" hidden="1" customWidth="1"/>
    <col min="85" max="85" width="16.85546875" style="1" hidden="1" customWidth="1"/>
    <col min="86" max="86" width="15.140625" style="1" hidden="1" customWidth="1"/>
    <col min="87" max="87" width="18.28515625" style="1" hidden="1" customWidth="1"/>
    <col min="88" max="88" width="15.85546875" style="1" hidden="1" customWidth="1"/>
    <col min="89" max="89" width="9.28515625" style="1" hidden="1" customWidth="1"/>
    <col min="90" max="91" width="21.7109375" style="1" hidden="1" customWidth="1"/>
    <col min="92" max="92" width="18.42578125" style="1" hidden="1" customWidth="1"/>
    <col min="93" max="93" width="18.42578125" style="8" hidden="1" customWidth="1"/>
    <col min="94" max="94" width="19.140625" style="536" hidden="1" customWidth="1"/>
    <col min="95" max="96" width="18" style="537" hidden="1" customWidth="1"/>
    <col min="97" max="97" width="22.42578125" style="1" hidden="1" customWidth="1"/>
    <col min="98" max="98" width="17.5703125" style="1" hidden="1" customWidth="1"/>
    <col min="99" max="99" width="18.5703125" style="1" hidden="1" customWidth="1"/>
    <col min="100" max="100" width="17.28515625" style="1" hidden="1" customWidth="1"/>
    <col min="101" max="102" width="9.28515625" style="1" hidden="1" customWidth="1"/>
    <col min="103" max="103" width="17.140625" style="1" hidden="1" customWidth="1"/>
    <col min="104" max="104" width="20.28515625" style="1" hidden="1" customWidth="1"/>
    <col min="105" max="105" width="17.140625" style="1" hidden="1" customWidth="1"/>
    <col min="106" max="109" width="9.28515625" style="1"/>
    <col min="110" max="110" width="13.85546875" style="1" customWidth="1"/>
    <col min="111" max="16384" width="9.28515625" style="1"/>
  </cols>
  <sheetData>
    <row r="1" spans="1:110" s="371" customFormat="1" ht="20.25">
      <c r="A1" s="370" t="s">
        <v>438</v>
      </c>
      <c r="D1" s="372"/>
      <c r="G1" s="373"/>
      <c r="I1" s="374"/>
      <c r="X1" s="375"/>
      <c r="AE1" s="375"/>
      <c r="AL1" s="375"/>
      <c r="AS1" s="375"/>
      <c r="BH1" s="376"/>
      <c r="BP1" s="377"/>
      <c r="BQ1" s="377"/>
      <c r="BR1" s="377"/>
      <c r="BS1" s="377"/>
      <c r="BT1" s="377"/>
      <c r="BU1" s="377"/>
      <c r="BV1" s="377"/>
      <c r="BW1" s="377"/>
      <c r="BX1" s="377"/>
      <c r="BY1" s="377"/>
      <c r="BZ1" s="377"/>
      <c r="CC1" s="378"/>
      <c r="CD1" s="378"/>
      <c r="CM1" s="377"/>
      <c r="CN1" s="377"/>
      <c r="CO1" s="377"/>
      <c r="CP1" s="379"/>
      <c r="CQ1" s="380"/>
      <c r="CR1" s="380"/>
      <c r="CT1" s="379"/>
      <c r="CU1" s="379"/>
      <c r="CV1" s="379"/>
    </row>
    <row r="2" spans="1:110" ht="15" customHeight="1">
      <c r="A2" s="1149" t="str" cm="1">
        <f t="array" aca="1" ref="A2" ca="1">"Scenario "&amp;MID(CELL("filename",A1),FIND("]",CELL("filename",A1))+1,500)</f>
        <v>Scenario S6C-Cost-26</v>
      </c>
      <c r="B2" s="11"/>
      <c r="C2" s="11"/>
      <c r="D2" s="381"/>
      <c r="E2" s="13"/>
      <c r="F2" s="10"/>
      <c r="G2" s="382"/>
      <c r="I2" s="15"/>
      <c r="M2" s="16"/>
      <c r="O2" s="17"/>
      <c r="P2" s="17"/>
      <c r="S2" s="16"/>
      <c r="Z2" s="16"/>
      <c r="AG2" s="16"/>
      <c r="AN2" s="16"/>
      <c r="CP2" s="9"/>
      <c r="CQ2" s="379"/>
      <c r="CR2" s="379"/>
      <c r="CS2" s="379"/>
      <c r="CT2" s="379"/>
      <c r="CU2" s="379"/>
      <c r="CV2" s="379"/>
    </row>
    <row r="3" spans="1:110" s="9" customFormat="1" ht="15" customHeight="1">
      <c r="B3" s="383"/>
      <c r="C3" s="383"/>
      <c r="D3" s="1156" t="s">
        <v>157</v>
      </c>
      <c r="E3" s="1156"/>
      <c r="F3" s="1156"/>
      <c r="G3" s="1156"/>
      <c r="H3" s="1156"/>
      <c r="I3" s="1156"/>
      <c r="K3" s="1156" t="s">
        <v>158</v>
      </c>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U3" s="1156" t="s">
        <v>159</v>
      </c>
      <c r="AV3" s="1156"/>
      <c r="AW3" s="1156"/>
      <c r="AX3" s="1156"/>
      <c r="AY3" s="1156"/>
      <c r="AZ3" s="383"/>
      <c r="BA3" s="1156" t="s">
        <v>160</v>
      </c>
      <c r="BB3" s="1156"/>
      <c r="BC3" s="1156"/>
      <c r="BD3" s="1156"/>
      <c r="BE3" s="1156"/>
      <c r="BF3" s="1156"/>
      <c r="BH3" s="1156" t="s">
        <v>161</v>
      </c>
      <c r="BI3" s="1156"/>
      <c r="BJ3" s="1156"/>
      <c r="BK3" s="1156"/>
      <c r="BL3" s="1156"/>
      <c r="BM3" s="1156"/>
      <c r="BN3" s="1156"/>
      <c r="BO3" s="1156"/>
      <c r="BP3" s="1156"/>
      <c r="BQ3" s="1156"/>
      <c r="BR3" s="1156"/>
      <c r="BS3" s="1156"/>
      <c r="BT3" s="1156"/>
      <c r="BU3" s="1156"/>
      <c r="BV3" s="1156"/>
      <c r="BW3" s="1156"/>
      <c r="BX3" s="1156"/>
      <c r="BY3" s="1156"/>
      <c r="BZ3" s="1156"/>
      <c r="CA3" s="1156"/>
      <c r="CB3" s="1156"/>
      <c r="CC3" s="1156"/>
      <c r="CD3" s="1156"/>
      <c r="CE3" s="1156"/>
      <c r="CG3" s="1156" t="s">
        <v>162</v>
      </c>
      <c r="CH3" s="1156"/>
      <c r="CI3" s="1156"/>
      <c r="CJ3" s="1156"/>
      <c r="CK3" s="1156"/>
      <c r="CL3" s="1156"/>
      <c r="CM3" s="1156"/>
      <c r="CN3" s="1156"/>
      <c r="CO3" s="1156"/>
      <c r="CP3" s="1156"/>
      <c r="CQ3" s="1156"/>
      <c r="CR3" s="384"/>
      <c r="CS3" s="1156" t="s">
        <v>163</v>
      </c>
      <c r="CT3" s="1156"/>
      <c r="CU3" s="1156"/>
      <c r="CV3" s="1156"/>
      <c r="CW3" s="383"/>
      <c r="CY3" s="1156" t="s">
        <v>164</v>
      </c>
      <c r="CZ3" s="1156"/>
    </row>
    <row r="4" spans="1:110" s="9" customFormat="1" ht="15" customHeight="1">
      <c r="B4" s="383"/>
      <c r="C4" s="383"/>
      <c r="D4" s="385"/>
      <c r="E4" s="385"/>
      <c r="F4" s="385"/>
      <c r="G4" s="385"/>
      <c r="H4" s="385"/>
      <c r="I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U4" s="385"/>
      <c r="AV4" s="385"/>
      <c r="AW4" s="385"/>
      <c r="AX4" s="385"/>
      <c r="AY4" s="385"/>
      <c r="AZ4" s="383"/>
      <c r="BA4" s="385"/>
      <c r="BB4" s="385"/>
      <c r="BC4" s="385"/>
      <c r="BD4" s="385"/>
      <c r="BE4" s="385"/>
      <c r="BF4" s="385"/>
      <c r="BH4" s="385"/>
      <c r="BI4" s="385"/>
      <c r="BJ4" s="385"/>
      <c r="BK4" s="385"/>
      <c r="BL4" s="385"/>
      <c r="BM4" s="385"/>
      <c r="BN4" s="385"/>
      <c r="BO4" s="385"/>
      <c r="BP4" s="385"/>
      <c r="BQ4" s="385"/>
      <c r="BR4" s="385"/>
      <c r="BS4" s="385"/>
      <c r="BT4" s="385"/>
      <c r="BU4" s="385"/>
      <c r="BV4" s="385"/>
      <c r="BW4" s="385"/>
      <c r="BX4" s="385"/>
      <c r="BY4" s="385"/>
      <c r="BZ4" s="385"/>
      <c r="CA4" s="385"/>
      <c r="CB4" s="385"/>
      <c r="CC4" s="385"/>
      <c r="CD4" s="385"/>
      <c r="CE4" s="385"/>
      <c r="CO4" s="386"/>
      <c r="CP4" s="384"/>
      <c r="CQ4" s="384"/>
      <c r="CR4" s="384"/>
      <c r="CS4" s="384"/>
      <c r="CT4" s="384"/>
      <c r="CU4" s="384"/>
      <c r="CV4" s="384"/>
    </row>
    <row r="5" spans="1:110" ht="15" customHeight="1">
      <c r="B5" s="11"/>
      <c r="C5" s="11"/>
      <c r="D5" s="387" t="s">
        <v>3</v>
      </c>
      <c r="E5" s="13"/>
      <c r="F5" s="10"/>
      <c r="G5" s="382"/>
      <c r="I5" s="15"/>
      <c r="M5" s="16"/>
      <c r="O5" s="17"/>
      <c r="P5" s="17"/>
      <c r="S5" s="16"/>
      <c r="Z5" s="16"/>
      <c r="AG5" s="16"/>
      <c r="AN5" s="16"/>
      <c r="AU5" s="1157" t="s">
        <v>4</v>
      </c>
      <c r="AV5" s="1158"/>
      <c r="AW5" s="1158"/>
      <c r="AX5" s="1158"/>
      <c r="AY5" s="1159"/>
      <c r="BA5" s="25" t="s">
        <v>5</v>
      </c>
      <c r="BJ5" s="25" t="s">
        <v>6</v>
      </c>
      <c r="BP5" s="25" t="s">
        <v>165</v>
      </c>
      <c r="BQ5" s="7"/>
      <c r="BR5" s="7"/>
      <c r="BS5" s="7"/>
      <c r="BT5" s="7"/>
      <c r="BU5" s="7" t="s">
        <v>142</v>
      </c>
      <c r="BV5" s="7"/>
      <c r="BW5" s="7"/>
      <c r="BX5" s="7"/>
      <c r="BY5" s="7"/>
      <c r="BZ5" s="7"/>
      <c r="CM5" s="25" t="s">
        <v>7</v>
      </c>
      <c r="CP5" s="388"/>
      <c r="CQ5" s="388"/>
      <c r="CR5" s="388"/>
      <c r="CS5" s="388"/>
      <c r="CT5" s="388"/>
      <c r="CU5" s="388"/>
      <c r="CV5" s="388"/>
    </row>
    <row r="6" spans="1:110">
      <c r="B6" s="26"/>
      <c r="C6" s="26"/>
      <c r="D6" s="27">
        <v>0.35</v>
      </c>
      <c r="E6" s="27">
        <v>0.35</v>
      </c>
      <c r="F6" s="27">
        <v>0.15</v>
      </c>
      <c r="G6" s="27">
        <v>0.15</v>
      </c>
      <c r="I6" s="15"/>
      <c r="M6" s="16"/>
      <c r="O6" s="17"/>
      <c r="P6" s="17"/>
      <c r="S6" s="16"/>
      <c r="Z6" s="16"/>
      <c r="AG6" s="16"/>
      <c r="AN6" s="16"/>
      <c r="AU6" s="28">
        <v>0</v>
      </c>
      <c r="AV6" s="28">
        <v>0</v>
      </c>
      <c r="AW6" s="28">
        <v>0</v>
      </c>
      <c r="AX6" s="28">
        <v>0</v>
      </c>
      <c r="AY6" s="28">
        <v>0</v>
      </c>
      <c r="AZ6" s="29"/>
      <c r="BA6" s="30">
        <f>126704869*(1-AZ8)</f>
        <v>120369625.55</v>
      </c>
      <c r="BB6" s="1" t="s">
        <v>8</v>
      </c>
      <c r="BJ6" s="284">
        <v>0.3</v>
      </c>
      <c r="BP6" s="31">
        <f>$BK$50+BA8</f>
        <v>7470543.9906827025</v>
      </c>
      <c r="BQ6" s="32"/>
      <c r="BR6" s="32"/>
      <c r="BS6" s="32"/>
      <c r="BT6" s="32"/>
      <c r="BU6" s="33">
        <v>0.3</v>
      </c>
      <c r="BV6" s="32"/>
      <c r="BW6" s="32"/>
      <c r="BX6" s="32"/>
      <c r="BY6" s="32"/>
      <c r="BZ6" s="32"/>
      <c r="CM6" s="31">
        <f>CJ50</f>
        <v>143641.80221877992</v>
      </c>
      <c r="CP6" s="388"/>
      <c r="CQ6" s="388"/>
      <c r="CR6" s="388"/>
      <c r="CS6" s="388"/>
      <c r="CT6" s="388"/>
      <c r="CU6" s="388"/>
      <c r="CV6" s="388"/>
      <c r="DB6" s="32"/>
    </row>
    <row r="7" spans="1:110">
      <c r="B7" s="26"/>
      <c r="C7" s="26"/>
      <c r="D7" s="389"/>
      <c r="E7" s="389"/>
      <c r="F7" s="389"/>
      <c r="G7" s="389"/>
      <c r="I7" s="15"/>
      <c r="M7" s="16"/>
      <c r="O7" s="17"/>
      <c r="P7" s="17"/>
      <c r="S7" s="16"/>
      <c r="Z7" s="16"/>
      <c r="AG7" s="16"/>
      <c r="AN7" s="16"/>
      <c r="AU7" s="390"/>
      <c r="AV7" s="390"/>
      <c r="AW7" s="390"/>
      <c r="AX7" s="390"/>
      <c r="AY7" s="390"/>
      <c r="AZ7" s="29"/>
      <c r="BA7" s="391"/>
      <c r="BJ7" s="392"/>
      <c r="BP7" s="393" t="s">
        <v>145</v>
      </c>
      <c r="BQ7" s="393" t="s">
        <v>144</v>
      </c>
      <c r="BR7" s="393" t="s">
        <v>166</v>
      </c>
      <c r="BT7" s="393"/>
      <c r="BU7" s="393"/>
      <c r="BV7" s="393"/>
      <c r="BW7" s="393"/>
      <c r="BX7" s="393"/>
      <c r="BY7" s="393"/>
      <c r="BZ7" s="393"/>
      <c r="CM7" s="393"/>
      <c r="CP7" s="388"/>
      <c r="CQ7" s="388"/>
      <c r="CR7" s="388"/>
      <c r="CS7" s="388"/>
      <c r="CT7" s="388"/>
      <c r="CU7" s="388"/>
      <c r="CV7" s="388"/>
    </row>
    <row r="8" spans="1:110" ht="15" customHeight="1" thickBot="1">
      <c r="A8" s="1"/>
      <c r="D8" s="34" t="s">
        <v>167</v>
      </c>
      <c r="I8" s="394" t="s">
        <v>168</v>
      </c>
      <c r="K8" s="34" t="s">
        <v>169</v>
      </c>
      <c r="AY8" s="1" t="s">
        <v>16</v>
      </c>
      <c r="AZ8" s="16">
        <v>0.05</v>
      </c>
      <c r="BA8" s="395">
        <f>126704869*AZ8</f>
        <v>6335243.4500000002</v>
      </c>
      <c r="BB8" s="1" t="s">
        <v>170</v>
      </c>
      <c r="BP8" s="16">
        <v>0.25</v>
      </c>
      <c r="BQ8" s="16">
        <v>0.25</v>
      </c>
      <c r="BR8" s="16">
        <v>0.5</v>
      </c>
      <c r="CL8" s="396"/>
      <c r="CP8" s="388"/>
      <c r="CQ8" s="388"/>
      <c r="CR8" s="388"/>
      <c r="CS8" s="388"/>
      <c r="CT8" s="388"/>
      <c r="CU8" s="388"/>
      <c r="CV8" s="388"/>
    </row>
    <row r="9" spans="1:110" s="29" customFormat="1">
      <c r="A9" s="1160" t="s">
        <v>29</v>
      </c>
      <c r="B9" s="1163" t="s">
        <v>171</v>
      </c>
      <c r="C9" s="397"/>
      <c r="D9" s="38" t="s">
        <v>10</v>
      </c>
      <c r="E9" s="39"/>
      <c r="F9" s="39"/>
      <c r="G9" s="39"/>
      <c r="H9" s="40"/>
      <c r="I9" s="398"/>
      <c r="K9" s="43" t="s">
        <v>11</v>
      </c>
      <c r="L9" s="43"/>
      <c r="M9" s="43"/>
      <c r="N9" s="43"/>
      <c r="O9" s="43"/>
      <c r="P9" s="43"/>
      <c r="Q9" s="44"/>
      <c r="R9" s="42" t="s">
        <v>12</v>
      </c>
      <c r="S9" s="43"/>
      <c r="T9" s="43"/>
      <c r="U9" s="43"/>
      <c r="V9" s="43"/>
      <c r="W9" s="43"/>
      <c r="X9" s="44"/>
      <c r="Y9" s="42" t="s">
        <v>13</v>
      </c>
      <c r="Z9" s="43"/>
      <c r="AA9" s="43"/>
      <c r="AB9" s="43"/>
      <c r="AC9" s="43"/>
      <c r="AD9" s="43"/>
      <c r="AE9" s="44"/>
      <c r="AF9" s="42" t="s">
        <v>14</v>
      </c>
      <c r="AG9" s="43"/>
      <c r="AH9" s="43"/>
      <c r="AI9" s="43"/>
      <c r="AJ9" s="43"/>
      <c r="AK9" s="43"/>
      <c r="AL9" s="44"/>
      <c r="AM9" s="42" t="s">
        <v>15</v>
      </c>
      <c r="AN9" s="43"/>
      <c r="AO9" s="43"/>
      <c r="AP9" s="43"/>
      <c r="AQ9" s="43"/>
      <c r="AR9" s="43"/>
      <c r="AS9" s="43"/>
      <c r="BA9" s="46"/>
      <c r="BB9" s="46"/>
      <c r="BC9" s="46"/>
      <c r="BD9" s="46"/>
      <c r="BE9" s="46"/>
      <c r="BH9" s="47"/>
      <c r="BI9" s="396"/>
      <c r="BP9" s="396"/>
      <c r="BQ9" s="396"/>
      <c r="BR9" s="396"/>
      <c r="BS9" s="396"/>
      <c r="BT9" s="396"/>
      <c r="BU9" s="396"/>
      <c r="BV9" s="396"/>
      <c r="BW9" s="396"/>
      <c r="BX9" s="396"/>
      <c r="BY9" s="396"/>
      <c r="BZ9" s="396"/>
      <c r="CA9" s="48"/>
      <c r="CB9" s="48"/>
      <c r="CC9" s="49"/>
      <c r="CD9" s="396"/>
      <c r="CH9" s="396"/>
      <c r="CL9" s="48" t="s">
        <v>17</v>
      </c>
      <c r="CM9" s="48"/>
      <c r="CN9" s="48"/>
      <c r="CO9" s="49"/>
      <c r="CP9" s="396"/>
      <c r="CQ9" s="396"/>
      <c r="CR9" s="399"/>
      <c r="CS9" s="396"/>
      <c r="CT9" s="396"/>
      <c r="CU9" s="396"/>
      <c r="CV9" s="396"/>
    </row>
    <row r="10" spans="1:110" s="403" customFormat="1" ht="15" thickBot="1">
      <c r="A10" s="1161"/>
      <c r="B10" s="1164"/>
      <c r="C10" s="400"/>
      <c r="D10" s="54">
        <f>D$6</f>
        <v>0.35</v>
      </c>
      <c r="E10" s="54">
        <f>E$6</f>
        <v>0.35</v>
      </c>
      <c r="F10" s="54">
        <f>F$6</f>
        <v>0.15</v>
      </c>
      <c r="G10" s="54">
        <f>G$6</f>
        <v>0.15</v>
      </c>
      <c r="H10" s="54"/>
      <c r="I10" s="401"/>
      <c r="J10" s="29"/>
      <c r="K10" s="402" t="s">
        <v>20</v>
      </c>
      <c r="L10" s="57"/>
      <c r="M10" s="57"/>
      <c r="N10" s="57"/>
      <c r="O10" s="57"/>
      <c r="P10" s="57"/>
      <c r="Q10" s="58"/>
      <c r="R10" s="56" t="s">
        <v>21</v>
      </c>
      <c r="S10" s="57"/>
      <c r="T10" s="57"/>
      <c r="U10" s="57"/>
      <c r="V10" s="57"/>
      <c r="W10" s="57"/>
      <c r="X10" s="58"/>
      <c r="Y10" s="56" t="s">
        <v>22</v>
      </c>
      <c r="Z10" s="57"/>
      <c r="AA10" s="57"/>
      <c r="AB10" s="57"/>
      <c r="AC10" s="57"/>
      <c r="AD10" s="57"/>
      <c r="AE10" s="58"/>
      <c r="AF10" s="56" t="s">
        <v>23</v>
      </c>
      <c r="AG10" s="57"/>
      <c r="AH10" s="57"/>
      <c r="AI10" s="57"/>
      <c r="AJ10" s="57"/>
      <c r="AK10" s="57"/>
      <c r="AL10" s="58"/>
      <c r="AM10" s="56" t="s">
        <v>24</v>
      </c>
      <c r="AN10" s="57"/>
      <c r="AO10" s="57"/>
      <c r="AP10" s="57"/>
      <c r="AQ10" s="57"/>
      <c r="AR10" s="57"/>
      <c r="AS10" s="57"/>
      <c r="BH10" s="404" t="s">
        <v>172</v>
      </c>
      <c r="BP10" s="404" t="s">
        <v>173</v>
      </c>
      <c r="BQ10" s="404"/>
      <c r="BR10" s="404"/>
      <c r="BS10" s="404"/>
      <c r="BT10" s="404"/>
      <c r="BU10" s="404"/>
      <c r="BV10" s="404"/>
      <c r="BW10" s="404"/>
      <c r="BX10" s="404"/>
      <c r="BY10" s="404"/>
      <c r="BZ10" s="404"/>
      <c r="CC10" s="405"/>
      <c r="CD10" s="405"/>
      <c r="CE10" s="404"/>
      <c r="CG10" s="404" t="s">
        <v>174</v>
      </c>
      <c r="CL10" s="404" t="s">
        <v>175</v>
      </c>
      <c r="CO10" s="405"/>
      <c r="CQ10" s="406"/>
      <c r="CR10" s="406"/>
      <c r="CS10" s="407" t="s">
        <v>176</v>
      </c>
    </row>
    <row r="11" spans="1:110" s="45" customFormat="1" ht="101.25" customHeight="1">
      <c r="A11" s="1162"/>
      <c r="B11" s="1165"/>
      <c r="C11" s="408"/>
      <c r="D11" s="63" t="s">
        <v>177</v>
      </c>
      <c r="E11" s="64" t="s">
        <v>178</v>
      </c>
      <c r="F11" s="64" t="s">
        <v>179</v>
      </c>
      <c r="G11" s="64" t="s">
        <v>180</v>
      </c>
      <c r="H11" s="64" t="s">
        <v>35</v>
      </c>
      <c r="I11" s="409" t="s">
        <v>36</v>
      </c>
      <c r="K11" s="410">
        <v>2021</v>
      </c>
      <c r="L11" s="66">
        <v>2022</v>
      </c>
      <c r="M11" s="66">
        <v>2023</v>
      </c>
      <c r="N11" s="66">
        <v>2024</v>
      </c>
      <c r="O11" s="67" t="s">
        <v>37</v>
      </c>
      <c r="P11" s="67" t="s">
        <v>38</v>
      </c>
      <c r="Q11" s="68" t="s">
        <v>39</v>
      </c>
      <c r="R11" s="66">
        <v>2021</v>
      </c>
      <c r="S11" s="66">
        <v>2022</v>
      </c>
      <c r="T11" s="66">
        <v>2023</v>
      </c>
      <c r="U11" s="66">
        <v>2024</v>
      </c>
      <c r="V11" s="67" t="s">
        <v>40</v>
      </c>
      <c r="W11" s="67" t="s">
        <v>41</v>
      </c>
      <c r="X11" s="68" t="s">
        <v>39</v>
      </c>
      <c r="Y11" s="66">
        <v>2021</v>
      </c>
      <c r="Z11" s="66">
        <v>2022</v>
      </c>
      <c r="AA11" s="66">
        <v>2023</v>
      </c>
      <c r="AB11" s="66">
        <v>2024</v>
      </c>
      <c r="AC11" s="67" t="s">
        <v>42</v>
      </c>
      <c r="AD11" s="67" t="s">
        <v>43</v>
      </c>
      <c r="AE11" s="68" t="s">
        <v>39</v>
      </c>
      <c r="AF11" s="66">
        <v>2021</v>
      </c>
      <c r="AG11" s="66">
        <v>2022</v>
      </c>
      <c r="AH11" s="66">
        <v>2023</v>
      </c>
      <c r="AI11" s="66">
        <v>2024</v>
      </c>
      <c r="AJ11" s="67" t="s">
        <v>44</v>
      </c>
      <c r="AK11" s="67" t="s">
        <v>45</v>
      </c>
      <c r="AL11" s="68" t="s">
        <v>39</v>
      </c>
      <c r="AM11" s="66">
        <v>2021</v>
      </c>
      <c r="AN11" s="66">
        <v>2022</v>
      </c>
      <c r="AO11" s="66">
        <v>2023</v>
      </c>
      <c r="AP11" s="66">
        <v>2024</v>
      </c>
      <c r="AQ11" s="67" t="s">
        <v>46</v>
      </c>
      <c r="AR11" s="67" t="s">
        <v>47</v>
      </c>
      <c r="AS11" s="411" t="s">
        <v>39</v>
      </c>
      <c r="AU11" s="412" t="s">
        <v>48</v>
      </c>
      <c r="AV11" s="70" t="s">
        <v>49</v>
      </c>
      <c r="AW11" s="70" t="s">
        <v>50</v>
      </c>
      <c r="AX11" s="70" t="s">
        <v>51</v>
      </c>
      <c r="AY11" s="413" t="s">
        <v>52</v>
      </c>
      <c r="BA11" s="414" t="s">
        <v>53</v>
      </c>
      <c r="BB11" s="73" t="s">
        <v>54</v>
      </c>
      <c r="BC11" s="73" t="s">
        <v>55</v>
      </c>
      <c r="BD11" s="73" t="s">
        <v>56</v>
      </c>
      <c r="BE11" s="73" t="s">
        <v>57</v>
      </c>
      <c r="BF11" s="415" t="s">
        <v>181</v>
      </c>
      <c r="BH11" s="416" t="s">
        <v>59</v>
      </c>
      <c r="BI11" s="76" t="s">
        <v>60</v>
      </c>
      <c r="BJ11" s="76" t="s">
        <v>61</v>
      </c>
      <c r="BK11" s="417" t="s">
        <v>62</v>
      </c>
      <c r="BM11" s="78" t="s">
        <v>63</v>
      </c>
      <c r="BN11" s="78" t="s">
        <v>64</v>
      </c>
      <c r="BO11" s="78" t="s">
        <v>65</v>
      </c>
      <c r="BP11" s="416" t="s">
        <v>66</v>
      </c>
      <c r="BQ11" s="79" t="s">
        <v>67</v>
      </c>
      <c r="BR11" s="79" t="s">
        <v>68</v>
      </c>
      <c r="BS11" s="79" t="s">
        <v>69</v>
      </c>
      <c r="BT11" s="79" t="s">
        <v>70</v>
      </c>
      <c r="BU11" s="79" t="s">
        <v>71</v>
      </c>
      <c r="BV11" s="80" t="s">
        <v>72</v>
      </c>
      <c r="BW11" s="80" t="s">
        <v>73</v>
      </c>
      <c r="BX11" s="79" t="s">
        <v>74</v>
      </c>
      <c r="BY11" s="79" t="s">
        <v>75</v>
      </c>
      <c r="BZ11" s="79" t="s">
        <v>76</v>
      </c>
      <c r="CA11" s="76" t="s">
        <v>80</v>
      </c>
      <c r="CB11" s="76" t="s">
        <v>77</v>
      </c>
      <c r="CC11" s="418" t="s">
        <v>182</v>
      </c>
      <c r="CD11" s="76" t="s">
        <v>183</v>
      </c>
      <c r="CE11" s="77" t="s">
        <v>79</v>
      </c>
      <c r="CG11" s="419" t="s">
        <v>59</v>
      </c>
      <c r="CH11" s="84" t="s">
        <v>60</v>
      </c>
      <c r="CI11" s="84" t="s">
        <v>61</v>
      </c>
      <c r="CJ11" s="420" t="s">
        <v>62</v>
      </c>
      <c r="CL11" s="419" t="s">
        <v>66</v>
      </c>
      <c r="CM11" s="84" t="s">
        <v>80</v>
      </c>
      <c r="CN11" s="84" t="s">
        <v>77</v>
      </c>
      <c r="CO11" s="420" t="s">
        <v>184</v>
      </c>
      <c r="CP11" s="84" t="s">
        <v>185</v>
      </c>
      <c r="CQ11" s="420" t="s">
        <v>186</v>
      </c>
      <c r="CR11" s="421"/>
      <c r="CS11" s="422" t="s">
        <v>187</v>
      </c>
      <c r="CT11" s="423" t="s">
        <v>188</v>
      </c>
      <c r="CU11" s="423" t="s">
        <v>189</v>
      </c>
      <c r="CV11" s="424" t="s">
        <v>190</v>
      </c>
      <c r="CY11" s="425" t="s">
        <v>191</v>
      </c>
      <c r="CZ11" s="426" t="s">
        <v>192</v>
      </c>
      <c r="DA11" s="426" t="s">
        <v>193</v>
      </c>
    </row>
    <row r="12" spans="1:110">
      <c r="A12" s="427" t="s">
        <v>82</v>
      </c>
      <c r="B12" s="428" t="s">
        <v>83</v>
      </c>
      <c r="C12" s="429"/>
      <c r="D12" s="91">
        <f>'Op Cost-26'!E3</f>
        <v>2553471</v>
      </c>
      <c r="E12" s="92">
        <f>'Ridership-26'!$E3</f>
        <v>124617</v>
      </c>
      <c r="F12" s="92">
        <f>'Revenue Hours-26'!$E3</f>
        <v>31601</v>
      </c>
      <c r="G12" s="92">
        <f>'Revenue Miles-26'!$E3</f>
        <v>650766</v>
      </c>
      <c r="H12" s="430">
        <f t="shared" ref="H12:H49" si="0">IFERROR($D$10*(D12/D$50),0) + IFERROR($E$10*(E12/E$50),0) + IFERROR($F$10*(F12/F$50),0) + IFERROR($G$10*(G12/G$50),0)</f>
        <v>4.8501495230967827E-3</v>
      </c>
      <c r="I12" s="431">
        <f t="shared" ref="I12:I49" si="1">H12/(SUM($H$12:$H$49))</f>
        <v>4.8501495230967836E-3</v>
      </c>
      <c r="J12" s="432"/>
      <c r="K12" s="433">
        <f>'Ridership-26'!B3/'Revenue Hours-26'!B3</f>
        <v>3.0233116215289679</v>
      </c>
      <c r="L12" s="434">
        <f>'Ridership-26'!C3/'Revenue Hours-26'!C3</f>
        <v>3.1691372472531043</v>
      </c>
      <c r="M12" s="434">
        <f>'Ridership-26'!D3/'Revenue Hours-26'!D3</f>
        <v>3.6951123254401943</v>
      </c>
      <c r="N12" s="434">
        <f>'Ridership-26'!E3/'Revenue Hours-26'!E3</f>
        <v>3.9434511566089681</v>
      </c>
      <c r="O12" s="435">
        <f t="shared" ref="O12:O49" si="2">IF(K12=0,IF(L12=0,1,AVERAGE(1,(M12/L12)/($M$50/$L$50),(N12/M12)/($N$50/$M$50))), AVERAGE((L12/K12)/($L$50/$K$50),(M12/L12)/($M$50/$L$50),(N12/M12)/($N$50/$M$50)))</f>
        <v>0.93176116753380356</v>
      </c>
      <c r="P12" s="436">
        <f t="shared" ref="P12:P49" si="3">$I12*O12</f>
        <v>4.5191809823541792E-3</v>
      </c>
      <c r="Q12" s="437">
        <f t="shared" ref="Q12:Q49" si="4">P12/SUM($P$12:$P$49)</f>
        <v>4.365877338747398E-3</v>
      </c>
      <c r="R12" s="438">
        <f>'Ridership-26'!B3/'Revenue Miles-26'!B3</f>
        <v>0.1472857600940598</v>
      </c>
      <c r="S12" s="434">
        <f>'Ridership-26'!C3/'Revenue Miles-26'!C3</f>
        <v>0.15372497942218116</v>
      </c>
      <c r="T12" s="434">
        <f>'Ridership-26'!D3/'Revenue Miles-26'!D3</f>
        <v>0.17586518789083722</v>
      </c>
      <c r="U12" s="434">
        <f>'Ridership-26'!E3/'Revenue Miles-26'!E3</f>
        <v>0.19149279464507979</v>
      </c>
      <c r="V12" s="435">
        <f t="shared" ref="V12:V49" si="5">IF(R12=0,IF(S12=0,1,AVERAGE(1,(T12/S12)/($T$50/$S$50),(U12/T12)/($U$50/$T$50))), AVERAGE((S12/R12)/($S$50/$R$50),(T12/S12)/($T$50/$S$50),(U12/T12)/($U$50/$T$50)))</f>
        <v>0.9347970958451205</v>
      </c>
      <c r="W12" s="436">
        <f t="shared" ref="W12:W49" si="6">$I12*V12</f>
        <v>4.5339056886054691E-3</v>
      </c>
      <c r="X12" s="437">
        <f t="shared" ref="X12:X49" si="7">W12/SUM($W$12:$W$49)</f>
        <v>4.3866522697006676E-3</v>
      </c>
      <c r="Y12" s="438">
        <f>'Op Cost-26'!B3/'Revenue Hours-26'!B3</f>
        <v>64.628076791223862</v>
      </c>
      <c r="Z12" s="434">
        <f>'Op Cost-26'!C3/'Revenue Hours-26'!C3</f>
        <v>74.945094597230351</v>
      </c>
      <c r="AA12" s="434">
        <f>'Op Cost-26'!D3/'Revenue Hours-26'!D3</f>
        <v>75.894444444444446</v>
      </c>
      <c r="AB12" s="434">
        <f>'Op Cost-26'!E3/'Revenue Hours-26'!E3</f>
        <v>80.803487231416725</v>
      </c>
      <c r="AC12" s="435">
        <f t="shared" ref="AC12:AC49" si="8">IF(Y12=0,IF(Z12=0,1,AVERAGE(1,(AA12/Z12)/($AA$50/$AA$50),(AB12/AA12)/($AB$50/$AA$50))), AVERAGE((Z12/Y12)/($Z$50/$Y$50),(AA12/Z12)/($AA$50/$Z$50),(AB12/AA12)/($AB$50/$AA$50)))</f>
        <v>1.0336474299505864</v>
      </c>
      <c r="AD12" s="436">
        <f t="shared" ref="AD12:AD49" si="9">$I12*(1/AC12)</f>
        <v>4.6922668044834638E-3</v>
      </c>
      <c r="AE12" s="437">
        <f t="shared" ref="AE12:AE49" si="10">AD12/SUM($AD$12:$AD$49)</f>
        <v>4.701681554104201E-3</v>
      </c>
      <c r="AF12" s="438">
        <f>'Op Cost-26'!B3/'Revenue Miles-26'!B3</f>
        <v>3.148466517916789</v>
      </c>
      <c r="AG12" s="434">
        <f>'Op Cost-26'!C3/'Revenue Miles-26'!C3</f>
        <v>3.6353531658304137</v>
      </c>
      <c r="AH12" s="434">
        <f>'Op Cost-26'!D3/'Revenue Miles-26'!D3</f>
        <v>3.61212043276733</v>
      </c>
      <c r="AI12" s="434">
        <f>'Op Cost-26'!E3/'Revenue Miles-26'!E3</f>
        <v>3.9237928840781477</v>
      </c>
      <c r="AJ12" s="435">
        <f t="shared" ref="AJ12:AJ49" si="11">IF(AF12=0,IF(AG12=0,1,AVERAGE(1,(AH12/AG12)/($AH$50/$AG$50),(AI12/AH12)/($AI$50/$AH$50))), AVERAGE((AG12/AF12)/($AG$50/$AF$50),(AH12/AG12)/($AH$50/$AG$50),(AI12/AH12)/($AI$50/$AH$50)))</f>
        <v>1.0389409184023559</v>
      </c>
      <c r="AK12" s="436">
        <f t="shared" ref="AK12:AK49" si="12">$I12*(1/AJ12)</f>
        <v>4.6683593236034639E-3</v>
      </c>
      <c r="AL12" s="437">
        <f t="shared" ref="AL12:AL49" si="13">AK12/SUM($AK$12:$AK$49)</f>
        <v>4.676913436783104E-3</v>
      </c>
      <c r="AM12" s="438">
        <f>'Op Cost-26'!B3/'Ridership-26'!B3</f>
        <v>21.37658464678535</v>
      </c>
      <c r="AN12" s="434">
        <f>'Op Cost-26'!C3/'Ridership-26'!C3</f>
        <v>23.64842187323698</v>
      </c>
      <c r="AO12" s="434">
        <f>'Op Cost-26'!D3/'Ridership-26'!D3</f>
        <v>20.53914408012028</v>
      </c>
      <c r="AP12" s="434">
        <f>'Op Cost-26'!E3/'Ridership-26'!E3</f>
        <v>20.490551048412335</v>
      </c>
      <c r="AQ12" s="439">
        <f t="shared" ref="AQ12:AQ49" si="14">IF(AM12=0,IF(AN12=0,1,AVERAGE(1,(AO12/AN12)/($AO$50/$AN$50),(AP12/AO12)/($AP$50/$AO$50))), AVERAGE((AN12/AM12)/($AN$50/$AM$50),(AO12/AN12)/($AO$50/$AN$50),(AP12/AO12)/($AP$50/$AO$50)))</f>
        <v>1.1261773463790854</v>
      </c>
      <c r="AR12" s="436">
        <f t="shared" ref="AR12:AR49" si="15">$I12*(1/AQ12)</f>
        <v>4.306736890678107E-3</v>
      </c>
      <c r="AS12" s="440">
        <f t="shared" ref="AS12:AS49" si="16">AR12/SUM($AR$12:$AR$49)</f>
        <v>4.330436329101549E-3</v>
      </c>
      <c r="AT12" s="432"/>
      <c r="AU12" s="441">
        <f t="shared" ref="AU12:AU49" si="17">Q12*AU$6</f>
        <v>0</v>
      </c>
      <c r="AV12" s="442">
        <f t="shared" ref="AV12:AV49" si="18">X12*AV$6</f>
        <v>0</v>
      </c>
      <c r="AW12" s="442">
        <f t="shared" ref="AW12:AW49" si="19">AE12*AW$6</f>
        <v>0</v>
      </c>
      <c r="AX12" s="442">
        <f t="shared" ref="AX12:AX49" si="20">AL12*AX$6</f>
        <v>0</v>
      </c>
      <c r="AY12" s="443">
        <f t="shared" ref="AY12:AY49" si="21">AS12*AY$6</f>
        <v>0</v>
      </c>
      <c r="AZ12" s="444">
        <f>(SUM(AU12:AY12)-I12)/I12</f>
        <v>-1</v>
      </c>
      <c r="BA12" s="445">
        <f t="shared" ref="BA12:BE50" si="22">AU12*$BA$6</f>
        <v>0</v>
      </c>
      <c r="BB12" s="446">
        <f t="shared" si="22"/>
        <v>0</v>
      </c>
      <c r="BC12" s="446">
        <f t="shared" si="22"/>
        <v>0</v>
      </c>
      <c r="BD12" s="446">
        <f t="shared" si="22"/>
        <v>0</v>
      </c>
      <c r="BE12" s="446">
        <f t="shared" si="22"/>
        <v>0</v>
      </c>
      <c r="BF12" s="447">
        <f>$BA$6*I12</f>
        <v>583810.68195667095</v>
      </c>
      <c r="BH12" s="448">
        <f>'Op Cost-26'!E3</f>
        <v>2553471</v>
      </c>
      <c r="BI12" s="449">
        <f t="shared" ref="BI12:BI49" si="23">BF12/BH12</f>
        <v>0.22863415404234899</v>
      </c>
      <c r="BJ12" s="450">
        <f t="shared" ref="BJ12:BJ49" si="24">IF(BF12&gt;BH12*$BJ$6,BH12*$BJ$6,BF12)</f>
        <v>583810.68195667095</v>
      </c>
      <c r="BK12" s="451">
        <f t="shared" ref="BK12:BK49" si="25">BF12-BJ12</f>
        <v>0</v>
      </c>
      <c r="BL12" s="1">
        <f>BM12*$BP$8+BN12*$BQ$8+BO12*$BR$8</f>
        <v>0.41359211667458673</v>
      </c>
      <c r="BM12" s="112">
        <f>N12/$N$50</f>
        <v>0.34773542043569428</v>
      </c>
      <c r="BN12" s="112">
        <f>U12/$U$50</f>
        <v>0.23808511062770701</v>
      </c>
      <c r="BO12" s="113">
        <f>(1/AP12)/(1/$AP$50)</f>
        <v>0.53427396781747283</v>
      </c>
      <c r="BP12" s="452">
        <f t="shared" ref="BP12:BP49" si="26">IF(OR(BK12&gt;0,BI12&gt;=$BJ$6),0,BJ12)</f>
        <v>583810.68195667095</v>
      </c>
      <c r="BQ12" s="115">
        <f>(BM12*$BP$8+BN12*$BQ$8+BO12*$BR$8)*I12</f>
        <v>2.0059836074458361E-3</v>
      </c>
      <c r="BR12" s="116">
        <f>IF(BP12=0,0,BQ12)</f>
        <v>2.0059836074458361E-3</v>
      </c>
      <c r="BS12" s="453">
        <f>BR12/$BR$50</f>
        <v>2.1117920442929867E-3</v>
      </c>
      <c r="BT12" s="118">
        <f>$BP$6*BS12+BJ12</f>
        <v>599586.91732273542</v>
      </c>
      <c r="BU12" s="119">
        <f>BH12*$BU$6</f>
        <v>766041.29999999993</v>
      </c>
      <c r="BV12" s="119">
        <f>IF(BT12&lt;BU12,BT12, BU12)</f>
        <v>599586.91732273542</v>
      </c>
      <c r="BW12" s="119">
        <f>BT12-BV12</f>
        <v>0</v>
      </c>
      <c r="BX12" s="120">
        <f>IF(AND(BW12=0,BK12=0),BR12,0)</f>
        <v>2.0059836074458361E-3</v>
      </c>
      <c r="BY12" s="454">
        <f>BX12/$BX$50</f>
        <v>2.274133723325791E-3</v>
      </c>
      <c r="BZ12" s="122">
        <f>$BW$50*BY12+BV12</f>
        <v>600174.46377496189</v>
      </c>
      <c r="CA12" s="455">
        <f t="shared" ref="CA12:CA49" si="27">BP12/$BP$50</f>
        <v>5.1829723318297339E-3</v>
      </c>
      <c r="CB12" s="456">
        <f t="shared" ref="CB12:CB49" si="28">CA12*$BP$6</f>
        <v>38719.62280742533</v>
      </c>
      <c r="CC12" s="456">
        <f t="shared" ref="CC12:CC49" si="29">(CB12+BJ12)</f>
        <v>622530.30476409628</v>
      </c>
      <c r="CD12" s="457">
        <f t="shared" ref="CD12:CD49" si="30">CC12/BH12</f>
        <v>0.24379767961496185</v>
      </c>
      <c r="CE12" s="458">
        <f t="shared" ref="CE12:CE49" si="31">IF(CC12&gt;($BJ$6*BH12),1,0)</f>
        <v>0</v>
      </c>
      <c r="CF12" s="17"/>
      <c r="CG12" s="459">
        <f t="shared" ref="CG12:CG49" si="32">BH12</f>
        <v>2553471</v>
      </c>
      <c r="CH12" s="460">
        <f>CC12/CG12</f>
        <v>0.24379767961496185</v>
      </c>
      <c r="CI12" s="461">
        <f t="shared" ref="CI12:CI49" si="33">IF(CC12&gt;BH12*$BJ$6,BH12*$BJ$6,CC12)</f>
        <v>622530.30476409628</v>
      </c>
      <c r="CJ12" s="462">
        <f t="shared" ref="CJ12:CJ50" si="34">CC12-CI12</f>
        <v>0</v>
      </c>
      <c r="CL12" s="463">
        <f t="shared" ref="CL12:CL49" si="35">IF(OR(CJ12&gt;0,CH12&gt;=$BJ$6),0,CI12)</f>
        <v>622530.30476409628</v>
      </c>
      <c r="CM12" s="464">
        <f t="shared" ref="CM12:CM50" si="36">CL12/$CL$50</f>
        <v>5.3522472719797088E-3</v>
      </c>
      <c r="CN12" s="465">
        <f t="shared" ref="CN12:CN50" si="37">CM12*$CM$6</f>
        <v>768.80644406771376</v>
      </c>
      <c r="CO12" s="466">
        <f>(CN12+CI12)</f>
        <v>623299.11120816402</v>
      </c>
      <c r="CP12" s="467">
        <f>CO12/CG12</f>
        <v>0.24409876251117166</v>
      </c>
      <c r="CQ12" s="468">
        <f t="shared" ref="CQ12:CQ49" si="38">IF(CP12&gt;$BJ$6,1,0)</f>
        <v>0</v>
      </c>
      <c r="CR12" s="469"/>
      <c r="CS12" s="470">
        <f t="shared" ref="CS12:CS49" si="39">BH12*$BJ$6</f>
        <v>766041.29999999993</v>
      </c>
      <c r="CT12" s="465">
        <f t="shared" ref="CT12:CT49" si="40">IF(CO12&gt;CS12,CO12-CS12,0)</f>
        <v>0</v>
      </c>
      <c r="CU12" s="471">
        <f t="shared" ref="CU12:CU49" si="41">CO12-CT12</f>
        <v>623299.11120816402</v>
      </c>
      <c r="CV12" s="472">
        <f t="shared" ref="CV12:CV49" si="42">CU12/CG12</f>
        <v>0.24409876251117166</v>
      </c>
      <c r="CY12" s="473">
        <v>0</v>
      </c>
      <c r="CZ12" s="474">
        <f>CU12+CY12</f>
        <v>623299.11120816402</v>
      </c>
      <c r="DA12" s="475">
        <f>CZ12/CG12</f>
        <v>0.24409876251117166</v>
      </c>
      <c r="DB12" s="1">
        <f>IF(BZ12&lt;=BH12*$BU$6, 0, 1)</f>
        <v>0</v>
      </c>
      <c r="DC12" s="293">
        <f>BZ12/BH12</f>
        <v>0.23504260035651939</v>
      </c>
      <c r="DF12" s="476"/>
    </row>
    <row r="13" spans="1:110">
      <c r="A13" s="477" t="s">
        <v>82</v>
      </c>
      <c r="B13" s="428" t="s">
        <v>84</v>
      </c>
      <c r="C13" s="429"/>
      <c r="D13" s="91">
        <f>'Op Cost-26'!E4</f>
        <v>361548</v>
      </c>
      <c r="E13" s="92">
        <f>'Ridership-26'!$E4</f>
        <v>42876</v>
      </c>
      <c r="F13" s="92">
        <f>'Revenue Hours-26'!$E4</f>
        <v>7605</v>
      </c>
      <c r="G13" s="92">
        <f>'Revenue Miles-26'!$E4</f>
        <v>91473</v>
      </c>
      <c r="H13" s="478">
        <f t="shared" si="0"/>
        <v>9.5183693161752223E-4</v>
      </c>
      <c r="I13" s="431">
        <f t="shared" si="1"/>
        <v>9.5183693161752245E-4</v>
      </c>
      <c r="J13" s="432"/>
      <c r="K13" s="433">
        <f>'Ridership-26'!B4/'Revenue Hours-26'!B4</f>
        <v>3.8435006435006436</v>
      </c>
      <c r="L13" s="434">
        <f>'Ridership-26'!C4/'Revenue Hours-26'!C4</f>
        <v>4.8354101054361225</v>
      </c>
      <c r="M13" s="434">
        <f>'Ridership-26'!D4/'Revenue Hours-26'!D4</f>
        <v>5.5493279229013446</v>
      </c>
      <c r="N13" s="434">
        <f>'Ridership-26'!E4/'Revenue Hours-26'!E4</f>
        <v>5.6378698224852073</v>
      </c>
      <c r="O13" s="435">
        <f t="shared" si="2"/>
        <v>0.96523278806967661</v>
      </c>
      <c r="P13" s="436">
        <f t="shared" si="3"/>
        <v>9.1874421529286729E-4</v>
      </c>
      <c r="Q13" s="437">
        <f t="shared" si="4"/>
        <v>8.8757776360681891E-4</v>
      </c>
      <c r="R13" s="438">
        <f>'Ridership-26'!B4/'Revenue Miles-26'!B4</f>
        <v>0.31931227680003421</v>
      </c>
      <c r="S13" s="434">
        <f>'Ridership-26'!C4/'Revenue Miles-26'!C4</f>
        <v>0.41985803797543603</v>
      </c>
      <c r="T13" s="434">
        <f>'Ridership-26'!D4/'Revenue Miles-26'!D4</f>
        <v>0.46390976646560589</v>
      </c>
      <c r="U13" s="434">
        <f>'Ridership-26'!E4/'Revenue Miles-26'!E4</f>
        <v>0.46872847725558364</v>
      </c>
      <c r="V13" s="435">
        <f t="shared" si="5"/>
        <v>0.97136734783700807</v>
      </c>
      <c r="W13" s="436">
        <f t="shared" si="6"/>
        <v>9.2458331583862834E-4</v>
      </c>
      <c r="X13" s="437">
        <f t="shared" si="7"/>
        <v>8.9455444808742208E-4</v>
      </c>
      <c r="Y13" s="438">
        <f>'Op Cost-26'!B4/'Revenue Hours-26'!B4</f>
        <v>108.14491634491634</v>
      </c>
      <c r="Z13" s="434">
        <f>'Op Cost-26'!C4/'Revenue Hours-26'!C4</f>
        <v>62.039983568396551</v>
      </c>
      <c r="AA13" s="434">
        <f>'Op Cost-26'!D4/'Revenue Hours-26'!D4</f>
        <v>50.572406796855184</v>
      </c>
      <c r="AB13" s="434">
        <f>'Op Cost-26'!E4/'Revenue Hours-26'!E4</f>
        <v>47.540828402366863</v>
      </c>
      <c r="AC13" s="435">
        <f t="shared" si="8"/>
        <v>0.73994552647823897</v>
      </c>
      <c r="AD13" s="436">
        <f t="shared" si="9"/>
        <v>1.2863608165154777E-3</v>
      </c>
      <c r="AE13" s="437">
        <f t="shared" si="10"/>
        <v>1.288941821712763E-3</v>
      </c>
      <c r="AF13" s="438">
        <f>'Op Cost-26'!B4/'Revenue Miles-26'!B4</f>
        <v>8.9845176742296253</v>
      </c>
      <c r="AG13" s="434">
        <f>'Op Cost-26'!C4/'Revenue Miles-26'!C4</f>
        <v>5.3869237994459436</v>
      </c>
      <c r="AH13" s="434">
        <f>'Op Cost-26'!D4/'Revenue Miles-26'!D4</f>
        <v>4.2277251863080787</v>
      </c>
      <c r="AI13" s="434">
        <f>'Op Cost-26'!E4/'Revenue Miles-26'!E4</f>
        <v>3.9525105768915418</v>
      </c>
      <c r="AJ13" s="435">
        <f t="shared" si="11"/>
        <v>0.74012339547458483</v>
      </c>
      <c r="AK13" s="436">
        <f t="shared" si="12"/>
        <v>1.2860516738660609E-3</v>
      </c>
      <c r="AL13" s="437">
        <f t="shared" si="13"/>
        <v>1.2884081830399573E-3</v>
      </c>
      <c r="AM13" s="438">
        <f>'Op Cost-26'!B4/'Ridership-26'!B4</f>
        <v>28.137088132869007</v>
      </c>
      <c r="AN13" s="434">
        <f>'Op Cost-26'!C4/'Ridership-26'!C4</f>
        <v>12.830345765015716</v>
      </c>
      <c r="AO13" s="434">
        <f>'Op Cost-26'!D4/'Ridership-26'!D4</f>
        <v>9.1132489374343031</v>
      </c>
      <c r="AP13" s="434">
        <f>'Op Cost-26'!E4/'Ridership-26'!E4</f>
        <v>8.4324097397145259</v>
      </c>
      <c r="AQ13" s="439">
        <f t="shared" si="14"/>
        <v>0.7687399782462182</v>
      </c>
      <c r="AR13" s="436">
        <f t="shared" si="15"/>
        <v>1.2381780036847005E-3</v>
      </c>
      <c r="AS13" s="440">
        <f t="shared" si="16"/>
        <v>1.2449915435178631E-3</v>
      </c>
      <c r="AT13" s="432"/>
      <c r="AU13" s="441">
        <f t="shared" si="17"/>
        <v>0</v>
      </c>
      <c r="AV13" s="442">
        <f t="shared" si="18"/>
        <v>0</v>
      </c>
      <c r="AW13" s="442">
        <f t="shared" si="19"/>
        <v>0</v>
      </c>
      <c r="AX13" s="442">
        <f t="shared" si="20"/>
        <v>0</v>
      </c>
      <c r="AY13" s="443">
        <f t="shared" si="21"/>
        <v>0</v>
      </c>
      <c r="AZ13" s="444">
        <f t="shared" ref="AZ13:AZ49" si="43">(SUM(AU13:AY13)-I13)/I13</f>
        <v>-1</v>
      </c>
      <c r="BA13" s="445">
        <f t="shared" si="22"/>
        <v>0</v>
      </c>
      <c r="BB13" s="446">
        <f t="shared" si="22"/>
        <v>0</v>
      </c>
      <c r="BC13" s="446">
        <f t="shared" si="22"/>
        <v>0</v>
      </c>
      <c r="BD13" s="446">
        <f t="shared" si="22"/>
        <v>0</v>
      </c>
      <c r="BE13" s="446">
        <f t="shared" si="22"/>
        <v>0</v>
      </c>
      <c r="BF13" s="447">
        <f t="shared" ref="BF13:BF49" si="44">$BA$6*I13</f>
        <v>114572.25504346214</v>
      </c>
      <c r="BH13" s="448">
        <f>'Op Cost-26'!E4</f>
        <v>361548</v>
      </c>
      <c r="BI13" s="449">
        <f t="shared" si="23"/>
        <v>0.31689362143743605</v>
      </c>
      <c r="BJ13" s="450">
        <f t="shared" si="24"/>
        <v>108464.4</v>
      </c>
      <c r="BK13" s="451">
        <f t="shared" si="25"/>
        <v>6107.8550434621429</v>
      </c>
      <c r="BL13" s="1">
        <f t="shared" ref="BL13:BL49" si="45">BM13*$BP$8+BN13*$BQ$8+BO13*$BR$8</f>
        <v>0.91911773270121522</v>
      </c>
      <c r="BM13" s="112">
        <f t="shared" ref="BM13:BM49" si="46">N13/$N$50</f>
        <v>0.49715007368557296</v>
      </c>
      <c r="BN13" s="112">
        <f t="shared" ref="BN13:BN49" si="47">U13/$U$50</f>
        <v>0.58277530268745104</v>
      </c>
      <c r="BO13" s="113">
        <f t="shared" ref="BO13:BO49" si="48">(1/AP13)/(1/$AP$50)</f>
        <v>1.2982727772159184</v>
      </c>
      <c r="BP13" s="452">
        <f t="shared" si="26"/>
        <v>0</v>
      </c>
      <c r="BQ13" s="115">
        <f t="shared" ref="BQ13:BQ49" si="49">(BM13*$BP$8+BN13*$BQ$8+BO13*$BR$8)*I13</f>
        <v>8.7485020248957886E-4</v>
      </c>
      <c r="BR13" s="116">
        <f t="shared" ref="BR13:BR49" si="50">IF(BP13=0,0,BQ13)</f>
        <v>0</v>
      </c>
      <c r="BS13" s="453">
        <f t="shared" ref="BS13:BS49" si="51">BR13/$BR$50</f>
        <v>0</v>
      </c>
      <c r="BT13" s="118">
        <f t="shared" ref="BT13:BT49" si="52">$BP$6*BS13+BJ13</f>
        <v>108464.4</v>
      </c>
      <c r="BU13" s="119">
        <f t="shared" ref="BU13:BU49" si="53">BH13*$BU$6</f>
        <v>108464.4</v>
      </c>
      <c r="BV13" s="119">
        <f t="shared" ref="BV13:BV49" si="54">IF(BT13&lt;BU13,BT13, BU13)</f>
        <v>108464.4</v>
      </c>
      <c r="BW13" s="119">
        <f>BT13-BV13</f>
        <v>0</v>
      </c>
      <c r="BX13" s="120">
        <f t="shared" ref="BX13:BX49" si="55">IF(AND(BW13=0,BK13=0),BR13,0)</f>
        <v>0</v>
      </c>
      <c r="BY13" s="454">
        <f t="shared" ref="BY13:BY49" si="56">BX13/$BX$50</f>
        <v>0</v>
      </c>
      <c r="BZ13" s="122">
        <f t="shared" ref="BZ13:BZ49" si="57">$BW$50*BY13+BV13</f>
        <v>108464.4</v>
      </c>
      <c r="CA13" s="455">
        <f t="shared" si="27"/>
        <v>0</v>
      </c>
      <c r="CB13" s="456">
        <f t="shared" si="28"/>
        <v>0</v>
      </c>
      <c r="CC13" s="456">
        <f t="shared" si="29"/>
        <v>108464.4</v>
      </c>
      <c r="CD13" s="457">
        <f t="shared" si="30"/>
        <v>0.3</v>
      </c>
      <c r="CE13" s="458">
        <f t="shared" si="31"/>
        <v>0</v>
      </c>
      <c r="CF13" s="17"/>
      <c r="CG13" s="459">
        <f t="shared" si="32"/>
        <v>361548</v>
      </c>
      <c r="CH13" s="460">
        <f t="shared" ref="CH13:CH49" si="58">CC13/CG13</f>
        <v>0.3</v>
      </c>
      <c r="CI13" s="461">
        <f t="shared" si="33"/>
        <v>108464.4</v>
      </c>
      <c r="CJ13" s="462">
        <f t="shared" si="34"/>
        <v>0</v>
      </c>
      <c r="CL13" s="463">
        <f t="shared" si="35"/>
        <v>0</v>
      </c>
      <c r="CM13" s="464">
        <f t="shared" si="36"/>
        <v>0</v>
      </c>
      <c r="CN13" s="465">
        <f t="shared" si="37"/>
        <v>0</v>
      </c>
      <c r="CO13" s="466">
        <f t="shared" ref="CO13:CO49" si="59">(CN13+CI13)</f>
        <v>108464.4</v>
      </c>
      <c r="CP13" s="467">
        <f t="shared" ref="CP13:CP49" si="60">CO13/CG13</f>
        <v>0.3</v>
      </c>
      <c r="CQ13" s="468">
        <f t="shared" si="38"/>
        <v>0</v>
      </c>
      <c r="CR13" s="469"/>
      <c r="CS13" s="470">
        <f t="shared" si="39"/>
        <v>108464.4</v>
      </c>
      <c r="CT13" s="465">
        <f t="shared" si="40"/>
        <v>0</v>
      </c>
      <c r="CU13" s="471">
        <f t="shared" si="41"/>
        <v>108464.4</v>
      </c>
      <c r="CV13" s="472">
        <f t="shared" si="42"/>
        <v>0.3</v>
      </c>
      <c r="CY13" s="473">
        <v>0</v>
      </c>
      <c r="CZ13" s="474">
        <f t="shared" ref="CZ13:CZ49" si="61">CU13+CY13</f>
        <v>108464.4</v>
      </c>
      <c r="DA13" s="475">
        <f t="shared" ref="DA13:DA49" si="62">CZ13/CG13</f>
        <v>0.3</v>
      </c>
      <c r="DB13" s="1">
        <f t="shared" ref="DB13:DB49" si="63">IF(BZ13&lt;=BH13*$BU$6, 0, 1)</f>
        <v>0</v>
      </c>
      <c r="DC13" s="293">
        <f t="shared" ref="DC13:DC49" si="64">BZ13/BH13</f>
        <v>0.3</v>
      </c>
      <c r="DF13" s="476"/>
    </row>
    <row r="14" spans="1:110">
      <c r="A14" s="477" t="s">
        <v>82</v>
      </c>
      <c r="B14" s="428" t="s">
        <v>85</v>
      </c>
      <c r="C14" s="429"/>
      <c r="D14" s="91">
        <f>'Op Cost-26'!E5</f>
        <v>2998198</v>
      </c>
      <c r="E14" s="92">
        <f>'Ridership-26'!$E5</f>
        <v>177659</v>
      </c>
      <c r="F14" s="92">
        <f>'Revenue Hours-26'!$E5</f>
        <v>48302</v>
      </c>
      <c r="G14" s="92">
        <f>'Revenue Miles-26'!$E5</f>
        <v>522054</v>
      </c>
      <c r="H14" s="430">
        <f t="shared" si="0"/>
        <v>5.7101858809636297E-3</v>
      </c>
      <c r="I14" s="431">
        <f t="shared" si="1"/>
        <v>5.7101858809636306E-3</v>
      </c>
      <c r="J14" s="432"/>
      <c r="K14" s="433">
        <f>'Ridership-26'!B5/'Revenue Hours-26'!B5</f>
        <v>3.0037184124655352</v>
      </c>
      <c r="L14" s="434">
        <f>'Ridership-26'!C5/'Revenue Hours-26'!C5</f>
        <v>3.0190503841343577</v>
      </c>
      <c r="M14" s="434">
        <f>'Ridership-26'!D5/'Revenue Hours-26'!D5</f>
        <v>3.4820277878872212</v>
      </c>
      <c r="N14" s="434">
        <f>'Ridership-26'!E5/'Revenue Hours-26'!E5</f>
        <v>3.6780878638565691</v>
      </c>
      <c r="O14" s="435">
        <f t="shared" si="2"/>
        <v>0.91361537754777933</v>
      </c>
      <c r="P14" s="436">
        <f t="shared" si="3"/>
        <v>5.2169136295045866E-3</v>
      </c>
      <c r="Q14" s="437">
        <f t="shared" si="4"/>
        <v>5.0399408835783309E-3</v>
      </c>
      <c r="R14" s="438">
        <f>'Ridership-26'!B5/'Revenue Miles-26'!B5</f>
        <v>0.30898734605406614</v>
      </c>
      <c r="S14" s="434">
        <f>'Ridership-26'!C5/'Revenue Miles-26'!C5</f>
        <v>0.30702858129224508</v>
      </c>
      <c r="T14" s="434">
        <f>'Ridership-26'!D5/'Revenue Miles-26'!D5</f>
        <v>0.33183650652455993</v>
      </c>
      <c r="U14" s="434">
        <f>'Ridership-26'!E5/'Revenue Miles-26'!E5</f>
        <v>0.34030770763177753</v>
      </c>
      <c r="V14" s="435">
        <f t="shared" si="5"/>
        <v>0.8841756096309652</v>
      </c>
      <c r="W14" s="436">
        <f t="shared" si="6"/>
        <v>5.0488070824071486E-3</v>
      </c>
      <c r="X14" s="437">
        <f t="shared" si="7"/>
        <v>4.8848305563528767E-3</v>
      </c>
      <c r="Y14" s="438">
        <f>'Op Cost-26'!B5/'Revenue Hours-26'!B5</f>
        <v>61.145979308425872</v>
      </c>
      <c r="Z14" s="434">
        <f>'Op Cost-26'!C5/'Revenue Hours-26'!C5</f>
        <v>58.62645167053779</v>
      </c>
      <c r="AA14" s="434">
        <f>'Op Cost-26'!D5/'Revenue Hours-26'!D5</f>
        <v>57.842499625355913</v>
      </c>
      <c r="AB14" s="434">
        <f>'Op Cost-26'!E5/'Revenue Hours-26'!E5</f>
        <v>62.071922487681668</v>
      </c>
      <c r="AC14" s="435">
        <f t="shared" si="8"/>
        <v>0.96211447539197736</v>
      </c>
      <c r="AD14" s="436">
        <f t="shared" si="9"/>
        <v>5.9350379055852272E-3</v>
      </c>
      <c r="AE14" s="437">
        <f t="shared" si="10"/>
        <v>5.9469462002749666E-3</v>
      </c>
      <c r="AF14" s="438">
        <f>'Op Cost-26'!B5/'Revenue Miles-26'!B5</f>
        <v>6.2899817073329398</v>
      </c>
      <c r="AG14" s="434">
        <f>'Op Cost-26'!C5/'Revenue Miles-26'!C5</f>
        <v>5.9621384184897162</v>
      </c>
      <c r="AH14" s="434">
        <f>'Op Cost-26'!D5/'Revenue Miles-26'!D5</f>
        <v>5.5123778940238459</v>
      </c>
      <c r="AI14" s="434">
        <f>'Op Cost-26'!E5/'Revenue Miles-26'!E5</f>
        <v>5.7430802177552511</v>
      </c>
      <c r="AJ14" s="435">
        <f t="shared" si="11"/>
        <v>0.93411840641972699</v>
      </c>
      <c r="AK14" s="436">
        <f t="shared" si="12"/>
        <v>6.112914424681485E-3</v>
      </c>
      <c r="AL14" s="437">
        <f t="shared" si="13"/>
        <v>6.12411548231683E-3</v>
      </c>
      <c r="AM14" s="438">
        <f>'Op Cost-26'!B5/'Ridership-26'!B5</f>
        <v>20.356761490913378</v>
      </c>
      <c r="AN14" s="434">
        <f>'Op Cost-26'!C5/'Ridership-26'!C5</f>
        <v>19.418838446231348</v>
      </c>
      <c r="AO14" s="434">
        <f>'Op Cost-26'!D5/'Ridership-26'!D5</f>
        <v>16.611728322953109</v>
      </c>
      <c r="AP14" s="434">
        <f>'Op Cost-26'!E5/'Ridership-26'!E5</f>
        <v>16.876139120449849</v>
      </c>
      <c r="AQ14" s="439">
        <f t="shared" si="14"/>
        <v>1.0632527411646482</v>
      </c>
      <c r="AR14" s="436">
        <f t="shared" si="15"/>
        <v>5.3704878058521647E-3</v>
      </c>
      <c r="AS14" s="440">
        <f t="shared" si="16"/>
        <v>5.4000409334960036E-3</v>
      </c>
      <c r="AT14" s="432"/>
      <c r="AU14" s="441">
        <f t="shared" si="17"/>
        <v>0</v>
      </c>
      <c r="AV14" s="442">
        <f t="shared" si="18"/>
        <v>0</v>
      </c>
      <c r="AW14" s="442">
        <f t="shared" si="19"/>
        <v>0</v>
      </c>
      <c r="AX14" s="442">
        <f t="shared" si="20"/>
        <v>0</v>
      </c>
      <c r="AY14" s="443">
        <f t="shared" si="21"/>
        <v>0</v>
      </c>
      <c r="AZ14" s="444">
        <f t="shared" si="43"/>
        <v>-1</v>
      </c>
      <c r="BA14" s="445">
        <f t="shared" si="22"/>
        <v>0</v>
      </c>
      <c r="BB14" s="446">
        <f t="shared" si="22"/>
        <v>0</v>
      </c>
      <c r="BC14" s="446">
        <f t="shared" si="22"/>
        <v>0</v>
      </c>
      <c r="BD14" s="446">
        <f t="shared" si="22"/>
        <v>0</v>
      </c>
      <c r="BE14" s="446">
        <f t="shared" si="22"/>
        <v>0</v>
      </c>
      <c r="BF14" s="447">
        <f t="shared" si="44"/>
        <v>687332.9363124891</v>
      </c>
      <c r="BH14" s="448">
        <f>'Op Cost-26'!E5</f>
        <v>2998198</v>
      </c>
      <c r="BI14" s="449">
        <f t="shared" si="23"/>
        <v>0.22924868081177063</v>
      </c>
      <c r="BJ14" s="450">
        <f t="shared" si="24"/>
        <v>687332.9363124891</v>
      </c>
      <c r="BK14" s="451">
        <f t="shared" si="25"/>
        <v>0</v>
      </c>
      <c r="BL14" s="1">
        <f t="shared" si="45"/>
        <v>0.51121146483023827</v>
      </c>
      <c r="BM14" s="112">
        <f t="shared" si="46"/>
        <v>0.32433555759757926</v>
      </c>
      <c r="BN14" s="112">
        <f t="shared" si="47"/>
        <v>0.42310833871918174</v>
      </c>
      <c r="BO14" s="113">
        <f t="shared" si="48"/>
        <v>0.6487009815020961</v>
      </c>
      <c r="BP14" s="452">
        <f t="shared" si="26"/>
        <v>687332.9363124891</v>
      </c>
      <c r="BQ14" s="115">
        <f t="shared" si="49"/>
        <v>2.9191124886603624E-3</v>
      </c>
      <c r="BR14" s="116">
        <f t="shared" si="50"/>
        <v>2.9191124886603624E-3</v>
      </c>
      <c r="BS14" s="453">
        <f t="shared" si="51"/>
        <v>3.0730851972406784E-3</v>
      </c>
      <c r="BT14" s="118">
        <f t="shared" si="52"/>
        <v>710290.55446559144</v>
      </c>
      <c r="BU14" s="119">
        <f t="shared" si="53"/>
        <v>899459.4</v>
      </c>
      <c r="BV14" s="119">
        <f t="shared" si="54"/>
        <v>710290.55446559144</v>
      </c>
      <c r="BW14" s="119">
        <f t="shared" ref="BW14:BW49" si="65">BT14-BV14</f>
        <v>0</v>
      </c>
      <c r="BX14" s="120">
        <f t="shared" si="55"/>
        <v>2.9191124886603624E-3</v>
      </c>
      <c r="BY14" s="454">
        <f t="shared" si="56"/>
        <v>3.309325224794117E-3</v>
      </c>
      <c r="BZ14" s="122">
        <f t="shared" si="57"/>
        <v>711145.55356927123</v>
      </c>
      <c r="CA14" s="455">
        <f t="shared" si="27"/>
        <v>6.1020253684349593E-3</v>
      </c>
      <c r="CB14" s="456">
        <f t="shared" si="28"/>
        <v>45585.448947155186</v>
      </c>
      <c r="CC14" s="456">
        <f t="shared" si="29"/>
        <v>732918.38525964424</v>
      </c>
      <c r="CD14" s="457">
        <f t="shared" si="30"/>
        <v>0.24445296316642337</v>
      </c>
      <c r="CE14" s="458">
        <f t="shared" si="31"/>
        <v>0</v>
      </c>
      <c r="CF14" s="17"/>
      <c r="CG14" s="459">
        <f t="shared" si="32"/>
        <v>2998198</v>
      </c>
      <c r="CH14" s="460">
        <f t="shared" si="58"/>
        <v>0.24445296316642337</v>
      </c>
      <c r="CI14" s="461">
        <f t="shared" si="33"/>
        <v>732918.38525964424</v>
      </c>
      <c r="CJ14" s="462">
        <f t="shared" si="34"/>
        <v>0</v>
      </c>
      <c r="CL14" s="463">
        <f t="shared" si="35"/>
        <v>732918.38525964424</v>
      </c>
      <c r="CM14" s="464">
        <f t="shared" si="36"/>
        <v>6.301316414750617E-3</v>
      </c>
      <c r="CN14" s="465">
        <f t="shared" si="37"/>
        <v>905.13244616555949</v>
      </c>
      <c r="CO14" s="466">
        <f t="shared" si="59"/>
        <v>733823.51770580979</v>
      </c>
      <c r="CP14" s="467">
        <f t="shared" si="60"/>
        <v>0.24475485531836449</v>
      </c>
      <c r="CQ14" s="468">
        <f t="shared" si="38"/>
        <v>0</v>
      </c>
      <c r="CR14" s="469"/>
      <c r="CS14" s="470">
        <f t="shared" si="39"/>
        <v>899459.4</v>
      </c>
      <c r="CT14" s="465">
        <f t="shared" si="40"/>
        <v>0</v>
      </c>
      <c r="CU14" s="471">
        <f t="shared" si="41"/>
        <v>733823.51770580979</v>
      </c>
      <c r="CV14" s="472">
        <f t="shared" si="42"/>
        <v>0.24475485531836449</v>
      </c>
      <c r="CY14" s="473">
        <v>0</v>
      </c>
      <c r="CZ14" s="474">
        <f t="shared" si="61"/>
        <v>733823.51770580979</v>
      </c>
      <c r="DA14" s="475">
        <f t="shared" si="62"/>
        <v>0.24475485531836449</v>
      </c>
      <c r="DB14" s="1">
        <f t="shared" si="63"/>
        <v>0</v>
      </c>
      <c r="DC14" s="293">
        <f t="shared" si="64"/>
        <v>0.23719099057809764</v>
      </c>
      <c r="DF14" s="476"/>
    </row>
    <row r="15" spans="1:110">
      <c r="A15" s="477" t="s">
        <v>82</v>
      </c>
      <c r="B15" s="428" t="s">
        <v>86</v>
      </c>
      <c r="C15" s="429"/>
      <c r="D15" s="91">
        <f>'Op Cost-26'!E6</f>
        <v>2155919</v>
      </c>
      <c r="E15" s="92">
        <f>'Ridership-26'!$E6</f>
        <v>130896</v>
      </c>
      <c r="F15" s="92">
        <f>'Revenue Hours-26'!$E6</f>
        <v>44163</v>
      </c>
      <c r="G15" s="92">
        <f>'Revenue Miles-26'!$E6</f>
        <v>745438</v>
      </c>
      <c r="H15" s="430">
        <f t="shared" si="0"/>
        <v>5.2697387700213249E-3</v>
      </c>
      <c r="I15" s="431">
        <f t="shared" si="1"/>
        <v>5.2697387700213257E-3</v>
      </c>
      <c r="J15" s="432"/>
      <c r="K15" s="433">
        <f>'Ridership-26'!B6/'Revenue Hours-26'!B6</f>
        <v>1.3455313359222201</v>
      </c>
      <c r="L15" s="434">
        <f>'Ridership-26'!C6/'Revenue Hours-26'!C6</f>
        <v>2.5156324194636741</v>
      </c>
      <c r="M15" s="434">
        <f>'Ridership-26'!D6/'Revenue Hours-26'!D6</f>
        <v>2.7827345119658662</v>
      </c>
      <c r="N15" s="434">
        <f>'Ridership-26'!E6/'Revenue Hours-26'!E6</f>
        <v>2.9639290809048298</v>
      </c>
      <c r="O15" s="435">
        <f t="shared" si="2"/>
        <v>1.1279060361303517</v>
      </c>
      <c r="P15" s="436">
        <f t="shared" si="3"/>
        <v>5.9437701675371882E-3</v>
      </c>
      <c r="Q15" s="437">
        <f t="shared" si="4"/>
        <v>5.7421403529750665E-3</v>
      </c>
      <c r="R15" s="438">
        <f>'Ridership-26'!B6/'Revenue Miles-26'!B6</f>
        <v>8.6154544217069737E-2</v>
      </c>
      <c r="S15" s="434">
        <f>'Ridership-26'!C6/'Revenue Miles-26'!C6</f>
        <v>0.15736959607772016</v>
      </c>
      <c r="T15" s="434">
        <f>'Ridership-26'!D6/'Revenue Miles-26'!D6</f>
        <v>0.16460220997236286</v>
      </c>
      <c r="U15" s="434">
        <f>'Ridership-26'!E6/'Revenue Miles-26'!E6</f>
        <v>0.17559609249863839</v>
      </c>
      <c r="V15" s="435">
        <f t="shared" si="5"/>
        <v>1.108030754011484</v>
      </c>
      <c r="W15" s="436">
        <f t="shared" si="6"/>
        <v>5.8390326227902795E-3</v>
      </c>
      <c r="X15" s="437">
        <f t="shared" si="7"/>
        <v>5.6493909372643952E-3</v>
      </c>
      <c r="Y15" s="438">
        <f>'Op Cost-26'!B6/'Revenue Hours-26'!B6</f>
        <v>42.25856741971144</v>
      </c>
      <c r="Z15" s="434">
        <f>'Op Cost-26'!C6/'Revenue Hours-26'!C6</f>
        <v>54.154224876915002</v>
      </c>
      <c r="AA15" s="434">
        <f>'Op Cost-26'!D6/'Revenue Hours-26'!D6</f>
        <v>45.459899034704179</v>
      </c>
      <c r="AB15" s="434">
        <f>'Op Cost-26'!E6/'Revenue Hours-26'!E6</f>
        <v>48.817313135430112</v>
      </c>
      <c r="AC15" s="435">
        <f t="shared" si="8"/>
        <v>1.024095279002766</v>
      </c>
      <c r="AD15" s="436">
        <f t="shared" si="9"/>
        <v>5.1457504766088203E-3</v>
      </c>
      <c r="AE15" s="437">
        <f t="shared" si="10"/>
        <v>5.1560751137973478E-3</v>
      </c>
      <c r="AF15" s="438">
        <f>'Op Cost-26'!B6/'Revenue Miles-26'!B6</f>
        <v>2.7058214982530968</v>
      </c>
      <c r="AG15" s="434">
        <f>'Op Cost-26'!C6/'Revenue Miles-26'!C6</f>
        <v>3.3877081678725758</v>
      </c>
      <c r="AH15" s="434">
        <f>'Op Cost-26'!D6/'Revenue Miles-26'!D6</f>
        <v>2.689009610531103</v>
      </c>
      <c r="AI15" s="434">
        <f>'Op Cost-26'!E6/'Revenue Miles-26'!E6</f>
        <v>2.8921506550511245</v>
      </c>
      <c r="AJ15" s="435">
        <f t="shared" si="11"/>
        <v>1.0075978281171294</v>
      </c>
      <c r="AK15" s="436">
        <f t="shared" si="12"/>
        <v>5.2300021129151721E-3</v>
      </c>
      <c r="AL15" s="437">
        <f t="shared" si="13"/>
        <v>5.2395853576704416E-3</v>
      </c>
      <c r="AM15" s="438">
        <f>'Op Cost-26'!B6/'Ridership-26'!B6</f>
        <v>31.406602203543365</v>
      </c>
      <c r="AN15" s="434">
        <f>'Op Cost-26'!C6/'Ridership-26'!C6</f>
        <v>21.527081801744522</v>
      </c>
      <c r="AO15" s="434">
        <f>'Op Cost-26'!D6/'Ridership-26'!D6</f>
        <v>16.33641256081917</v>
      </c>
      <c r="AP15" s="434">
        <f>'Op Cost-26'!E6/'Ridership-26'!E6</f>
        <v>16.470472741718616</v>
      </c>
      <c r="AQ15" s="439">
        <f t="shared" si="14"/>
        <v>0.91200498953668374</v>
      </c>
      <c r="AR15" s="436">
        <f t="shared" si="15"/>
        <v>5.7781907231652923E-3</v>
      </c>
      <c r="AS15" s="440">
        <f t="shared" si="16"/>
        <v>5.8099873893463546E-3</v>
      </c>
      <c r="AT15" s="432"/>
      <c r="AU15" s="441">
        <f t="shared" si="17"/>
        <v>0</v>
      </c>
      <c r="AV15" s="442">
        <f t="shared" si="18"/>
        <v>0</v>
      </c>
      <c r="AW15" s="442">
        <f t="shared" si="19"/>
        <v>0</v>
      </c>
      <c r="AX15" s="442">
        <f t="shared" si="20"/>
        <v>0</v>
      </c>
      <c r="AY15" s="443">
        <f t="shared" si="21"/>
        <v>0</v>
      </c>
      <c r="AZ15" s="444">
        <f t="shared" si="43"/>
        <v>-1</v>
      </c>
      <c r="BA15" s="445">
        <f t="shared" si="22"/>
        <v>0</v>
      </c>
      <c r="BB15" s="446">
        <f t="shared" si="22"/>
        <v>0</v>
      </c>
      <c r="BC15" s="446">
        <f t="shared" si="22"/>
        <v>0</v>
      </c>
      <c r="BD15" s="446">
        <f t="shared" si="22"/>
        <v>0</v>
      </c>
      <c r="BE15" s="446">
        <f t="shared" si="22"/>
        <v>0</v>
      </c>
      <c r="BF15" s="447">
        <f t="shared" si="44"/>
        <v>634316.48249378451</v>
      </c>
      <c r="BH15" s="448">
        <f>'Op Cost-26'!E6</f>
        <v>2155919</v>
      </c>
      <c r="BI15" s="449">
        <f t="shared" si="23"/>
        <v>0.29422092504114694</v>
      </c>
      <c r="BJ15" s="450">
        <f t="shared" si="24"/>
        <v>634316.48249378451</v>
      </c>
      <c r="BK15" s="451">
        <f t="shared" si="25"/>
        <v>0</v>
      </c>
      <c r="BL15" s="1">
        <f t="shared" si="45"/>
        <v>0.45225953081623871</v>
      </c>
      <c r="BM15" s="112">
        <f t="shared" si="46"/>
        <v>0.26136069248954619</v>
      </c>
      <c r="BN15" s="112">
        <f t="shared" si="47"/>
        <v>0.21832056493727492</v>
      </c>
      <c r="BO15" s="113">
        <f t="shared" si="48"/>
        <v>0.66467843291906692</v>
      </c>
      <c r="BP15" s="452">
        <f t="shared" si="26"/>
        <v>634316.48249378451</v>
      </c>
      <c r="BQ15" s="115">
        <f t="shared" si="49"/>
        <v>2.3832895836539878E-3</v>
      </c>
      <c r="BR15" s="116">
        <f t="shared" si="50"/>
        <v>2.3832895836539878E-3</v>
      </c>
      <c r="BS15" s="453">
        <f t="shared" si="51"/>
        <v>2.5089995567886183E-3</v>
      </c>
      <c r="BT15" s="118">
        <f t="shared" si="52"/>
        <v>653060.07405537728</v>
      </c>
      <c r="BU15" s="119">
        <f t="shared" si="53"/>
        <v>646775.69999999995</v>
      </c>
      <c r="BV15" s="119">
        <f t="shared" si="54"/>
        <v>646775.69999999995</v>
      </c>
      <c r="BW15" s="119">
        <f t="shared" si="65"/>
        <v>6284.3740553773241</v>
      </c>
      <c r="BX15" s="120">
        <f t="shared" si="55"/>
        <v>0</v>
      </c>
      <c r="BY15" s="454">
        <f t="shared" si="56"/>
        <v>0</v>
      </c>
      <c r="BZ15" s="122">
        <f t="shared" si="57"/>
        <v>646775.69999999995</v>
      </c>
      <c r="CA15" s="455">
        <f t="shared" si="27"/>
        <v>5.6313542728785599E-3</v>
      </c>
      <c r="CB15" s="456">
        <f t="shared" si="28"/>
        <v>42069.279822658282</v>
      </c>
      <c r="CC15" s="456">
        <f t="shared" si="29"/>
        <v>676385.76231644279</v>
      </c>
      <c r="CD15" s="457">
        <f t="shared" si="30"/>
        <v>0.31373431112970512</v>
      </c>
      <c r="CE15" s="458">
        <f t="shared" si="31"/>
        <v>1</v>
      </c>
      <c r="CF15" s="17"/>
      <c r="CG15" s="459">
        <f t="shared" si="32"/>
        <v>2155919</v>
      </c>
      <c r="CH15" s="460">
        <f t="shared" si="58"/>
        <v>0.31373431112970512</v>
      </c>
      <c r="CI15" s="461">
        <f t="shared" si="33"/>
        <v>646775.69999999995</v>
      </c>
      <c r="CJ15" s="462">
        <f t="shared" si="34"/>
        <v>29610.06231644284</v>
      </c>
      <c r="CL15" s="463">
        <f t="shared" si="35"/>
        <v>0</v>
      </c>
      <c r="CM15" s="464">
        <f t="shared" si="36"/>
        <v>0</v>
      </c>
      <c r="CN15" s="465">
        <f t="shared" si="37"/>
        <v>0</v>
      </c>
      <c r="CO15" s="466">
        <f t="shared" si="59"/>
        <v>646775.69999999995</v>
      </c>
      <c r="CP15" s="467">
        <f t="shared" si="60"/>
        <v>0.3</v>
      </c>
      <c r="CQ15" s="468">
        <f t="shared" si="38"/>
        <v>0</v>
      </c>
      <c r="CR15" s="469"/>
      <c r="CS15" s="470">
        <f t="shared" si="39"/>
        <v>646775.69999999995</v>
      </c>
      <c r="CT15" s="465">
        <f t="shared" si="40"/>
        <v>0</v>
      </c>
      <c r="CU15" s="471">
        <f t="shared" si="41"/>
        <v>646775.69999999995</v>
      </c>
      <c r="CV15" s="472">
        <f t="shared" si="42"/>
        <v>0.3</v>
      </c>
      <c r="CY15" s="473">
        <v>0</v>
      </c>
      <c r="CZ15" s="474">
        <f t="shared" si="61"/>
        <v>646775.69999999995</v>
      </c>
      <c r="DA15" s="475">
        <f t="shared" si="62"/>
        <v>0.3</v>
      </c>
      <c r="DB15" s="1">
        <f t="shared" si="63"/>
        <v>0</v>
      </c>
      <c r="DC15" s="293">
        <f t="shared" si="64"/>
        <v>0.3</v>
      </c>
      <c r="DF15" s="476"/>
    </row>
    <row r="16" spans="1:110">
      <c r="A16" s="477" t="s">
        <v>82</v>
      </c>
      <c r="B16" s="428" t="s">
        <v>87</v>
      </c>
      <c r="C16" s="429"/>
      <c r="D16" s="91">
        <f>'Op Cost-26'!E7</f>
        <v>447645</v>
      </c>
      <c r="E16" s="92">
        <f>'Ridership-26'!$E7</f>
        <v>33235</v>
      </c>
      <c r="F16" s="92">
        <f>'Revenue Hours-26'!$E7</f>
        <v>8168</v>
      </c>
      <c r="G16" s="92">
        <f>'Revenue Miles-26'!$E7</f>
        <v>126970</v>
      </c>
      <c r="H16" s="430">
        <f t="shared" si="0"/>
        <v>1.0388218804325221E-3</v>
      </c>
      <c r="I16" s="431">
        <f t="shared" si="1"/>
        <v>1.0388218804325223E-3</v>
      </c>
      <c r="J16" s="432"/>
      <c r="K16" s="433">
        <f>'Ridership-26'!B7/'Revenue Hours-26'!B7</f>
        <v>3.8071505958829901</v>
      </c>
      <c r="L16" s="434">
        <f>'Ridership-26'!C7/'Revenue Hours-26'!C7</f>
        <v>3.650582779796967</v>
      </c>
      <c r="M16" s="434">
        <f>'Ridership-26'!D7/'Revenue Hours-26'!D7</f>
        <v>3.815299877600979</v>
      </c>
      <c r="N16" s="434">
        <f>'Ridership-26'!E7/'Revenue Hours-26'!E7</f>
        <v>4.0689275220372183</v>
      </c>
      <c r="O16" s="435">
        <f t="shared" si="2"/>
        <v>0.87439593763301104</v>
      </c>
      <c r="P16" s="436">
        <f t="shared" si="3"/>
        <v>9.0834163217448302E-4</v>
      </c>
      <c r="Q16" s="437">
        <f t="shared" si="4"/>
        <v>8.7752806608898881E-4</v>
      </c>
      <c r="R16" s="438">
        <f>'Ridership-26'!B7/'Revenue Miles-26'!B7</f>
        <v>0.2437813629741542</v>
      </c>
      <c r="S16" s="434">
        <f>'Ridership-26'!C7/'Revenue Miles-26'!C7</f>
        <v>0.22496138399752857</v>
      </c>
      <c r="T16" s="434">
        <f>'Ridership-26'!D7/'Revenue Miles-26'!D7</f>
        <v>0.23446890772737189</v>
      </c>
      <c r="U16" s="434">
        <f>'Ridership-26'!E7/'Revenue Miles-26'!E7</f>
        <v>0.2617547452154052</v>
      </c>
      <c r="V16" s="435">
        <f t="shared" si="5"/>
        <v>0.88282330624614769</v>
      </c>
      <c r="W16" s="436">
        <f t="shared" si="6"/>
        <v>9.1709616708427974E-4</v>
      </c>
      <c r="X16" s="437">
        <f t="shared" si="7"/>
        <v>8.8731046898141825E-4</v>
      </c>
      <c r="Y16" s="438">
        <f>'Op Cost-26'!B7/'Revenue Hours-26'!B7</f>
        <v>43.683519922956542</v>
      </c>
      <c r="Z16" s="434">
        <f>'Op Cost-26'!C7/'Revenue Hours-26'!C7</f>
        <v>59.664118310565236</v>
      </c>
      <c r="AA16" s="434">
        <f>'Op Cost-26'!D7/'Revenue Hours-26'!D7</f>
        <v>55.822399020807836</v>
      </c>
      <c r="AB16" s="434">
        <f>'Op Cost-26'!E7/'Revenue Hours-26'!E7</f>
        <v>54.804725759059743</v>
      </c>
      <c r="AC16" s="435">
        <f t="shared" si="8"/>
        <v>1.0516045914118244</v>
      </c>
      <c r="AD16" s="436">
        <f t="shared" si="9"/>
        <v>9.8784456526369792E-4</v>
      </c>
      <c r="AE16" s="437">
        <f t="shared" si="10"/>
        <v>9.8982661565292086E-4</v>
      </c>
      <c r="AF16" s="438">
        <f>'Op Cost-26'!B7/'Revenue Miles-26'!B7</f>
        <v>2.7971649027603269</v>
      </c>
      <c r="AG16" s="434">
        <f>'Op Cost-26'!C7/'Revenue Miles-26'!C7</f>
        <v>3.6767068273092369</v>
      </c>
      <c r="AH16" s="434">
        <f>'Op Cost-26'!D7/'Revenue Miles-26'!D7</f>
        <v>3.4305604657635227</v>
      </c>
      <c r="AI16" s="434">
        <f>'Op Cost-26'!E7/'Revenue Miles-26'!E7</f>
        <v>3.5255965976214854</v>
      </c>
      <c r="AJ16" s="435">
        <f t="shared" si="11"/>
        <v>1.0555482262779829</v>
      </c>
      <c r="AK16" s="436">
        <f t="shared" si="12"/>
        <v>9.8415387811844448E-4</v>
      </c>
      <c r="AL16" s="437">
        <f t="shared" si="13"/>
        <v>9.859572019579447E-4</v>
      </c>
      <c r="AM16" s="438">
        <f>'Op Cost-26'!B7/'Ridership-26'!B7</f>
        <v>11.474071966103839</v>
      </c>
      <c r="AN16" s="434">
        <f>'Op Cost-26'!C7/'Ridership-26'!C7</f>
        <v>16.343724251579236</v>
      </c>
      <c r="AO16" s="434">
        <f>'Op Cost-26'!D7/'Ridership-26'!D7</f>
        <v>14.631195662635141</v>
      </c>
      <c r="AP16" s="434">
        <f>'Op Cost-26'!E7/'Ridership-26'!E7</f>
        <v>13.469083797201746</v>
      </c>
      <c r="AQ16" s="439">
        <f t="shared" si="14"/>
        <v>1.2439563207545858</v>
      </c>
      <c r="AR16" s="436">
        <f t="shared" si="15"/>
        <v>8.3509514208856737E-4</v>
      </c>
      <c r="AS16" s="440">
        <f t="shared" si="16"/>
        <v>8.396905669775318E-4</v>
      </c>
      <c r="AT16" s="432"/>
      <c r="AU16" s="441">
        <f t="shared" si="17"/>
        <v>0</v>
      </c>
      <c r="AV16" s="442">
        <f t="shared" si="18"/>
        <v>0</v>
      </c>
      <c r="AW16" s="442">
        <f t="shared" si="19"/>
        <v>0</v>
      </c>
      <c r="AX16" s="442">
        <f t="shared" si="20"/>
        <v>0</v>
      </c>
      <c r="AY16" s="443">
        <f t="shared" si="21"/>
        <v>0</v>
      </c>
      <c r="AZ16" s="444">
        <f t="shared" si="43"/>
        <v>-1</v>
      </c>
      <c r="BA16" s="445">
        <f t="shared" si="22"/>
        <v>0</v>
      </c>
      <c r="BB16" s="446">
        <f t="shared" si="22"/>
        <v>0</v>
      </c>
      <c r="BC16" s="446">
        <f t="shared" si="22"/>
        <v>0</v>
      </c>
      <c r="BD16" s="446">
        <f t="shared" si="22"/>
        <v>0</v>
      </c>
      <c r="BE16" s="446">
        <f t="shared" si="22"/>
        <v>0</v>
      </c>
      <c r="BF16" s="447">
        <f t="shared" si="44"/>
        <v>125042.60076080958</v>
      </c>
      <c r="BH16" s="448">
        <f>'Op Cost-26'!E7</f>
        <v>447645</v>
      </c>
      <c r="BI16" s="449">
        <f t="shared" si="23"/>
        <v>0.27933429561552031</v>
      </c>
      <c r="BJ16" s="450">
        <f t="shared" si="24"/>
        <v>125042.60076080958</v>
      </c>
      <c r="BK16" s="451">
        <f t="shared" si="25"/>
        <v>0</v>
      </c>
      <c r="BL16" s="1">
        <f t="shared" si="45"/>
        <v>0.57745680483054618</v>
      </c>
      <c r="BM16" s="112">
        <f t="shared" si="46"/>
        <v>0.35879998671384128</v>
      </c>
      <c r="BN16" s="112">
        <f t="shared" si="47"/>
        <v>0.32544257128547921</v>
      </c>
      <c r="BO16" s="113">
        <f t="shared" si="48"/>
        <v>0.81279233066143208</v>
      </c>
      <c r="BP16" s="452">
        <f t="shared" si="26"/>
        <v>125042.60076080958</v>
      </c>
      <c r="BQ16" s="115">
        <f t="shared" si="49"/>
        <v>5.99874763862624E-4</v>
      </c>
      <c r="BR16" s="116">
        <f t="shared" si="50"/>
        <v>5.99874763862624E-4</v>
      </c>
      <c r="BS16" s="453">
        <f t="shared" si="51"/>
        <v>6.3151600501372938E-4</v>
      </c>
      <c r="BT16" s="118">
        <f t="shared" si="52"/>
        <v>129760.36885708485</v>
      </c>
      <c r="BU16" s="119">
        <f t="shared" si="53"/>
        <v>134293.5</v>
      </c>
      <c r="BV16" s="119">
        <f t="shared" si="54"/>
        <v>129760.36885708485</v>
      </c>
      <c r="BW16" s="119">
        <f t="shared" si="65"/>
        <v>0</v>
      </c>
      <c r="BX16" s="120">
        <f t="shared" si="55"/>
        <v>5.99874763862624E-4</v>
      </c>
      <c r="BY16" s="454">
        <f t="shared" si="56"/>
        <v>6.8006309982217717E-4</v>
      </c>
      <c r="BZ16" s="122">
        <f t="shared" si="57"/>
        <v>129936.07033738581</v>
      </c>
      <c r="CA16" s="455">
        <f t="shared" si="27"/>
        <v>1.1101070262558293E-3</v>
      </c>
      <c r="CB16" s="456">
        <f t="shared" si="28"/>
        <v>8293.1033740101302</v>
      </c>
      <c r="CC16" s="456">
        <f t="shared" si="29"/>
        <v>133335.70413481971</v>
      </c>
      <c r="CD16" s="457">
        <f t="shared" si="30"/>
        <v>0.29786036733308696</v>
      </c>
      <c r="CE16" s="458">
        <f t="shared" si="31"/>
        <v>0</v>
      </c>
      <c r="CF16" s="17"/>
      <c r="CG16" s="459">
        <f t="shared" si="32"/>
        <v>447645</v>
      </c>
      <c r="CH16" s="460">
        <f t="shared" si="58"/>
        <v>0.29786036733308696</v>
      </c>
      <c r="CI16" s="461">
        <f t="shared" si="33"/>
        <v>133335.70413481971</v>
      </c>
      <c r="CJ16" s="462">
        <f t="shared" si="34"/>
        <v>0</v>
      </c>
      <c r="CL16" s="463">
        <f t="shared" si="35"/>
        <v>133335.70413481971</v>
      </c>
      <c r="CM16" s="464">
        <f t="shared" si="36"/>
        <v>1.1463629212131506E-3</v>
      </c>
      <c r="CN16" s="465">
        <f t="shared" si="37"/>
        <v>164.66563599984218</v>
      </c>
      <c r="CO16" s="466">
        <f t="shared" si="59"/>
        <v>133500.36977081955</v>
      </c>
      <c r="CP16" s="467">
        <f t="shared" si="60"/>
        <v>0.29822821604356031</v>
      </c>
      <c r="CQ16" s="468">
        <f t="shared" si="38"/>
        <v>0</v>
      </c>
      <c r="CR16" s="469"/>
      <c r="CS16" s="470">
        <f t="shared" si="39"/>
        <v>134293.5</v>
      </c>
      <c r="CT16" s="465">
        <f t="shared" si="40"/>
        <v>0</v>
      </c>
      <c r="CU16" s="471">
        <f t="shared" si="41"/>
        <v>133500.36977081955</v>
      </c>
      <c r="CV16" s="472">
        <f t="shared" si="42"/>
        <v>0.29822821604356031</v>
      </c>
      <c r="CY16" s="473">
        <v>566</v>
      </c>
      <c r="CZ16" s="474">
        <f t="shared" si="61"/>
        <v>134066.36977081955</v>
      </c>
      <c r="DA16" s="475">
        <f t="shared" si="62"/>
        <v>0.29949261082067163</v>
      </c>
      <c r="DB16" s="1">
        <f t="shared" si="63"/>
        <v>0</v>
      </c>
      <c r="DC16" s="293">
        <f t="shared" si="64"/>
        <v>0.29026588108296936</v>
      </c>
      <c r="DF16" s="476"/>
    </row>
    <row r="17" spans="1:110">
      <c r="A17" s="477" t="s">
        <v>88</v>
      </c>
      <c r="B17" s="428" t="s">
        <v>89</v>
      </c>
      <c r="C17" s="429"/>
      <c r="D17" s="91">
        <f>'Op Cost-26'!E8</f>
        <v>14481448</v>
      </c>
      <c r="E17" s="92">
        <f>'Ridership-26'!$E8</f>
        <v>1476869</v>
      </c>
      <c r="F17" s="92">
        <f>'Revenue Hours-26'!$E8</f>
        <v>128069</v>
      </c>
      <c r="G17" s="92">
        <f>'Revenue Miles-26'!$E8</f>
        <v>1380275</v>
      </c>
      <c r="H17" s="430">
        <f t="shared" si="0"/>
        <v>2.5694684841576283E-2</v>
      </c>
      <c r="I17" s="431">
        <f t="shared" si="1"/>
        <v>2.569468484157629E-2</v>
      </c>
      <c r="J17" s="432"/>
      <c r="K17" s="433">
        <f>'Ridership-26'!B8/'Revenue Hours-26'!B8</f>
        <v>6.5903135821469796</v>
      </c>
      <c r="L17" s="434">
        <f>'Ridership-26'!C8/'Revenue Hours-26'!C8</f>
        <v>13.15305492915798</v>
      </c>
      <c r="M17" s="434">
        <f>'Ridership-26'!D8/'Revenue Hours-26'!D8</f>
        <v>10.956321576014718</v>
      </c>
      <c r="N17" s="434">
        <f>'Ridership-26'!E8/'Revenue Hours-26'!E8</f>
        <v>11.531822689331532</v>
      </c>
      <c r="O17" s="435">
        <f t="shared" si="2"/>
        <v>1.0801586609984979</v>
      </c>
      <c r="P17" s="436">
        <f t="shared" si="3"/>
        <v>2.7754336373255445E-2</v>
      </c>
      <c r="Q17" s="437">
        <f t="shared" si="4"/>
        <v>2.6812829292985379E-2</v>
      </c>
      <c r="R17" s="438">
        <f>'Ridership-26'!B8/'Revenue Miles-26'!B8</f>
        <v>0.65665071513529727</v>
      </c>
      <c r="S17" s="434">
        <f>'Ridership-26'!C8/'Revenue Miles-26'!C8</f>
        <v>1.0437083935072138</v>
      </c>
      <c r="T17" s="434">
        <f>'Ridership-26'!D8/'Revenue Miles-26'!D8</f>
        <v>1.0015167534877283</v>
      </c>
      <c r="U17" s="434">
        <f>'Ridership-26'!E8/'Revenue Miles-26'!E8</f>
        <v>1.0699817065439858</v>
      </c>
      <c r="V17" s="435">
        <f t="shared" si="5"/>
        <v>1.0214923032337606</v>
      </c>
      <c r="W17" s="436">
        <f t="shared" si="6"/>
        <v>2.624692279968736E-2</v>
      </c>
      <c r="X17" s="437">
        <f t="shared" si="7"/>
        <v>2.5394468120778255E-2</v>
      </c>
      <c r="Y17" s="438">
        <f>'Op Cost-26'!B8/'Revenue Hours-26'!B8</f>
        <v>123.85324163139668</v>
      </c>
      <c r="Z17" s="434">
        <f>'Op Cost-26'!C8/'Revenue Hours-26'!C8</f>
        <v>137.78897374803216</v>
      </c>
      <c r="AA17" s="434">
        <f>'Op Cost-26'!D8/'Revenue Hours-26'!D8</f>
        <v>129.86446660739594</v>
      </c>
      <c r="AB17" s="434">
        <f>'Op Cost-26'!E8/'Revenue Hours-26'!E8</f>
        <v>113.07535781492788</v>
      </c>
      <c r="AC17" s="435">
        <f t="shared" si="8"/>
        <v>0.93434210903999049</v>
      </c>
      <c r="AD17" s="436">
        <f t="shared" si="9"/>
        <v>2.7500296297227615E-2</v>
      </c>
      <c r="AE17" s="437">
        <f t="shared" si="10"/>
        <v>2.7555473978915942E-2</v>
      </c>
      <c r="AF17" s="438">
        <f>'Op Cost-26'!B8/'Revenue Miles-26'!B8</f>
        <v>12.340584203670993</v>
      </c>
      <c r="AG17" s="434">
        <f>'Op Cost-26'!C8/'Revenue Miles-26'!C8</f>
        <v>10.933696332002826</v>
      </c>
      <c r="AH17" s="434">
        <f>'Op Cost-26'!D8/'Revenue Miles-26'!D8</f>
        <v>11.870903759778434</v>
      </c>
      <c r="AI17" s="434">
        <f>'Op Cost-26'!E8/'Revenue Miles-26'!E8</f>
        <v>10.491712158808934</v>
      </c>
      <c r="AJ17" s="435">
        <f t="shared" si="11"/>
        <v>0.91149178626529148</v>
      </c>
      <c r="AK17" s="436">
        <f t="shared" si="12"/>
        <v>2.8189705303716034E-2</v>
      </c>
      <c r="AL17" s="437">
        <f t="shared" si="13"/>
        <v>2.8241358981797214E-2</v>
      </c>
      <c r="AM17" s="438">
        <f>'Op Cost-26'!B8/'Ridership-26'!B8</f>
        <v>18.793224341693318</v>
      </c>
      <c r="AN17" s="434">
        <f>'Op Cost-26'!C8/'Ridership-26'!C8</f>
        <v>10.475815275626847</v>
      </c>
      <c r="AO17" s="434">
        <f>'Op Cost-26'!D8/'Ridership-26'!D8</f>
        <v>11.852925793241749</v>
      </c>
      <c r="AP17" s="434">
        <f>'Op Cost-26'!E8/'Ridership-26'!E8</f>
        <v>9.8055061078538444</v>
      </c>
      <c r="AQ17" s="435">
        <f t="shared" si="14"/>
        <v>0.93027130136651037</v>
      </c>
      <c r="AR17" s="436">
        <f t="shared" si="15"/>
        <v>2.7620635833688952E-2</v>
      </c>
      <c r="AS17" s="440">
        <f t="shared" si="16"/>
        <v>2.7772628763550463E-2</v>
      </c>
      <c r="AT17" s="432"/>
      <c r="AU17" s="441">
        <f t="shared" si="17"/>
        <v>0</v>
      </c>
      <c r="AV17" s="442">
        <f t="shared" si="18"/>
        <v>0</v>
      </c>
      <c r="AW17" s="442">
        <f t="shared" si="19"/>
        <v>0</v>
      </c>
      <c r="AX17" s="442">
        <f t="shared" si="20"/>
        <v>0</v>
      </c>
      <c r="AY17" s="443">
        <f t="shared" si="21"/>
        <v>0</v>
      </c>
      <c r="AZ17" s="444">
        <f t="shared" si="43"/>
        <v>-1</v>
      </c>
      <c r="BA17" s="445">
        <f t="shared" si="22"/>
        <v>0</v>
      </c>
      <c r="BB17" s="446">
        <f t="shared" si="22"/>
        <v>0</v>
      </c>
      <c r="BC17" s="446">
        <f t="shared" si="22"/>
        <v>0</v>
      </c>
      <c r="BD17" s="446">
        <f t="shared" si="22"/>
        <v>0</v>
      </c>
      <c r="BE17" s="446">
        <f t="shared" si="22"/>
        <v>0</v>
      </c>
      <c r="BF17" s="447">
        <f t="shared" si="44"/>
        <v>3092859.5930057992</v>
      </c>
      <c r="BH17" s="448">
        <f>'Op Cost-26'!E8</f>
        <v>14481448</v>
      </c>
      <c r="BI17" s="449">
        <f t="shared" si="23"/>
        <v>0.2135739183682322</v>
      </c>
      <c r="BJ17" s="450">
        <f t="shared" si="24"/>
        <v>3092859.5930057992</v>
      </c>
      <c r="BK17" s="451">
        <f t="shared" si="25"/>
        <v>0</v>
      </c>
      <c r="BL17" s="1">
        <f t="shared" si="45"/>
        <v>1.145036187226957</v>
      </c>
      <c r="BM17" s="112">
        <f t="shared" si="46"/>
        <v>1.0168816734407982</v>
      </c>
      <c r="BN17" s="112">
        <f t="shared" si="47"/>
        <v>1.3303200960866706</v>
      </c>
      <c r="BO17" s="113">
        <f t="shared" si="48"/>
        <v>1.1164714896901797</v>
      </c>
      <c r="BP17" s="452">
        <f t="shared" si="26"/>
        <v>3092859.5930057992</v>
      </c>
      <c r="BQ17" s="115">
        <f t="shared" si="49"/>
        <v>2.9421343962996803E-2</v>
      </c>
      <c r="BR17" s="116">
        <f t="shared" si="50"/>
        <v>2.9421343962996803E-2</v>
      </c>
      <c r="BS17" s="453">
        <f t="shared" si="51"/>
        <v>3.0973214278941598E-2</v>
      </c>
      <c r="BT17" s="118">
        <f t="shared" si="52"/>
        <v>3324246.3528094739</v>
      </c>
      <c r="BU17" s="119">
        <f t="shared" si="53"/>
        <v>4344434.3999999994</v>
      </c>
      <c r="BV17" s="119">
        <f t="shared" si="54"/>
        <v>3324246.3528094739</v>
      </c>
      <c r="BW17" s="119">
        <f t="shared" si="65"/>
        <v>0</v>
      </c>
      <c r="BX17" s="120">
        <f t="shared" si="55"/>
        <v>2.9421343962996803E-2</v>
      </c>
      <c r="BY17" s="454">
        <f t="shared" si="56"/>
        <v>3.335424588888386E-2</v>
      </c>
      <c r="BZ17" s="122">
        <f t="shared" si="57"/>
        <v>3332863.7743083485</v>
      </c>
      <c r="CA17" s="455">
        <f t="shared" si="27"/>
        <v>2.7457883509526045E-2</v>
      </c>
      <c r="CB17" s="456">
        <f t="shared" si="28"/>
        <v>205125.32664895547</v>
      </c>
      <c r="CC17" s="456">
        <f t="shared" si="29"/>
        <v>3297984.9196547549</v>
      </c>
      <c r="CD17" s="457">
        <f t="shared" si="30"/>
        <v>0.22773861561735781</v>
      </c>
      <c r="CE17" s="458">
        <f t="shared" si="31"/>
        <v>0</v>
      </c>
      <c r="CF17" s="17"/>
      <c r="CG17" s="459">
        <f t="shared" si="32"/>
        <v>14481448</v>
      </c>
      <c r="CH17" s="460">
        <f t="shared" si="58"/>
        <v>0.22773861561735781</v>
      </c>
      <c r="CI17" s="461">
        <f t="shared" si="33"/>
        <v>3297984.9196547549</v>
      </c>
      <c r="CJ17" s="462">
        <f t="shared" si="34"/>
        <v>0</v>
      </c>
      <c r="CL17" s="463">
        <f t="shared" si="35"/>
        <v>3297984.9196547549</v>
      </c>
      <c r="CM17" s="464">
        <f t="shared" si="36"/>
        <v>2.8354653025191037E-2</v>
      </c>
      <c r="CN17" s="465">
        <f t="shared" si="37"/>
        <v>4072.9134618266207</v>
      </c>
      <c r="CO17" s="466">
        <f t="shared" si="59"/>
        <v>3302057.8331165817</v>
      </c>
      <c r="CP17" s="467">
        <f t="shared" si="60"/>
        <v>0.22801986604630847</v>
      </c>
      <c r="CQ17" s="468">
        <f t="shared" si="38"/>
        <v>0</v>
      </c>
      <c r="CR17" s="469"/>
      <c r="CS17" s="470">
        <f t="shared" si="39"/>
        <v>4344434.3999999994</v>
      </c>
      <c r="CT17" s="465">
        <f t="shared" si="40"/>
        <v>0</v>
      </c>
      <c r="CU17" s="471">
        <f t="shared" si="41"/>
        <v>3302057.8331165817</v>
      </c>
      <c r="CV17" s="472">
        <f t="shared" si="42"/>
        <v>0.22801986604630847</v>
      </c>
      <c r="CY17" s="473">
        <v>0</v>
      </c>
      <c r="CZ17" s="474">
        <f t="shared" si="61"/>
        <v>3302057.8331165817</v>
      </c>
      <c r="DA17" s="475">
        <f t="shared" si="62"/>
        <v>0.22801986604630847</v>
      </c>
      <c r="DB17" s="1">
        <f t="shared" si="63"/>
        <v>0</v>
      </c>
      <c r="DC17" s="293">
        <f t="shared" si="64"/>
        <v>0.23014713544587176</v>
      </c>
      <c r="DF17" s="476"/>
    </row>
    <row r="18" spans="1:110">
      <c r="A18" s="477" t="s">
        <v>90</v>
      </c>
      <c r="B18" s="428" t="s">
        <v>91</v>
      </c>
      <c r="C18" s="429"/>
      <c r="D18" s="91">
        <f>'Op Cost-26'!E9</f>
        <v>5267046</v>
      </c>
      <c r="E18" s="92">
        <f>'Ridership-26'!$E9</f>
        <v>332441</v>
      </c>
      <c r="F18" s="92">
        <f>'Revenue Hours-26'!$E9</f>
        <v>38032</v>
      </c>
      <c r="G18" s="92">
        <f>'Revenue Miles-26'!$E9</f>
        <v>554895</v>
      </c>
      <c r="H18" s="478">
        <f t="shared" si="0"/>
        <v>7.8422546332279682E-3</v>
      </c>
      <c r="I18" s="431">
        <f t="shared" si="1"/>
        <v>7.84225463322797E-3</v>
      </c>
      <c r="J18" s="444">
        <v>-1.8618052001018695E-2</v>
      </c>
      <c r="K18" s="433">
        <f>'Ridership-26'!B9/'Revenue Hours-26'!B9</f>
        <v>3.4815432129025932</v>
      </c>
      <c r="L18" s="434">
        <f>'Ridership-26'!C9/'Revenue Hours-26'!C9</f>
        <v>4.4669216251117509</v>
      </c>
      <c r="M18" s="434">
        <f>'Ridership-26'!D9/'Revenue Hours-26'!D9</f>
        <v>7.7552782335063606</v>
      </c>
      <c r="N18" s="434">
        <f>'Ridership-26'!E9/'Revenue Hours-26'!E9</f>
        <v>8.7410864535128319</v>
      </c>
      <c r="O18" s="435">
        <f t="shared" si="2"/>
        <v>1.1714187434979995</v>
      </c>
      <c r="P18" s="436">
        <f t="shared" si="3"/>
        <v>9.1865640686472731E-3</v>
      </c>
      <c r="Q18" s="437">
        <f t="shared" si="4"/>
        <v>8.8749293389363323E-3</v>
      </c>
      <c r="R18" s="438">
        <f>'Ridership-26'!B9/'Revenue Miles-26'!B9</f>
        <v>0.23255357049300571</v>
      </c>
      <c r="S18" s="434">
        <f>'Ridership-26'!C9/'Revenue Miles-26'!C9</f>
        <v>0.30066694525699961</v>
      </c>
      <c r="T18" s="434">
        <f>'Ridership-26'!D9/'Revenue Miles-26'!D9</f>
        <v>0.52558774529639718</v>
      </c>
      <c r="U18" s="434">
        <f>'Ridership-26'!E9/'Revenue Miles-26'!E9</f>
        <v>0.59910613719712735</v>
      </c>
      <c r="V18" s="435">
        <f t="shared" si="5"/>
        <v>1.1856531510578938</v>
      </c>
      <c r="W18" s="436">
        <f t="shared" si="6"/>
        <v>9.2981939172851105E-3</v>
      </c>
      <c r="X18" s="437">
        <f t="shared" si="7"/>
        <v>8.9962046528411933E-3</v>
      </c>
      <c r="Y18" s="438">
        <f>'Op Cost-26'!B9/'Revenue Hours-26'!B9</f>
        <v>97.854576204715912</v>
      </c>
      <c r="Z18" s="434">
        <f>'Op Cost-26'!C9/'Revenue Hours-26'!C9</f>
        <v>112.67122777391477</v>
      </c>
      <c r="AA18" s="434">
        <f>'Op Cost-26'!D9/'Revenue Hours-26'!D9</f>
        <v>122.86288695839272</v>
      </c>
      <c r="AB18" s="434">
        <f>'Op Cost-26'!E9/'Revenue Hours-26'!E9</f>
        <v>138.48985065208245</v>
      </c>
      <c r="AC18" s="435">
        <f t="shared" si="8"/>
        <v>1.0747196303588169</v>
      </c>
      <c r="AD18" s="436">
        <f t="shared" si="9"/>
        <v>7.297023718278668E-3</v>
      </c>
      <c r="AE18" s="437">
        <f t="shared" si="10"/>
        <v>7.3116647551477853E-3</v>
      </c>
      <c r="AF18" s="438">
        <f>'Op Cost-26'!B9/'Revenue Miles-26'!B9</f>
        <v>6.5363057971394145</v>
      </c>
      <c r="AG18" s="434">
        <f>'Op Cost-26'!C9/'Revenue Miles-26'!C9</f>
        <v>7.5838612620142083</v>
      </c>
      <c r="AH18" s="434">
        <f>'Op Cost-26'!D9/'Revenue Miles-26'!D9</f>
        <v>8.3266165046243135</v>
      </c>
      <c r="AI18" s="434">
        <f>'Op Cost-26'!E9/'Revenue Miles-26'!E9</f>
        <v>9.4919687508447552</v>
      </c>
      <c r="AJ18" s="435">
        <f t="shared" si="11"/>
        <v>1.0897309117503498</v>
      </c>
      <c r="AK18" s="436">
        <f t="shared" si="12"/>
        <v>7.1965056223206219E-3</v>
      </c>
      <c r="AL18" s="437">
        <f t="shared" si="13"/>
        <v>7.2096922087258285E-3</v>
      </c>
      <c r="AM18" s="438">
        <f>'Op Cost-26'!B9/'Ridership-26'!B9</f>
        <v>28.106667136018022</v>
      </c>
      <c r="AN18" s="434">
        <f>'Op Cost-26'!C9/'Ridership-26'!C9</f>
        <v>25.223461978940815</v>
      </c>
      <c r="AO18" s="434">
        <f>'Op Cost-26'!D9/'Ridership-26'!D9</f>
        <v>15.842486015210735</v>
      </c>
      <c r="AP18" s="434">
        <f>'Op Cost-26'!E9/'Ridership-26'!E9</f>
        <v>15.843551186526332</v>
      </c>
      <c r="AQ18" s="439">
        <f t="shared" si="14"/>
        <v>0.95162230758164368</v>
      </c>
      <c r="AR18" s="436">
        <f t="shared" si="15"/>
        <v>8.240931902024743E-3</v>
      </c>
      <c r="AS18" s="440">
        <f t="shared" si="16"/>
        <v>8.2862807271611352E-3</v>
      </c>
      <c r="AT18" s="432"/>
      <c r="AU18" s="441">
        <f t="shared" si="17"/>
        <v>0</v>
      </c>
      <c r="AV18" s="442">
        <f t="shared" si="18"/>
        <v>0</v>
      </c>
      <c r="AW18" s="442">
        <f t="shared" si="19"/>
        <v>0</v>
      </c>
      <c r="AX18" s="442">
        <f t="shared" si="20"/>
        <v>0</v>
      </c>
      <c r="AY18" s="443">
        <f t="shared" si="21"/>
        <v>0</v>
      </c>
      <c r="AZ18" s="444">
        <f t="shared" si="43"/>
        <v>-1</v>
      </c>
      <c r="BA18" s="445">
        <f t="shared" si="22"/>
        <v>0</v>
      </c>
      <c r="BB18" s="446">
        <f t="shared" si="22"/>
        <v>0</v>
      </c>
      <c r="BC18" s="446">
        <f t="shared" si="22"/>
        <v>0</v>
      </c>
      <c r="BD18" s="446">
        <f t="shared" si="22"/>
        <v>0</v>
      </c>
      <c r="BE18" s="446">
        <f t="shared" si="22"/>
        <v>0</v>
      </c>
      <c r="BF18" s="447">
        <f t="shared" si="44"/>
        <v>943969.25366940326</v>
      </c>
      <c r="BH18" s="448">
        <f>'Op Cost-26'!E9</f>
        <v>5267046</v>
      </c>
      <c r="BI18" s="449">
        <f t="shared" si="23"/>
        <v>0.17922175991426756</v>
      </c>
      <c r="BJ18" s="450">
        <f t="shared" si="24"/>
        <v>943969.25366940326</v>
      </c>
      <c r="BK18" s="451">
        <f t="shared" si="25"/>
        <v>0</v>
      </c>
      <c r="BL18" s="1">
        <f t="shared" si="45"/>
        <v>0.72440684122028942</v>
      </c>
      <c r="BM18" s="112">
        <f t="shared" si="46"/>
        <v>0.77079320936507312</v>
      </c>
      <c r="BN18" s="112">
        <f t="shared" si="47"/>
        <v>0.74487529004257091</v>
      </c>
      <c r="BO18" s="113">
        <f t="shared" si="48"/>
        <v>0.69097943273675688</v>
      </c>
      <c r="BP18" s="452">
        <f t="shared" si="26"/>
        <v>943969.25366940326</v>
      </c>
      <c r="BQ18" s="115">
        <f t="shared" si="49"/>
        <v>5.6809829069018533E-3</v>
      </c>
      <c r="BR18" s="116">
        <f t="shared" si="50"/>
        <v>5.6809829069018533E-3</v>
      </c>
      <c r="BS18" s="453">
        <f t="shared" si="51"/>
        <v>5.9806343691089781E-3</v>
      </c>
      <c r="BT18" s="118">
        <f t="shared" si="52"/>
        <v>988647.84581602074</v>
      </c>
      <c r="BU18" s="119">
        <f t="shared" si="53"/>
        <v>1580113.8</v>
      </c>
      <c r="BV18" s="119">
        <f t="shared" si="54"/>
        <v>988647.84581602074</v>
      </c>
      <c r="BW18" s="119">
        <f t="shared" si="65"/>
        <v>0</v>
      </c>
      <c r="BX18" s="120">
        <f t="shared" si="55"/>
        <v>5.6809829069018533E-3</v>
      </c>
      <c r="BY18" s="454">
        <f t="shared" si="56"/>
        <v>6.4403890252486638E-3</v>
      </c>
      <c r="BZ18" s="122">
        <f t="shared" si="57"/>
        <v>990311.78830274905</v>
      </c>
      <c r="CA18" s="455">
        <f t="shared" si="27"/>
        <v>8.3803991175166528E-3</v>
      </c>
      <c r="CB18" s="456">
        <f t="shared" si="28"/>
        <v>62606.140266886658</v>
      </c>
      <c r="CC18" s="456">
        <f t="shared" si="29"/>
        <v>1006575.3939362899</v>
      </c>
      <c r="CD18" s="457">
        <f t="shared" si="30"/>
        <v>0.19110814561640244</v>
      </c>
      <c r="CE18" s="458">
        <f t="shared" si="31"/>
        <v>0</v>
      </c>
      <c r="CF18" s="17"/>
      <c r="CG18" s="459">
        <f t="shared" si="32"/>
        <v>5267046</v>
      </c>
      <c r="CH18" s="460">
        <f t="shared" si="58"/>
        <v>0.19110814561640244</v>
      </c>
      <c r="CI18" s="461">
        <f t="shared" si="33"/>
        <v>1006575.3939362899</v>
      </c>
      <c r="CJ18" s="462">
        <f t="shared" si="34"/>
        <v>0</v>
      </c>
      <c r="CL18" s="463">
        <f t="shared" si="35"/>
        <v>1006575.3939362899</v>
      </c>
      <c r="CM18" s="464">
        <f t="shared" si="36"/>
        <v>8.6541014389314649E-3</v>
      </c>
      <c r="CN18" s="465">
        <f t="shared" si="37"/>
        <v>1243.0907272722523</v>
      </c>
      <c r="CO18" s="466">
        <f t="shared" si="59"/>
        <v>1007818.4846635622</v>
      </c>
      <c r="CP18" s="467">
        <f t="shared" si="60"/>
        <v>0.19134415850242473</v>
      </c>
      <c r="CQ18" s="468">
        <f t="shared" si="38"/>
        <v>0</v>
      </c>
      <c r="CR18" s="469"/>
      <c r="CS18" s="470">
        <f t="shared" si="39"/>
        <v>1580113.8</v>
      </c>
      <c r="CT18" s="465">
        <f t="shared" si="40"/>
        <v>0</v>
      </c>
      <c r="CU18" s="471">
        <f t="shared" si="41"/>
        <v>1007818.4846635622</v>
      </c>
      <c r="CV18" s="472">
        <f t="shared" si="42"/>
        <v>0.19134415850242473</v>
      </c>
      <c r="CY18" s="473">
        <v>0</v>
      </c>
      <c r="CZ18" s="474">
        <f t="shared" si="61"/>
        <v>1007818.4846635622</v>
      </c>
      <c r="DA18" s="475">
        <f t="shared" si="62"/>
        <v>0.19134415850242473</v>
      </c>
      <c r="DB18" s="1">
        <f t="shared" si="63"/>
        <v>0</v>
      </c>
      <c r="DC18" s="293">
        <f t="shared" si="64"/>
        <v>0.18802034163034631</v>
      </c>
      <c r="DF18" s="476"/>
    </row>
    <row r="19" spans="1:110">
      <c r="A19" s="477" t="s">
        <v>92</v>
      </c>
      <c r="B19" s="428" t="s">
        <v>93</v>
      </c>
      <c r="C19" s="429"/>
      <c r="D19" s="91">
        <f>'Op Cost-26'!E10</f>
        <v>2126888</v>
      </c>
      <c r="E19" s="92">
        <f>'Ridership-26'!$E10</f>
        <v>77878</v>
      </c>
      <c r="F19" s="92">
        <f>'Revenue Hours-26'!$E10</f>
        <v>24727.8</v>
      </c>
      <c r="G19" s="92">
        <f>'Revenue Miles-26'!$E10</f>
        <v>463883</v>
      </c>
      <c r="H19" s="478">
        <f t="shared" si="0"/>
        <v>3.6403372416836332E-3</v>
      </c>
      <c r="I19" s="431">
        <f t="shared" si="1"/>
        <v>3.640337241683634E-3</v>
      </c>
      <c r="J19" s="432"/>
      <c r="K19" s="433">
        <f>'Ridership-26'!B10/'Revenue Hours-26'!B10</f>
        <v>5.361326293975428</v>
      </c>
      <c r="L19" s="434">
        <f>'Ridership-26'!C10/'Revenue Hours-26'!C10</f>
        <v>3.4816356739753909</v>
      </c>
      <c r="M19" s="434">
        <f>'Ridership-26'!D10/'Revenue Hours-26'!D10</f>
        <v>3.3501561802766622</v>
      </c>
      <c r="N19" s="434">
        <f>'Ridership-26'!E10/'Revenue Hours-26'!E10</f>
        <v>3.1494107846229751</v>
      </c>
      <c r="O19" s="435">
        <f t="shared" si="2"/>
        <v>0.73134212552263556</v>
      </c>
      <c r="P19" s="436">
        <f t="shared" si="3"/>
        <v>2.6623319759521173E-3</v>
      </c>
      <c r="Q19" s="437">
        <f t="shared" si="4"/>
        <v>2.57201800224804E-3</v>
      </c>
      <c r="R19" s="438">
        <f>'Ridership-26'!B10/'Revenue Miles-26'!B10</f>
        <v>0.29459705668644059</v>
      </c>
      <c r="S19" s="434">
        <f>'Ridership-26'!C10/'Revenue Miles-26'!C10</f>
        <v>0.18135424146189841</v>
      </c>
      <c r="T19" s="434">
        <f>'Ridership-26'!D10/'Revenue Miles-26'!D10</f>
        <v>0.16980829081171064</v>
      </c>
      <c r="U19" s="434">
        <f>'Ridership-26'!E10/'Revenue Miles-26'!E10</f>
        <v>0.16788284977030846</v>
      </c>
      <c r="V19" s="435">
        <f t="shared" si="5"/>
        <v>0.73210443369450051</v>
      </c>
      <c r="W19" s="436">
        <f t="shared" si="6"/>
        <v>2.665107034779797E-3</v>
      </c>
      <c r="X19" s="437">
        <f t="shared" si="7"/>
        <v>2.5785489655184867E-3</v>
      </c>
      <c r="Y19" s="438">
        <f>'Op Cost-26'!B10/'Revenue Hours-26'!B10</f>
        <v>71.305225243005879</v>
      </c>
      <c r="Z19" s="434">
        <f>'Op Cost-26'!C10/'Revenue Hours-26'!C10</f>
        <v>79.874363955962622</v>
      </c>
      <c r="AA19" s="434">
        <f>'Op Cost-26'!D10/'Revenue Hours-26'!D10</f>
        <v>87.91722445336903</v>
      </c>
      <c r="AB19" s="434">
        <f>'Op Cost-26'!E10/'Revenue Hours-26'!E10</f>
        <v>86.01201886136252</v>
      </c>
      <c r="AC19" s="435">
        <f t="shared" si="8"/>
        <v>1.0196484156589218</v>
      </c>
      <c r="AD19" s="436">
        <f t="shared" si="9"/>
        <v>3.5701886903155328E-3</v>
      </c>
      <c r="AE19" s="437">
        <f t="shared" si="10"/>
        <v>3.5773520580477326E-3</v>
      </c>
      <c r="AF19" s="438">
        <f>'Op Cost-26'!B10/'Revenue Miles-26'!B10</f>
        <v>3.9181180795800845</v>
      </c>
      <c r="AG19" s="434">
        <f>'Op Cost-26'!C10/'Revenue Miles-26'!C10</f>
        <v>4.1605601630756928</v>
      </c>
      <c r="AH19" s="434">
        <f>'Op Cost-26'!D10/'Revenue Miles-26'!D10</f>
        <v>4.456232131871313</v>
      </c>
      <c r="AI19" s="434">
        <f>'Op Cost-26'!E10/'Revenue Miles-26'!E10</f>
        <v>4.5849664678377957</v>
      </c>
      <c r="AJ19" s="435">
        <f t="shared" si="11"/>
        <v>1.0128076498369882</v>
      </c>
      <c r="AK19" s="436">
        <f t="shared" si="12"/>
        <v>3.5943026716569013E-3</v>
      </c>
      <c r="AL19" s="437">
        <f t="shared" si="13"/>
        <v>3.6008887267833314E-3</v>
      </c>
      <c r="AM19" s="438">
        <f>'Op Cost-26'!B10/'Ridership-26'!B10</f>
        <v>13.299922693220932</v>
      </c>
      <c r="AN19" s="434">
        <f>'Op Cost-26'!C10/'Ridership-26'!C10</f>
        <v>22.941620386363031</v>
      </c>
      <c r="AO19" s="434">
        <f>'Op Cost-26'!D10/'Ridership-26'!D10</f>
        <v>26.242724136553139</v>
      </c>
      <c r="AP19" s="434">
        <f>'Op Cost-26'!E10/'Ridership-26'!E10</f>
        <v>27.310511312565808</v>
      </c>
      <c r="AQ19" s="439">
        <f t="shared" si="14"/>
        <v>1.5025184960180014</v>
      </c>
      <c r="AR19" s="436">
        <f t="shared" si="15"/>
        <v>2.4228235800965608E-3</v>
      </c>
      <c r="AS19" s="440">
        <f t="shared" si="16"/>
        <v>2.4361560774617112E-3</v>
      </c>
      <c r="AT19" s="432"/>
      <c r="AU19" s="441">
        <f t="shared" si="17"/>
        <v>0</v>
      </c>
      <c r="AV19" s="442">
        <f t="shared" si="18"/>
        <v>0</v>
      </c>
      <c r="AW19" s="442">
        <f t="shared" si="19"/>
        <v>0</v>
      </c>
      <c r="AX19" s="442">
        <f t="shared" si="20"/>
        <v>0</v>
      </c>
      <c r="AY19" s="443">
        <f t="shared" si="21"/>
        <v>0</v>
      </c>
      <c r="AZ19" s="444">
        <f t="shared" si="43"/>
        <v>-1</v>
      </c>
      <c r="BA19" s="445">
        <f t="shared" si="22"/>
        <v>0</v>
      </c>
      <c r="BB19" s="446">
        <f t="shared" si="22"/>
        <v>0</v>
      </c>
      <c r="BC19" s="446">
        <f t="shared" si="22"/>
        <v>0</v>
      </c>
      <c r="BD19" s="446">
        <f t="shared" si="22"/>
        <v>0</v>
      </c>
      <c r="BE19" s="446">
        <f t="shared" si="22"/>
        <v>0</v>
      </c>
      <c r="BF19" s="447">
        <f t="shared" si="44"/>
        <v>438186.0306571789</v>
      </c>
      <c r="BH19" s="448">
        <f>'Op Cost-26'!E10</f>
        <v>2126888</v>
      </c>
      <c r="BI19" s="449">
        <f t="shared" si="23"/>
        <v>0.20602214628000107</v>
      </c>
      <c r="BJ19" s="450">
        <f t="shared" si="24"/>
        <v>438186.0306571789</v>
      </c>
      <c r="BK19" s="451">
        <f t="shared" si="25"/>
        <v>0</v>
      </c>
      <c r="BL19" s="1">
        <f t="shared" si="45"/>
        <v>0.32203952880637277</v>
      </c>
      <c r="BM19" s="112">
        <f t="shared" si="46"/>
        <v>0.27771655837049231</v>
      </c>
      <c r="BN19" s="112">
        <f t="shared" si="47"/>
        <v>0.20873060489895359</v>
      </c>
      <c r="BO19" s="113">
        <f t="shared" si="48"/>
        <v>0.40085547597802262</v>
      </c>
      <c r="BP19" s="452">
        <f t="shared" si="26"/>
        <v>438186.0306571789</v>
      </c>
      <c r="BQ19" s="115">
        <f t="shared" si="49"/>
        <v>1.1723324900080882E-3</v>
      </c>
      <c r="BR19" s="116">
        <f t="shared" si="50"/>
        <v>1.1723324900080882E-3</v>
      </c>
      <c r="BS19" s="453">
        <f t="shared" si="51"/>
        <v>1.2341688219563956E-3</v>
      </c>
      <c r="BT19" s="118">
        <f t="shared" si="52"/>
        <v>447405.94313353318</v>
      </c>
      <c r="BU19" s="119">
        <f t="shared" si="53"/>
        <v>638066.4</v>
      </c>
      <c r="BV19" s="119">
        <f t="shared" si="54"/>
        <v>447405.94313353318</v>
      </c>
      <c r="BW19" s="119">
        <f t="shared" si="65"/>
        <v>0</v>
      </c>
      <c r="BX19" s="120">
        <f t="shared" si="55"/>
        <v>1.1723324900080882E-3</v>
      </c>
      <c r="BY19" s="454">
        <f t="shared" si="56"/>
        <v>1.3290441858956595E-3</v>
      </c>
      <c r="BZ19" s="122">
        <f t="shared" si="57"/>
        <v>447749.31572779437</v>
      </c>
      <c r="CA19" s="455">
        <f t="shared" si="27"/>
        <v>3.890141347668952E-3</v>
      </c>
      <c r="CB19" s="456">
        <f t="shared" si="28"/>
        <v>29061.472067734598</v>
      </c>
      <c r="CC19" s="456">
        <f t="shared" si="29"/>
        <v>467247.50272491347</v>
      </c>
      <c r="CD19" s="457">
        <f t="shared" si="30"/>
        <v>0.21968599320928675</v>
      </c>
      <c r="CE19" s="458">
        <f t="shared" si="31"/>
        <v>0</v>
      </c>
      <c r="CF19" s="17"/>
      <c r="CG19" s="459">
        <f t="shared" si="32"/>
        <v>2126888</v>
      </c>
      <c r="CH19" s="460">
        <f t="shared" si="58"/>
        <v>0.21968599320928675</v>
      </c>
      <c r="CI19" s="461">
        <f t="shared" si="33"/>
        <v>467247.50272491347</v>
      </c>
      <c r="CJ19" s="462">
        <f t="shared" si="34"/>
        <v>0</v>
      </c>
      <c r="CL19" s="463">
        <f t="shared" si="35"/>
        <v>467247.50272491347</v>
      </c>
      <c r="CM19" s="464">
        <f t="shared" si="36"/>
        <v>4.0171926614021155E-3</v>
      </c>
      <c r="CN19" s="465">
        <f t="shared" si="37"/>
        <v>577.03679374385683</v>
      </c>
      <c r="CO19" s="466">
        <f t="shared" si="59"/>
        <v>467824.53951865732</v>
      </c>
      <c r="CP19" s="467">
        <f t="shared" si="60"/>
        <v>0.21995729888863791</v>
      </c>
      <c r="CQ19" s="468">
        <f t="shared" si="38"/>
        <v>0</v>
      </c>
      <c r="CR19" s="469"/>
      <c r="CS19" s="470">
        <f t="shared" si="39"/>
        <v>638066.4</v>
      </c>
      <c r="CT19" s="465">
        <f t="shared" si="40"/>
        <v>0</v>
      </c>
      <c r="CU19" s="471">
        <f t="shared" si="41"/>
        <v>467824.53951865732</v>
      </c>
      <c r="CV19" s="472">
        <f t="shared" si="42"/>
        <v>0.21995729888863791</v>
      </c>
      <c r="CY19" s="473">
        <v>0</v>
      </c>
      <c r="CZ19" s="474">
        <f t="shared" si="61"/>
        <v>467824.53951865732</v>
      </c>
      <c r="DA19" s="475">
        <f t="shared" si="62"/>
        <v>0.21995729888863791</v>
      </c>
      <c r="DB19" s="1">
        <f t="shared" si="63"/>
        <v>0</v>
      </c>
      <c r="DC19" s="293">
        <f t="shared" si="64"/>
        <v>0.2105185208284566</v>
      </c>
      <c r="DF19" s="476"/>
    </row>
    <row r="20" spans="1:110">
      <c r="A20" s="477" t="s">
        <v>92</v>
      </c>
      <c r="B20" s="428" t="s">
        <v>94</v>
      </c>
      <c r="C20" s="429"/>
      <c r="D20" s="91">
        <f>'Op Cost-26'!E11</f>
        <v>225862</v>
      </c>
      <c r="E20" s="92">
        <f>'Ridership-26'!$E11</f>
        <v>11821</v>
      </c>
      <c r="F20" s="92">
        <f>'Revenue Hours-26'!$E11</f>
        <v>2826</v>
      </c>
      <c r="G20" s="92">
        <f>'Revenue Miles-26'!$E11</f>
        <v>53914</v>
      </c>
      <c r="H20" s="478">
        <f t="shared" si="0"/>
        <v>4.2696922156798859E-4</v>
      </c>
      <c r="I20" s="431">
        <f t="shared" si="1"/>
        <v>4.269692215679887E-4</v>
      </c>
      <c r="J20" s="432"/>
      <c r="K20" s="433">
        <f>'Ridership-26'!B11/'Revenue Hours-26'!B11</f>
        <v>1.3415032679738561</v>
      </c>
      <c r="L20" s="434">
        <f>'Ridership-26'!C11/'Revenue Hours-26'!C11</f>
        <v>1.759546925566343</v>
      </c>
      <c r="M20" s="434">
        <f>'Ridership-26'!D11/'Revenue Hours-26'!D11</f>
        <v>3.4945302445302446</v>
      </c>
      <c r="N20" s="434">
        <f>'Ridership-26'!E11/'Revenue Hours-26'!E11</f>
        <v>4.1829440905874025</v>
      </c>
      <c r="O20" s="435">
        <f t="shared" si="2"/>
        <v>1.2707041716788596</v>
      </c>
      <c r="P20" s="436">
        <f t="shared" si="3"/>
        <v>5.425515710249186E-4</v>
      </c>
      <c r="Q20" s="437">
        <f t="shared" si="4"/>
        <v>5.2414665805341478E-4</v>
      </c>
      <c r="R20" s="438">
        <f>'Ridership-26'!B11/'Revenue Miles-26'!B11</f>
        <v>8.4451119157340354E-2</v>
      </c>
      <c r="S20" s="434">
        <f>'Ridership-26'!C11/'Revenue Miles-26'!C11</f>
        <v>0.10382691059084138</v>
      </c>
      <c r="T20" s="434">
        <f>'Ridership-26'!D11/'Revenue Miles-26'!D11</f>
        <v>0.19750504628030041</v>
      </c>
      <c r="U20" s="434">
        <f>'Ridership-26'!E11/'Revenue Miles-26'!E11</f>
        <v>0.21925659383462551</v>
      </c>
      <c r="V20" s="435">
        <f t="shared" si="5"/>
        <v>1.2027212402786347</v>
      </c>
      <c r="W20" s="436">
        <f t="shared" si="6"/>
        <v>5.1352495172505457E-4</v>
      </c>
      <c r="X20" s="437">
        <f t="shared" si="7"/>
        <v>4.9684654903474725E-4</v>
      </c>
      <c r="Y20" s="438">
        <f>'Op Cost-26'!B11/'Revenue Hours-26'!B11</f>
        <v>49.306209150326801</v>
      </c>
      <c r="Z20" s="434">
        <f>'Op Cost-26'!C11/'Revenue Hours-26'!C11</f>
        <v>54.219417475728157</v>
      </c>
      <c r="AA20" s="434">
        <f>'Op Cost-26'!D11/'Revenue Hours-26'!D11</f>
        <v>62.816602316602314</v>
      </c>
      <c r="AB20" s="434">
        <f>'Op Cost-26'!E11/'Revenue Hours-26'!E11</f>
        <v>79.922859164897375</v>
      </c>
      <c r="AC20" s="435">
        <f t="shared" si="8"/>
        <v>1.1250369583058519</v>
      </c>
      <c r="AD20" s="436">
        <f t="shared" si="9"/>
        <v>3.7951572916408412E-4</v>
      </c>
      <c r="AE20" s="437">
        <f t="shared" si="10"/>
        <v>3.802772045268656E-4</v>
      </c>
      <c r="AF20" s="438">
        <f>'Op Cost-26'!B11/'Revenue Miles-26'!B11</f>
        <v>3.103954081632653</v>
      </c>
      <c r="AG20" s="434">
        <f>'Op Cost-26'!C11/'Revenue Miles-26'!C11</f>
        <v>3.1993660008402398</v>
      </c>
      <c r="AH20" s="434">
        <f>'Op Cost-26'!D11/'Revenue Miles-26'!D11</f>
        <v>3.5502900474623118</v>
      </c>
      <c r="AI20" s="434">
        <f>'Op Cost-26'!E11/'Revenue Miles-26'!E11</f>
        <v>4.1893014801350299</v>
      </c>
      <c r="AJ20" s="435">
        <f t="shared" si="11"/>
        <v>1.0625424592304593</v>
      </c>
      <c r="AK20" s="436">
        <f t="shared" si="12"/>
        <v>4.0183732693112225E-4</v>
      </c>
      <c r="AL20" s="437">
        <f t="shared" si="13"/>
        <v>4.0257363742825849E-4</v>
      </c>
      <c r="AM20" s="438">
        <f>'Op Cost-26'!B11/'Ridership-26'!B11</f>
        <v>36.754445797807549</v>
      </c>
      <c r="AN20" s="434">
        <f>'Op Cost-26'!C11/'Ridership-26'!C11</f>
        <v>30.814419716755562</v>
      </c>
      <c r="AO20" s="434">
        <f>'Op Cost-26'!D11/'Ridership-26'!D11</f>
        <v>17.97569284596262</v>
      </c>
      <c r="AP20" s="434">
        <f>'Op Cost-26'!E11/'Ridership-26'!E11</f>
        <v>19.106843752643602</v>
      </c>
      <c r="AQ20" s="439">
        <f t="shared" si="14"/>
        <v>0.93210492020148372</v>
      </c>
      <c r="AR20" s="436">
        <f t="shared" si="15"/>
        <v>4.5806991500022876E-4</v>
      </c>
      <c r="AS20" s="440">
        <f t="shared" si="16"/>
        <v>4.6059061687260848E-4</v>
      </c>
      <c r="AT20" s="432"/>
      <c r="AU20" s="441">
        <f t="shared" si="17"/>
        <v>0</v>
      </c>
      <c r="AV20" s="442">
        <f t="shared" si="18"/>
        <v>0</v>
      </c>
      <c r="AW20" s="442">
        <f t="shared" si="19"/>
        <v>0</v>
      </c>
      <c r="AX20" s="442">
        <f t="shared" si="20"/>
        <v>0</v>
      </c>
      <c r="AY20" s="443">
        <f t="shared" si="21"/>
        <v>0</v>
      </c>
      <c r="AZ20" s="444">
        <f t="shared" si="43"/>
        <v>-1</v>
      </c>
      <c r="BA20" s="445">
        <f t="shared" si="22"/>
        <v>0</v>
      </c>
      <c r="BB20" s="446">
        <f t="shared" si="22"/>
        <v>0</v>
      </c>
      <c r="BC20" s="446">
        <f t="shared" si="22"/>
        <v>0</v>
      </c>
      <c r="BD20" s="446">
        <f t="shared" si="22"/>
        <v>0</v>
      </c>
      <c r="BE20" s="446">
        <f t="shared" si="22"/>
        <v>0</v>
      </c>
      <c r="BF20" s="447">
        <f t="shared" si="44"/>
        <v>51394.125321513784</v>
      </c>
      <c r="BH20" s="448">
        <f>'Op Cost-26'!E11</f>
        <v>225862</v>
      </c>
      <c r="BI20" s="449">
        <f t="shared" si="23"/>
        <v>0.22754657853695523</v>
      </c>
      <c r="BJ20" s="450">
        <f t="shared" si="24"/>
        <v>51394.125321513784</v>
      </c>
      <c r="BK20" s="451">
        <f t="shared" si="25"/>
        <v>0</v>
      </c>
      <c r="BL20" s="1">
        <f t="shared" si="45"/>
        <v>0.44684744286959338</v>
      </c>
      <c r="BM20" s="112">
        <f t="shared" si="46"/>
        <v>0.36885402258924105</v>
      </c>
      <c r="BN20" s="112">
        <f t="shared" si="47"/>
        <v>0.27260414939227223</v>
      </c>
      <c r="BO20" s="113">
        <f t="shared" si="48"/>
        <v>0.57296579974843009</v>
      </c>
      <c r="BP20" s="452">
        <f t="shared" si="26"/>
        <v>51394.125321513784</v>
      </c>
      <c r="BQ20" s="115">
        <f t="shared" si="49"/>
        <v>1.9079010484167658E-4</v>
      </c>
      <c r="BR20" s="116">
        <f t="shared" si="50"/>
        <v>1.9079010484167658E-4</v>
      </c>
      <c r="BS20" s="453">
        <f t="shared" si="51"/>
        <v>2.0085359822430977E-4</v>
      </c>
      <c r="BT20" s="118">
        <f t="shared" si="52"/>
        <v>52894.610962735402</v>
      </c>
      <c r="BU20" s="119">
        <f t="shared" si="53"/>
        <v>67758.599999999991</v>
      </c>
      <c r="BV20" s="119">
        <f t="shared" si="54"/>
        <v>52894.610962735402</v>
      </c>
      <c r="BW20" s="119">
        <f t="shared" si="65"/>
        <v>0</v>
      </c>
      <c r="BX20" s="120">
        <f t="shared" si="55"/>
        <v>1.9079010484167658E-4</v>
      </c>
      <c r="BY20" s="454">
        <f t="shared" si="56"/>
        <v>2.1629399656449352E-4</v>
      </c>
      <c r="BZ20" s="122">
        <f t="shared" si="57"/>
        <v>52950.492799856882</v>
      </c>
      <c r="CA20" s="455">
        <f t="shared" si="27"/>
        <v>4.5626833799482545E-4</v>
      </c>
      <c r="CB20" s="456">
        <f t="shared" si="28"/>
        <v>3408.5726905460274</v>
      </c>
      <c r="CC20" s="456">
        <f t="shared" si="29"/>
        <v>54802.698012059809</v>
      </c>
      <c r="CD20" s="457">
        <f t="shared" si="30"/>
        <v>0.24263797368331019</v>
      </c>
      <c r="CE20" s="458">
        <f t="shared" si="31"/>
        <v>0</v>
      </c>
      <c r="CF20" s="17"/>
      <c r="CG20" s="459">
        <f t="shared" si="32"/>
        <v>225862</v>
      </c>
      <c r="CH20" s="460">
        <f t="shared" si="58"/>
        <v>0.24263797368331019</v>
      </c>
      <c r="CI20" s="461">
        <f t="shared" si="33"/>
        <v>54802.698012059809</v>
      </c>
      <c r="CJ20" s="462">
        <f t="shared" si="34"/>
        <v>0</v>
      </c>
      <c r="CL20" s="463">
        <f t="shared" si="35"/>
        <v>54802.698012059809</v>
      </c>
      <c r="CM20" s="464">
        <f t="shared" si="36"/>
        <v>4.7116997949734458E-4</v>
      </c>
      <c r="CN20" s="465">
        <f t="shared" si="37"/>
        <v>67.679705006384154</v>
      </c>
      <c r="CO20" s="466">
        <f t="shared" si="59"/>
        <v>54870.377717066192</v>
      </c>
      <c r="CP20" s="467">
        <f t="shared" si="60"/>
        <v>0.24293762437712493</v>
      </c>
      <c r="CQ20" s="468">
        <f t="shared" si="38"/>
        <v>0</v>
      </c>
      <c r="CR20" s="469"/>
      <c r="CS20" s="470">
        <f t="shared" si="39"/>
        <v>67758.599999999991</v>
      </c>
      <c r="CT20" s="465">
        <f t="shared" si="40"/>
        <v>0</v>
      </c>
      <c r="CU20" s="471">
        <f t="shared" si="41"/>
        <v>54870.377717066192</v>
      </c>
      <c r="CV20" s="472">
        <f t="shared" si="42"/>
        <v>0.24293762437712493</v>
      </c>
      <c r="CY20" s="473">
        <v>685.4</v>
      </c>
      <c r="CZ20" s="474">
        <f t="shared" si="61"/>
        <v>55555.777717066194</v>
      </c>
      <c r="DA20" s="475">
        <f t="shared" si="62"/>
        <v>0.24597222072356659</v>
      </c>
      <c r="DB20" s="1">
        <f t="shared" si="63"/>
        <v>0</v>
      </c>
      <c r="DC20" s="293">
        <f t="shared" si="64"/>
        <v>0.23443736794970771</v>
      </c>
      <c r="DF20" s="476"/>
    </row>
    <row r="21" spans="1:110">
      <c r="A21" s="477" t="s">
        <v>92</v>
      </c>
      <c r="B21" s="428" t="s">
        <v>95</v>
      </c>
      <c r="C21" s="429"/>
      <c r="D21" s="91">
        <f>'Op Cost-26'!E12</f>
        <v>129442718</v>
      </c>
      <c r="E21" s="92">
        <f>'Ridership-26'!$E12</f>
        <v>8574727</v>
      </c>
      <c r="F21" s="92">
        <f>'Revenue Hours-26'!$E12</f>
        <v>1002985.3500000001</v>
      </c>
      <c r="G21" s="92">
        <f>'Revenue Miles-26'!$E12</f>
        <v>13608118.7366</v>
      </c>
      <c r="H21" s="478">
        <f t="shared" si="0"/>
        <v>0.1975212945618143</v>
      </c>
      <c r="I21" s="431">
        <f t="shared" si="1"/>
        <v>0.19752129456181436</v>
      </c>
      <c r="J21" s="432"/>
      <c r="K21" s="433">
        <f>'Ridership-26'!B12/'Revenue Hours-26'!B12</f>
        <v>6.640780447028594</v>
      </c>
      <c r="L21" s="434">
        <f>'Ridership-26'!C12/'Revenue Hours-26'!C12</f>
        <v>7.1961861955660096</v>
      </c>
      <c r="M21" s="434">
        <f>'Ridership-26'!D12/'Revenue Hours-26'!D12</f>
        <v>7.4695517602798605</v>
      </c>
      <c r="N21" s="434">
        <f>'Ridership-26'!E12/'Revenue Hours-26'!E12</f>
        <v>8.5492046319520014</v>
      </c>
      <c r="O21" s="435">
        <f t="shared" si="2"/>
        <v>0.92912615428559064</v>
      </c>
      <c r="P21" s="436">
        <f t="shared" si="3"/>
        <v>0.18352220080572992</v>
      </c>
      <c r="Q21" s="437">
        <f t="shared" si="4"/>
        <v>0.17729659882694004</v>
      </c>
      <c r="R21" s="438">
        <f>'Ridership-26'!B12/'Revenue Miles-26'!B12</f>
        <v>0.46622665154015291</v>
      </c>
      <c r="S21" s="434">
        <f>'Ridership-26'!C12/'Revenue Miles-26'!C12</f>
        <v>0.49455273703023678</v>
      </c>
      <c r="T21" s="434">
        <f>'Ridership-26'!D12/'Revenue Miles-26'!D12</f>
        <v>0.51854760762331398</v>
      </c>
      <c r="U21" s="434">
        <f>'Ridership-26'!E12/'Revenue Miles-26'!E12</f>
        <v>0.6301184730948638</v>
      </c>
      <c r="V21" s="435">
        <f t="shared" si="5"/>
        <v>0.95181830349680541</v>
      </c>
      <c r="W21" s="436">
        <f t="shared" si="6"/>
        <v>0.18800438349431892</v>
      </c>
      <c r="X21" s="437">
        <f t="shared" si="7"/>
        <v>0.18189832612567902</v>
      </c>
      <c r="Y21" s="438">
        <f>'Op Cost-26'!B12/'Revenue Hours-26'!B12</f>
        <v>107.97198556298591</v>
      </c>
      <c r="Z21" s="434">
        <f>'Op Cost-26'!C12/'Revenue Hours-26'!C12</f>
        <v>112.49719845156518</v>
      </c>
      <c r="AA21" s="434">
        <f>'Op Cost-26'!D12/'Revenue Hours-26'!D12</f>
        <v>125.82563161812979</v>
      </c>
      <c r="AB21" s="434">
        <f>'Op Cost-26'!E12/'Revenue Hours-26'!E12</f>
        <v>129.05743638229609</v>
      </c>
      <c r="AC21" s="435">
        <f t="shared" si="8"/>
        <v>1.0144497417422516</v>
      </c>
      <c r="AD21" s="436">
        <f t="shared" si="9"/>
        <v>0.19470781689251984</v>
      </c>
      <c r="AE21" s="437">
        <f t="shared" si="10"/>
        <v>0.19509848635391788</v>
      </c>
      <c r="AF21" s="438">
        <f>'Op Cost-26'!B12/'Revenue Miles-26'!B12</f>
        <v>7.5803465708156237</v>
      </c>
      <c r="AG21" s="434">
        <f>'Op Cost-26'!C12/'Revenue Miles-26'!C12</f>
        <v>7.7312893094311175</v>
      </c>
      <c r="AH21" s="434">
        <f>'Op Cost-26'!D12/'Revenue Miles-26'!D12</f>
        <v>8.735006108429328</v>
      </c>
      <c r="AI21" s="434">
        <f>'Op Cost-26'!E12/'Revenue Miles-26'!E12</f>
        <v>9.512168471300491</v>
      </c>
      <c r="AJ21" s="435">
        <f t="shared" si="11"/>
        <v>1.0358017781168538</v>
      </c>
      <c r="AK21" s="436">
        <f t="shared" si="12"/>
        <v>0.19069410647365295</v>
      </c>
      <c r="AL21" s="437">
        <f t="shared" si="13"/>
        <v>0.19104352665671781</v>
      </c>
      <c r="AM21" s="438">
        <f>'Op Cost-26'!B12/'Ridership-26'!B12</f>
        <v>16.258930170067252</v>
      </c>
      <c r="AN21" s="434">
        <f>'Op Cost-26'!C12/'Ridership-26'!C12</f>
        <v>15.632891561488677</v>
      </c>
      <c r="AO21" s="434">
        <f>'Op Cost-26'!D12/'Ridership-26'!D12</f>
        <v>16.845138189847084</v>
      </c>
      <c r="AP21" s="434">
        <f>'Op Cost-26'!E12/'Ridership-26'!E12</f>
        <v>15.095841302002967</v>
      </c>
      <c r="AQ21" s="435">
        <f t="shared" si="14"/>
        <v>1.105548154721899</v>
      </c>
      <c r="AR21" s="436">
        <f t="shared" si="15"/>
        <v>0.17866367350728463</v>
      </c>
      <c r="AS21" s="440">
        <f t="shared" si="16"/>
        <v>0.17964683752131036</v>
      </c>
      <c r="AT21" s="432"/>
      <c r="AU21" s="441">
        <f t="shared" si="17"/>
        <v>0</v>
      </c>
      <c r="AV21" s="442">
        <f t="shared" si="18"/>
        <v>0</v>
      </c>
      <c r="AW21" s="442">
        <f t="shared" si="19"/>
        <v>0</v>
      </c>
      <c r="AX21" s="442">
        <f t="shared" si="20"/>
        <v>0</v>
      </c>
      <c r="AY21" s="443">
        <f t="shared" si="21"/>
        <v>0</v>
      </c>
      <c r="AZ21" s="444">
        <f t="shared" si="43"/>
        <v>-1</v>
      </c>
      <c r="BA21" s="445">
        <f t="shared" si="22"/>
        <v>0</v>
      </c>
      <c r="BB21" s="446">
        <f t="shared" si="22"/>
        <v>0</v>
      </c>
      <c r="BC21" s="446">
        <f t="shared" si="22"/>
        <v>0</v>
      </c>
      <c r="BD21" s="446">
        <f t="shared" si="22"/>
        <v>0</v>
      </c>
      <c r="BE21" s="446">
        <f t="shared" si="22"/>
        <v>0</v>
      </c>
      <c r="BF21" s="447">
        <f t="shared" si="44"/>
        <v>23775564.264556844</v>
      </c>
      <c r="BH21" s="448">
        <f>'Op Cost-26'!E12</f>
        <v>129442718</v>
      </c>
      <c r="BI21" s="449">
        <f t="shared" si="23"/>
        <v>0.18367633677590767</v>
      </c>
      <c r="BJ21" s="450">
        <f t="shared" si="24"/>
        <v>23775564.264556844</v>
      </c>
      <c r="BK21" s="451">
        <f t="shared" si="25"/>
        <v>0</v>
      </c>
      <c r="BL21" s="1">
        <f t="shared" si="45"/>
        <v>0.74692867856452327</v>
      </c>
      <c r="BM21" s="112">
        <f t="shared" si="46"/>
        <v>0.75387297801325404</v>
      </c>
      <c r="BN21" s="112">
        <f t="shared" si="47"/>
        <v>0.78343327044450306</v>
      </c>
      <c r="BO21" s="113">
        <f t="shared" si="48"/>
        <v>0.72520423290016811</v>
      </c>
      <c r="BP21" s="452">
        <f t="shared" si="26"/>
        <v>23775564.264556844</v>
      </c>
      <c r="BQ21" s="115">
        <f t="shared" si="49"/>
        <v>0.14753431953540996</v>
      </c>
      <c r="BR21" s="116">
        <f t="shared" si="50"/>
        <v>0.14753431953540996</v>
      </c>
      <c r="BS21" s="453">
        <f t="shared" si="51"/>
        <v>0.15531622546595047</v>
      </c>
      <c r="BT21" s="118">
        <f t="shared" si="52"/>
        <v>24935860.959367018</v>
      </c>
      <c r="BU21" s="119">
        <f t="shared" si="53"/>
        <v>38832815.399999999</v>
      </c>
      <c r="BV21" s="119">
        <f t="shared" si="54"/>
        <v>24935860.959367018</v>
      </c>
      <c r="BW21" s="119">
        <f t="shared" si="65"/>
        <v>0</v>
      </c>
      <c r="BX21" s="120">
        <f t="shared" si="55"/>
        <v>0.14753431953540996</v>
      </c>
      <c r="BY21" s="454">
        <f t="shared" si="56"/>
        <v>0.16725598861228883</v>
      </c>
      <c r="BZ21" s="122">
        <f t="shared" si="57"/>
        <v>24979073.309509326</v>
      </c>
      <c r="CA21" s="455">
        <f t="shared" si="27"/>
        <v>0.21107543175440491</v>
      </c>
      <c r="CB21" s="456">
        <f t="shared" si="28"/>
        <v>1576848.2982736265</v>
      </c>
      <c r="CC21" s="456">
        <f t="shared" si="29"/>
        <v>25352412.562830471</v>
      </c>
      <c r="CD21" s="457">
        <f t="shared" si="30"/>
        <v>0.19585815992237177</v>
      </c>
      <c r="CE21" s="458">
        <f t="shared" si="31"/>
        <v>0</v>
      </c>
      <c r="CF21" s="17"/>
      <c r="CG21" s="459">
        <f t="shared" si="32"/>
        <v>129442718</v>
      </c>
      <c r="CH21" s="460">
        <f t="shared" si="58"/>
        <v>0.19585815992237177</v>
      </c>
      <c r="CI21" s="461">
        <f t="shared" si="33"/>
        <v>25352412.562830471</v>
      </c>
      <c r="CJ21" s="462">
        <f t="shared" si="34"/>
        <v>0</v>
      </c>
      <c r="CL21" s="463">
        <f t="shared" si="35"/>
        <v>25352412.562830471</v>
      </c>
      <c r="CM21" s="464">
        <f t="shared" si="36"/>
        <v>0.21796911722865156</v>
      </c>
      <c r="CN21" s="465">
        <f t="shared" si="37"/>
        <v>31309.476826760023</v>
      </c>
      <c r="CO21" s="466">
        <f t="shared" si="59"/>
        <v>25383722.039657231</v>
      </c>
      <c r="CP21" s="467">
        <f t="shared" si="60"/>
        <v>0.19610003893503866</v>
      </c>
      <c r="CQ21" s="468">
        <f t="shared" si="38"/>
        <v>0</v>
      </c>
      <c r="CR21" s="469"/>
      <c r="CS21" s="470">
        <f t="shared" si="39"/>
        <v>38832815.399999999</v>
      </c>
      <c r="CT21" s="465">
        <f t="shared" si="40"/>
        <v>0</v>
      </c>
      <c r="CU21" s="471">
        <f t="shared" si="41"/>
        <v>25383722.039657231</v>
      </c>
      <c r="CV21" s="472">
        <f t="shared" si="42"/>
        <v>0.19610003893503866</v>
      </c>
      <c r="CY21" s="473">
        <v>0</v>
      </c>
      <c r="CZ21" s="474">
        <f t="shared" si="61"/>
        <v>25383722.039657231</v>
      </c>
      <c r="DA21" s="475">
        <f t="shared" si="62"/>
        <v>0.19610003893503866</v>
      </c>
      <c r="DB21" s="1">
        <f t="shared" si="63"/>
        <v>0</v>
      </c>
      <c r="DC21" s="293">
        <f t="shared" si="64"/>
        <v>0.19297395554927491</v>
      </c>
      <c r="DF21" s="476"/>
    </row>
    <row r="22" spans="1:110">
      <c r="A22" s="477" t="s">
        <v>92</v>
      </c>
      <c r="B22" s="428" t="s">
        <v>96</v>
      </c>
      <c r="C22" s="429"/>
      <c r="D22" s="91">
        <f>'Op Cost-26'!E13</f>
        <v>1347743</v>
      </c>
      <c r="E22" s="92">
        <f>'Ridership-26'!$E13</f>
        <v>101901</v>
      </c>
      <c r="F22" s="92">
        <f>'Revenue Hours-26'!$E13</f>
        <v>20119</v>
      </c>
      <c r="G22" s="92">
        <f>'Revenue Miles-26'!$E13</f>
        <v>529269</v>
      </c>
      <c r="H22" s="478">
        <f t="shared" si="0"/>
        <v>3.3304599095293156E-3</v>
      </c>
      <c r="I22" s="431">
        <f t="shared" si="1"/>
        <v>3.3304599095293165E-3</v>
      </c>
      <c r="J22" s="432"/>
      <c r="K22" s="433">
        <f>'Ridership-26'!B13/'Revenue Hours-26'!B13</f>
        <v>2.5445369916707494</v>
      </c>
      <c r="L22" s="434">
        <f>'Ridership-26'!C13/'Revenue Hours-26'!C13</f>
        <v>3.1323175227328584</v>
      </c>
      <c r="M22" s="434">
        <f>'Ridership-26'!D13/'Revenue Hours-26'!D13</f>
        <v>4.5268015794669303</v>
      </c>
      <c r="N22" s="434">
        <f>'Ridership-26'!E13/'Revenue Hours-26'!E13</f>
        <v>5.0649137631094989</v>
      </c>
      <c r="O22" s="435">
        <f t="shared" si="2"/>
        <v>1.073695224756283</v>
      </c>
      <c r="P22" s="436">
        <f t="shared" si="3"/>
        <v>3.5758989011038691E-3</v>
      </c>
      <c r="Q22" s="437">
        <f t="shared" si="4"/>
        <v>3.454594104316745E-3</v>
      </c>
      <c r="R22" s="438">
        <f>'Ridership-26'!B13/'Revenue Miles-26'!B13</f>
        <v>0.1120356208297289</v>
      </c>
      <c r="S22" s="434">
        <f>'Ridership-26'!C13/'Revenue Miles-26'!C13</f>
        <v>0.13193504175827817</v>
      </c>
      <c r="T22" s="434">
        <f>'Ridership-26'!D13/'Revenue Miles-26'!D13</f>
        <v>0.17952070654971744</v>
      </c>
      <c r="U22" s="434">
        <f>'Ridership-26'!E13/'Revenue Miles-26'!E13</f>
        <v>0.1925315860176961</v>
      </c>
      <c r="V22" s="435">
        <f t="shared" si="5"/>
        <v>1.025802652359719</v>
      </c>
      <c r="W22" s="436">
        <f t="shared" si="6"/>
        <v>3.4163946087728825E-3</v>
      </c>
      <c r="X22" s="437">
        <f t="shared" si="7"/>
        <v>3.3054360178754014E-3</v>
      </c>
      <c r="Y22" s="438">
        <f>'Op Cost-26'!B13/'Revenue Hours-26'!B13</f>
        <v>48.696570308672221</v>
      </c>
      <c r="Z22" s="434">
        <f>'Op Cost-26'!C13/'Revenue Hours-26'!C13</f>
        <v>59.030916687146721</v>
      </c>
      <c r="AA22" s="434">
        <f>'Op Cost-26'!D13/'Revenue Hours-26'!D13</f>
        <v>61.540424481737411</v>
      </c>
      <c r="AB22" s="434">
        <f>'Op Cost-26'!E13/'Revenue Hours-26'!E13</f>
        <v>66.988568020279331</v>
      </c>
      <c r="AC22" s="435">
        <f t="shared" si="8"/>
        <v>1.0677662862612751</v>
      </c>
      <c r="AD22" s="436">
        <f t="shared" si="9"/>
        <v>3.1190907152451293E-3</v>
      </c>
      <c r="AE22" s="437">
        <f t="shared" si="10"/>
        <v>3.1253489821664263E-3</v>
      </c>
      <c r="AF22" s="438">
        <f>'Op Cost-26'!B13/'Revenue Miles-26'!B13</f>
        <v>2.1441034281165527</v>
      </c>
      <c r="AG22" s="434">
        <f>'Op Cost-26'!C13/'Revenue Miles-26'!C13</f>
        <v>2.4864166552799274</v>
      </c>
      <c r="AH22" s="434">
        <f>'Op Cost-26'!D13/'Revenue Miles-26'!D13</f>
        <v>2.4405267804187702</v>
      </c>
      <c r="AI22" s="434">
        <f>'Op Cost-26'!E13/'Revenue Miles-26'!E13</f>
        <v>2.5464234633050489</v>
      </c>
      <c r="AJ22" s="435">
        <f t="shared" si="11"/>
        <v>1.0231988179124334</v>
      </c>
      <c r="AK22" s="436">
        <f t="shared" si="12"/>
        <v>3.2549489417161752E-3</v>
      </c>
      <c r="AL22" s="437">
        <f t="shared" si="13"/>
        <v>3.2609131787663557E-3</v>
      </c>
      <c r="AM22" s="438">
        <f>'Op Cost-26'!B13/'Ridership-26'!B13</f>
        <v>19.13769399622598</v>
      </c>
      <c r="AN22" s="434">
        <f>'Op Cost-26'!C13/'Ridership-26'!C13</f>
        <v>18.84576396189998</v>
      </c>
      <c r="AO22" s="434">
        <f>'Op Cost-26'!D13/'Ridership-26'!D13</f>
        <v>13.594681233849073</v>
      </c>
      <c r="AP22" s="434">
        <f>'Op Cost-26'!E13/'Ridership-26'!E13</f>
        <v>13.226003670228948</v>
      </c>
      <c r="AQ22" s="439">
        <f t="shared" si="14"/>
        <v>1.0129687350188592</v>
      </c>
      <c r="AR22" s="436">
        <f t="shared" si="15"/>
        <v>3.2878210298043511E-3</v>
      </c>
      <c r="AS22" s="440">
        <f t="shared" si="16"/>
        <v>3.305913500744891E-3</v>
      </c>
      <c r="AT22" s="432"/>
      <c r="AU22" s="441">
        <f t="shared" si="17"/>
        <v>0</v>
      </c>
      <c r="AV22" s="442">
        <f t="shared" si="18"/>
        <v>0</v>
      </c>
      <c r="AW22" s="442">
        <f t="shared" si="19"/>
        <v>0</v>
      </c>
      <c r="AX22" s="442">
        <f t="shared" si="20"/>
        <v>0</v>
      </c>
      <c r="AY22" s="443">
        <f t="shared" si="21"/>
        <v>0</v>
      </c>
      <c r="AZ22" s="444">
        <f t="shared" si="43"/>
        <v>-1</v>
      </c>
      <c r="BA22" s="445">
        <f t="shared" si="22"/>
        <v>0</v>
      </c>
      <c r="BB22" s="446">
        <f t="shared" si="22"/>
        <v>0</v>
      </c>
      <c r="BC22" s="446">
        <f t="shared" si="22"/>
        <v>0</v>
      </c>
      <c r="BD22" s="446">
        <f t="shared" si="22"/>
        <v>0</v>
      </c>
      <c r="BE22" s="446">
        <f t="shared" si="22"/>
        <v>0</v>
      </c>
      <c r="BF22" s="447">
        <f t="shared" si="44"/>
        <v>400886.21221933072</v>
      </c>
      <c r="BH22" s="448">
        <f>'Op Cost-26'!E13</f>
        <v>1347743</v>
      </c>
      <c r="BI22" s="449">
        <f t="shared" si="23"/>
        <v>0.29745004219597559</v>
      </c>
      <c r="BJ22" s="450">
        <f t="shared" si="24"/>
        <v>400886.21221933072</v>
      </c>
      <c r="BK22" s="451">
        <f t="shared" si="25"/>
        <v>0</v>
      </c>
      <c r="BL22" s="1">
        <f t="shared" si="45"/>
        <v>0.58536609821678254</v>
      </c>
      <c r="BM22" s="112">
        <f t="shared" si="46"/>
        <v>0.44662653268411234</v>
      </c>
      <c r="BN22" s="112">
        <f t="shared" si="47"/>
        <v>0.23937665143647141</v>
      </c>
      <c r="BO22" s="113">
        <f t="shared" si="48"/>
        <v>0.82773060437327328</v>
      </c>
      <c r="BP22" s="452">
        <f t="shared" si="26"/>
        <v>400886.21221933072</v>
      </c>
      <c r="BQ22" s="115">
        <f t="shared" si="49"/>
        <v>1.9495383225085945E-3</v>
      </c>
      <c r="BR22" s="116">
        <f t="shared" si="50"/>
        <v>1.9495383225085945E-3</v>
      </c>
      <c r="BS22" s="453">
        <f t="shared" si="51"/>
        <v>2.0523694731284636E-3</v>
      </c>
      <c r="BT22" s="118">
        <f t="shared" si="52"/>
        <v>416218.52865347121</v>
      </c>
      <c r="BU22" s="119">
        <f t="shared" si="53"/>
        <v>404322.89999999997</v>
      </c>
      <c r="BV22" s="119">
        <f t="shared" si="54"/>
        <v>404322.89999999997</v>
      </c>
      <c r="BW22" s="119">
        <f t="shared" si="65"/>
        <v>11895.628653471242</v>
      </c>
      <c r="BX22" s="120">
        <f t="shared" si="55"/>
        <v>0</v>
      </c>
      <c r="BY22" s="454">
        <f t="shared" si="56"/>
        <v>0</v>
      </c>
      <c r="BZ22" s="122">
        <f t="shared" si="57"/>
        <v>404322.89999999997</v>
      </c>
      <c r="CA22" s="455">
        <f t="shared" si="27"/>
        <v>3.5589998784897573E-3</v>
      </c>
      <c r="CB22" s="456">
        <f t="shared" si="28"/>
        <v>26587.665155092123</v>
      </c>
      <c r="CC22" s="456">
        <f t="shared" si="29"/>
        <v>427473.87737442285</v>
      </c>
      <c r="CD22" s="457">
        <f t="shared" si="30"/>
        <v>0.31717759051571615</v>
      </c>
      <c r="CE22" s="458">
        <f t="shared" si="31"/>
        <v>1</v>
      </c>
      <c r="CF22" s="17"/>
      <c r="CG22" s="459">
        <f t="shared" si="32"/>
        <v>1347743</v>
      </c>
      <c r="CH22" s="460">
        <f t="shared" si="58"/>
        <v>0.31717759051571615</v>
      </c>
      <c r="CI22" s="461">
        <f t="shared" si="33"/>
        <v>404322.89999999997</v>
      </c>
      <c r="CJ22" s="462">
        <f t="shared" si="34"/>
        <v>23150.977374422888</v>
      </c>
      <c r="CL22" s="463">
        <f t="shared" si="35"/>
        <v>0</v>
      </c>
      <c r="CM22" s="464">
        <f t="shared" si="36"/>
        <v>0</v>
      </c>
      <c r="CN22" s="465">
        <f t="shared" si="37"/>
        <v>0</v>
      </c>
      <c r="CO22" s="466">
        <f t="shared" si="59"/>
        <v>404322.89999999997</v>
      </c>
      <c r="CP22" s="467">
        <f t="shared" si="60"/>
        <v>0.3</v>
      </c>
      <c r="CQ22" s="468">
        <f t="shared" si="38"/>
        <v>0</v>
      </c>
      <c r="CR22" s="469"/>
      <c r="CS22" s="470">
        <f t="shared" si="39"/>
        <v>404322.89999999997</v>
      </c>
      <c r="CT22" s="465">
        <f t="shared" si="40"/>
        <v>0</v>
      </c>
      <c r="CU22" s="471">
        <f t="shared" si="41"/>
        <v>404322.89999999997</v>
      </c>
      <c r="CV22" s="472">
        <f t="shared" si="42"/>
        <v>0.3</v>
      </c>
      <c r="CY22" s="473">
        <v>0</v>
      </c>
      <c r="CZ22" s="474">
        <f t="shared" si="61"/>
        <v>404322.89999999997</v>
      </c>
      <c r="DA22" s="475">
        <f t="shared" si="62"/>
        <v>0.3</v>
      </c>
      <c r="DB22" s="1">
        <f t="shared" si="63"/>
        <v>0</v>
      </c>
      <c r="DC22" s="293">
        <f t="shared" si="64"/>
        <v>0.3</v>
      </c>
      <c r="DF22" s="476"/>
    </row>
    <row r="23" spans="1:110">
      <c r="A23" s="477" t="s">
        <v>92</v>
      </c>
      <c r="B23" s="428" t="s">
        <v>97</v>
      </c>
      <c r="C23" s="429"/>
      <c r="D23" s="91">
        <f>'Op Cost-26'!E14</f>
        <v>71294</v>
      </c>
      <c r="E23" s="92">
        <f>'Ridership-26'!$E14</f>
        <v>6243</v>
      </c>
      <c r="F23" s="92">
        <f>'Revenue Hours-26'!$E14</f>
        <v>3135</v>
      </c>
      <c r="G23" s="92">
        <f>'Revenue Miles-26'!$E14</f>
        <v>11686</v>
      </c>
      <c r="H23" s="430">
        <f t="shared" si="0"/>
        <v>2.1107491742033599E-4</v>
      </c>
      <c r="I23" s="431">
        <f t="shared" si="1"/>
        <v>2.1107491742033605E-4</v>
      </c>
      <c r="J23" s="432"/>
      <c r="K23" s="433">
        <f>'Ridership-26'!B14/'Revenue Hours-26'!B14</f>
        <v>1.0119225037257824</v>
      </c>
      <c r="L23" s="434">
        <f>'Ridership-26'!C14/'Revenue Hours-26'!C14</f>
        <v>3.4102272727272727</v>
      </c>
      <c r="M23" s="434">
        <f>'Ridership-26'!D14/'Revenue Hours-26'!D14</f>
        <v>6.2649402390438249</v>
      </c>
      <c r="N23" s="434">
        <f>'Ridership-26'!E14/'Revenue Hours-26'!E14</f>
        <v>1.9913875598086124</v>
      </c>
      <c r="O23" s="435">
        <f t="shared" si="2"/>
        <v>1.4905641336229849</v>
      </c>
      <c r="P23" s="436">
        <f t="shared" si="3"/>
        <v>3.1462070141418627E-4</v>
      </c>
      <c r="Q23" s="437">
        <f t="shared" si="4"/>
        <v>3.0394786045710861E-4</v>
      </c>
      <c r="R23" s="438">
        <f>'Ridership-26'!B14/'Revenue Miles-26'!B14</f>
        <v>0.14279705573080967</v>
      </c>
      <c r="S23" s="434">
        <f>'Ridership-26'!C14/'Revenue Miles-26'!C14</f>
        <v>0.44282130736314002</v>
      </c>
      <c r="T23" s="434">
        <f>'Ridership-26'!D14/'Revenue Miles-26'!D14</f>
        <v>0.67765567765567769</v>
      </c>
      <c r="U23" s="434">
        <f>'Ridership-26'!E14/'Revenue Miles-26'!E14</f>
        <v>0.53422899195618689</v>
      </c>
      <c r="V23" s="435">
        <f t="shared" si="5"/>
        <v>1.4948703613430017</v>
      </c>
      <c r="W23" s="436">
        <f t="shared" si="6"/>
        <v>3.1552963807458199E-4</v>
      </c>
      <c r="X23" s="437">
        <f t="shared" si="7"/>
        <v>3.0528178089284878E-4</v>
      </c>
      <c r="Y23" s="438">
        <f>'Op Cost-26'!B14/'Revenue Hours-26'!B14</f>
        <v>58.488077496274215</v>
      </c>
      <c r="Z23" s="434">
        <f>'Op Cost-26'!C14/'Revenue Hours-26'!C14</f>
        <v>76.226136363636357</v>
      </c>
      <c r="AA23" s="434">
        <f>'Op Cost-26'!D14/'Revenue Hours-26'!D14</f>
        <v>100.44621513944223</v>
      </c>
      <c r="AB23" s="434">
        <f>'Op Cost-26'!E14/'Revenue Hours-26'!E14</f>
        <v>22.741307814992027</v>
      </c>
      <c r="AC23" s="435">
        <f t="shared" si="8"/>
        <v>0.90437497433822445</v>
      </c>
      <c r="AD23" s="436">
        <f t="shared" si="9"/>
        <v>2.333931426782236E-4</v>
      </c>
      <c r="AE23" s="437">
        <f t="shared" si="10"/>
        <v>2.3386143190666495E-4</v>
      </c>
      <c r="AF23" s="438">
        <f>'Op Cost-26'!B14/'Revenue Miles-26'!B14</f>
        <v>8.2535226077812833</v>
      </c>
      <c r="AG23" s="434">
        <f>'Op Cost-26'!C14/'Revenue Miles-26'!C14</f>
        <v>9.8980374797107871</v>
      </c>
      <c r="AH23" s="434">
        <f>'Op Cost-26'!D14/'Revenue Miles-26'!D14</f>
        <v>10.864899806076277</v>
      </c>
      <c r="AI23" s="434">
        <f>'Op Cost-26'!E14/'Revenue Miles-26'!E14</f>
        <v>6.1008043813109705</v>
      </c>
      <c r="AJ23" s="435">
        <f t="shared" si="11"/>
        <v>0.91713678138535648</v>
      </c>
      <c r="AK23" s="436">
        <f t="shared" si="12"/>
        <v>2.3014551559201723E-4</v>
      </c>
      <c r="AL23" s="437">
        <f t="shared" si="13"/>
        <v>2.3056722494463862E-4</v>
      </c>
      <c r="AM23" s="438">
        <f>'Op Cost-26'!B14/'Ridership-26'!B14</f>
        <v>57.798969072164951</v>
      </c>
      <c r="AN23" s="434">
        <f>'Op Cost-26'!C14/'Ridership-26'!C14</f>
        <v>22.352215928023991</v>
      </c>
      <c r="AO23" s="434">
        <f>'Op Cost-26'!D14/'Ridership-26'!D14</f>
        <v>16.033068362480126</v>
      </c>
      <c r="AP23" s="434">
        <f>'Op Cost-26'!E14/'Ridership-26'!E14</f>
        <v>11.419830209835014</v>
      </c>
      <c r="AQ23" s="439">
        <f t="shared" si="14"/>
        <v>0.66856560434544443</v>
      </c>
      <c r="AR23" s="436">
        <f t="shared" si="15"/>
        <v>3.1571309688745923E-4</v>
      </c>
      <c r="AS23" s="440">
        <f t="shared" si="16"/>
        <v>3.1745042686351458E-4</v>
      </c>
      <c r="AT23" s="432"/>
      <c r="AU23" s="441">
        <f t="shared" si="17"/>
        <v>0</v>
      </c>
      <c r="AV23" s="442">
        <f t="shared" si="18"/>
        <v>0</v>
      </c>
      <c r="AW23" s="442">
        <f t="shared" si="19"/>
        <v>0</v>
      </c>
      <c r="AX23" s="442">
        <f t="shared" si="20"/>
        <v>0</v>
      </c>
      <c r="AY23" s="443">
        <f t="shared" si="21"/>
        <v>0</v>
      </c>
      <c r="AZ23" s="444">
        <f t="shared" si="43"/>
        <v>-1</v>
      </c>
      <c r="BA23" s="445">
        <f t="shared" si="22"/>
        <v>0</v>
      </c>
      <c r="BB23" s="446">
        <f t="shared" si="22"/>
        <v>0</v>
      </c>
      <c r="BC23" s="446">
        <f t="shared" si="22"/>
        <v>0</v>
      </c>
      <c r="BD23" s="446">
        <f t="shared" si="22"/>
        <v>0</v>
      </c>
      <c r="BE23" s="446">
        <f t="shared" si="22"/>
        <v>0</v>
      </c>
      <c r="BF23" s="447">
        <f t="shared" si="44"/>
        <v>25407.008772883022</v>
      </c>
      <c r="BH23" s="448">
        <f>'Op Cost-26'!E14</f>
        <v>71294</v>
      </c>
      <c r="BI23" s="449">
        <f t="shared" si="23"/>
        <v>0.3563695230016975</v>
      </c>
      <c r="BJ23" s="450">
        <f t="shared" si="24"/>
        <v>21388.2</v>
      </c>
      <c r="BK23" s="451">
        <f t="shared" si="25"/>
        <v>4018.8087728830214</v>
      </c>
      <c r="BL23" s="1">
        <f t="shared" si="45"/>
        <v>0.68927629632035203</v>
      </c>
      <c r="BM23" s="112">
        <f t="shared" si="46"/>
        <v>0.17560151320751477</v>
      </c>
      <c r="BN23" s="112">
        <f t="shared" si="47"/>
        <v>0.66421281743869121</v>
      </c>
      <c r="BO23" s="113">
        <f t="shared" si="48"/>
        <v>0.95864542731760105</v>
      </c>
      <c r="BP23" s="452">
        <f t="shared" si="26"/>
        <v>0</v>
      </c>
      <c r="BQ23" s="115">
        <f t="shared" si="49"/>
        <v>1.4548893732561338E-4</v>
      </c>
      <c r="BR23" s="116">
        <f t="shared" si="50"/>
        <v>0</v>
      </c>
      <c r="BS23" s="453">
        <f t="shared" si="51"/>
        <v>0</v>
      </c>
      <c r="BT23" s="118">
        <f t="shared" si="52"/>
        <v>21388.2</v>
      </c>
      <c r="BU23" s="119">
        <f t="shared" si="53"/>
        <v>21388.2</v>
      </c>
      <c r="BV23" s="119">
        <f t="shared" si="54"/>
        <v>21388.2</v>
      </c>
      <c r="BW23" s="119">
        <f t="shared" si="65"/>
        <v>0</v>
      </c>
      <c r="BX23" s="120">
        <f t="shared" si="55"/>
        <v>0</v>
      </c>
      <c r="BY23" s="454">
        <f t="shared" si="56"/>
        <v>0</v>
      </c>
      <c r="BZ23" s="122">
        <f t="shared" si="57"/>
        <v>21388.2</v>
      </c>
      <c r="CA23" s="455">
        <f t="shared" si="27"/>
        <v>0</v>
      </c>
      <c r="CB23" s="456">
        <f t="shared" si="28"/>
        <v>0</v>
      </c>
      <c r="CC23" s="456">
        <f t="shared" si="29"/>
        <v>21388.2</v>
      </c>
      <c r="CD23" s="457">
        <f t="shared" si="30"/>
        <v>0.3</v>
      </c>
      <c r="CE23" s="458">
        <f t="shared" si="31"/>
        <v>0</v>
      </c>
      <c r="CF23" s="17"/>
      <c r="CG23" s="459">
        <f t="shared" si="32"/>
        <v>71294</v>
      </c>
      <c r="CH23" s="460">
        <f t="shared" si="58"/>
        <v>0.3</v>
      </c>
      <c r="CI23" s="461">
        <f t="shared" si="33"/>
        <v>21388.2</v>
      </c>
      <c r="CJ23" s="462">
        <f t="shared" si="34"/>
        <v>0</v>
      </c>
      <c r="CL23" s="463">
        <f t="shared" si="35"/>
        <v>0</v>
      </c>
      <c r="CM23" s="464">
        <f t="shared" si="36"/>
        <v>0</v>
      </c>
      <c r="CN23" s="465">
        <f t="shared" si="37"/>
        <v>0</v>
      </c>
      <c r="CO23" s="466">
        <f t="shared" si="59"/>
        <v>21388.2</v>
      </c>
      <c r="CP23" s="467">
        <f t="shared" si="60"/>
        <v>0.3</v>
      </c>
      <c r="CQ23" s="468">
        <f t="shared" si="38"/>
        <v>0</v>
      </c>
      <c r="CR23" s="469"/>
      <c r="CS23" s="470">
        <f t="shared" si="39"/>
        <v>21388.2</v>
      </c>
      <c r="CT23" s="465">
        <f t="shared" si="40"/>
        <v>0</v>
      </c>
      <c r="CU23" s="471">
        <f t="shared" si="41"/>
        <v>21388.2</v>
      </c>
      <c r="CV23" s="472">
        <f t="shared" si="42"/>
        <v>0.3</v>
      </c>
      <c r="CY23" s="473">
        <v>0</v>
      </c>
      <c r="CZ23" s="474">
        <f t="shared" si="61"/>
        <v>21388.2</v>
      </c>
      <c r="DA23" s="475">
        <f t="shared" si="62"/>
        <v>0.3</v>
      </c>
      <c r="DB23" s="1">
        <f t="shared" si="63"/>
        <v>0</v>
      </c>
      <c r="DC23" s="293">
        <f t="shared" si="64"/>
        <v>0.3</v>
      </c>
      <c r="DF23" s="476"/>
    </row>
    <row r="24" spans="1:110">
      <c r="A24" s="477" t="s">
        <v>92</v>
      </c>
      <c r="B24" s="428" t="s">
        <v>98</v>
      </c>
      <c r="C24" s="429"/>
      <c r="D24" s="91">
        <f>'Op Cost-26'!E15</f>
        <v>7769877</v>
      </c>
      <c r="E24" s="92">
        <f>'Ridership-26'!$E15</f>
        <v>1423486</v>
      </c>
      <c r="F24" s="92">
        <f>'Revenue Hours-26'!$E15</f>
        <v>68607</v>
      </c>
      <c r="G24" s="92">
        <f>'Revenue Miles-26'!$E15</f>
        <v>1127856</v>
      </c>
      <c r="H24" s="478">
        <f t="shared" si="0"/>
        <v>1.8822892505657017E-2</v>
      </c>
      <c r="I24" s="431">
        <f t="shared" si="1"/>
        <v>1.8822892505657021E-2</v>
      </c>
      <c r="J24" s="432"/>
      <c r="K24" s="433">
        <f>'Ridership-26'!B15/'Revenue Hours-26'!B15</f>
        <v>14.316342020333447</v>
      </c>
      <c r="L24" s="434">
        <f>'Ridership-26'!C15/'Revenue Hours-26'!C15</f>
        <v>19.466079261836335</v>
      </c>
      <c r="M24" s="434">
        <f>'Ridership-26'!D15/'Revenue Hours-26'!D15</f>
        <v>23.218467236227433</v>
      </c>
      <c r="N24" s="434">
        <f>'Ridership-26'!E15/'Revenue Hours-26'!E15</f>
        <v>20.748407596892445</v>
      </c>
      <c r="O24" s="435">
        <f t="shared" si="2"/>
        <v>0.96624846266131004</v>
      </c>
      <c r="P24" s="436">
        <f t="shared" si="3"/>
        <v>1.8187590946430191E-2</v>
      </c>
      <c r="Q24" s="437">
        <f t="shared" si="4"/>
        <v>1.7570615443257272E-2</v>
      </c>
      <c r="R24" s="438">
        <f>'Ridership-26'!B15/'Revenue Miles-26'!B15</f>
        <v>1.0462325686324412</v>
      </c>
      <c r="S24" s="434">
        <f>'Ridership-26'!C15/'Revenue Miles-26'!C15</f>
        <v>1.4050534441156883</v>
      </c>
      <c r="T24" s="434">
        <f>'Ridership-26'!D15/'Revenue Miles-26'!D15</f>
        <v>1.5050852081552479</v>
      </c>
      <c r="U24" s="434">
        <f>'Ridership-26'!E15/'Revenue Miles-26'!E15</f>
        <v>1.2621167950518506</v>
      </c>
      <c r="V24" s="435">
        <f t="shared" si="5"/>
        <v>0.91602143366124933</v>
      </c>
      <c r="W24" s="436">
        <f t="shared" si="6"/>
        <v>1.724217297868353E-2</v>
      </c>
      <c r="X24" s="437">
        <f t="shared" si="7"/>
        <v>1.6682177007254301E-2</v>
      </c>
      <c r="Y24" s="438">
        <f>'Op Cost-26'!B15/'Revenue Hours-26'!B15</f>
        <v>90.654407919074401</v>
      </c>
      <c r="Z24" s="434">
        <f>'Op Cost-26'!C15/'Revenue Hours-26'!C15</f>
        <v>94.089194776382797</v>
      </c>
      <c r="AA24" s="434">
        <f>'Op Cost-26'!D15/'Revenue Hours-26'!D15</f>
        <v>110.97560428152575</v>
      </c>
      <c r="AB24" s="434">
        <f>'Op Cost-26'!E15/'Revenue Hours-26'!E15</f>
        <v>113.25195679741134</v>
      </c>
      <c r="AC24" s="435">
        <f t="shared" si="8"/>
        <v>1.0300295581458903</v>
      </c>
      <c r="AD24" s="436">
        <f t="shared" si="9"/>
        <v>1.8274128501262876E-2</v>
      </c>
      <c r="AE24" s="437">
        <f t="shared" si="10"/>
        <v>1.8310794435137775E-2</v>
      </c>
      <c r="AF24" s="438">
        <f>'Op Cost-26'!B15/'Revenue Miles-26'!B15</f>
        <v>6.6249879976545323</v>
      </c>
      <c r="AG24" s="434">
        <f>'Op Cost-26'!C15/'Revenue Miles-26'!C15</f>
        <v>6.7913186521237527</v>
      </c>
      <c r="AH24" s="434">
        <f>'Op Cost-26'!D15/'Revenue Miles-26'!D15</f>
        <v>7.1937453394685633</v>
      </c>
      <c r="AI24" s="434">
        <f>'Op Cost-26'!E15/'Revenue Miles-26'!E15</f>
        <v>6.8890682853130185</v>
      </c>
      <c r="AJ24" s="435">
        <f t="shared" si="11"/>
        <v>0.97398110528978188</v>
      </c>
      <c r="AK24" s="436">
        <f t="shared" si="12"/>
        <v>1.9325726549958868E-2</v>
      </c>
      <c r="AL24" s="437">
        <f t="shared" si="13"/>
        <v>1.9361138231178712E-2</v>
      </c>
      <c r="AM24" s="438">
        <f>'Op Cost-26'!B15/'Ridership-26'!B15</f>
        <v>6.3322326185221254</v>
      </c>
      <c r="AN24" s="434">
        <f>'Op Cost-26'!C15/'Ridership-26'!C15</f>
        <v>4.833494896984555</v>
      </c>
      <c r="AO24" s="434">
        <f>'Op Cost-26'!D15/'Ridership-26'!D15</f>
        <v>4.779626628771263</v>
      </c>
      <c r="AP24" s="434">
        <f>'Op Cost-26'!E15/'Ridership-26'!E15</f>
        <v>5.4583445148037981</v>
      </c>
      <c r="AQ24" s="435">
        <f t="shared" si="14"/>
        <v>1.0742638725165357</v>
      </c>
      <c r="AR24" s="436">
        <f t="shared" si="15"/>
        <v>1.7521665753836742E-2</v>
      </c>
      <c r="AS24" s="440">
        <f t="shared" si="16"/>
        <v>1.7618085305146691E-2</v>
      </c>
      <c r="AT24" s="432"/>
      <c r="AU24" s="441">
        <f t="shared" si="17"/>
        <v>0</v>
      </c>
      <c r="AV24" s="442">
        <f t="shared" si="18"/>
        <v>0</v>
      </c>
      <c r="AW24" s="442">
        <f t="shared" si="19"/>
        <v>0</v>
      </c>
      <c r="AX24" s="442">
        <f t="shared" si="20"/>
        <v>0</v>
      </c>
      <c r="AY24" s="443">
        <f t="shared" si="21"/>
        <v>0</v>
      </c>
      <c r="AZ24" s="444">
        <f t="shared" si="43"/>
        <v>-1</v>
      </c>
      <c r="BA24" s="445">
        <f t="shared" si="22"/>
        <v>0</v>
      </c>
      <c r="BB24" s="446">
        <f t="shared" si="22"/>
        <v>0</v>
      </c>
      <c r="BC24" s="446">
        <f t="shared" si="22"/>
        <v>0</v>
      </c>
      <c r="BD24" s="446">
        <f t="shared" si="22"/>
        <v>0</v>
      </c>
      <c r="BE24" s="446">
        <f t="shared" si="22"/>
        <v>0</v>
      </c>
      <c r="BF24" s="447">
        <f t="shared" si="44"/>
        <v>2265704.5226738369</v>
      </c>
      <c r="BH24" s="448">
        <f>'Op Cost-26'!E15</f>
        <v>7769877</v>
      </c>
      <c r="BI24" s="449">
        <f t="shared" si="23"/>
        <v>0.29160107974345501</v>
      </c>
      <c r="BJ24" s="450">
        <f t="shared" si="24"/>
        <v>2265704.5226738369</v>
      </c>
      <c r="BK24" s="451">
        <f t="shared" si="25"/>
        <v>0</v>
      </c>
      <c r="BL24" s="1">
        <f t="shared" si="45"/>
        <v>1.8525306889893849</v>
      </c>
      <c r="BM24" s="112">
        <f t="shared" si="46"/>
        <v>1.8296045652764708</v>
      </c>
      <c r="BN24" s="112">
        <f t="shared" si="47"/>
        <v>1.5692037777815557</v>
      </c>
      <c r="BO24" s="113">
        <f t="shared" si="48"/>
        <v>2.0056572064497566</v>
      </c>
      <c r="BP24" s="452">
        <f t="shared" si="26"/>
        <v>2265704.5226738369</v>
      </c>
      <c r="BQ24" s="115">
        <f t="shared" si="49"/>
        <v>3.4869986022277928E-2</v>
      </c>
      <c r="BR24" s="116">
        <f t="shared" si="50"/>
        <v>3.4869986022277928E-2</v>
      </c>
      <c r="BS24" s="453">
        <f t="shared" si="51"/>
        <v>3.6709252654469907E-2</v>
      </c>
      <c r="BT24" s="118">
        <f t="shared" si="52"/>
        <v>2539942.6094941404</v>
      </c>
      <c r="BU24" s="119">
        <f t="shared" si="53"/>
        <v>2330963.1</v>
      </c>
      <c r="BV24" s="119">
        <f t="shared" si="54"/>
        <v>2330963.1</v>
      </c>
      <c r="BW24" s="119">
        <f t="shared" si="65"/>
        <v>208979.50949414028</v>
      </c>
      <c r="BX24" s="120">
        <f t="shared" si="55"/>
        <v>0</v>
      </c>
      <c r="BY24" s="454">
        <f t="shared" si="56"/>
        <v>0</v>
      </c>
      <c r="BZ24" s="122">
        <f t="shared" si="57"/>
        <v>2330963.1</v>
      </c>
      <c r="CA24" s="455">
        <f t="shared" si="27"/>
        <v>2.0114540922345672E-2</v>
      </c>
      <c r="CB24" s="456">
        <f t="shared" si="28"/>
        <v>150266.56281277078</v>
      </c>
      <c r="CC24" s="456">
        <f t="shared" si="29"/>
        <v>2415971.0854866076</v>
      </c>
      <c r="CD24" s="457">
        <f t="shared" si="30"/>
        <v>0.31094071186540118</v>
      </c>
      <c r="CE24" s="458">
        <f t="shared" si="31"/>
        <v>1</v>
      </c>
      <c r="CF24" s="17"/>
      <c r="CG24" s="459">
        <f t="shared" si="32"/>
        <v>7769877</v>
      </c>
      <c r="CH24" s="460">
        <f t="shared" si="58"/>
        <v>0.31094071186540118</v>
      </c>
      <c r="CI24" s="461">
        <f t="shared" si="33"/>
        <v>2330963.1</v>
      </c>
      <c r="CJ24" s="462">
        <f t="shared" si="34"/>
        <v>85007.985486607533</v>
      </c>
      <c r="CL24" s="463">
        <f t="shared" si="35"/>
        <v>0</v>
      </c>
      <c r="CM24" s="464">
        <f t="shared" si="36"/>
        <v>0</v>
      </c>
      <c r="CN24" s="465">
        <f t="shared" si="37"/>
        <v>0</v>
      </c>
      <c r="CO24" s="466">
        <f t="shared" si="59"/>
        <v>2330963.1</v>
      </c>
      <c r="CP24" s="467">
        <f t="shared" si="60"/>
        <v>0.3</v>
      </c>
      <c r="CQ24" s="468">
        <f t="shared" si="38"/>
        <v>0</v>
      </c>
      <c r="CR24" s="469"/>
      <c r="CS24" s="470">
        <f t="shared" si="39"/>
        <v>2330963.1</v>
      </c>
      <c r="CT24" s="465">
        <f t="shared" si="40"/>
        <v>0</v>
      </c>
      <c r="CU24" s="471">
        <f t="shared" si="41"/>
        <v>2330963.1</v>
      </c>
      <c r="CV24" s="472">
        <f t="shared" si="42"/>
        <v>0.3</v>
      </c>
      <c r="CY24" s="473">
        <v>0</v>
      </c>
      <c r="CZ24" s="474">
        <f t="shared" si="61"/>
        <v>2330963.1</v>
      </c>
      <c r="DA24" s="475">
        <f t="shared" si="62"/>
        <v>0.3</v>
      </c>
      <c r="DB24" s="1">
        <f t="shared" si="63"/>
        <v>0</v>
      </c>
      <c r="DC24" s="293">
        <f t="shared" si="64"/>
        <v>0.3</v>
      </c>
      <c r="DF24" s="476"/>
    </row>
    <row r="25" spans="1:110">
      <c r="A25" s="477" t="s">
        <v>99</v>
      </c>
      <c r="B25" s="428" t="s">
        <v>100</v>
      </c>
      <c r="C25" s="429"/>
      <c r="D25" s="91">
        <f>'Op Cost-26'!E16</f>
        <v>4067447</v>
      </c>
      <c r="E25" s="92">
        <f>'Ridership-26'!$E16</f>
        <v>259346</v>
      </c>
      <c r="F25" s="92">
        <f>'Revenue Hours-26'!$E16</f>
        <v>34940</v>
      </c>
      <c r="G25" s="92">
        <f>'Revenue Miles-26'!$E16</f>
        <v>565576</v>
      </c>
      <c r="H25" s="430">
        <f t="shared" si="0"/>
        <v>6.5633003099502341E-3</v>
      </c>
      <c r="I25" s="431">
        <f t="shared" si="1"/>
        <v>6.5633003099502358E-3</v>
      </c>
      <c r="J25" s="432"/>
      <c r="K25" s="433">
        <f>'Ridership-26'!B16/'Revenue Hours-26'!B16</f>
        <v>5.7639186016175321</v>
      </c>
      <c r="L25" s="434">
        <f>'Ridership-26'!C16/'Revenue Hours-26'!C16</f>
        <v>6.4797153630255435</v>
      </c>
      <c r="M25" s="434">
        <f>'Ridership-26'!D16/'Revenue Hours-26'!D16</f>
        <v>7.8693923906871097</v>
      </c>
      <c r="N25" s="434">
        <f>'Ridership-26'!E16/'Revenue Hours-26'!E16</f>
        <v>7.4226101888952494</v>
      </c>
      <c r="O25" s="435">
        <f t="shared" si="2"/>
        <v>0.92653452379767975</v>
      </c>
      <c r="P25" s="436">
        <f t="shared" si="3"/>
        <v>6.081124327220906E-3</v>
      </c>
      <c r="Q25" s="437">
        <f t="shared" si="4"/>
        <v>5.8748350636952922E-3</v>
      </c>
      <c r="R25" s="438">
        <f>'Ridership-26'!B16/'Revenue Miles-26'!B16</f>
        <v>0.39323250859241093</v>
      </c>
      <c r="S25" s="434">
        <f>'Ridership-26'!C16/'Revenue Miles-26'!C16</f>
        <v>0.42963025620782347</v>
      </c>
      <c r="T25" s="434">
        <f>'Ridership-26'!D16/'Revenue Miles-26'!D16</f>
        <v>0.50038763229943484</v>
      </c>
      <c r="U25" s="434">
        <f>'Ridership-26'!E16/'Revenue Miles-26'!E16</f>
        <v>0.45855198947621539</v>
      </c>
      <c r="V25" s="435">
        <f t="shared" si="5"/>
        <v>0.89996760816377319</v>
      </c>
      <c r="W25" s="436">
        <f t="shared" si="6"/>
        <v>5.9067576816064652E-3</v>
      </c>
      <c r="X25" s="437">
        <f t="shared" si="7"/>
        <v>5.7149164032480092E-3</v>
      </c>
      <c r="Y25" s="438">
        <f>'Op Cost-26'!B16/'Revenue Hours-26'!B16</f>
        <v>72.997808505087406</v>
      </c>
      <c r="Z25" s="434">
        <f>'Op Cost-26'!C16/'Revenue Hours-26'!C16</f>
        <v>89.842457403679873</v>
      </c>
      <c r="AA25" s="434">
        <f>'Op Cost-26'!D16/'Revenue Hours-26'!D16</f>
        <v>122.89167251227578</v>
      </c>
      <c r="AB25" s="434">
        <f>'Op Cost-26'!E16/'Revenue Hours-26'!E16</f>
        <v>116.41233543216943</v>
      </c>
      <c r="AC25" s="435">
        <f t="shared" si="8"/>
        <v>1.1275204801752217</v>
      </c>
      <c r="AD25" s="436">
        <f t="shared" si="9"/>
        <v>5.8210031882793556E-3</v>
      </c>
      <c r="AE25" s="437">
        <f t="shared" si="10"/>
        <v>5.8326826792040407E-3</v>
      </c>
      <c r="AF25" s="438">
        <f>'Op Cost-26'!B16/'Revenue Miles-26'!B16</f>
        <v>4.9801382261276927</v>
      </c>
      <c r="AG25" s="434">
        <f>'Op Cost-26'!C16/'Revenue Miles-26'!C16</f>
        <v>5.9569033252504751</v>
      </c>
      <c r="AH25" s="434">
        <f>'Op Cost-26'!D16/'Revenue Miles-26'!D16</f>
        <v>7.8142593461864411</v>
      </c>
      <c r="AI25" s="434">
        <f>'Op Cost-26'!E16/'Revenue Miles-26'!E16</f>
        <v>7.1916895342093721</v>
      </c>
      <c r="AJ25" s="435">
        <f t="shared" si="11"/>
        <v>1.0962426841958166</v>
      </c>
      <c r="AK25" s="436">
        <f t="shared" si="12"/>
        <v>5.9870869877366173E-3</v>
      </c>
      <c r="AL25" s="437">
        <f t="shared" si="13"/>
        <v>5.9980574842557069E-3</v>
      </c>
      <c r="AM25" s="438">
        <f>'Op Cost-26'!B16/'Ridership-26'!B16</f>
        <v>12.664614743969837</v>
      </c>
      <c r="AN25" s="434">
        <f>'Op Cost-26'!C16/'Ridership-26'!C16</f>
        <v>13.865185794477576</v>
      </c>
      <c r="AO25" s="434">
        <f>'Op Cost-26'!D16/'Ridership-26'!D16</f>
        <v>15.616411841111102</v>
      </c>
      <c r="AP25" s="434">
        <f>'Op Cost-26'!E16/'Ridership-26'!E16</f>
        <v>15.683476899585882</v>
      </c>
      <c r="AQ25" s="439">
        <f t="shared" si="14"/>
        <v>1.21686915565862</v>
      </c>
      <c r="AR25" s="436">
        <f t="shared" si="15"/>
        <v>5.3935957530272891E-3</v>
      </c>
      <c r="AS25" s="440">
        <f t="shared" si="16"/>
        <v>5.4232760408355566E-3</v>
      </c>
      <c r="AT25" s="432"/>
      <c r="AU25" s="441">
        <f t="shared" si="17"/>
        <v>0</v>
      </c>
      <c r="AV25" s="442">
        <f t="shared" si="18"/>
        <v>0</v>
      </c>
      <c r="AW25" s="442">
        <f t="shared" si="19"/>
        <v>0</v>
      </c>
      <c r="AX25" s="442">
        <f t="shared" si="20"/>
        <v>0</v>
      </c>
      <c r="AY25" s="443">
        <f t="shared" si="21"/>
        <v>0</v>
      </c>
      <c r="AZ25" s="444">
        <f t="shared" si="43"/>
        <v>-1</v>
      </c>
      <c r="BA25" s="445">
        <f t="shared" si="22"/>
        <v>0</v>
      </c>
      <c r="BB25" s="446">
        <f t="shared" si="22"/>
        <v>0</v>
      </c>
      <c r="BC25" s="446">
        <f t="shared" si="22"/>
        <v>0</v>
      </c>
      <c r="BD25" s="446">
        <f t="shared" si="22"/>
        <v>0</v>
      </c>
      <c r="BE25" s="446">
        <f t="shared" si="22"/>
        <v>0</v>
      </c>
      <c r="BF25" s="447">
        <f t="shared" si="44"/>
        <v>790022.00068090879</v>
      </c>
      <c r="BH25" s="448">
        <f>'Op Cost-26'!E16</f>
        <v>4067447</v>
      </c>
      <c r="BI25" s="449">
        <f t="shared" si="23"/>
        <v>0.19423043513066274</v>
      </c>
      <c r="BJ25" s="450">
        <f t="shared" si="24"/>
        <v>790022.00068090879</v>
      </c>
      <c r="BK25" s="451">
        <f t="shared" si="25"/>
        <v>0</v>
      </c>
      <c r="BL25" s="1">
        <f t="shared" si="45"/>
        <v>0.65517900173493193</v>
      </c>
      <c r="BM25" s="112">
        <f t="shared" si="46"/>
        <v>0.65452933794805446</v>
      </c>
      <c r="BN25" s="112">
        <f t="shared" si="47"/>
        <v>0.57012276281908136</v>
      </c>
      <c r="BO25" s="113">
        <f t="shared" si="48"/>
        <v>0.69803195308629595</v>
      </c>
      <c r="BP25" s="452">
        <f t="shared" si="26"/>
        <v>790022.00068090879</v>
      </c>
      <c r="BQ25" s="115">
        <f t="shared" si="49"/>
        <v>4.300136545159765E-3</v>
      </c>
      <c r="BR25" s="116">
        <f t="shared" si="50"/>
        <v>4.300136545159765E-3</v>
      </c>
      <c r="BS25" s="453">
        <f t="shared" si="51"/>
        <v>4.5269533169338821E-3</v>
      </c>
      <c r="BT25" s="118">
        <f t="shared" si="52"/>
        <v>823840.80457883037</v>
      </c>
      <c r="BU25" s="119">
        <f t="shared" si="53"/>
        <v>1220234.0999999999</v>
      </c>
      <c r="BV25" s="119">
        <f t="shared" si="54"/>
        <v>823840.80457883037</v>
      </c>
      <c r="BW25" s="119">
        <f t="shared" si="65"/>
        <v>0</v>
      </c>
      <c r="BX25" s="120">
        <f t="shared" si="55"/>
        <v>4.300136545159765E-3</v>
      </c>
      <c r="BY25" s="454">
        <f t="shared" si="56"/>
        <v>4.8749578490847791E-3</v>
      </c>
      <c r="BZ25" s="122">
        <f t="shared" si="57"/>
        <v>825100.30139715935</v>
      </c>
      <c r="CA25" s="455">
        <f t="shared" si="27"/>
        <v>7.0136814854816548E-3</v>
      </c>
      <c r="CB25" s="456">
        <f t="shared" si="28"/>
        <v>52396.016073927509</v>
      </c>
      <c r="CC25" s="456">
        <f t="shared" si="29"/>
        <v>842418.01675483631</v>
      </c>
      <c r="CD25" s="457">
        <f t="shared" si="30"/>
        <v>0.20711222955205963</v>
      </c>
      <c r="CE25" s="458">
        <f t="shared" si="31"/>
        <v>0</v>
      </c>
      <c r="CF25" s="17"/>
      <c r="CG25" s="459">
        <f t="shared" si="32"/>
        <v>4067447</v>
      </c>
      <c r="CH25" s="460">
        <f t="shared" si="58"/>
        <v>0.20711222955205963</v>
      </c>
      <c r="CI25" s="461">
        <f t="shared" si="33"/>
        <v>842418.01675483631</v>
      </c>
      <c r="CJ25" s="462">
        <f t="shared" si="34"/>
        <v>0</v>
      </c>
      <c r="CL25" s="463">
        <f t="shared" si="35"/>
        <v>842418.01675483631</v>
      </c>
      <c r="CM25" s="464">
        <f t="shared" si="36"/>
        <v>7.2427470559063307E-3</v>
      </c>
      <c r="CN25" s="465">
        <f t="shared" si="37"/>
        <v>1040.3612401251478</v>
      </c>
      <c r="CO25" s="466">
        <f t="shared" si="59"/>
        <v>843458.37799496145</v>
      </c>
      <c r="CP25" s="467">
        <f t="shared" si="60"/>
        <v>0.20736800700659688</v>
      </c>
      <c r="CQ25" s="468">
        <f t="shared" si="38"/>
        <v>0</v>
      </c>
      <c r="CR25" s="469"/>
      <c r="CS25" s="470">
        <f t="shared" si="39"/>
        <v>1220234.0999999999</v>
      </c>
      <c r="CT25" s="465">
        <f t="shared" si="40"/>
        <v>0</v>
      </c>
      <c r="CU25" s="471">
        <f t="shared" si="41"/>
        <v>843458.37799496145</v>
      </c>
      <c r="CV25" s="472">
        <f t="shared" si="42"/>
        <v>0.20736800700659688</v>
      </c>
      <c r="CY25" s="473">
        <v>0</v>
      </c>
      <c r="CZ25" s="474">
        <f t="shared" si="61"/>
        <v>843458.37799496145</v>
      </c>
      <c r="DA25" s="475">
        <f t="shared" si="62"/>
        <v>0.20736800700659688</v>
      </c>
      <c r="DB25" s="1">
        <f t="shared" si="63"/>
        <v>0</v>
      </c>
      <c r="DC25" s="293">
        <f t="shared" si="64"/>
        <v>0.20285459193375091</v>
      </c>
      <c r="DF25" s="476"/>
    </row>
    <row r="26" spans="1:110">
      <c r="A26" s="477" t="s">
        <v>99</v>
      </c>
      <c r="B26" s="428" t="s">
        <v>101</v>
      </c>
      <c r="C26" s="429"/>
      <c r="D26" s="91">
        <f>'Op Cost-26'!E17</f>
        <v>698366</v>
      </c>
      <c r="E26" s="92">
        <f>'Ridership-26'!$E17</f>
        <v>96178</v>
      </c>
      <c r="F26" s="92">
        <f>'Revenue Hours-26'!$E17</f>
        <v>11193</v>
      </c>
      <c r="G26" s="92">
        <f>'Revenue Miles-26'!$E17</f>
        <v>168612</v>
      </c>
      <c r="H26" s="430">
        <f t="shared" si="0"/>
        <v>1.7962437158230401E-3</v>
      </c>
      <c r="I26" s="431">
        <f t="shared" si="1"/>
        <v>1.7962437158230405E-3</v>
      </c>
      <c r="J26" s="432"/>
      <c r="K26" s="433">
        <f>'Ridership-26'!B17/'Revenue Hours-26'!B17</f>
        <v>6.5520235467255334</v>
      </c>
      <c r="L26" s="434">
        <f>'Ridership-26'!C17/'Revenue Hours-26'!C17</f>
        <v>6.5625580805947452</v>
      </c>
      <c r="M26" s="434">
        <f>'Ridership-26'!D17/'Revenue Hours-26'!D17</f>
        <v>7.7980103806228378</v>
      </c>
      <c r="N26" s="434">
        <f>'Ridership-26'!E17/'Revenue Hours-26'!E17</f>
        <v>8.5926918609845444</v>
      </c>
      <c r="O26" s="435">
        <f t="shared" si="2"/>
        <v>0.93668954813722882</v>
      </c>
      <c r="P26" s="436">
        <f t="shared" si="3"/>
        <v>1.6825227145186206E-3</v>
      </c>
      <c r="Q26" s="437">
        <f t="shared" si="4"/>
        <v>1.6254466948606272E-3</v>
      </c>
      <c r="R26" s="438">
        <f>'Ridership-26'!B17/'Revenue Miles-26'!B17</f>
        <v>0.47317713453679738</v>
      </c>
      <c r="S26" s="434">
        <f>'Ridership-26'!C17/'Revenue Miles-26'!C17</f>
        <v>0.44629120011030743</v>
      </c>
      <c r="T26" s="434">
        <f>'Ridership-26'!D17/'Revenue Miles-26'!D17</f>
        <v>0.52648024202497345</v>
      </c>
      <c r="U26" s="434">
        <f>'Ridership-26'!E17/'Revenue Miles-26'!E17</f>
        <v>0.57041017246696557</v>
      </c>
      <c r="V26" s="435">
        <f t="shared" si="5"/>
        <v>0.91643691347378609</v>
      </c>
      <c r="W26" s="436">
        <f t="shared" si="6"/>
        <v>1.6461440467755517E-3</v>
      </c>
      <c r="X26" s="437">
        <f t="shared" si="7"/>
        <v>1.5926801338612005E-3</v>
      </c>
      <c r="Y26" s="438">
        <f>'Op Cost-26'!B17/'Revenue Hours-26'!B17</f>
        <v>45.519278881530539</v>
      </c>
      <c r="Z26" s="434">
        <f>'Op Cost-26'!C17/'Revenue Hours-26'!C17</f>
        <v>51.194390470558417</v>
      </c>
      <c r="AA26" s="434">
        <f>'Op Cost-26'!D17/'Revenue Hours-26'!D17</f>
        <v>60.816435986159171</v>
      </c>
      <c r="AB26" s="434">
        <f>'Op Cost-26'!E17/'Revenue Hours-26'!E17</f>
        <v>62.393102832127219</v>
      </c>
      <c r="AC26" s="435">
        <f t="shared" si="8"/>
        <v>1.0630086809606323</v>
      </c>
      <c r="AD26" s="436">
        <f t="shared" si="9"/>
        <v>1.6897733273445986E-3</v>
      </c>
      <c r="AE26" s="437">
        <f t="shared" si="10"/>
        <v>1.6931637553521341E-3</v>
      </c>
      <c r="AF26" s="438">
        <f>'Op Cost-26'!B17/'Revenue Miles-26'!B17</f>
        <v>3.2873328054671349</v>
      </c>
      <c r="AG26" s="434">
        <f>'Op Cost-26'!C17/'Revenue Miles-26'!C17</f>
        <v>3.4815091434513583</v>
      </c>
      <c r="AH26" s="434">
        <f>'Op Cost-26'!D17/'Revenue Miles-26'!D17</f>
        <v>4.1060027332936189</v>
      </c>
      <c r="AI26" s="434">
        <f>'Op Cost-26'!E17/'Revenue Miles-26'!E17</f>
        <v>4.1418522999549259</v>
      </c>
      <c r="AJ26" s="435">
        <f t="shared" si="11"/>
        <v>1.0382731642613201</v>
      </c>
      <c r="AK26" s="436">
        <f t="shared" si="12"/>
        <v>1.7300299936972548E-3</v>
      </c>
      <c r="AL26" s="437">
        <f t="shared" si="13"/>
        <v>1.7332000308225967E-3</v>
      </c>
      <c r="AM26" s="438">
        <f>'Op Cost-26'!B17/'Ridership-26'!B17</f>
        <v>6.9473619190943596</v>
      </c>
      <c r="AN26" s="434">
        <f>'Op Cost-26'!C17/'Ridership-26'!C17</f>
        <v>7.8009809348489334</v>
      </c>
      <c r="AO26" s="434">
        <f>'Op Cost-26'!D17/'Ridership-26'!D17</f>
        <v>7.7989683288035945</v>
      </c>
      <c r="AP26" s="434">
        <f>'Op Cost-26'!E17/'Ridership-26'!E17</f>
        <v>7.261182390983385</v>
      </c>
      <c r="AQ26" s="439">
        <f t="shared" si="14"/>
        <v>1.1577327465899605</v>
      </c>
      <c r="AR26" s="436">
        <f t="shared" si="15"/>
        <v>1.5515184494122496E-3</v>
      </c>
      <c r="AS26" s="440">
        <f t="shared" si="16"/>
        <v>1.5600562628167015E-3</v>
      </c>
      <c r="AT26" s="432"/>
      <c r="AU26" s="441">
        <f t="shared" si="17"/>
        <v>0</v>
      </c>
      <c r="AV26" s="442">
        <f t="shared" si="18"/>
        <v>0</v>
      </c>
      <c r="AW26" s="442">
        <f t="shared" si="19"/>
        <v>0</v>
      </c>
      <c r="AX26" s="442">
        <f t="shared" si="20"/>
        <v>0</v>
      </c>
      <c r="AY26" s="443">
        <f t="shared" si="21"/>
        <v>0</v>
      </c>
      <c r="AZ26" s="444">
        <f t="shared" si="43"/>
        <v>-1</v>
      </c>
      <c r="BA26" s="445">
        <f t="shared" si="22"/>
        <v>0</v>
      </c>
      <c r="BB26" s="446">
        <f t="shared" si="22"/>
        <v>0</v>
      </c>
      <c r="BC26" s="446">
        <f t="shared" si="22"/>
        <v>0</v>
      </c>
      <c r="BD26" s="446">
        <f t="shared" si="22"/>
        <v>0</v>
      </c>
      <c r="BE26" s="446">
        <f t="shared" si="22"/>
        <v>0</v>
      </c>
      <c r="BF26" s="447">
        <f t="shared" si="44"/>
        <v>216213.18347016</v>
      </c>
      <c r="BH26" s="448">
        <f>'Op Cost-26'!E17</f>
        <v>698366</v>
      </c>
      <c r="BI26" s="449">
        <f t="shared" si="23"/>
        <v>0.30959866813413023</v>
      </c>
      <c r="BJ26" s="450">
        <f t="shared" si="24"/>
        <v>209509.8</v>
      </c>
      <c r="BK26" s="451">
        <f t="shared" si="25"/>
        <v>6703.3834701600135</v>
      </c>
      <c r="BL26" s="1">
        <f t="shared" si="45"/>
        <v>1.1205682111163711</v>
      </c>
      <c r="BM26" s="112">
        <f t="shared" si="46"/>
        <v>0.75770770279382382</v>
      </c>
      <c r="BN26" s="112">
        <f t="shared" si="47"/>
        <v>0.70919727954608103</v>
      </c>
      <c r="BO26" s="113">
        <f t="shared" si="48"/>
        <v>1.5076839310627899</v>
      </c>
      <c r="BP26" s="452">
        <f t="shared" si="26"/>
        <v>0</v>
      </c>
      <c r="BQ26" s="115">
        <f t="shared" si="49"/>
        <v>2.0128136073688475E-3</v>
      </c>
      <c r="BR26" s="116">
        <f t="shared" si="50"/>
        <v>0</v>
      </c>
      <c r="BS26" s="453">
        <f t="shared" si="51"/>
        <v>0</v>
      </c>
      <c r="BT26" s="118">
        <f t="shared" si="52"/>
        <v>209509.8</v>
      </c>
      <c r="BU26" s="119">
        <f t="shared" si="53"/>
        <v>209509.8</v>
      </c>
      <c r="BV26" s="119">
        <f t="shared" si="54"/>
        <v>209509.8</v>
      </c>
      <c r="BW26" s="119">
        <f>BT26-BV26</f>
        <v>0</v>
      </c>
      <c r="BX26" s="120">
        <f t="shared" si="55"/>
        <v>0</v>
      </c>
      <c r="BY26" s="454">
        <f t="shared" si="56"/>
        <v>0</v>
      </c>
      <c r="BZ26" s="122">
        <f t="shared" si="57"/>
        <v>209509.8</v>
      </c>
      <c r="CA26" s="455">
        <f t="shared" si="27"/>
        <v>0</v>
      </c>
      <c r="CB26" s="456">
        <f t="shared" si="28"/>
        <v>0</v>
      </c>
      <c r="CC26" s="456">
        <f t="shared" si="29"/>
        <v>209509.8</v>
      </c>
      <c r="CD26" s="457">
        <f t="shared" si="30"/>
        <v>0.3</v>
      </c>
      <c r="CE26" s="458">
        <f t="shared" si="31"/>
        <v>0</v>
      </c>
      <c r="CF26" s="17"/>
      <c r="CG26" s="459">
        <f t="shared" si="32"/>
        <v>698366</v>
      </c>
      <c r="CH26" s="460">
        <f t="shared" si="58"/>
        <v>0.3</v>
      </c>
      <c r="CI26" s="461">
        <f t="shared" si="33"/>
        <v>209509.8</v>
      </c>
      <c r="CJ26" s="462">
        <f t="shared" si="34"/>
        <v>0</v>
      </c>
      <c r="CL26" s="463">
        <f t="shared" si="35"/>
        <v>0</v>
      </c>
      <c r="CM26" s="464">
        <f t="shared" si="36"/>
        <v>0</v>
      </c>
      <c r="CN26" s="465">
        <f t="shared" si="37"/>
        <v>0</v>
      </c>
      <c r="CO26" s="466">
        <f t="shared" si="59"/>
        <v>209509.8</v>
      </c>
      <c r="CP26" s="467">
        <f t="shared" si="60"/>
        <v>0.3</v>
      </c>
      <c r="CQ26" s="468">
        <f t="shared" si="38"/>
        <v>0</v>
      </c>
      <c r="CR26" s="469"/>
      <c r="CS26" s="470">
        <f t="shared" si="39"/>
        <v>209509.8</v>
      </c>
      <c r="CT26" s="465">
        <f t="shared" si="40"/>
        <v>0</v>
      </c>
      <c r="CU26" s="471">
        <f t="shared" si="41"/>
        <v>209509.8</v>
      </c>
      <c r="CV26" s="472">
        <f t="shared" si="42"/>
        <v>0.3</v>
      </c>
      <c r="CY26" s="473">
        <v>0</v>
      </c>
      <c r="CZ26" s="474">
        <f t="shared" si="61"/>
        <v>209509.8</v>
      </c>
      <c r="DA26" s="475">
        <f t="shared" si="62"/>
        <v>0.3</v>
      </c>
      <c r="DB26" s="1">
        <f t="shared" si="63"/>
        <v>0</v>
      </c>
      <c r="DC26" s="293">
        <f t="shared" si="64"/>
        <v>0.3</v>
      </c>
      <c r="DF26" s="476"/>
    </row>
    <row r="27" spans="1:110">
      <c r="A27" s="477" t="s">
        <v>99</v>
      </c>
      <c r="B27" s="428" t="s">
        <v>102</v>
      </c>
      <c r="C27" s="429"/>
      <c r="D27" s="91">
        <f>'Op Cost-26'!E18</f>
        <v>9003000</v>
      </c>
      <c r="E27" s="92">
        <f>'Ridership-26'!$E18</f>
        <v>585649</v>
      </c>
      <c r="F27" s="92">
        <f>'Revenue Hours-26'!$E18</f>
        <v>80007.260000000009</v>
      </c>
      <c r="G27" s="92">
        <f>'Revenue Miles-26'!$E18</f>
        <v>1157573.97</v>
      </c>
      <c r="H27" s="430">
        <f t="shared" si="0"/>
        <v>1.4475191648559049E-2</v>
      </c>
      <c r="I27" s="431">
        <f t="shared" si="1"/>
        <v>1.4475191648559052E-2</v>
      </c>
      <c r="J27" s="432"/>
      <c r="K27" s="433">
        <f>'Ridership-26'!B18/'Revenue Hours-26'!B18</f>
        <v>6.2106387495687709</v>
      </c>
      <c r="L27" s="434">
        <f>'Ridership-26'!C18/'Revenue Hours-26'!C18</f>
        <v>5.9993407953505891</v>
      </c>
      <c r="M27" s="434">
        <f>'Ridership-26'!D18/'Revenue Hours-26'!D18</f>
        <v>6.5244789507405869</v>
      </c>
      <c r="N27" s="434">
        <f>'Ridership-26'!E18/'Revenue Hours-26'!E18</f>
        <v>7.3199482146995152</v>
      </c>
      <c r="O27" s="435">
        <f t="shared" si="2"/>
        <v>0.90539464268492109</v>
      </c>
      <c r="P27" s="436">
        <f t="shared" si="3"/>
        <v>1.3105760970442876E-2</v>
      </c>
      <c r="Q27" s="437">
        <f t="shared" si="4"/>
        <v>1.2661175786345688E-2</v>
      </c>
      <c r="R27" s="438">
        <f>'Ridership-26'!B18/'Revenue Miles-26'!B18</f>
        <v>0.43710720015539234</v>
      </c>
      <c r="S27" s="434">
        <f>'Ridership-26'!C18/'Revenue Miles-26'!C18</f>
        <v>0.41539215330115964</v>
      </c>
      <c r="T27" s="434">
        <f>'Ridership-26'!D18/'Revenue Miles-26'!D18</f>
        <v>0.45126387982562621</v>
      </c>
      <c r="U27" s="434">
        <f>'Ridership-26'!E18/'Revenue Miles-26'!E18</f>
        <v>0.50592792787142582</v>
      </c>
      <c r="V27" s="435">
        <f t="shared" si="5"/>
        <v>0.90393113365152045</v>
      </c>
      <c r="W27" s="436">
        <f t="shared" si="6"/>
        <v>1.3084576396705004E-2</v>
      </c>
      <c r="X27" s="437">
        <f t="shared" si="7"/>
        <v>1.2659611974931049E-2</v>
      </c>
      <c r="Y27" s="438">
        <f>'Op Cost-26'!B18/'Revenue Hours-26'!B18</f>
        <v>88.890998593530242</v>
      </c>
      <c r="Z27" s="434">
        <f>'Op Cost-26'!C18/'Revenue Hours-26'!C18</f>
        <v>103.53699617930367</v>
      </c>
      <c r="AA27" s="434">
        <f>'Op Cost-26'!D18/'Revenue Hours-26'!D18</f>
        <v>108.98527619693715</v>
      </c>
      <c r="AB27" s="434">
        <f>'Op Cost-26'!E18/'Revenue Hours-26'!E18</f>
        <v>112.5272881486005</v>
      </c>
      <c r="AC27" s="435">
        <f t="shared" si="8"/>
        <v>1.0371555930389649</v>
      </c>
      <c r="AD27" s="436">
        <f t="shared" si="9"/>
        <v>1.3956624970941302E-2</v>
      </c>
      <c r="AE27" s="437">
        <f t="shared" si="10"/>
        <v>1.3984628095044645E-2</v>
      </c>
      <c r="AF27" s="438">
        <f>'Op Cost-26'!B18/'Revenue Miles-26'!B18</f>
        <v>6.2561834749980854</v>
      </c>
      <c r="AG27" s="434">
        <f>'Op Cost-26'!C18/'Revenue Miles-26'!C18</f>
        <v>7.168863589577354</v>
      </c>
      <c r="AH27" s="434">
        <f>'Op Cost-26'!D18/'Revenue Miles-26'!D18</f>
        <v>7.537938117635405</v>
      </c>
      <c r="AI27" s="434">
        <f>'Op Cost-26'!E18/'Revenue Miles-26'!E18</f>
        <v>7.7774727432753172</v>
      </c>
      <c r="AJ27" s="435">
        <f t="shared" si="11"/>
        <v>1.0360687752653082</v>
      </c>
      <c r="AK27" s="436">
        <f t="shared" si="12"/>
        <v>1.3971265223056608E-2</v>
      </c>
      <c r="AL27" s="437">
        <f t="shared" si="13"/>
        <v>1.3996865605481445E-2</v>
      </c>
      <c r="AM27" s="438">
        <f>'Op Cost-26'!B18/'Ridership-26'!B18</f>
        <v>14.312698287225656</v>
      </c>
      <c r="AN27" s="434">
        <f>'Op Cost-26'!C18/'Ridership-26'!C18</f>
        <v>17.258062129016487</v>
      </c>
      <c r="AO27" s="434">
        <f>'Op Cost-26'!D18/'Ridership-26'!D18</f>
        <v>16.704058212122263</v>
      </c>
      <c r="AP27" s="434">
        <f>'Op Cost-26'!E18/'Ridership-26'!E18</f>
        <v>15.372689102175535</v>
      </c>
      <c r="AQ27" s="435">
        <f t="shared" si="14"/>
        <v>1.1776106082937341</v>
      </c>
      <c r="AR27" s="436">
        <f t="shared" si="15"/>
        <v>1.2292001742012561E-2</v>
      </c>
      <c r="AS27" s="440">
        <f t="shared" si="16"/>
        <v>1.2359643101533783E-2</v>
      </c>
      <c r="AT27" s="432"/>
      <c r="AU27" s="441">
        <f t="shared" si="17"/>
        <v>0</v>
      </c>
      <c r="AV27" s="442">
        <f t="shared" si="18"/>
        <v>0</v>
      </c>
      <c r="AW27" s="442">
        <f t="shared" si="19"/>
        <v>0</v>
      </c>
      <c r="AX27" s="442">
        <f t="shared" si="20"/>
        <v>0</v>
      </c>
      <c r="AY27" s="443">
        <f t="shared" si="21"/>
        <v>0</v>
      </c>
      <c r="AZ27" s="444">
        <f t="shared" si="43"/>
        <v>-1</v>
      </c>
      <c r="BA27" s="445">
        <f t="shared" si="22"/>
        <v>0</v>
      </c>
      <c r="BB27" s="446">
        <f t="shared" si="22"/>
        <v>0</v>
      </c>
      <c r="BC27" s="446">
        <f t="shared" si="22"/>
        <v>0</v>
      </c>
      <c r="BD27" s="446">
        <f t="shared" si="22"/>
        <v>0</v>
      </c>
      <c r="BE27" s="446">
        <f t="shared" si="22"/>
        <v>0</v>
      </c>
      <c r="BF27" s="447">
        <f t="shared" si="44"/>
        <v>1742373.3985015403</v>
      </c>
      <c r="BH27" s="448">
        <f>'Op Cost-26'!E18</f>
        <v>9003000</v>
      </c>
      <c r="BI27" s="449">
        <f t="shared" si="23"/>
        <v>0.1935325334334711</v>
      </c>
      <c r="BJ27" s="450">
        <f t="shared" si="24"/>
        <v>1742373.3985015403</v>
      </c>
      <c r="BK27" s="451">
        <f t="shared" si="25"/>
        <v>0</v>
      </c>
      <c r="BL27" s="1">
        <f t="shared" si="45"/>
        <v>0.67469757709144351</v>
      </c>
      <c r="BM27" s="112">
        <f t="shared" si="46"/>
        <v>0.64547655566624973</v>
      </c>
      <c r="BN27" s="112">
        <f t="shared" si="47"/>
        <v>0.62902579128457003</v>
      </c>
      <c r="BO27" s="113">
        <f t="shared" si="48"/>
        <v>0.7121439807074772</v>
      </c>
      <c r="BP27" s="452">
        <f t="shared" si="26"/>
        <v>1742373.3985015403</v>
      </c>
      <c r="BQ27" s="115">
        <f t="shared" si="49"/>
        <v>9.7663767332170897E-3</v>
      </c>
      <c r="BR27" s="116">
        <f t="shared" si="50"/>
        <v>9.7663767332170897E-3</v>
      </c>
      <c r="BS27" s="453">
        <f t="shared" si="51"/>
        <v>1.0281518059380686E-2</v>
      </c>
      <c r="BT27" s="118">
        <f t="shared" si="52"/>
        <v>1819181.9314551423</v>
      </c>
      <c r="BU27" s="119">
        <f t="shared" si="53"/>
        <v>2700900</v>
      </c>
      <c r="BV27" s="119">
        <f t="shared" si="54"/>
        <v>1819181.9314551423</v>
      </c>
      <c r="BW27" s="119">
        <f t="shared" si="65"/>
        <v>0</v>
      </c>
      <c r="BX27" s="120">
        <f t="shared" si="55"/>
        <v>9.7663767332170897E-3</v>
      </c>
      <c r="BY27" s="454">
        <f t="shared" si="56"/>
        <v>1.107189839501869E-2</v>
      </c>
      <c r="BZ27" s="122">
        <f t="shared" si="57"/>
        <v>1822042.4732758282</v>
      </c>
      <c r="CA27" s="455">
        <f t="shared" si="27"/>
        <v>1.5468495858765157E-2</v>
      </c>
      <c r="CB27" s="456">
        <f t="shared" si="28"/>
        <v>115558.07878259831</v>
      </c>
      <c r="CC27" s="456">
        <f t="shared" si="29"/>
        <v>1857931.4772841386</v>
      </c>
      <c r="CD27" s="457">
        <f t="shared" si="30"/>
        <v>0.20636804146219467</v>
      </c>
      <c r="CE27" s="458">
        <f t="shared" si="31"/>
        <v>0</v>
      </c>
      <c r="CF27" s="17"/>
      <c r="CG27" s="459">
        <f t="shared" si="32"/>
        <v>9003000</v>
      </c>
      <c r="CH27" s="460">
        <f t="shared" si="58"/>
        <v>0.20636804146219467</v>
      </c>
      <c r="CI27" s="461">
        <f t="shared" si="33"/>
        <v>1857931.4772841386</v>
      </c>
      <c r="CJ27" s="462">
        <f t="shared" si="34"/>
        <v>0</v>
      </c>
      <c r="CL27" s="463">
        <f t="shared" si="35"/>
        <v>1857931.4772841386</v>
      </c>
      <c r="CM27" s="464">
        <f t="shared" si="36"/>
        <v>1.5973694139416256E-2</v>
      </c>
      <c r="CN27" s="465">
        <f t="shared" si="37"/>
        <v>2294.490214277314</v>
      </c>
      <c r="CO27" s="466">
        <f t="shared" si="59"/>
        <v>1860225.9674984158</v>
      </c>
      <c r="CP27" s="467">
        <f t="shared" si="60"/>
        <v>0.20662289986653515</v>
      </c>
      <c r="CQ27" s="468">
        <f t="shared" si="38"/>
        <v>0</v>
      </c>
      <c r="CR27" s="469"/>
      <c r="CS27" s="470">
        <f t="shared" si="39"/>
        <v>2700900</v>
      </c>
      <c r="CT27" s="465">
        <f t="shared" si="40"/>
        <v>0</v>
      </c>
      <c r="CU27" s="471">
        <f t="shared" si="41"/>
        <v>1860225.9674984158</v>
      </c>
      <c r="CV27" s="472">
        <f t="shared" si="42"/>
        <v>0.20662289986653515</v>
      </c>
      <c r="CY27" s="473">
        <v>0</v>
      </c>
      <c r="CZ27" s="474">
        <f t="shared" si="61"/>
        <v>1860225.9674984158</v>
      </c>
      <c r="DA27" s="475">
        <f t="shared" si="62"/>
        <v>0.20662289986653515</v>
      </c>
      <c r="DB27" s="1">
        <f t="shared" si="63"/>
        <v>0</v>
      </c>
      <c r="DC27" s="293">
        <f t="shared" si="64"/>
        <v>0.20238170312960438</v>
      </c>
      <c r="DF27" s="476"/>
    </row>
    <row r="28" spans="1:110">
      <c r="A28" s="477" t="s">
        <v>99</v>
      </c>
      <c r="B28" s="428" t="s">
        <v>103</v>
      </c>
      <c r="C28" s="429"/>
      <c r="D28" s="91">
        <f>'Op Cost-26'!E19</f>
        <v>165710</v>
      </c>
      <c r="E28" s="92">
        <f>'Ridership-26'!$E19</f>
        <v>15318</v>
      </c>
      <c r="F28" s="92">
        <f>'Revenue Hours-26'!$E19</f>
        <v>3004</v>
      </c>
      <c r="G28" s="92">
        <f>'Revenue Miles-26'!$E19</f>
        <v>50699</v>
      </c>
      <c r="H28" s="478">
        <f t="shared" si="0"/>
        <v>4.1219889924786873E-4</v>
      </c>
      <c r="I28" s="431">
        <f t="shared" si="1"/>
        <v>4.1219889924786884E-4</v>
      </c>
      <c r="J28" s="432"/>
      <c r="K28" s="433">
        <f>'Ridership-26'!B19/'Revenue Hours-26'!B19</f>
        <v>4.686815011624045</v>
      </c>
      <c r="L28" s="434">
        <f>'Ridership-26'!C19/'Revenue Hours-26'!C19</f>
        <v>4.8892540256325994</v>
      </c>
      <c r="M28" s="434">
        <f>'Ridership-26'!D19/'Revenue Hours-26'!D19</f>
        <v>4.7219286657859971</v>
      </c>
      <c r="N28" s="434">
        <f>'Ridership-26'!E19/'Revenue Hours-26'!E19</f>
        <v>5.099201065246338</v>
      </c>
      <c r="O28" s="435">
        <f t="shared" si="2"/>
        <v>0.87823638966897821</v>
      </c>
      <c r="P28" s="436">
        <f t="shared" si="3"/>
        <v>3.6200807310097523E-4</v>
      </c>
      <c r="Q28" s="437">
        <f t="shared" si="4"/>
        <v>3.4972771592162204E-4</v>
      </c>
      <c r="R28" s="438">
        <f>'Ridership-26'!B19/'Revenue Miles-26'!B19</f>
        <v>0.28707433174661295</v>
      </c>
      <c r="S28" s="434">
        <f>'Ridership-26'!C19/'Revenue Miles-26'!C19</f>
        <v>0.30552817479875144</v>
      </c>
      <c r="T28" s="434">
        <f>'Ridership-26'!D19/'Revenue Miles-26'!D19</f>
        <v>0.29334044561158756</v>
      </c>
      <c r="U28" s="434">
        <f>'Ridership-26'!E19/'Revenue Miles-26'!E19</f>
        <v>0.30213613680743212</v>
      </c>
      <c r="V28" s="435">
        <f t="shared" si="5"/>
        <v>0.87051960662416128</v>
      </c>
      <c r="W28" s="436">
        <f t="shared" si="6"/>
        <v>3.5882722362416707E-4</v>
      </c>
      <c r="X28" s="437">
        <f t="shared" si="7"/>
        <v>3.471731357132586E-4</v>
      </c>
      <c r="Y28" s="438">
        <f>'Op Cost-26'!B19/'Revenue Hours-26'!B19</f>
        <v>38.42344735968117</v>
      </c>
      <c r="Z28" s="434">
        <f>'Op Cost-26'!C19/'Revenue Hours-26'!C19</f>
        <v>35.43739730529083</v>
      </c>
      <c r="AA28" s="434">
        <f>'Op Cost-26'!D19/'Revenue Hours-26'!D19</f>
        <v>58.537318361955087</v>
      </c>
      <c r="AB28" s="434">
        <f>'Op Cost-26'!E19/'Revenue Hours-26'!E19</f>
        <v>55.163115845539281</v>
      </c>
      <c r="AC28" s="435">
        <f t="shared" si="8"/>
        <v>1.1105520609683832</v>
      </c>
      <c r="AD28" s="436">
        <f t="shared" si="9"/>
        <v>3.7116575956685734E-4</v>
      </c>
      <c r="AE28" s="437">
        <f t="shared" si="10"/>
        <v>3.7191048122053096E-4</v>
      </c>
      <c r="AF28" s="438">
        <f>'Op Cost-26'!B19/'Revenue Miles-26'!B19</f>
        <v>2.3534928190731925</v>
      </c>
      <c r="AG28" s="434">
        <f>'Op Cost-26'!C19/'Revenue Miles-26'!C19</f>
        <v>2.2144734680466569</v>
      </c>
      <c r="AH28" s="434">
        <f>'Op Cost-26'!D19/'Revenue Miles-26'!D19</f>
        <v>3.6365147101062738</v>
      </c>
      <c r="AI28" s="434">
        <f>'Op Cost-26'!E19/'Revenue Miles-26'!E19</f>
        <v>3.2685062821751907</v>
      </c>
      <c r="AJ28" s="435">
        <f t="shared" si="11"/>
        <v>1.1037169090605909</v>
      </c>
      <c r="AK28" s="436">
        <f t="shared" si="12"/>
        <v>3.7346433298616821E-4</v>
      </c>
      <c r="AL28" s="437">
        <f t="shared" si="13"/>
        <v>3.7414865395451574E-4</v>
      </c>
      <c r="AM28" s="438">
        <f>'Op Cost-26'!B19/'Ridership-26'!B19</f>
        <v>8.1982001133786842</v>
      </c>
      <c r="AN28" s="434">
        <f>'Op Cost-26'!C19/'Ridership-26'!C19</f>
        <v>7.2480172066137918</v>
      </c>
      <c r="AO28" s="434">
        <f>'Op Cost-26'!D19/'Ridership-26'!D19</f>
        <v>12.396908658553643</v>
      </c>
      <c r="AP28" s="434">
        <f>'Op Cost-26'!E19/'Ridership-26'!E19</f>
        <v>10.817991904948427</v>
      </c>
      <c r="AQ28" s="439">
        <f t="shared" si="14"/>
        <v>1.2936229881858146</v>
      </c>
      <c r="AR28" s="436">
        <f t="shared" si="15"/>
        <v>3.1863912671027851E-4</v>
      </c>
      <c r="AS28" s="440">
        <f t="shared" si="16"/>
        <v>3.2039255826517911E-4</v>
      </c>
      <c r="AT28" s="432"/>
      <c r="AU28" s="441">
        <f t="shared" si="17"/>
        <v>0</v>
      </c>
      <c r="AV28" s="442">
        <f t="shared" si="18"/>
        <v>0</v>
      </c>
      <c r="AW28" s="442">
        <f t="shared" si="19"/>
        <v>0</v>
      </c>
      <c r="AX28" s="442">
        <f t="shared" si="20"/>
        <v>0</v>
      </c>
      <c r="AY28" s="443">
        <f t="shared" si="21"/>
        <v>0</v>
      </c>
      <c r="AZ28" s="444">
        <f t="shared" si="43"/>
        <v>-1</v>
      </c>
      <c r="BA28" s="445">
        <f t="shared" si="22"/>
        <v>0</v>
      </c>
      <c r="BB28" s="446">
        <f t="shared" si="22"/>
        <v>0</v>
      </c>
      <c r="BC28" s="446">
        <f t="shared" si="22"/>
        <v>0</v>
      </c>
      <c r="BD28" s="446">
        <f t="shared" si="22"/>
        <v>0</v>
      </c>
      <c r="BE28" s="446">
        <f t="shared" si="22"/>
        <v>0</v>
      </c>
      <c r="BF28" s="447">
        <f t="shared" si="44"/>
        <v>49616.227154588145</v>
      </c>
      <c r="BH28" s="448">
        <f>'Op Cost-26'!E19</f>
        <v>165710</v>
      </c>
      <c r="BI28" s="449">
        <f t="shared" si="23"/>
        <v>0.29941601082969127</v>
      </c>
      <c r="BJ28" s="450">
        <f t="shared" si="24"/>
        <v>49616.227154588145</v>
      </c>
      <c r="BK28" s="451">
        <f t="shared" si="25"/>
        <v>0</v>
      </c>
      <c r="BL28" s="1">
        <f t="shared" si="45"/>
        <v>0.71231371822670408</v>
      </c>
      <c r="BM28" s="112">
        <f t="shared" si="46"/>
        <v>0.44965000348434714</v>
      </c>
      <c r="BN28" s="112">
        <f t="shared" si="47"/>
        <v>0.37564920230941845</v>
      </c>
      <c r="BO28" s="113">
        <f t="shared" si="48"/>
        <v>1.0119778335565253</v>
      </c>
      <c r="BP28" s="452">
        <f t="shared" si="26"/>
        <v>49616.227154588145</v>
      </c>
      <c r="BQ28" s="115">
        <f t="shared" si="49"/>
        <v>2.9361493057220402E-4</v>
      </c>
      <c r="BR28" s="116">
        <f t="shared" si="50"/>
        <v>2.9361493057220402E-4</v>
      </c>
      <c r="BS28" s="453">
        <f t="shared" si="51"/>
        <v>3.0910206452659675E-4</v>
      </c>
      <c r="BT28" s="118">
        <f t="shared" si="52"/>
        <v>51925.387725244931</v>
      </c>
      <c r="BU28" s="119">
        <f t="shared" si="53"/>
        <v>49713</v>
      </c>
      <c r="BV28" s="119">
        <f t="shared" si="54"/>
        <v>49713</v>
      </c>
      <c r="BW28" s="119">
        <f t="shared" si="65"/>
        <v>2212.3877252449311</v>
      </c>
      <c r="BX28" s="120">
        <f t="shared" si="55"/>
        <v>0</v>
      </c>
      <c r="BY28" s="454">
        <f t="shared" si="56"/>
        <v>0</v>
      </c>
      <c r="BZ28" s="122">
        <f t="shared" si="57"/>
        <v>49713</v>
      </c>
      <c r="CA28" s="455">
        <f t="shared" si="27"/>
        <v>4.4048445926019432E-4</v>
      </c>
      <c r="CB28" s="456">
        <f t="shared" si="28"/>
        <v>3290.6585301153646</v>
      </c>
      <c r="CC28" s="456">
        <f t="shared" si="29"/>
        <v>52906.885684703506</v>
      </c>
      <c r="CD28" s="457">
        <f t="shared" si="30"/>
        <v>0.31927394656148395</v>
      </c>
      <c r="CE28" s="458">
        <f t="shared" si="31"/>
        <v>1</v>
      </c>
      <c r="CF28" s="17"/>
      <c r="CG28" s="459">
        <f t="shared" si="32"/>
        <v>165710</v>
      </c>
      <c r="CH28" s="460">
        <f t="shared" si="58"/>
        <v>0.31927394656148395</v>
      </c>
      <c r="CI28" s="461">
        <f t="shared" si="33"/>
        <v>49713</v>
      </c>
      <c r="CJ28" s="462">
        <f t="shared" si="34"/>
        <v>3193.8856847035058</v>
      </c>
      <c r="CL28" s="463">
        <f t="shared" si="35"/>
        <v>0</v>
      </c>
      <c r="CM28" s="464">
        <f t="shared" si="36"/>
        <v>0</v>
      </c>
      <c r="CN28" s="465">
        <f t="shared" si="37"/>
        <v>0</v>
      </c>
      <c r="CO28" s="466">
        <f t="shared" si="59"/>
        <v>49713</v>
      </c>
      <c r="CP28" s="467">
        <f t="shared" si="60"/>
        <v>0.3</v>
      </c>
      <c r="CQ28" s="468">
        <f t="shared" si="38"/>
        <v>0</v>
      </c>
      <c r="CR28" s="469"/>
      <c r="CS28" s="470">
        <f t="shared" si="39"/>
        <v>49713</v>
      </c>
      <c r="CT28" s="465">
        <f t="shared" si="40"/>
        <v>0</v>
      </c>
      <c r="CU28" s="471">
        <f t="shared" si="41"/>
        <v>49713</v>
      </c>
      <c r="CV28" s="472">
        <f t="shared" si="42"/>
        <v>0.3</v>
      </c>
      <c r="CY28" s="473">
        <v>0</v>
      </c>
      <c r="CZ28" s="474">
        <f t="shared" si="61"/>
        <v>49713</v>
      </c>
      <c r="DA28" s="475">
        <f t="shared" si="62"/>
        <v>0.3</v>
      </c>
      <c r="DB28" s="1">
        <f t="shared" si="63"/>
        <v>0</v>
      </c>
      <c r="DC28" s="293">
        <f t="shared" si="64"/>
        <v>0.3</v>
      </c>
      <c r="DF28" s="476"/>
    </row>
    <row r="29" spans="1:110">
      <c r="A29" s="477" t="s">
        <v>104</v>
      </c>
      <c r="B29" s="428" t="s">
        <v>105</v>
      </c>
      <c r="C29" s="429"/>
      <c r="D29" s="91">
        <f>'Op Cost-26'!E20</f>
        <v>25291520</v>
      </c>
      <c r="E29" s="92">
        <f>'Ridership-26'!$E20</f>
        <v>690827</v>
      </c>
      <c r="F29" s="92">
        <f>'Revenue Hours-26'!$E20</f>
        <v>172995.92</v>
      </c>
      <c r="G29" s="92">
        <f>'Revenue Miles-26'!$E20</f>
        <v>3894172</v>
      </c>
      <c r="H29" s="478">
        <f t="shared" si="0"/>
        <v>3.4173877405736741E-2</v>
      </c>
      <c r="I29" s="431">
        <f t="shared" si="1"/>
        <v>3.4173877405736748E-2</v>
      </c>
      <c r="J29" s="432"/>
      <c r="K29" s="433">
        <f>'Ridership-26'!B20/'Revenue Hours-26'!B20</f>
        <v>3.470492023892092</v>
      </c>
      <c r="L29" s="434">
        <f>'Ridership-26'!C20/'Revenue Hours-26'!C20</f>
        <v>4.2679119210326499</v>
      </c>
      <c r="M29" s="434">
        <f>'Ridership-26'!D20/'Revenue Hours-26'!D20</f>
        <v>4.451152820443574</v>
      </c>
      <c r="N29" s="434">
        <f>'Ridership-26'!E20/'Revenue Hours-26'!E20</f>
        <v>3.9933138307539271</v>
      </c>
      <c r="O29" s="435">
        <f t="shared" si="2"/>
        <v>0.89152476012892912</v>
      </c>
      <c r="P29" s="436">
        <f t="shared" si="3"/>
        <v>3.0466857856824885E-2</v>
      </c>
      <c r="Q29" s="437">
        <f t="shared" si="4"/>
        <v>2.9433334230101697E-2</v>
      </c>
      <c r="R29" s="438">
        <f>'Ridership-26'!B20/'Revenue Miles-26'!B20</f>
        <v>0.16305901321605187</v>
      </c>
      <c r="S29" s="434">
        <f>'Ridership-26'!C20/'Revenue Miles-26'!C20</f>
        <v>0.18749795684455406</v>
      </c>
      <c r="T29" s="434">
        <f>'Ridership-26'!D20/'Revenue Miles-26'!D20</f>
        <v>0.20352598918826306</v>
      </c>
      <c r="U29" s="434">
        <f>'Ridership-26'!E20/'Revenue Miles-26'!E20</f>
        <v>0.17740022782763576</v>
      </c>
      <c r="V29" s="435">
        <f t="shared" si="5"/>
        <v>0.87910488190980651</v>
      </c>
      <c r="W29" s="436">
        <f t="shared" si="6"/>
        <v>3.004242246117041E-2</v>
      </c>
      <c r="X29" s="437">
        <f t="shared" si="7"/>
        <v>2.9066696514618927E-2</v>
      </c>
      <c r="Y29" s="438">
        <f>'Op Cost-26'!B20/'Revenue Hours-26'!B20</f>
        <v>179.69728056645377</v>
      </c>
      <c r="Z29" s="434">
        <f>'Op Cost-26'!C20/'Revenue Hours-26'!C20</f>
        <v>158.41301948873704</v>
      </c>
      <c r="AA29" s="434">
        <f>'Op Cost-26'!D20/'Revenue Hours-26'!D20</f>
        <v>159.2898254734497</v>
      </c>
      <c r="AB29" s="434">
        <f>'Op Cost-26'!E20/'Revenue Hours-26'!E20</f>
        <v>146.19720511327665</v>
      </c>
      <c r="AC29" s="435">
        <f t="shared" si="8"/>
        <v>0.89241794556285381</v>
      </c>
      <c r="AD29" s="436">
        <f t="shared" si="9"/>
        <v>3.8293579343233693E-2</v>
      </c>
      <c r="AE29" s="437">
        <f t="shared" si="10"/>
        <v>3.8370413094727517E-2</v>
      </c>
      <c r="AF29" s="438">
        <f>'Op Cost-26'!B20/'Revenue Miles-26'!B20</f>
        <v>8.4429703468712045</v>
      </c>
      <c r="AG29" s="434">
        <f>'Op Cost-26'!C20/'Revenue Miles-26'!C20</f>
        <v>6.9594026402794391</v>
      </c>
      <c r="AH29" s="434">
        <f>'Op Cost-26'!D20/'Revenue Miles-26'!D20</f>
        <v>7.2834208585718461</v>
      </c>
      <c r="AI29" s="434">
        <f>'Op Cost-26'!E20/'Revenue Miles-26'!E20</f>
        <v>6.4947105572121622</v>
      </c>
      <c r="AJ29" s="435">
        <f t="shared" si="11"/>
        <v>0.88136384841768123</v>
      </c>
      <c r="AK29" s="436">
        <f t="shared" si="12"/>
        <v>3.8773858795194918E-2</v>
      </c>
      <c r="AL29" s="437">
        <f t="shared" si="13"/>
        <v>3.8844906448889549E-2</v>
      </c>
      <c r="AM29" s="438">
        <f>'Op Cost-26'!B20/'Ridership-26'!B20</f>
        <v>51.778617939287642</v>
      </c>
      <c r="AN29" s="434">
        <f>'Op Cost-26'!C20/'Ridership-26'!C20</f>
        <v>37.117218541475417</v>
      </c>
      <c r="AO29" s="434">
        <f>'Op Cost-26'!D20/'Ridership-26'!D20</f>
        <v>35.786195599003463</v>
      </c>
      <c r="AP29" s="434">
        <f>'Op Cost-26'!E20/'Ridership-26'!E20</f>
        <v>36.610497273557634</v>
      </c>
      <c r="AQ29" s="435">
        <f t="shared" si="14"/>
        <v>1.0046673128501329</v>
      </c>
      <c r="AR29" s="436">
        <f t="shared" si="15"/>
        <v>3.4015118207428426E-2</v>
      </c>
      <c r="AS29" s="440">
        <f t="shared" si="16"/>
        <v>3.4202299179910849E-2</v>
      </c>
      <c r="AT29" s="432"/>
      <c r="AU29" s="441">
        <f t="shared" si="17"/>
        <v>0</v>
      </c>
      <c r="AV29" s="442">
        <f t="shared" si="18"/>
        <v>0</v>
      </c>
      <c r="AW29" s="442">
        <f t="shared" si="19"/>
        <v>0</v>
      </c>
      <c r="AX29" s="442">
        <f t="shared" si="20"/>
        <v>0</v>
      </c>
      <c r="AY29" s="443">
        <f t="shared" si="21"/>
        <v>0</v>
      </c>
      <c r="AZ29" s="444">
        <f t="shared" si="43"/>
        <v>-1</v>
      </c>
      <c r="BA29" s="445">
        <f t="shared" si="22"/>
        <v>0</v>
      </c>
      <c r="BB29" s="446">
        <f t="shared" si="22"/>
        <v>0</v>
      </c>
      <c r="BC29" s="446">
        <f t="shared" si="22"/>
        <v>0</v>
      </c>
      <c r="BD29" s="446">
        <f t="shared" si="22"/>
        <v>0</v>
      </c>
      <c r="BE29" s="446">
        <f t="shared" si="22"/>
        <v>0</v>
      </c>
      <c r="BF29" s="447">
        <f t="shared" si="44"/>
        <v>4113496.8269201377</v>
      </c>
      <c r="BH29" s="448">
        <f>'Op Cost-26'!E20</f>
        <v>25291520</v>
      </c>
      <c r="BI29" s="449">
        <f t="shared" si="23"/>
        <v>0.16264332182961475</v>
      </c>
      <c r="BJ29" s="450">
        <f t="shared" si="24"/>
        <v>4113496.8269201377</v>
      </c>
      <c r="BK29" s="451">
        <f t="shared" si="25"/>
        <v>0</v>
      </c>
      <c r="BL29" s="1">
        <f t="shared" si="45"/>
        <v>0.29268805815451676</v>
      </c>
      <c r="BM29" s="112">
        <f t="shared" si="46"/>
        <v>0.35213233503391017</v>
      </c>
      <c r="BN29" s="112">
        <f t="shared" si="47"/>
        <v>0.22056366635624902</v>
      </c>
      <c r="BO29" s="113">
        <f t="shared" si="48"/>
        <v>0.29902811561395393</v>
      </c>
      <c r="BP29" s="452">
        <f t="shared" si="26"/>
        <v>4113496.8269201377</v>
      </c>
      <c r="BQ29" s="115">
        <f t="shared" si="49"/>
        <v>1.0002285817495604E-2</v>
      </c>
      <c r="BR29" s="116">
        <f t="shared" si="50"/>
        <v>1.0002285817495604E-2</v>
      </c>
      <c r="BS29" s="453">
        <f t="shared" si="51"/>
        <v>1.0529870501298267E-2</v>
      </c>
      <c r="BT29" s="118">
        <f t="shared" si="52"/>
        <v>4192160.6877162787</v>
      </c>
      <c r="BU29" s="119">
        <f t="shared" si="53"/>
        <v>7587456</v>
      </c>
      <c r="BV29" s="119">
        <f t="shared" si="54"/>
        <v>4192160.6877162787</v>
      </c>
      <c r="BW29" s="119">
        <f t="shared" si="65"/>
        <v>0</v>
      </c>
      <c r="BX29" s="120">
        <f t="shared" si="55"/>
        <v>1.0002285817495604E-2</v>
      </c>
      <c r="BY29" s="454">
        <f t="shared" si="56"/>
        <v>1.1339342656380213E-2</v>
      </c>
      <c r="BZ29" s="122">
        <f t="shared" si="57"/>
        <v>4195090.3265849175</v>
      </c>
      <c r="CA29" s="455">
        <f t="shared" si="27"/>
        <v>3.6518927967437928E-2</v>
      </c>
      <c r="CB29" s="456">
        <f t="shared" si="28"/>
        <v>272816.25787331787</v>
      </c>
      <c r="CC29" s="456">
        <f t="shared" si="29"/>
        <v>4386313.0847934559</v>
      </c>
      <c r="CD29" s="457">
        <f t="shared" si="30"/>
        <v>0.1734301886479522</v>
      </c>
      <c r="CE29" s="458">
        <f t="shared" si="31"/>
        <v>0</v>
      </c>
      <c r="CF29" s="17"/>
      <c r="CG29" s="459">
        <f t="shared" si="32"/>
        <v>25291520</v>
      </c>
      <c r="CH29" s="460">
        <f t="shared" si="58"/>
        <v>0.1734301886479522</v>
      </c>
      <c r="CI29" s="461">
        <f t="shared" si="33"/>
        <v>4386313.0847934559</v>
      </c>
      <c r="CJ29" s="462">
        <f t="shared" si="34"/>
        <v>0</v>
      </c>
      <c r="CL29" s="463">
        <f t="shared" si="35"/>
        <v>4386313.0847934559</v>
      </c>
      <c r="CM29" s="464">
        <f t="shared" si="36"/>
        <v>3.7711629558389116E-2</v>
      </c>
      <c r="CN29" s="465">
        <f t="shared" si="37"/>
        <v>5416.9664343740242</v>
      </c>
      <c r="CO29" s="466">
        <f t="shared" si="59"/>
        <v>4391730.0512278304</v>
      </c>
      <c r="CP29" s="467">
        <f t="shared" si="60"/>
        <v>0.17364436978195974</v>
      </c>
      <c r="CQ29" s="468">
        <f t="shared" si="38"/>
        <v>0</v>
      </c>
      <c r="CR29" s="469"/>
      <c r="CS29" s="470">
        <f t="shared" si="39"/>
        <v>7587456</v>
      </c>
      <c r="CT29" s="465">
        <f t="shared" si="40"/>
        <v>0</v>
      </c>
      <c r="CU29" s="471">
        <f t="shared" si="41"/>
        <v>4391730.0512278304</v>
      </c>
      <c r="CV29" s="472">
        <f t="shared" si="42"/>
        <v>0.17364436978195974</v>
      </c>
      <c r="CY29" s="473">
        <v>0</v>
      </c>
      <c r="CZ29" s="474">
        <f t="shared" si="61"/>
        <v>4391730.0512278304</v>
      </c>
      <c r="DA29" s="475">
        <f t="shared" si="62"/>
        <v>0.17364436978195974</v>
      </c>
      <c r="DB29" s="1">
        <f t="shared" si="63"/>
        <v>0</v>
      </c>
      <c r="DC29" s="293">
        <f t="shared" si="64"/>
        <v>0.1658694426663529</v>
      </c>
      <c r="DF29" s="476"/>
    </row>
    <row r="30" spans="1:110">
      <c r="A30" s="477" t="s">
        <v>104</v>
      </c>
      <c r="B30" s="428" t="s">
        <v>106</v>
      </c>
      <c r="C30" s="429"/>
      <c r="D30" s="91">
        <f>'Op Cost-26'!E21</f>
        <v>28281032</v>
      </c>
      <c r="E30" s="92">
        <f>'Ridership-26'!$E21</f>
        <v>2458738</v>
      </c>
      <c r="F30" s="92">
        <f>'Revenue Hours-26'!$E21</f>
        <v>230883</v>
      </c>
      <c r="G30" s="92">
        <f>'Revenue Miles-26'!$E21</f>
        <v>2329537</v>
      </c>
      <c r="H30" s="478">
        <f t="shared" si="0"/>
        <v>4.5927288204419138E-2</v>
      </c>
      <c r="I30" s="431">
        <f t="shared" si="1"/>
        <v>4.5927288204419145E-2</v>
      </c>
      <c r="J30" s="432"/>
      <c r="K30" s="433">
        <f>'Ridership-26'!B21/'Revenue Hours-26'!B21</f>
        <v>7.8216167510040826</v>
      </c>
      <c r="L30" s="434">
        <f>'Ridership-26'!C21/'Revenue Hours-26'!C21</f>
        <v>8.8817225863249529</v>
      </c>
      <c r="M30" s="434">
        <f>'Ridership-26'!D21/'Revenue Hours-26'!D21</f>
        <v>9.7390196531791915</v>
      </c>
      <c r="N30" s="434">
        <f>'Ridership-26'!E21/'Revenue Hours-26'!E21</f>
        <v>10.649281237683155</v>
      </c>
      <c r="O30" s="435">
        <f t="shared" si="2"/>
        <v>0.94314927205126431</v>
      </c>
      <c r="P30" s="436">
        <f t="shared" si="3"/>
        <v>4.3316288437286535E-2</v>
      </c>
      <c r="Q30" s="437">
        <f t="shared" si="4"/>
        <v>4.1846875092061517E-2</v>
      </c>
      <c r="R30" s="438">
        <f>'Ridership-26'!B21/'Revenue Miles-26'!B21</f>
        <v>0.78433143162528551</v>
      </c>
      <c r="S30" s="434">
        <f>'Ridership-26'!C21/'Revenue Miles-26'!C21</f>
        <v>0.87157122671755427</v>
      </c>
      <c r="T30" s="434">
        <f>'Ridership-26'!D21/'Revenue Miles-26'!D21</f>
        <v>0.95474957839955032</v>
      </c>
      <c r="U30" s="434">
        <f>'Ridership-26'!E21/'Revenue Miles-26'!E21</f>
        <v>1.0554620939697459</v>
      </c>
      <c r="V30" s="435">
        <f t="shared" si="5"/>
        <v>0.94426272197974803</v>
      </c>
      <c r="W30" s="436">
        <f t="shared" si="6"/>
        <v>4.3367426173053197E-2</v>
      </c>
      <c r="X30" s="437">
        <f t="shared" si="7"/>
        <v>4.19589271411627E-2</v>
      </c>
      <c r="Y30" s="438">
        <f>'Op Cost-26'!B21/'Revenue Hours-26'!B21</f>
        <v>115.12446224595757</v>
      </c>
      <c r="Z30" s="434">
        <f>'Op Cost-26'!C21/'Revenue Hours-26'!C21</f>
        <v>128.33355179497212</v>
      </c>
      <c r="AA30" s="434">
        <f>'Op Cost-26'!D21/'Revenue Hours-26'!D21</f>
        <v>109.8271676300578</v>
      </c>
      <c r="AB30" s="434">
        <f>'Op Cost-26'!E21/'Revenue Hours-26'!E21</f>
        <v>122.49075072655847</v>
      </c>
      <c r="AC30" s="435">
        <f t="shared" si="8"/>
        <v>0.98733751771107381</v>
      </c>
      <c r="AD30" s="436">
        <f t="shared" si="9"/>
        <v>4.6516300029691482E-2</v>
      </c>
      <c r="AE30" s="437">
        <f t="shared" si="10"/>
        <v>4.6609632173047907E-2</v>
      </c>
      <c r="AF30" s="438">
        <f>'Op Cost-26'!B21/'Revenue Miles-26'!B21</f>
        <v>11.544382339734495</v>
      </c>
      <c r="AG30" s="434">
        <f>'Op Cost-26'!C21/'Revenue Miles-26'!C21</f>
        <v>12.593483986899244</v>
      </c>
      <c r="AH30" s="434">
        <f>'Op Cost-26'!D21/'Revenue Miles-26'!D21</f>
        <v>10.766734817850473</v>
      </c>
      <c r="AI30" s="434">
        <f>'Op Cost-26'!E21/'Revenue Miles-26'!E21</f>
        <v>12.140194381973757</v>
      </c>
      <c r="AJ30" s="435">
        <f t="shared" si="11"/>
        <v>0.98862782106337344</v>
      </c>
      <c r="AK30" s="436">
        <f t="shared" si="12"/>
        <v>4.6455589480598983E-2</v>
      </c>
      <c r="AL30" s="437">
        <f t="shared" si="13"/>
        <v>4.6540712827517622E-2</v>
      </c>
      <c r="AM30" s="438">
        <f>'Op Cost-26'!B21/'Ridership-26'!B21</f>
        <v>14.718755202519828</v>
      </c>
      <c r="AN30" s="434">
        <f>'Op Cost-26'!C21/'Ridership-26'!C21</f>
        <v>14.449173631313958</v>
      </c>
      <c r="AO30" s="434">
        <f>'Op Cost-26'!D21/'Ridership-26'!D21</f>
        <v>11.277024951295379</v>
      </c>
      <c r="AP30" s="434">
        <f>'Op Cost-26'!E21/'Ridership-26'!E21</f>
        <v>11.502255221987866</v>
      </c>
      <c r="AQ30" s="435">
        <f t="shared" si="14"/>
        <v>1.0492744422797424</v>
      </c>
      <c r="AR30" s="436">
        <f t="shared" si="15"/>
        <v>4.377052023170757E-2</v>
      </c>
      <c r="AS30" s="440">
        <f t="shared" si="16"/>
        <v>4.4011383970386078E-2</v>
      </c>
      <c r="AT30" s="432"/>
      <c r="AU30" s="441">
        <f t="shared" si="17"/>
        <v>0</v>
      </c>
      <c r="AV30" s="442">
        <f t="shared" si="18"/>
        <v>0</v>
      </c>
      <c r="AW30" s="442">
        <f t="shared" si="19"/>
        <v>0</v>
      </c>
      <c r="AX30" s="442">
        <f t="shared" si="20"/>
        <v>0</v>
      </c>
      <c r="AY30" s="443">
        <f t="shared" si="21"/>
        <v>0</v>
      </c>
      <c r="AZ30" s="444">
        <f t="shared" si="43"/>
        <v>-1</v>
      </c>
      <c r="BA30" s="445">
        <f t="shared" si="22"/>
        <v>0</v>
      </c>
      <c r="BB30" s="446">
        <f t="shared" si="22"/>
        <v>0</v>
      </c>
      <c r="BC30" s="446">
        <f t="shared" si="22"/>
        <v>0</v>
      </c>
      <c r="BD30" s="446">
        <f t="shared" si="22"/>
        <v>0</v>
      </c>
      <c r="BE30" s="446">
        <f t="shared" si="22"/>
        <v>0</v>
      </c>
      <c r="BF30" s="447">
        <f t="shared" si="44"/>
        <v>5528250.483692864</v>
      </c>
      <c r="BH30" s="448">
        <f>'Op Cost-26'!E21</f>
        <v>28281032</v>
      </c>
      <c r="BI30" s="449">
        <f t="shared" si="23"/>
        <v>0.1954755570338757</v>
      </c>
      <c r="BJ30" s="450">
        <f t="shared" si="24"/>
        <v>5528250.483692864</v>
      </c>
      <c r="BK30" s="451">
        <f t="shared" si="25"/>
        <v>0</v>
      </c>
      <c r="BL30" s="1">
        <f t="shared" si="45"/>
        <v>1.0387195044640831</v>
      </c>
      <c r="BM30" s="112">
        <f t="shared" si="46"/>
        <v>0.93905874358745212</v>
      </c>
      <c r="BN30" s="112">
        <f t="shared" si="47"/>
        <v>1.3122677011001305</v>
      </c>
      <c r="BO30" s="113">
        <f t="shared" si="48"/>
        <v>0.95177578658437512</v>
      </c>
      <c r="BP30" s="452">
        <f t="shared" si="26"/>
        <v>5528250.483692864</v>
      </c>
      <c r="BQ30" s="115">
        <f t="shared" si="49"/>
        <v>4.7705570045073385E-2</v>
      </c>
      <c r="BR30" s="116">
        <f t="shared" si="50"/>
        <v>4.7705570045073385E-2</v>
      </c>
      <c r="BS30" s="453">
        <f t="shared" si="51"/>
        <v>5.0221867674144501E-2</v>
      </c>
      <c r="BT30" s="118">
        <f t="shared" si="52"/>
        <v>5903435.155446806</v>
      </c>
      <c r="BU30" s="119">
        <f t="shared" si="53"/>
        <v>8484309.5999999996</v>
      </c>
      <c r="BV30" s="119">
        <f t="shared" si="54"/>
        <v>5903435.155446806</v>
      </c>
      <c r="BW30" s="119">
        <f t="shared" si="65"/>
        <v>0</v>
      </c>
      <c r="BX30" s="120">
        <f t="shared" si="55"/>
        <v>4.7705570045073385E-2</v>
      </c>
      <c r="BY30" s="454">
        <f t="shared" si="56"/>
        <v>5.4082618236406192E-2</v>
      </c>
      <c r="BZ30" s="122">
        <f t="shared" si="57"/>
        <v>5917407.9707416994</v>
      </c>
      <c r="CA30" s="455">
        <f t="shared" si="27"/>
        <v>4.9078871260754012E-2</v>
      </c>
      <c r="CB30" s="456">
        <f t="shared" si="28"/>
        <v>366645.86676651589</v>
      </c>
      <c r="CC30" s="456">
        <f t="shared" si="29"/>
        <v>5894896.3504593801</v>
      </c>
      <c r="CD30" s="457">
        <f t="shared" si="30"/>
        <v>0.20843993070901304</v>
      </c>
      <c r="CE30" s="458">
        <f t="shared" si="31"/>
        <v>0</v>
      </c>
      <c r="CF30" s="17"/>
      <c r="CG30" s="459">
        <f t="shared" si="32"/>
        <v>28281032</v>
      </c>
      <c r="CH30" s="460">
        <f t="shared" si="58"/>
        <v>0.20843993070901304</v>
      </c>
      <c r="CI30" s="461">
        <f t="shared" si="33"/>
        <v>5894896.3504593801</v>
      </c>
      <c r="CJ30" s="462">
        <f t="shared" si="34"/>
        <v>0</v>
      </c>
      <c r="CL30" s="463">
        <f t="shared" si="35"/>
        <v>5894896.3504593801</v>
      </c>
      <c r="CM30" s="464">
        <f t="shared" si="36"/>
        <v>5.0681778330944671E-2</v>
      </c>
      <c r="CN30" s="465">
        <f t="shared" si="37"/>
        <v>7280.0219791096006</v>
      </c>
      <c r="CO30" s="466">
        <f t="shared" si="59"/>
        <v>5902176.3724384895</v>
      </c>
      <c r="CP30" s="467">
        <f t="shared" si="60"/>
        <v>0.20869734783506094</v>
      </c>
      <c r="CQ30" s="468">
        <f t="shared" si="38"/>
        <v>0</v>
      </c>
      <c r="CR30" s="469"/>
      <c r="CS30" s="470">
        <f t="shared" si="39"/>
        <v>8484309.5999999996</v>
      </c>
      <c r="CT30" s="465">
        <f t="shared" si="40"/>
        <v>0</v>
      </c>
      <c r="CU30" s="471">
        <f t="shared" si="41"/>
        <v>5902176.3724384895</v>
      </c>
      <c r="CV30" s="472">
        <f t="shared" si="42"/>
        <v>0.20869734783506094</v>
      </c>
      <c r="CY30" s="473">
        <v>0</v>
      </c>
      <c r="CZ30" s="474">
        <f t="shared" si="61"/>
        <v>5902176.3724384895</v>
      </c>
      <c r="DA30" s="475">
        <f t="shared" si="62"/>
        <v>0.20869734783506094</v>
      </c>
      <c r="DB30" s="1">
        <f t="shared" si="63"/>
        <v>0</v>
      </c>
      <c r="DC30" s="293">
        <f t="shared" si="64"/>
        <v>0.20923592783819556</v>
      </c>
      <c r="DF30" s="476"/>
    </row>
    <row r="31" spans="1:110">
      <c r="A31" s="477" t="s">
        <v>104</v>
      </c>
      <c r="B31" s="428" t="s">
        <v>107</v>
      </c>
      <c r="C31" s="429"/>
      <c r="D31" s="91">
        <f>'Op Cost-26'!E22</f>
        <v>36047232</v>
      </c>
      <c r="E31" s="92">
        <f>'Ridership-26'!$E22</f>
        <v>5351810</v>
      </c>
      <c r="F31" s="92">
        <f>'Revenue Hours-26'!$E22</f>
        <v>308856.31</v>
      </c>
      <c r="G31" s="92">
        <f>'Revenue Miles-26'!$E22</f>
        <v>2865159</v>
      </c>
      <c r="H31" s="478">
        <f t="shared" si="0"/>
        <v>7.3389773130286995E-2</v>
      </c>
      <c r="I31" s="431">
        <f t="shared" si="1"/>
        <v>7.3389773130287009E-2</v>
      </c>
      <c r="J31" s="432"/>
      <c r="K31" s="433">
        <f>'Ridership-26'!B22/'Revenue Hours-26'!B22</f>
        <v>7.2218469159098948</v>
      </c>
      <c r="L31" s="434">
        <f>'Ridership-26'!C22/'Revenue Hours-26'!C22</f>
        <v>11.021126607734487</v>
      </c>
      <c r="M31" s="434">
        <f>'Ridership-26'!D22/'Revenue Hours-26'!D22</f>
        <v>14.745469355165852</v>
      </c>
      <c r="N31" s="434">
        <f>'Ridership-26'!E22/'Revenue Hours-26'!E22</f>
        <v>17.327831184669662</v>
      </c>
      <c r="O31" s="435">
        <f t="shared" si="2"/>
        <v>1.1378339509151447</v>
      </c>
      <c r="P31" s="436">
        <f t="shared" si="3"/>
        <v>8.3505375517600594E-2</v>
      </c>
      <c r="Q31" s="437">
        <f t="shared" si="4"/>
        <v>8.0672632510054146E-2</v>
      </c>
      <c r="R31" s="438">
        <f>'Ridership-26'!B22/'Revenue Miles-26'!B22</f>
        <v>0.80452628182287345</v>
      </c>
      <c r="S31" s="434">
        <f>'Ridership-26'!C22/'Revenue Miles-26'!C22</f>
        <v>1.2173072182855937</v>
      </c>
      <c r="T31" s="434">
        <f>'Ridership-26'!D22/'Revenue Miles-26'!D22</f>
        <v>1.5082541507857004</v>
      </c>
      <c r="U31" s="434">
        <f>'Ridership-26'!E22/'Revenue Miles-26'!E22</f>
        <v>1.8678928464353985</v>
      </c>
      <c r="V31" s="435">
        <f t="shared" si="5"/>
        <v>1.1322299531663331</v>
      </c>
      <c r="W31" s="436">
        <f t="shared" si="6"/>
        <v>8.3094099394192669E-2</v>
      </c>
      <c r="X31" s="437">
        <f t="shared" si="7"/>
        <v>8.0395346692441236E-2</v>
      </c>
      <c r="Y31" s="438">
        <f>'Op Cost-26'!B22/'Revenue Hours-26'!B22</f>
        <v>113.69054841372804</v>
      </c>
      <c r="Z31" s="434">
        <f>'Op Cost-26'!C22/'Revenue Hours-26'!C22</f>
        <v>98.632543150219192</v>
      </c>
      <c r="AA31" s="434">
        <f>'Op Cost-26'!D22/'Revenue Hours-26'!D22</f>
        <v>103.11566062580688</v>
      </c>
      <c r="AB31" s="434">
        <f>'Op Cost-26'!E22/'Revenue Hours-26'!E22</f>
        <v>116.71198169789699</v>
      </c>
      <c r="AC31" s="435">
        <f t="shared" si="8"/>
        <v>0.96878639742207318</v>
      </c>
      <c r="AD31" s="436">
        <f t="shared" si="9"/>
        <v>7.5754338960142442E-2</v>
      </c>
      <c r="AE31" s="437">
        <f t="shared" si="10"/>
        <v>7.5906335460706464E-2</v>
      </c>
      <c r="AF31" s="438">
        <f>'Op Cost-26'!B22/'Revenue Miles-26'!B22</f>
        <v>12.665324432756394</v>
      </c>
      <c r="AG31" s="434">
        <f>'Op Cost-26'!C22/'Revenue Miles-26'!C22</f>
        <v>10.894177247756708</v>
      </c>
      <c r="AH31" s="434">
        <f>'Op Cost-26'!D22/'Revenue Miles-26'!D22</f>
        <v>10.547281975490128</v>
      </c>
      <c r="AI31" s="434">
        <f>'Op Cost-26'!E22/'Revenue Miles-26'!E22</f>
        <v>12.581232664574635</v>
      </c>
      <c r="AJ31" s="435">
        <f t="shared" si="11"/>
        <v>0.96628072093214301</v>
      </c>
      <c r="AK31" s="436">
        <f t="shared" si="12"/>
        <v>7.5950778630344634E-2</v>
      </c>
      <c r="AL31" s="437">
        <f t="shared" si="13"/>
        <v>7.6089947771246211E-2</v>
      </c>
      <c r="AM31" s="438">
        <f>'Op Cost-26'!B22/'Ridership-26'!B22</f>
        <v>15.742586313102974</v>
      </c>
      <c r="AN31" s="434">
        <f>'Op Cost-26'!C22/'Ridership-26'!C22</f>
        <v>8.9494065952386492</v>
      </c>
      <c r="AO31" s="434">
        <f>'Op Cost-26'!D22/'Ridership-26'!D22</f>
        <v>6.9930402445739626</v>
      </c>
      <c r="AP31" s="434">
        <f>'Op Cost-26'!E22/'Ridership-26'!E22</f>
        <v>6.7355216272625524</v>
      </c>
      <c r="AQ31" s="435">
        <f t="shared" si="14"/>
        <v>0.85513349272278338</v>
      </c>
      <c r="AR31" s="436">
        <f t="shared" si="15"/>
        <v>8.5822592326036354E-2</v>
      </c>
      <c r="AS31" s="440">
        <f t="shared" si="16"/>
        <v>8.6294863396640525E-2</v>
      </c>
      <c r="AT31" s="432"/>
      <c r="AU31" s="441">
        <f t="shared" si="17"/>
        <v>0</v>
      </c>
      <c r="AV31" s="442">
        <f t="shared" si="18"/>
        <v>0</v>
      </c>
      <c r="AW31" s="442">
        <f t="shared" si="19"/>
        <v>0</v>
      </c>
      <c r="AX31" s="442">
        <f t="shared" si="20"/>
        <v>0</v>
      </c>
      <c r="AY31" s="443">
        <f t="shared" si="21"/>
        <v>0</v>
      </c>
      <c r="AZ31" s="444">
        <f t="shared" si="43"/>
        <v>-1</v>
      </c>
      <c r="BA31" s="445">
        <f t="shared" si="22"/>
        <v>0</v>
      </c>
      <c r="BB31" s="446">
        <f t="shared" si="22"/>
        <v>0</v>
      </c>
      <c r="BC31" s="446">
        <f t="shared" si="22"/>
        <v>0</v>
      </c>
      <c r="BD31" s="446">
        <f t="shared" si="22"/>
        <v>0</v>
      </c>
      <c r="BE31" s="446">
        <f t="shared" si="22"/>
        <v>0</v>
      </c>
      <c r="BF31" s="447">
        <f t="shared" si="44"/>
        <v>8833899.5108920988</v>
      </c>
      <c r="BH31" s="448">
        <f>'Op Cost-26'!E22</f>
        <v>36047232</v>
      </c>
      <c r="BI31" s="449">
        <f t="shared" si="23"/>
        <v>0.24506457280526003</v>
      </c>
      <c r="BJ31" s="450">
        <f t="shared" si="24"/>
        <v>8833899.5108920988</v>
      </c>
      <c r="BK31" s="451">
        <f t="shared" si="25"/>
        <v>0</v>
      </c>
      <c r="BL31" s="1">
        <f t="shared" si="45"/>
        <v>1.775261188672892</v>
      </c>
      <c r="BM31" s="112">
        <f t="shared" si="46"/>
        <v>1.5279764913891456</v>
      </c>
      <c r="BN31" s="112">
        <f t="shared" si="47"/>
        <v>2.3223718459408937</v>
      </c>
      <c r="BO31" s="113">
        <f t="shared" si="48"/>
        <v>1.6253482086807645</v>
      </c>
      <c r="BP31" s="452">
        <f t="shared" si="26"/>
        <v>8833899.5108920988</v>
      </c>
      <c r="BQ31" s="115">
        <f t="shared" si="49"/>
        <v>0.13028601588370717</v>
      </c>
      <c r="BR31" s="116">
        <f t="shared" si="50"/>
        <v>0.13028601588370717</v>
      </c>
      <c r="BS31" s="453">
        <f t="shared" si="51"/>
        <v>0.13715813569192964</v>
      </c>
      <c r="BT31" s="118">
        <f t="shared" si="52"/>
        <v>9858545.3972586859</v>
      </c>
      <c r="BU31" s="119">
        <f t="shared" si="53"/>
        <v>10814169.6</v>
      </c>
      <c r="BV31" s="119">
        <f t="shared" si="54"/>
        <v>9858545.3972586859</v>
      </c>
      <c r="BW31" s="119">
        <f t="shared" si="65"/>
        <v>0</v>
      </c>
      <c r="BX31" s="120">
        <f t="shared" si="55"/>
        <v>0.13028601588370717</v>
      </c>
      <c r="BY31" s="454">
        <f t="shared" si="56"/>
        <v>0.14770201575881933</v>
      </c>
      <c r="BZ31" s="122">
        <f t="shared" si="57"/>
        <v>9896705.7721107341</v>
      </c>
      <c r="CA31" s="455">
        <f t="shared" si="27"/>
        <v>7.8425863318677833E-2</v>
      </c>
      <c r="CB31" s="456">
        <f t="shared" si="28"/>
        <v>585883.8619294517</v>
      </c>
      <c r="CC31" s="456">
        <f t="shared" si="29"/>
        <v>9419783.3728215508</v>
      </c>
      <c r="CD31" s="457">
        <f t="shared" si="30"/>
        <v>0.26131780029106122</v>
      </c>
      <c r="CE31" s="458">
        <f t="shared" si="31"/>
        <v>0</v>
      </c>
      <c r="CF31" s="17"/>
      <c r="CG31" s="459">
        <f t="shared" si="32"/>
        <v>36047232</v>
      </c>
      <c r="CH31" s="460">
        <f t="shared" si="58"/>
        <v>0.26131780029106122</v>
      </c>
      <c r="CI31" s="461">
        <f t="shared" si="33"/>
        <v>9419783.3728215508</v>
      </c>
      <c r="CJ31" s="462">
        <f t="shared" si="34"/>
        <v>0</v>
      </c>
      <c r="CL31" s="463">
        <f t="shared" si="35"/>
        <v>9419783.3728215508</v>
      </c>
      <c r="CM31" s="464">
        <f t="shared" si="36"/>
        <v>8.0987237848491822E-2</v>
      </c>
      <c r="CN31" s="465">
        <f t="shared" si="37"/>
        <v>11633.152801278349</v>
      </c>
      <c r="CO31" s="466">
        <f t="shared" si="59"/>
        <v>9431416.5256228298</v>
      </c>
      <c r="CP31" s="467">
        <f t="shared" si="60"/>
        <v>0.26164052001615073</v>
      </c>
      <c r="CQ31" s="468">
        <f t="shared" si="38"/>
        <v>0</v>
      </c>
      <c r="CR31" s="469"/>
      <c r="CS31" s="470">
        <f t="shared" si="39"/>
        <v>10814169.6</v>
      </c>
      <c r="CT31" s="465">
        <f t="shared" si="40"/>
        <v>0</v>
      </c>
      <c r="CU31" s="471">
        <f t="shared" si="41"/>
        <v>9431416.5256228298</v>
      </c>
      <c r="CV31" s="472">
        <f t="shared" si="42"/>
        <v>0.26164052001615073</v>
      </c>
      <c r="CY31" s="473">
        <v>170685.8</v>
      </c>
      <c r="CZ31" s="474">
        <f t="shared" si="61"/>
        <v>9602102.3256228305</v>
      </c>
      <c r="DA31" s="475">
        <f t="shared" si="62"/>
        <v>0.26637557983988425</v>
      </c>
      <c r="DB31" s="1">
        <f t="shared" si="63"/>
        <v>0</v>
      </c>
      <c r="DC31" s="293">
        <f t="shared" si="64"/>
        <v>0.2745482863180933</v>
      </c>
      <c r="DF31" s="476"/>
    </row>
    <row r="32" spans="1:110">
      <c r="A32" s="477" t="s">
        <v>104</v>
      </c>
      <c r="B32" s="428" t="s">
        <v>108</v>
      </c>
      <c r="C32" s="429"/>
      <c r="D32" s="91">
        <f>'Op Cost-26'!E23</f>
        <v>5453602</v>
      </c>
      <c r="E32" s="92">
        <f>'Ridership-26'!$E23</f>
        <v>1002134</v>
      </c>
      <c r="F32" s="92">
        <f>'Revenue Hours-26'!$E23</f>
        <v>34526</v>
      </c>
      <c r="G32" s="92">
        <f>'Revenue Miles-26'!$E23</f>
        <v>434414</v>
      </c>
      <c r="H32" s="478">
        <f t="shared" si="0"/>
        <v>1.1983080771151955E-2</v>
      </c>
      <c r="I32" s="431">
        <f t="shared" si="1"/>
        <v>1.1983080771151958E-2</v>
      </c>
      <c r="J32" s="432"/>
      <c r="K32" s="433">
        <f>'Ridership-26'!B23/'Revenue Hours-26'!B23</f>
        <v>9.5356184364060681</v>
      </c>
      <c r="L32" s="434">
        <f>'Ridership-26'!C23/'Revenue Hours-26'!C23</f>
        <v>13.465131541402728</v>
      </c>
      <c r="M32" s="434">
        <f>'Ridership-26'!D23/'Revenue Hours-26'!D23</f>
        <v>24.467665569605636</v>
      </c>
      <c r="N32" s="434">
        <f>'Ridership-26'!E23/'Revenue Hours-26'!E23</f>
        <v>29.025488038000347</v>
      </c>
      <c r="O32" s="435">
        <f t="shared" si="2"/>
        <v>1.2460987517963511</v>
      </c>
      <c r="P32" s="436">
        <f t="shared" si="3"/>
        <v>1.4932101991607312E-2</v>
      </c>
      <c r="Q32" s="437">
        <f t="shared" si="4"/>
        <v>1.4425562056393433E-2</v>
      </c>
      <c r="R32" s="438">
        <f>'Ridership-26'!B23/'Revenue Miles-26'!B23</f>
        <v>0.74451206457520036</v>
      </c>
      <c r="S32" s="434">
        <f>'Ridership-26'!C23/'Revenue Miles-26'!C23</f>
        <v>1.0865963144527517</v>
      </c>
      <c r="T32" s="434">
        <f>'Ridership-26'!D23/'Revenue Miles-26'!D23</f>
        <v>1.9292701193514095</v>
      </c>
      <c r="U32" s="434">
        <f>'Ridership-26'!E23/'Revenue Miles-26'!E23</f>
        <v>2.3068639592646645</v>
      </c>
      <c r="V32" s="435">
        <f t="shared" si="5"/>
        <v>1.2548259859674822</v>
      </c>
      <c r="W32" s="436">
        <f t="shared" si="6"/>
        <v>1.5036681143588733E-2</v>
      </c>
      <c r="X32" s="437">
        <f t="shared" si="7"/>
        <v>1.454831573428181E-2</v>
      </c>
      <c r="Y32" s="438">
        <f>'Op Cost-26'!B23/'Revenue Hours-26'!B23</f>
        <v>133.20037922987166</v>
      </c>
      <c r="Z32" s="434">
        <f>'Op Cost-26'!C23/'Revenue Hours-26'!C23</f>
        <v>152.54685270786965</v>
      </c>
      <c r="AA32" s="434">
        <f>'Op Cost-26'!D23/'Revenue Hours-26'!D23</f>
        <v>153.82888734915412</v>
      </c>
      <c r="AB32" s="434">
        <f>'Op Cost-26'!E23/'Revenue Hours-26'!E23</f>
        <v>157.95638069860394</v>
      </c>
      <c r="AC32" s="435">
        <f t="shared" si="8"/>
        <v>1.0154239429893224</v>
      </c>
      <c r="AD32" s="436">
        <f t="shared" si="9"/>
        <v>1.1801061865721602E-2</v>
      </c>
      <c r="AE32" s="437">
        <f t="shared" si="10"/>
        <v>1.1824739982792532E-2</v>
      </c>
      <c r="AF32" s="438">
        <f>'Op Cost-26'!B23/'Revenue Miles-26'!B23</f>
        <v>10.399880196968939</v>
      </c>
      <c r="AG32" s="434">
        <f>'Op Cost-26'!C23/'Revenue Miles-26'!C23</f>
        <v>12.310080107577638</v>
      </c>
      <c r="AH32" s="434">
        <f>'Op Cost-26'!D23/'Revenue Miles-26'!D23</f>
        <v>12.129374378259513</v>
      </c>
      <c r="AI32" s="434">
        <f>'Op Cost-26'!E23/'Revenue Miles-26'!E23</f>
        <v>12.553927820005802</v>
      </c>
      <c r="AJ32" s="435">
        <f t="shared" si="11"/>
        <v>1.0297394729691056</v>
      </c>
      <c r="AK32" s="436">
        <f t="shared" si="12"/>
        <v>1.1637002451309815E-2</v>
      </c>
      <c r="AL32" s="437">
        <f t="shared" si="13"/>
        <v>1.1658325624857522E-2</v>
      </c>
      <c r="AM32" s="438">
        <f>'Op Cost-26'!B23/'Ridership-26'!B23</f>
        <v>13.968719503427852</v>
      </c>
      <c r="AN32" s="434">
        <f>'Op Cost-26'!C23/'Ridership-26'!C23</f>
        <v>11.329028033541075</v>
      </c>
      <c r="AO32" s="434">
        <f>'Op Cost-26'!D23/'Ridership-26'!D23</f>
        <v>6.2870275430053413</v>
      </c>
      <c r="AP32" s="434">
        <f>'Op Cost-26'!E23/'Ridership-26'!E23</f>
        <v>5.4419887959095288</v>
      </c>
      <c r="AQ32" s="439">
        <f t="shared" si="14"/>
        <v>0.84226751674459921</v>
      </c>
      <c r="AR32" s="436">
        <f t="shared" si="15"/>
        <v>1.4227167180169895E-2</v>
      </c>
      <c r="AS32" s="440">
        <f t="shared" si="16"/>
        <v>1.4305457514844452E-2</v>
      </c>
      <c r="AT32" s="432"/>
      <c r="AU32" s="441">
        <f t="shared" si="17"/>
        <v>0</v>
      </c>
      <c r="AV32" s="442">
        <f t="shared" si="18"/>
        <v>0</v>
      </c>
      <c r="AW32" s="442">
        <f t="shared" si="19"/>
        <v>0</v>
      </c>
      <c r="AX32" s="442">
        <f t="shared" si="20"/>
        <v>0</v>
      </c>
      <c r="AY32" s="443">
        <f t="shared" si="21"/>
        <v>0</v>
      </c>
      <c r="AZ32" s="444">
        <f t="shared" si="43"/>
        <v>-1</v>
      </c>
      <c r="BA32" s="445">
        <f t="shared" si="22"/>
        <v>0</v>
      </c>
      <c r="BB32" s="446">
        <f t="shared" si="22"/>
        <v>0</v>
      </c>
      <c r="BC32" s="446">
        <f t="shared" si="22"/>
        <v>0</v>
      </c>
      <c r="BD32" s="446">
        <f t="shared" si="22"/>
        <v>0</v>
      </c>
      <c r="BE32" s="446">
        <f t="shared" si="22"/>
        <v>0</v>
      </c>
      <c r="BF32" s="447">
        <f t="shared" si="44"/>
        <v>1442398.9453589665</v>
      </c>
      <c r="BH32" s="448">
        <f>'Op Cost-26'!E23</f>
        <v>5453602</v>
      </c>
      <c r="BI32" s="449">
        <f t="shared" si="23"/>
        <v>0.26448555383377198</v>
      </c>
      <c r="BJ32" s="450">
        <f t="shared" si="24"/>
        <v>1442398.9453589665</v>
      </c>
      <c r="BK32" s="451">
        <f t="shared" si="25"/>
        <v>0</v>
      </c>
      <c r="BL32" s="1">
        <f t="shared" si="45"/>
        <v>2.362750319048402</v>
      </c>
      <c r="BM32" s="112">
        <f t="shared" si="46"/>
        <v>2.5594815012047842</v>
      </c>
      <c r="BN32" s="112">
        <f t="shared" si="47"/>
        <v>2.8681494881442515</v>
      </c>
      <c r="BO32" s="113">
        <f t="shared" si="48"/>
        <v>2.0116851434222869</v>
      </c>
      <c r="BP32" s="452">
        <f t="shared" si="26"/>
        <v>1442398.9453589665</v>
      </c>
      <c r="BQ32" s="115">
        <f t="shared" si="49"/>
        <v>2.8313027915222062E-2</v>
      </c>
      <c r="BR32" s="116">
        <f t="shared" si="50"/>
        <v>2.8313027915222062E-2</v>
      </c>
      <c r="BS32" s="453">
        <f t="shared" si="51"/>
        <v>2.9806438536824204E-2</v>
      </c>
      <c r="BT32" s="118">
        <f t="shared" si="52"/>
        <v>1665069.2556538919</v>
      </c>
      <c r="BU32" s="119">
        <f t="shared" si="53"/>
        <v>1636080.5999999999</v>
      </c>
      <c r="BV32" s="119">
        <f t="shared" si="54"/>
        <v>1636080.5999999999</v>
      </c>
      <c r="BW32" s="119">
        <f t="shared" si="65"/>
        <v>28988.655653892085</v>
      </c>
      <c r="BX32" s="120">
        <f t="shared" si="55"/>
        <v>0</v>
      </c>
      <c r="BY32" s="454">
        <f t="shared" si="56"/>
        <v>0</v>
      </c>
      <c r="BZ32" s="122">
        <f t="shared" si="57"/>
        <v>1636080.5999999999</v>
      </c>
      <c r="CA32" s="455">
        <f t="shared" si="27"/>
        <v>1.2805373482033609E-2</v>
      </c>
      <c r="CB32" s="456">
        <f t="shared" si="28"/>
        <v>95663.105914653817</v>
      </c>
      <c r="CC32" s="456">
        <f t="shared" si="29"/>
        <v>1538062.0512736202</v>
      </c>
      <c r="CD32" s="457">
        <f t="shared" si="30"/>
        <v>0.28202682397315026</v>
      </c>
      <c r="CE32" s="458">
        <f t="shared" si="31"/>
        <v>0</v>
      </c>
      <c r="CF32" s="17"/>
      <c r="CG32" s="459">
        <f t="shared" si="32"/>
        <v>5453602</v>
      </c>
      <c r="CH32" s="460">
        <f t="shared" si="58"/>
        <v>0.28202682397315026</v>
      </c>
      <c r="CI32" s="461">
        <f t="shared" si="33"/>
        <v>1538062.0512736202</v>
      </c>
      <c r="CJ32" s="462">
        <f t="shared" si="34"/>
        <v>0</v>
      </c>
      <c r="CL32" s="463">
        <f t="shared" si="35"/>
        <v>1538062.0512736202</v>
      </c>
      <c r="CM32" s="464">
        <f t="shared" si="36"/>
        <v>1.3223594666904199E-2</v>
      </c>
      <c r="CN32" s="465">
        <f t="shared" si="37"/>
        <v>1899.4609697647659</v>
      </c>
      <c r="CO32" s="466">
        <f t="shared" si="59"/>
        <v>1539961.512243385</v>
      </c>
      <c r="CP32" s="467">
        <f t="shared" si="60"/>
        <v>0.28237511872765653</v>
      </c>
      <c r="CQ32" s="468">
        <f t="shared" si="38"/>
        <v>0</v>
      </c>
      <c r="CR32" s="469"/>
      <c r="CS32" s="470">
        <f t="shared" si="39"/>
        <v>1636080.5999999999</v>
      </c>
      <c r="CT32" s="465">
        <f t="shared" si="40"/>
        <v>0</v>
      </c>
      <c r="CU32" s="471">
        <f t="shared" si="41"/>
        <v>1539961.512243385</v>
      </c>
      <c r="CV32" s="472">
        <f t="shared" si="42"/>
        <v>0.28237511872765653</v>
      </c>
      <c r="CY32" s="473">
        <v>0</v>
      </c>
      <c r="CZ32" s="474">
        <f t="shared" si="61"/>
        <v>1539961.512243385</v>
      </c>
      <c r="DA32" s="475">
        <f t="shared" si="62"/>
        <v>0.28237511872765653</v>
      </c>
      <c r="DB32" s="1">
        <f t="shared" si="63"/>
        <v>0</v>
      </c>
      <c r="DC32" s="293">
        <f t="shared" si="64"/>
        <v>0.3</v>
      </c>
      <c r="DF32" s="476"/>
    </row>
    <row r="33" spans="1:110">
      <c r="A33" s="477" t="s">
        <v>104</v>
      </c>
      <c r="B33" s="428" t="s">
        <v>109</v>
      </c>
      <c r="C33" s="429"/>
      <c r="D33" s="91">
        <f>'Op Cost-26'!E24</f>
        <v>111168383</v>
      </c>
      <c r="E33" s="92">
        <f>'Ridership-26'!$E24</f>
        <v>8721363</v>
      </c>
      <c r="F33" s="92">
        <f>'Revenue Hours-26'!$E24</f>
        <v>819202.73699999996</v>
      </c>
      <c r="G33" s="92">
        <f>'Revenue Miles-26'!$E24</f>
        <v>10820543.213</v>
      </c>
      <c r="H33" s="478">
        <f t="shared" si="0"/>
        <v>0.17526213344901395</v>
      </c>
      <c r="I33" s="431">
        <f t="shared" si="1"/>
        <v>0.17526213344901398</v>
      </c>
      <c r="J33" s="444">
        <v>-2.9403300374772578E-2</v>
      </c>
      <c r="K33" s="433">
        <f>'Ridership-26'!B24/'Revenue Hours-26'!B24</f>
        <v>5.8735316212753474</v>
      </c>
      <c r="L33" s="434">
        <f>'Ridership-26'!C24/'Revenue Hours-26'!C24</f>
        <v>6.1587343955565519</v>
      </c>
      <c r="M33" s="434">
        <f>'Ridership-26'!D24/'Revenue Hours-26'!D24</f>
        <v>9.8555669967058908</v>
      </c>
      <c r="N33" s="434">
        <f>'Ridership-26'!E24/'Revenue Hours-26'!E24</f>
        <v>10.646159498854312</v>
      </c>
      <c r="O33" s="435">
        <f t="shared" si="2"/>
        <v>1.0577335192633481</v>
      </c>
      <c r="P33" s="436">
        <f t="shared" si="3"/>
        <v>0.18538063320662812</v>
      </c>
      <c r="Q33" s="437">
        <f t="shared" si="4"/>
        <v>0.17909198784463073</v>
      </c>
      <c r="R33" s="438">
        <f>'Ridership-26'!B24/'Revenue Miles-26'!B24</f>
        <v>0.454872375587629</v>
      </c>
      <c r="S33" s="434">
        <f>'Ridership-26'!C24/'Revenue Miles-26'!C24</f>
        <v>0.47446458788106716</v>
      </c>
      <c r="T33" s="434">
        <f>'Ridership-26'!D24/'Revenue Miles-26'!D24</f>
        <v>0.7557807792342961</v>
      </c>
      <c r="U33" s="434">
        <f>'Ridership-26'!E24/'Revenue Miles-26'!E24</f>
        <v>0.80600047782462481</v>
      </c>
      <c r="V33" s="435">
        <f t="shared" si="5"/>
        <v>1.0532283509620195</v>
      </c>
      <c r="W33" s="436">
        <f t="shared" si="6"/>
        <v>0.1845910477985904</v>
      </c>
      <c r="X33" s="437">
        <f t="shared" si="7"/>
        <v>0.17859584967264031</v>
      </c>
      <c r="Y33" s="438">
        <f>'Op Cost-26'!B24/'Revenue Hours-26'!B24</f>
        <v>123.96447205256577</v>
      </c>
      <c r="Z33" s="434">
        <f>'Op Cost-26'!C24/'Revenue Hours-26'!C24</f>
        <v>123.17011468072208</v>
      </c>
      <c r="AA33" s="434">
        <f>'Op Cost-26'!D24/'Revenue Hours-26'!D24</f>
        <v>127.77476943594867</v>
      </c>
      <c r="AB33" s="434">
        <f>'Op Cost-26'!E24/'Revenue Hours-26'!E24</f>
        <v>135.70313913636252</v>
      </c>
      <c r="AC33" s="435">
        <f t="shared" si="8"/>
        <v>0.9854985928540646</v>
      </c>
      <c r="AD33" s="436">
        <f t="shared" si="9"/>
        <v>0.17784107934791063</v>
      </c>
      <c r="AE33" s="437">
        <f t="shared" si="10"/>
        <v>0.17819790672028904</v>
      </c>
      <c r="AF33" s="438">
        <f>'Op Cost-26'!B24/'Revenue Miles-26'!B24</f>
        <v>9.6003592943580749</v>
      </c>
      <c r="AG33" s="434">
        <f>'Op Cost-26'!C24/'Revenue Miles-26'!C24</f>
        <v>9.4889394391510358</v>
      </c>
      <c r="AH33" s="434">
        <f>'Op Cost-26'!D24/'Revenue Miles-26'!D24</f>
        <v>9.7984940737616739</v>
      </c>
      <c r="AI33" s="434">
        <f>'Op Cost-26'!E24/'Revenue Miles-26'!E24</f>
        <v>10.273826443984833</v>
      </c>
      <c r="AJ33" s="435">
        <f t="shared" si="11"/>
        <v>0.98269843075003915</v>
      </c>
      <c r="AK33" s="436">
        <f t="shared" si="12"/>
        <v>0.17834783079407801</v>
      </c>
      <c r="AL33" s="437">
        <f t="shared" si="13"/>
        <v>0.17867462815996249</v>
      </c>
      <c r="AM33" s="438">
        <f>'Op Cost-26'!B24/'Ridership-26'!B24</f>
        <v>21.10561073742015</v>
      </c>
      <c r="AN33" s="434">
        <f>'Op Cost-26'!C24/'Ridership-26'!C24</f>
        <v>19.999257439903197</v>
      </c>
      <c r="AO33" s="434">
        <f>'Op Cost-26'!D24/'Ridership-26'!D24</f>
        <v>12.964730439015423</v>
      </c>
      <c r="AP33" s="434">
        <f>'Op Cost-26'!E24/'Ridership-26'!E24</f>
        <v>12.746675376314458</v>
      </c>
      <c r="AQ33" s="435">
        <f t="shared" si="14"/>
        <v>0.97433760769024191</v>
      </c>
      <c r="AR33" s="436">
        <f t="shared" si="15"/>
        <v>0.1798782393963928</v>
      </c>
      <c r="AS33" s="440">
        <f t="shared" si="16"/>
        <v>0.18086808701571666</v>
      </c>
      <c r="AT33" s="432"/>
      <c r="AU33" s="441">
        <f t="shared" si="17"/>
        <v>0</v>
      </c>
      <c r="AV33" s="442">
        <f t="shared" si="18"/>
        <v>0</v>
      </c>
      <c r="AW33" s="442">
        <f t="shared" si="19"/>
        <v>0</v>
      </c>
      <c r="AX33" s="442">
        <f t="shared" si="20"/>
        <v>0</v>
      </c>
      <c r="AY33" s="443">
        <f t="shared" si="21"/>
        <v>0</v>
      </c>
      <c r="AZ33" s="444">
        <f t="shared" si="43"/>
        <v>-1</v>
      </c>
      <c r="BA33" s="445">
        <f t="shared" si="22"/>
        <v>0</v>
      </c>
      <c r="BB33" s="446">
        <f t="shared" si="22"/>
        <v>0</v>
      </c>
      <c r="BC33" s="446">
        <f t="shared" si="22"/>
        <v>0</v>
      </c>
      <c r="BD33" s="446">
        <f t="shared" si="22"/>
        <v>0</v>
      </c>
      <c r="BE33" s="446">
        <f t="shared" si="22"/>
        <v>0</v>
      </c>
      <c r="BF33" s="447">
        <f t="shared" si="44"/>
        <v>21096237.376351941</v>
      </c>
      <c r="BH33" s="448">
        <f>'Op Cost-26'!E24</f>
        <v>111168383</v>
      </c>
      <c r="BI33" s="449">
        <f t="shared" si="23"/>
        <v>0.18976832087547718</v>
      </c>
      <c r="BJ33" s="450">
        <f t="shared" si="24"/>
        <v>21096237.376351941</v>
      </c>
      <c r="BK33" s="451">
        <f t="shared" si="25"/>
        <v>0</v>
      </c>
      <c r="BL33" s="1">
        <f t="shared" si="45"/>
        <v>0.91465156320626262</v>
      </c>
      <c r="BM33" s="112">
        <f t="shared" si="46"/>
        <v>0.93878346715545702</v>
      </c>
      <c r="BN33" s="112">
        <f t="shared" si="47"/>
        <v>1.0021093132226169</v>
      </c>
      <c r="BO33" s="113">
        <f t="shared" si="48"/>
        <v>0.85885673622348813</v>
      </c>
      <c r="BP33" s="452">
        <f t="shared" si="26"/>
        <v>21096237.376351941</v>
      </c>
      <c r="BQ33" s="115">
        <f t="shared" si="49"/>
        <v>0.16030378433000525</v>
      </c>
      <c r="BR33" s="116">
        <f t="shared" si="50"/>
        <v>0.16030378433000525</v>
      </c>
      <c r="BS33" s="453">
        <f t="shared" si="51"/>
        <v>0.1687592337054053</v>
      </c>
      <c r="BT33" s="118">
        <f t="shared" si="52"/>
        <v>22356960.655582074</v>
      </c>
      <c r="BU33" s="119">
        <f t="shared" si="53"/>
        <v>33350514.899999999</v>
      </c>
      <c r="BV33" s="119">
        <f t="shared" si="54"/>
        <v>22356960.655582074</v>
      </c>
      <c r="BW33" s="119">
        <f t="shared" si="65"/>
        <v>0</v>
      </c>
      <c r="BX33" s="120">
        <f t="shared" si="55"/>
        <v>0.16030378433000525</v>
      </c>
      <c r="BY33" s="454">
        <f t="shared" si="56"/>
        <v>0.18173241325026768</v>
      </c>
      <c r="BZ33" s="122">
        <f t="shared" si="57"/>
        <v>22403913.142836694</v>
      </c>
      <c r="CA33" s="455">
        <f t="shared" si="27"/>
        <v>0.18728882154208248</v>
      </c>
      <c r="CB33" s="456">
        <f t="shared" si="28"/>
        <v>1399149.3802932494</v>
      </c>
      <c r="CC33" s="456">
        <f t="shared" si="29"/>
        <v>22495386.756645191</v>
      </c>
      <c r="CD33" s="457">
        <f t="shared" si="30"/>
        <v>0.20235417795584193</v>
      </c>
      <c r="CE33" s="458">
        <f t="shared" si="31"/>
        <v>0</v>
      </c>
      <c r="CF33" s="17"/>
      <c r="CG33" s="459">
        <f t="shared" si="32"/>
        <v>111168383</v>
      </c>
      <c r="CH33" s="460">
        <f t="shared" si="58"/>
        <v>0.20235417795584193</v>
      </c>
      <c r="CI33" s="461">
        <f t="shared" si="33"/>
        <v>22495386.756645191</v>
      </c>
      <c r="CJ33" s="462">
        <f t="shared" si="34"/>
        <v>0</v>
      </c>
      <c r="CL33" s="463">
        <f t="shared" si="35"/>
        <v>22495386.756645191</v>
      </c>
      <c r="CM33" s="464">
        <f t="shared" si="36"/>
        <v>0.19340564062340357</v>
      </c>
      <c r="CN33" s="465">
        <f t="shared" si="37"/>
        <v>27781.134778423362</v>
      </c>
      <c r="CO33" s="466">
        <f t="shared" si="59"/>
        <v>22523167.891423617</v>
      </c>
      <c r="CP33" s="467">
        <f t="shared" si="60"/>
        <v>0.20260407935791974</v>
      </c>
      <c r="CQ33" s="468">
        <f t="shared" si="38"/>
        <v>0</v>
      </c>
      <c r="CR33" s="469"/>
      <c r="CS33" s="470">
        <f t="shared" si="39"/>
        <v>33350514.899999999</v>
      </c>
      <c r="CT33" s="465">
        <f t="shared" si="40"/>
        <v>0</v>
      </c>
      <c r="CU33" s="471">
        <f t="shared" si="41"/>
        <v>22523167.891423617</v>
      </c>
      <c r="CV33" s="472">
        <f t="shared" si="42"/>
        <v>0.20260407935791974</v>
      </c>
      <c r="CY33" s="473">
        <v>0</v>
      </c>
      <c r="CZ33" s="474">
        <f t="shared" si="61"/>
        <v>22523167.891423617</v>
      </c>
      <c r="DA33" s="475">
        <f t="shared" si="62"/>
        <v>0.20260407935791974</v>
      </c>
      <c r="DB33" s="1">
        <f t="shared" si="63"/>
        <v>0</v>
      </c>
      <c r="DC33" s="293">
        <f t="shared" si="64"/>
        <v>0.20153133956114747</v>
      </c>
      <c r="DF33" s="476"/>
    </row>
    <row r="34" spans="1:110">
      <c r="A34" s="477" t="s">
        <v>104</v>
      </c>
      <c r="B34" s="428" t="s">
        <v>111</v>
      </c>
      <c r="C34" s="429"/>
      <c r="D34" s="91">
        <f>'Op Cost-26'!E25</f>
        <v>49463221</v>
      </c>
      <c r="E34" s="92">
        <f>'Ridership-26'!$E25</f>
        <v>1972474</v>
      </c>
      <c r="F34" s="92">
        <f>'Revenue Hours-26'!$E25</f>
        <v>236658.2</v>
      </c>
      <c r="G34" s="92">
        <f>'Revenue Miles-26'!$E25</f>
        <v>5670767.6500000004</v>
      </c>
      <c r="H34" s="478">
        <f t="shared" si="0"/>
        <v>6.3253623868236367E-2</v>
      </c>
      <c r="I34" s="431">
        <f t="shared" si="1"/>
        <v>6.3253623868236381E-2</v>
      </c>
      <c r="J34" s="444">
        <v>8.746833052061264E-3</v>
      </c>
      <c r="K34" s="433">
        <f>'Ridership-26'!B25/'Revenue Hours-26'!B25</f>
        <v>3.1822121529637459</v>
      </c>
      <c r="L34" s="434">
        <f>'Ridership-26'!C25/'Revenue Hours-26'!C25</f>
        <v>5.5899358680714615</v>
      </c>
      <c r="M34" s="434">
        <f>'Ridership-26'!D25/'Revenue Hours-26'!D25</f>
        <v>7.9037213878664074</v>
      </c>
      <c r="N34" s="434">
        <f>'Ridership-26'!E25/'Revenue Hours-26'!E25</f>
        <v>8.3346953538901243</v>
      </c>
      <c r="O34" s="435">
        <f t="shared" si="2"/>
        <v>1.1815671689829572</v>
      </c>
      <c r="P34" s="436">
        <f t="shared" si="3"/>
        <v>7.4738405281904868E-2</v>
      </c>
      <c r="Q34" s="437">
        <f t="shared" si="4"/>
        <v>7.2203063171948537E-2</v>
      </c>
      <c r="R34" s="438">
        <f>'Ridership-26'!B25/'Revenue Miles-26'!B25</f>
        <v>0.14309026388335411</v>
      </c>
      <c r="S34" s="434">
        <f>'Ridership-26'!C25/'Revenue Miles-26'!C25</f>
        <v>0.23474655175730527</v>
      </c>
      <c r="T34" s="434">
        <f>'Ridership-26'!D25/'Revenue Miles-26'!D25</f>
        <v>0.3221618701088883</v>
      </c>
      <c r="U34" s="434">
        <f>'Ridership-26'!E25/'Revenue Miles-26'!E25</f>
        <v>0.34783192007523001</v>
      </c>
      <c r="V34" s="435">
        <f t="shared" si="5"/>
        <v>1.1540245701714695</v>
      </c>
      <c r="W34" s="436">
        <f t="shared" si="6"/>
        <v>7.2996236096329298E-2</v>
      </c>
      <c r="X34" s="437">
        <f t="shared" si="7"/>
        <v>7.062544453809716E-2</v>
      </c>
      <c r="Y34" s="438">
        <f>'Op Cost-26'!B25/'Revenue Hours-26'!B25</f>
        <v>162.67460550900779</v>
      </c>
      <c r="Z34" s="434">
        <f>'Op Cost-26'!C25/'Revenue Hours-26'!C25</f>
        <v>182.03086120018324</v>
      </c>
      <c r="AA34" s="434">
        <f>'Op Cost-26'!D25/'Revenue Hours-26'!D25</f>
        <v>228.02756454118199</v>
      </c>
      <c r="AB34" s="434">
        <f>'Op Cost-26'!E25/'Revenue Hours-26'!E25</f>
        <v>209.00700250403324</v>
      </c>
      <c r="AC34" s="435">
        <f t="shared" si="8"/>
        <v>1.045677971525393</v>
      </c>
      <c r="AD34" s="436">
        <f t="shared" si="9"/>
        <v>6.0490538761148939E-2</v>
      </c>
      <c r="AE34" s="437">
        <f t="shared" si="10"/>
        <v>6.061190936955415E-2</v>
      </c>
      <c r="AF34" s="438">
        <f>'Op Cost-26'!B25/'Revenue Miles-26'!B25</f>
        <v>7.31477070368339</v>
      </c>
      <c r="AG34" s="434">
        <f>'Op Cost-26'!C25/'Revenue Miles-26'!C25</f>
        <v>7.6442946732585657</v>
      </c>
      <c r="AH34" s="434">
        <f>'Op Cost-26'!D25/'Revenue Miles-26'!D25</f>
        <v>9.2945820106638735</v>
      </c>
      <c r="AI34" s="434">
        <f>'Op Cost-26'!E25/'Revenue Miles-26'!E25</f>
        <v>8.722491213336875</v>
      </c>
      <c r="AJ34" s="435">
        <f t="shared" si="11"/>
        <v>1.0220822440114024</v>
      </c>
      <c r="AK34" s="436">
        <f t="shared" si="12"/>
        <v>6.1887019600284456E-2</v>
      </c>
      <c r="AL34" s="437">
        <f t="shared" si="13"/>
        <v>6.2000418876842892E-2</v>
      </c>
      <c r="AM34" s="438">
        <f>'Op Cost-26'!B25/'Ridership-26'!B25</f>
        <v>51.119974938660576</v>
      </c>
      <c r="AN34" s="434">
        <f>'Op Cost-26'!C25/'Ridership-26'!C25</f>
        <v>32.564033916722593</v>
      </c>
      <c r="AO34" s="434">
        <f>'Op Cost-26'!D25/'Ridership-26'!D25</f>
        <v>28.850658234391222</v>
      </c>
      <c r="AP34" s="434">
        <f>'Op Cost-26'!E25/'Ridership-26'!E25</f>
        <v>25.07674169596152</v>
      </c>
      <c r="AQ34" s="435">
        <f t="shared" si="14"/>
        <v>0.88959546780913978</v>
      </c>
      <c r="AR34" s="436">
        <f t="shared" si="15"/>
        <v>7.1103806344714054E-2</v>
      </c>
      <c r="AS34" s="440">
        <f t="shared" si="16"/>
        <v>7.149508176341593E-2</v>
      </c>
      <c r="AT34" s="432"/>
      <c r="AU34" s="441">
        <f t="shared" si="17"/>
        <v>0</v>
      </c>
      <c r="AV34" s="442">
        <f t="shared" si="18"/>
        <v>0</v>
      </c>
      <c r="AW34" s="442">
        <f t="shared" si="19"/>
        <v>0</v>
      </c>
      <c r="AX34" s="442">
        <f t="shared" si="20"/>
        <v>0</v>
      </c>
      <c r="AY34" s="443">
        <f t="shared" si="21"/>
        <v>0</v>
      </c>
      <c r="AZ34" s="444">
        <f t="shared" si="43"/>
        <v>-1</v>
      </c>
      <c r="BA34" s="445">
        <f t="shared" si="22"/>
        <v>0</v>
      </c>
      <c r="BB34" s="446">
        <f t="shared" si="22"/>
        <v>0</v>
      </c>
      <c r="BC34" s="446">
        <f t="shared" si="22"/>
        <v>0</v>
      </c>
      <c r="BD34" s="446">
        <f t="shared" si="22"/>
        <v>0</v>
      </c>
      <c r="BE34" s="446">
        <f t="shared" si="22"/>
        <v>0</v>
      </c>
      <c r="BF34" s="447">
        <f t="shared" si="44"/>
        <v>7613815.0197001556</v>
      </c>
      <c r="BH34" s="448">
        <f>'Op Cost-26'!E25</f>
        <v>49463221</v>
      </c>
      <c r="BI34" s="449">
        <f t="shared" si="23"/>
        <v>0.15392881550718573</v>
      </c>
      <c r="BJ34" s="450">
        <f t="shared" si="24"/>
        <v>7613815.0197001556</v>
      </c>
      <c r="BK34" s="451">
        <f t="shared" si="25"/>
        <v>0</v>
      </c>
      <c r="BL34" s="1">
        <f t="shared" si="45"/>
        <v>0.51013648960675606</v>
      </c>
      <c r="BM34" s="112">
        <f t="shared" si="46"/>
        <v>0.7349574466596599</v>
      </c>
      <c r="BN34" s="112">
        <f t="shared" si="47"/>
        <v>0.43246327531251938</v>
      </c>
      <c r="BO34" s="113">
        <f t="shared" si="48"/>
        <v>0.43656261822742254</v>
      </c>
      <c r="BP34" s="452">
        <f t="shared" si="26"/>
        <v>7613815.0197001556</v>
      </c>
      <c r="BQ34" s="115">
        <f t="shared" si="49"/>
        <v>3.2267981635048223E-2</v>
      </c>
      <c r="BR34" s="116">
        <f t="shared" si="50"/>
        <v>3.2267981635048223E-2</v>
      </c>
      <c r="BS34" s="453">
        <f t="shared" si="51"/>
        <v>3.3970001873072135E-2</v>
      </c>
      <c r="BT34" s="118">
        <f t="shared" si="52"/>
        <v>7867589.4130565152</v>
      </c>
      <c r="BU34" s="119">
        <f t="shared" si="53"/>
        <v>14838966.299999999</v>
      </c>
      <c r="BV34" s="119">
        <f t="shared" si="54"/>
        <v>7867589.4130565152</v>
      </c>
      <c r="BW34" s="119">
        <f t="shared" si="65"/>
        <v>0</v>
      </c>
      <c r="BX34" s="120">
        <f t="shared" si="55"/>
        <v>3.2267981635048223E-2</v>
      </c>
      <c r="BY34" s="454">
        <f t="shared" si="56"/>
        <v>3.658140821666802E-2</v>
      </c>
      <c r="BZ34" s="122">
        <f t="shared" si="57"/>
        <v>7877040.6060073497</v>
      </c>
      <c r="CA34" s="455">
        <f t="shared" si="27"/>
        <v>6.7594159898746689E-2</v>
      </c>
      <c r="CB34" s="456">
        <f t="shared" si="28"/>
        <v>504965.14503682777</v>
      </c>
      <c r="CC34" s="456">
        <f t="shared" si="29"/>
        <v>8118780.1647369834</v>
      </c>
      <c r="CD34" s="457">
        <f t="shared" si="30"/>
        <v>0.16413771688538001</v>
      </c>
      <c r="CE34" s="458">
        <f t="shared" si="31"/>
        <v>0</v>
      </c>
      <c r="CF34" s="17"/>
      <c r="CG34" s="459">
        <f t="shared" si="32"/>
        <v>49463221</v>
      </c>
      <c r="CH34" s="460">
        <f t="shared" si="58"/>
        <v>0.16413771688538001</v>
      </c>
      <c r="CI34" s="461">
        <f t="shared" si="33"/>
        <v>8118780.1647369834</v>
      </c>
      <c r="CJ34" s="462">
        <f t="shared" si="34"/>
        <v>0</v>
      </c>
      <c r="CL34" s="463">
        <f t="shared" si="35"/>
        <v>8118780.1647369834</v>
      </c>
      <c r="CM34" s="464">
        <f t="shared" si="36"/>
        <v>6.9801772951411559E-2</v>
      </c>
      <c r="CN34" s="465">
        <f t="shared" si="37"/>
        <v>10026.452464806842</v>
      </c>
      <c r="CO34" s="466">
        <f t="shared" si="59"/>
        <v>8128806.6172017902</v>
      </c>
      <c r="CP34" s="467">
        <f t="shared" si="60"/>
        <v>0.16434042209264516</v>
      </c>
      <c r="CQ34" s="468">
        <f t="shared" si="38"/>
        <v>0</v>
      </c>
      <c r="CR34" s="469"/>
      <c r="CS34" s="470">
        <f t="shared" si="39"/>
        <v>14838966.299999999</v>
      </c>
      <c r="CT34" s="465">
        <f t="shared" si="40"/>
        <v>0</v>
      </c>
      <c r="CU34" s="471">
        <f t="shared" si="41"/>
        <v>8128806.6172017902</v>
      </c>
      <c r="CV34" s="472">
        <f t="shared" si="42"/>
        <v>0.16434042209264516</v>
      </c>
      <c r="CY34" s="473">
        <v>0</v>
      </c>
      <c r="CZ34" s="474">
        <f t="shared" si="61"/>
        <v>8128806.6172017902</v>
      </c>
      <c r="DA34" s="475">
        <f t="shared" si="62"/>
        <v>0.16434042209264516</v>
      </c>
      <c r="DB34" s="1">
        <f t="shared" si="63"/>
        <v>0</v>
      </c>
      <c r="DC34" s="293">
        <f t="shared" si="64"/>
        <v>0.15925045815369263</v>
      </c>
      <c r="DF34" s="476"/>
    </row>
    <row r="35" spans="1:110">
      <c r="A35" s="477" t="s">
        <v>112</v>
      </c>
      <c r="B35" s="428" t="s">
        <v>113</v>
      </c>
      <c r="C35" s="429"/>
      <c r="D35" s="91">
        <f>'Op Cost-26'!E26</f>
        <v>3929042</v>
      </c>
      <c r="E35" s="92">
        <f>'Ridership-26'!$E26</f>
        <v>471466</v>
      </c>
      <c r="F35" s="92">
        <f>'Revenue Hours-26'!$E26</f>
        <v>41575</v>
      </c>
      <c r="G35" s="92">
        <f>'Revenue Miles-26'!$E26</f>
        <v>539337</v>
      </c>
      <c r="H35" s="430">
        <f t="shared" si="0"/>
        <v>8.0311956851178597E-3</v>
      </c>
      <c r="I35" s="431">
        <f t="shared" si="1"/>
        <v>8.0311956851178614E-3</v>
      </c>
      <c r="J35" s="432"/>
      <c r="K35" s="433">
        <f>'Ridership-26'!B26/'Revenue Hours-26'!B26</f>
        <v>7.0651748073074137</v>
      </c>
      <c r="L35" s="434">
        <f>'Ridership-26'!C26/'Revenue Hours-26'!C26</f>
        <v>8.5454680032144825</v>
      </c>
      <c r="M35" s="434">
        <f>'Ridership-26'!D26/'Revenue Hours-26'!D26</f>
        <v>10.854112978631212</v>
      </c>
      <c r="N35" s="434">
        <f>'Ridership-26'!E26/'Revenue Hours-26'!E26</f>
        <v>11.340132291040289</v>
      </c>
      <c r="O35" s="435">
        <f t="shared" si="2"/>
        <v>0.99594867084409577</v>
      </c>
      <c r="P35" s="436">
        <f t="shared" si="3"/>
        <v>7.9986586678819707E-3</v>
      </c>
      <c r="Q35" s="437">
        <f t="shared" si="4"/>
        <v>7.7273211130150059E-3</v>
      </c>
      <c r="R35" s="438">
        <f>'Ridership-26'!B26/'Revenue Miles-26'!B26</f>
        <v>0.60435953803758868</v>
      </c>
      <c r="S35" s="434">
        <f>'Ridership-26'!C26/'Revenue Miles-26'!C26</f>
        <v>0.7290038463481342</v>
      </c>
      <c r="T35" s="434">
        <f>'Ridership-26'!D26/'Revenue Miles-26'!D26</f>
        <v>0.86015998033680452</v>
      </c>
      <c r="U35" s="434">
        <f>'Ridership-26'!E26/'Revenue Miles-26'!E26</f>
        <v>0.8741584575135769</v>
      </c>
      <c r="V35" s="435">
        <f t="shared" si="5"/>
        <v>0.96537457981459074</v>
      </c>
      <c r="W35" s="436">
        <f t="shared" si="6"/>
        <v>7.7531121599294095E-3</v>
      </c>
      <c r="X35" s="437">
        <f t="shared" si="7"/>
        <v>7.501304479948059E-3</v>
      </c>
      <c r="Y35" s="438">
        <f>'Op Cost-26'!B26/'Revenue Hours-26'!B26</f>
        <v>99.128071370778855</v>
      </c>
      <c r="Z35" s="434">
        <f>'Op Cost-26'!C26/'Revenue Hours-26'!C26</f>
        <v>86.295224802267057</v>
      </c>
      <c r="AA35" s="434">
        <f>'Op Cost-26'!D26/'Revenue Hours-26'!D26</f>
        <v>108.01972678966453</v>
      </c>
      <c r="AB35" s="434">
        <f>'Op Cost-26'!E26/'Revenue Hours-26'!E26</f>
        <v>94.504918821407102</v>
      </c>
      <c r="AC35" s="435">
        <f t="shared" si="8"/>
        <v>0.94994437862677639</v>
      </c>
      <c r="AD35" s="436">
        <f t="shared" si="9"/>
        <v>8.4543851890861478E-3</v>
      </c>
      <c r="AE35" s="437">
        <f t="shared" si="10"/>
        <v>8.4713484017654578E-3</v>
      </c>
      <c r="AF35" s="438">
        <f>'Op Cost-26'!B26/'Revenue Miles-26'!B26</f>
        <v>8.4794781522232086</v>
      </c>
      <c r="AG35" s="434">
        <f>'Op Cost-26'!C26/'Revenue Miles-26'!C26</f>
        <v>7.3617443513527165</v>
      </c>
      <c r="AH35" s="434">
        <f>'Op Cost-26'!D26/'Revenue Miles-26'!D26</f>
        <v>8.5602799836621983</v>
      </c>
      <c r="AI35" s="434">
        <f>'Op Cost-26'!E26/'Revenue Miles-26'!E26</f>
        <v>7.2849480009715633</v>
      </c>
      <c r="AJ35" s="435">
        <f t="shared" si="11"/>
        <v>0.91837200860332668</v>
      </c>
      <c r="AK35" s="436">
        <f t="shared" si="12"/>
        <v>8.7450353559140135E-3</v>
      </c>
      <c r="AL35" s="437">
        <f t="shared" si="13"/>
        <v>8.7610594056944623E-3</v>
      </c>
      <c r="AM35" s="438">
        <f>'Op Cost-26'!B26/'Ridership-26'!B26</f>
        <v>14.030519282870687</v>
      </c>
      <c r="AN35" s="434">
        <f>'Op Cost-26'!C26/'Ridership-26'!C26</f>
        <v>10.098361467131589</v>
      </c>
      <c r="AO35" s="434">
        <f>'Op Cost-26'!D26/'Ridership-26'!D26</f>
        <v>9.9519626341024754</v>
      </c>
      <c r="AP35" s="434">
        <f>'Op Cost-26'!E26/'Ridership-26'!E26</f>
        <v>8.3336698722707467</v>
      </c>
      <c r="AQ35" s="439">
        <f t="shared" si="14"/>
        <v>0.94966951764901175</v>
      </c>
      <c r="AR35" s="436">
        <f t="shared" si="15"/>
        <v>8.456832125137358E-3</v>
      </c>
      <c r="AS35" s="440">
        <f t="shared" si="16"/>
        <v>8.5033690223972978E-3</v>
      </c>
      <c r="AT35" s="432"/>
      <c r="AU35" s="441">
        <f t="shared" si="17"/>
        <v>0</v>
      </c>
      <c r="AV35" s="442">
        <f t="shared" si="18"/>
        <v>0</v>
      </c>
      <c r="AW35" s="442">
        <f t="shared" si="19"/>
        <v>0</v>
      </c>
      <c r="AX35" s="442">
        <f t="shared" si="20"/>
        <v>0</v>
      </c>
      <c r="AY35" s="443">
        <f t="shared" si="21"/>
        <v>0</v>
      </c>
      <c r="AZ35" s="444">
        <f t="shared" si="43"/>
        <v>-1</v>
      </c>
      <c r="BA35" s="445">
        <f t="shared" si="22"/>
        <v>0</v>
      </c>
      <c r="BB35" s="446">
        <f t="shared" si="22"/>
        <v>0</v>
      </c>
      <c r="BC35" s="446">
        <f t="shared" si="22"/>
        <v>0</v>
      </c>
      <c r="BD35" s="446">
        <f t="shared" si="22"/>
        <v>0</v>
      </c>
      <c r="BE35" s="446">
        <f t="shared" si="22"/>
        <v>0</v>
      </c>
      <c r="BF35" s="447">
        <f t="shared" si="44"/>
        <v>966712.01733641268</v>
      </c>
      <c r="BH35" s="448">
        <f>'Op Cost-26'!E26</f>
        <v>3929042</v>
      </c>
      <c r="BI35" s="449">
        <f t="shared" si="23"/>
        <v>0.24604267842807806</v>
      </c>
      <c r="BJ35" s="450">
        <f t="shared" si="24"/>
        <v>966712.01733641268</v>
      </c>
      <c r="BK35" s="451">
        <f t="shared" si="25"/>
        <v>0</v>
      </c>
      <c r="BL35" s="1">
        <f t="shared" si="45"/>
        <v>1.1785348562899629</v>
      </c>
      <c r="BM35" s="112">
        <f t="shared" si="46"/>
        <v>0.99997832188499736</v>
      </c>
      <c r="BN35" s="112">
        <f t="shared" si="47"/>
        <v>1.0868508836011872</v>
      </c>
      <c r="BO35" s="113">
        <f t="shared" si="48"/>
        <v>1.3136551098368334</v>
      </c>
      <c r="BP35" s="452">
        <f t="shared" si="26"/>
        <v>966712.01733641268</v>
      </c>
      <c r="BQ35" s="115">
        <f t="shared" si="49"/>
        <v>9.4650440525969482E-3</v>
      </c>
      <c r="BR35" s="116">
        <f t="shared" si="50"/>
        <v>9.4650440525969482E-3</v>
      </c>
      <c r="BS35" s="453">
        <f t="shared" si="51"/>
        <v>9.964291161186167E-3</v>
      </c>
      <c r="BT35" s="118">
        <f t="shared" si="52"/>
        <v>1041150.6927920248</v>
      </c>
      <c r="BU35" s="119">
        <f t="shared" si="53"/>
        <v>1178712.5999999999</v>
      </c>
      <c r="BV35" s="119">
        <f t="shared" si="54"/>
        <v>1041150.6927920248</v>
      </c>
      <c r="BW35" s="119">
        <f t="shared" si="65"/>
        <v>0</v>
      </c>
      <c r="BX35" s="120">
        <f t="shared" si="55"/>
        <v>9.4650440525969482E-3</v>
      </c>
      <c r="BY35" s="454">
        <f t="shared" si="56"/>
        <v>1.0730285029687673E-2</v>
      </c>
      <c r="BZ35" s="122">
        <f t="shared" si="57"/>
        <v>1043922.9751938495</v>
      </c>
      <c r="CA35" s="455">
        <f t="shared" si="27"/>
        <v>8.5823055205313907E-3</v>
      </c>
      <c r="CB35" s="456">
        <f t="shared" si="28"/>
        <v>64114.490932608765</v>
      </c>
      <c r="CC35" s="456">
        <f t="shared" si="29"/>
        <v>1030826.5082690214</v>
      </c>
      <c r="CD35" s="457">
        <f t="shared" si="30"/>
        <v>0.26236077605406644</v>
      </c>
      <c r="CE35" s="458">
        <f t="shared" si="31"/>
        <v>0</v>
      </c>
      <c r="CF35" s="17"/>
      <c r="CG35" s="459">
        <f t="shared" si="32"/>
        <v>3929042</v>
      </c>
      <c r="CH35" s="460">
        <f t="shared" si="58"/>
        <v>0.26236077605406644</v>
      </c>
      <c r="CI35" s="461">
        <f t="shared" si="33"/>
        <v>1030826.5082690214</v>
      </c>
      <c r="CJ35" s="462">
        <f t="shared" si="34"/>
        <v>0</v>
      </c>
      <c r="CL35" s="463">
        <f t="shared" si="35"/>
        <v>1030826.5082690214</v>
      </c>
      <c r="CM35" s="464">
        <f t="shared" si="36"/>
        <v>8.8626020685980255E-3</v>
      </c>
      <c r="CN35" s="465">
        <f t="shared" si="37"/>
        <v>1273.0401334813073</v>
      </c>
      <c r="CO35" s="466">
        <f t="shared" si="59"/>
        <v>1032099.5484025027</v>
      </c>
      <c r="CP35" s="467">
        <f t="shared" si="60"/>
        <v>0.26268478382325838</v>
      </c>
      <c r="CQ35" s="468">
        <f t="shared" si="38"/>
        <v>0</v>
      </c>
      <c r="CR35" s="469"/>
      <c r="CS35" s="470">
        <f t="shared" si="39"/>
        <v>1178712.5999999999</v>
      </c>
      <c r="CT35" s="465">
        <f t="shared" si="40"/>
        <v>0</v>
      </c>
      <c r="CU35" s="471">
        <f t="shared" si="41"/>
        <v>1032099.5484025027</v>
      </c>
      <c r="CV35" s="472">
        <f t="shared" si="42"/>
        <v>0.26268478382325838</v>
      </c>
      <c r="CY35" s="473">
        <v>0</v>
      </c>
      <c r="CZ35" s="474">
        <f t="shared" si="61"/>
        <v>1032099.5484025027</v>
      </c>
      <c r="DA35" s="475">
        <f t="shared" si="62"/>
        <v>0.26268478382325838</v>
      </c>
      <c r="DB35" s="1">
        <f t="shared" si="63"/>
        <v>0</v>
      </c>
      <c r="DC35" s="293">
        <f t="shared" si="64"/>
        <v>0.26569402291801653</v>
      </c>
      <c r="DF35" s="476"/>
    </row>
    <row r="36" spans="1:110">
      <c r="A36" s="477" t="s">
        <v>112</v>
      </c>
      <c r="B36" s="428" t="s">
        <v>114</v>
      </c>
      <c r="C36" s="429"/>
      <c r="D36" s="91">
        <f>'Op Cost-26'!E27</f>
        <v>76532753</v>
      </c>
      <c r="E36" s="92">
        <f>'Ridership-26'!$E27</f>
        <v>10824111</v>
      </c>
      <c r="F36" s="92">
        <f>'Revenue Hours-26'!$E27</f>
        <v>633650.79</v>
      </c>
      <c r="G36" s="92">
        <f>'Revenue Miles-26'!$E27</f>
        <v>7725466.0599999996</v>
      </c>
      <c r="H36" s="478">
        <f t="shared" si="0"/>
        <v>0.15529039389891222</v>
      </c>
      <c r="I36" s="431">
        <f t="shared" si="1"/>
        <v>0.15529039389891225</v>
      </c>
      <c r="J36" s="432"/>
      <c r="K36" s="433">
        <f>'Ridership-26'!B27/'Revenue Hours-26'!B27</f>
        <v>12.685908078458269</v>
      </c>
      <c r="L36" s="434">
        <f>'Ridership-26'!C27/'Revenue Hours-26'!C27</f>
        <v>14.999735241854868</v>
      </c>
      <c r="M36" s="434">
        <f>'Ridership-26'!D27/'Revenue Hours-26'!D27</f>
        <v>16.489050494667865</v>
      </c>
      <c r="N36" s="434">
        <f>'Ridership-26'!E27/'Revenue Hours-26'!E27</f>
        <v>17.082139201625552</v>
      </c>
      <c r="O36" s="435">
        <f t="shared" si="2"/>
        <v>0.93821685004918709</v>
      </c>
      <c r="P36" s="436">
        <f t="shared" si="3"/>
        <v>0.14569606420673495</v>
      </c>
      <c r="Q36" s="437">
        <f t="shared" si="4"/>
        <v>0.14075363379970471</v>
      </c>
      <c r="R36" s="438">
        <f>'Ridership-26'!B27/'Revenue Miles-26'!B27</f>
        <v>1.0554722157446399</v>
      </c>
      <c r="S36" s="434">
        <f>'Ridership-26'!C27/'Revenue Miles-26'!C27</f>
        <v>1.2009259173704827</v>
      </c>
      <c r="T36" s="434">
        <f>'Ridership-26'!D27/'Revenue Miles-26'!D27</f>
        <v>1.3706452252341543</v>
      </c>
      <c r="U36" s="434">
        <f>'Ridership-26'!E27/'Revenue Miles-26'!E27</f>
        <v>1.4010948874714233</v>
      </c>
      <c r="V36" s="435">
        <f t="shared" si="5"/>
        <v>0.93828620848089661</v>
      </c>
      <c r="W36" s="436">
        <f t="shared" si="6"/>
        <v>0.14570683490491534</v>
      </c>
      <c r="X36" s="437">
        <f t="shared" si="7"/>
        <v>0.14097452879376959</v>
      </c>
      <c r="Y36" s="438">
        <f>'Op Cost-26'!B27/'Revenue Hours-26'!B27</f>
        <v>106.94058914595765</v>
      </c>
      <c r="Z36" s="434">
        <f>'Op Cost-26'!C27/'Revenue Hours-26'!C27</f>
        <v>99.059409351732896</v>
      </c>
      <c r="AA36" s="434">
        <f>'Op Cost-26'!D27/'Revenue Hours-26'!D27</f>
        <v>117.86879438091567</v>
      </c>
      <c r="AB36" s="434">
        <f>'Op Cost-26'!E27/'Revenue Hours-26'!E27</f>
        <v>120.78064796541956</v>
      </c>
      <c r="AC36" s="435">
        <f t="shared" si="8"/>
        <v>0.99770100373043302</v>
      </c>
      <c r="AD36" s="436">
        <f t="shared" si="9"/>
        <v>0.15564822859581873</v>
      </c>
      <c r="AE36" s="437">
        <f t="shared" si="10"/>
        <v>0.15596052735507529</v>
      </c>
      <c r="AF36" s="438">
        <f>'Op Cost-26'!B27/'Revenue Miles-26'!B27</f>
        <v>8.897496330640184</v>
      </c>
      <c r="AG36" s="434">
        <f>'Op Cost-26'!C27/'Revenue Miles-26'!C27</f>
        <v>7.9310074565820816</v>
      </c>
      <c r="AH36" s="434">
        <f>'Op Cost-26'!D27/'Revenue Miles-26'!D27</f>
        <v>9.7977928004133119</v>
      </c>
      <c r="AI36" s="434">
        <f>'Op Cost-26'!E27/'Revenue Miles-26'!E27</f>
        <v>9.9065548156715355</v>
      </c>
      <c r="AJ36" s="435">
        <f t="shared" si="11"/>
        <v>0.99958570531382751</v>
      </c>
      <c r="AK36" s="436">
        <f t="shared" si="12"/>
        <v>0.15535475654902214</v>
      </c>
      <c r="AL36" s="437">
        <f t="shared" si="13"/>
        <v>0.15563942233380798</v>
      </c>
      <c r="AM36" s="438">
        <f>'Op Cost-26'!B27/'Ridership-26'!B27</f>
        <v>8.4298726180707302</v>
      </c>
      <c r="AN36" s="434">
        <f>'Op Cost-26'!C27/'Ridership-26'!C27</f>
        <v>6.6040771889973175</v>
      </c>
      <c r="AO36" s="434">
        <f>'Op Cost-26'!D27/'Ridership-26'!D27</f>
        <v>7.148306957943479</v>
      </c>
      <c r="AP36" s="434">
        <f>'Op Cost-26'!E27/'Ridership-26'!E27</f>
        <v>7.0705809465553333</v>
      </c>
      <c r="AQ36" s="435">
        <f t="shared" si="14"/>
        <v>1.0639513252329815</v>
      </c>
      <c r="AR36" s="436">
        <f t="shared" si="15"/>
        <v>0.14595629538306851</v>
      </c>
      <c r="AS36" s="440">
        <f t="shared" si="16"/>
        <v>0.14675947475593243</v>
      </c>
      <c r="AT36" s="432"/>
      <c r="AU36" s="441">
        <f t="shared" si="17"/>
        <v>0</v>
      </c>
      <c r="AV36" s="442">
        <f t="shared" si="18"/>
        <v>0</v>
      </c>
      <c r="AW36" s="442">
        <f t="shared" si="19"/>
        <v>0</v>
      </c>
      <c r="AX36" s="442">
        <f t="shared" si="20"/>
        <v>0</v>
      </c>
      <c r="AY36" s="443">
        <f t="shared" si="21"/>
        <v>0</v>
      </c>
      <c r="AZ36" s="444">
        <f t="shared" si="43"/>
        <v>-1</v>
      </c>
      <c r="BA36" s="445">
        <f t="shared" si="22"/>
        <v>0</v>
      </c>
      <c r="BB36" s="446">
        <f t="shared" si="22"/>
        <v>0</v>
      </c>
      <c r="BC36" s="446">
        <f t="shared" si="22"/>
        <v>0</v>
      </c>
      <c r="BD36" s="446">
        <f t="shared" si="22"/>
        <v>0</v>
      </c>
      <c r="BE36" s="446">
        <f t="shared" si="22"/>
        <v>0</v>
      </c>
      <c r="BF36" s="447">
        <f t="shared" si="44"/>
        <v>18692246.565124072</v>
      </c>
      <c r="BG36" s="301"/>
      <c r="BH36" s="448">
        <f>'Op Cost-26'!E27</f>
        <v>76532753</v>
      </c>
      <c r="BI36" s="449">
        <f t="shared" si="23"/>
        <v>0.2442385231473912</v>
      </c>
      <c r="BJ36" s="461">
        <f t="shared" si="24"/>
        <v>18692246.565124072</v>
      </c>
      <c r="BK36" s="451">
        <f t="shared" si="25"/>
        <v>0</v>
      </c>
      <c r="BL36" s="1">
        <f t="shared" si="45"/>
        <v>1.5862402694460322</v>
      </c>
      <c r="BM36" s="112">
        <f t="shared" si="46"/>
        <v>1.5063112541062293</v>
      </c>
      <c r="BN36" s="112">
        <f t="shared" si="47"/>
        <v>1.7419967780083756</v>
      </c>
      <c r="BO36" s="113">
        <f t="shared" si="48"/>
        <v>1.5483265228347618</v>
      </c>
      <c r="BP36" s="452">
        <f t="shared" si="26"/>
        <v>18692246.565124072</v>
      </c>
      <c r="BQ36" s="115">
        <f t="shared" si="49"/>
        <v>0.24632787626059105</v>
      </c>
      <c r="BR36" s="116">
        <f t="shared" si="50"/>
        <v>0.24632787626059105</v>
      </c>
      <c r="BS36" s="453">
        <f t="shared" si="51"/>
        <v>0.25932078778901452</v>
      </c>
      <c r="BT36" s="118">
        <f t="shared" si="52"/>
        <v>20629513.9180004</v>
      </c>
      <c r="BU36" s="119">
        <f t="shared" si="53"/>
        <v>22959825.899999999</v>
      </c>
      <c r="BV36" s="119">
        <f t="shared" si="54"/>
        <v>20629513.9180004</v>
      </c>
      <c r="BW36" s="119">
        <f t="shared" si="65"/>
        <v>0</v>
      </c>
      <c r="BX36" s="120">
        <f t="shared" si="55"/>
        <v>0.24632787626059105</v>
      </c>
      <c r="BY36" s="454">
        <f t="shared" si="56"/>
        <v>0.27925578669742857</v>
      </c>
      <c r="BZ36" s="122">
        <f t="shared" si="57"/>
        <v>20701662.59820107</v>
      </c>
      <c r="CA36" s="455">
        <f t="shared" si="27"/>
        <v>0.16594659837684805</v>
      </c>
      <c r="CB36" s="456">
        <f t="shared" si="28"/>
        <v>1239711.3632783981</v>
      </c>
      <c r="CC36" s="456">
        <f t="shared" si="29"/>
        <v>19931957.928402469</v>
      </c>
      <c r="CD36" s="457">
        <f t="shared" si="30"/>
        <v>0.2604369651827691</v>
      </c>
      <c r="CE36" s="458">
        <f t="shared" si="31"/>
        <v>0</v>
      </c>
      <c r="CF36" s="17"/>
      <c r="CG36" s="459">
        <f t="shared" si="32"/>
        <v>76532753</v>
      </c>
      <c r="CH36" s="460">
        <f t="shared" si="58"/>
        <v>0.2604369651827691</v>
      </c>
      <c r="CI36" s="461">
        <f t="shared" si="33"/>
        <v>19931957.928402469</v>
      </c>
      <c r="CJ36" s="462">
        <f t="shared" si="34"/>
        <v>0</v>
      </c>
      <c r="CL36" s="463">
        <f t="shared" si="35"/>
        <v>19931957.928402469</v>
      </c>
      <c r="CM36" s="464">
        <f t="shared" si="36"/>
        <v>0.17136638430466836</v>
      </c>
      <c r="CN36" s="465">
        <f t="shared" si="37"/>
        <v>24615.376281238605</v>
      </c>
      <c r="CO36" s="466">
        <f t="shared" si="59"/>
        <v>19956573.304683708</v>
      </c>
      <c r="CP36" s="467">
        <f t="shared" si="60"/>
        <v>0.26075859710265104</v>
      </c>
      <c r="CQ36" s="468">
        <f t="shared" si="38"/>
        <v>0</v>
      </c>
      <c r="CR36" s="469"/>
      <c r="CS36" s="470">
        <f t="shared" si="39"/>
        <v>22959825.899999999</v>
      </c>
      <c r="CT36" s="465">
        <f t="shared" si="40"/>
        <v>0</v>
      </c>
      <c r="CU36" s="471">
        <f t="shared" si="41"/>
        <v>19956573.304683708</v>
      </c>
      <c r="CV36" s="472">
        <f t="shared" si="42"/>
        <v>0.26075859710265104</v>
      </c>
      <c r="CY36" s="473">
        <v>370745.59999999998</v>
      </c>
      <c r="CZ36" s="474">
        <f t="shared" si="61"/>
        <v>20327318.904683709</v>
      </c>
      <c r="DA36" s="475">
        <f t="shared" si="62"/>
        <v>0.26560287076937777</v>
      </c>
      <c r="DB36" s="1">
        <f t="shared" si="63"/>
        <v>0</v>
      </c>
      <c r="DC36" s="293">
        <f t="shared" si="64"/>
        <v>0.27049415820963701</v>
      </c>
      <c r="DF36" s="476"/>
    </row>
    <row r="37" spans="1:110">
      <c r="A37" s="477" t="s">
        <v>115</v>
      </c>
      <c r="B37" s="428" t="s">
        <v>116</v>
      </c>
      <c r="C37" s="429"/>
      <c r="D37" s="91">
        <f>'Op Cost-26'!E28</f>
        <v>12808994</v>
      </c>
      <c r="E37" s="92">
        <f>'Ridership-26'!$E28</f>
        <v>3791431</v>
      </c>
      <c r="F37" s="92">
        <f>'Revenue Hours-26'!$E28</f>
        <v>99331.900000000009</v>
      </c>
      <c r="G37" s="92">
        <f>'Revenue Miles-26'!$E28</f>
        <v>1022384</v>
      </c>
      <c r="H37" s="478">
        <f t="shared" si="0"/>
        <v>3.8211214285950368E-2</v>
      </c>
      <c r="I37" s="431">
        <f t="shared" si="1"/>
        <v>3.8211214285950375E-2</v>
      </c>
      <c r="J37" s="432"/>
      <c r="K37" s="433">
        <f>'Ridership-26'!B28/'Revenue Hours-26'!B28</f>
        <v>7.7359808402431227</v>
      </c>
      <c r="L37" s="434">
        <f>'Ridership-26'!C28/'Revenue Hours-26'!C28</f>
        <v>32.633977790205321</v>
      </c>
      <c r="M37" s="434">
        <f>'Ridership-26'!D28/'Revenue Hours-26'!D28</f>
        <v>37.897163158744682</v>
      </c>
      <c r="N37" s="434">
        <f>'Ridership-26'!E28/'Revenue Hours-26'!E28</f>
        <v>38.169319221720308</v>
      </c>
      <c r="O37" s="435">
        <f t="shared" si="2"/>
        <v>1.7360665328826819</v>
      </c>
      <c r="P37" s="436">
        <f t="shared" si="3"/>
        <v>6.6337210302647068E-2</v>
      </c>
      <c r="Q37" s="437">
        <f t="shared" si="4"/>
        <v>6.4086860939385371E-2</v>
      </c>
      <c r="R37" s="438">
        <f>'Ridership-26'!B28/'Revenue Miles-26'!B28</f>
        <v>0.74890286156611607</v>
      </c>
      <c r="S37" s="434">
        <f>'Ridership-26'!C28/'Revenue Miles-26'!C28</f>
        <v>3.1121743743196539</v>
      </c>
      <c r="T37" s="434">
        <f>'Ridership-26'!D28/'Revenue Miles-26'!D28</f>
        <v>3.6271477751754029</v>
      </c>
      <c r="U37" s="434">
        <f>'Ridership-26'!E28/'Revenue Miles-26'!E28</f>
        <v>3.7084216889153194</v>
      </c>
      <c r="V37" s="435">
        <f t="shared" si="5"/>
        <v>1.7450415348457822</v>
      </c>
      <c r="W37" s="436">
        <f t="shared" si="6"/>
        <v>6.6680156025875917E-2</v>
      </c>
      <c r="X37" s="437">
        <f t="shared" si="7"/>
        <v>6.4514499829587485E-2</v>
      </c>
      <c r="Y37" s="438">
        <f>'Op Cost-26'!B28/'Revenue Hours-26'!B28</f>
        <v>94.638769882541524</v>
      </c>
      <c r="Z37" s="434">
        <f>'Op Cost-26'!C28/'Revenue Hours-26'!C28</f>
        <v>99.879114404410004</v>
      </c>
      <c r="AA37" s="434">
        <f>'Op Cost-26'!D28/'Revenue Hours-26'!D28</f>
        <v>129.41512623136137</v>
      </c>
      <c r="AB37" s="434">
        <f>'Op Cost-26'!E28/'Revenue Hours-26'!E28</f>
        <v>128.95146473590054</v>
      </c>
      <c r="AC37" s="435">
        <f t="shared" si="8"/>
        <v>1.0634476998773559</v>
      </c>
      <c r="AD37" s="436">
        <f t="shared" si="9"/>
        <v>3.5931446643174984E-2</v>
      </c>
      <c r="AE37" s="437">
        <f t="shared" si="10"/>
        <v>3.600354091823478E-2</v>
      </c>
      <c r="AF37" s="438">
        <f>'Op Cost-26'!B28/'Revenue Miles-26'!B28</f>
        <v>9.1617659148578081</v>
      </c>
      <c r="AG37" s="434">
        <f>'Op Cost-26'!C28/'Revenue Miles-26'!C28</f>
        <v>9.5250791177666656</v>
      </c>
      <c r="AH37" s="434">
        <f>'Op Cost-26'!D28/'Revenue Miles-26'!D28</f>
        <v>12.386356868398249</v>
      </c>
      <c r="AI37" s="434">
        <f>'Op Cost-26'!E28/'Revenue Miles-26'!E28</f>
        <v>12.528554828714064</v>
      </c>
      <c r="AJ37" s="435">
        <f t="shared" si="11"/>
        <v>1.0693597112593702</v>
      </c>
      <c r="AK37" s="436">
        <f t="shared" si="12"/>
        <v>3.5732797751422254E-2</v>
      </c>
      <c r="AL37" s="437">
        <f t="shared" si="13"/>
        <v>3.5798273087617009E-2</v>
      </c>
      <c r="AM37" s="438">
        <f>'Op Cost-26'!B28/'Ridership-26'!B28</f>
        <v>12.233583799771571</v>
      </c>
      <c r="AN37" s="434">
        <f>'Op Cost-26'!C28/'Ridership-26'!C28</f>
        <v>3.0605865777841972</v>
      </c>
      <c r="AO37" s="434">
        <f>'Op Cost-26'!D28/'Ridership-26'!D28</f>
        <v>3.4149027379506931</v>
      </c>
      <c r="AP37" s="434">
        <f>'Op Cost-26'!E28/'Ridership-26'!E28</f>
        <v>3.3784062007194646</v>
      </c>
      <c r="AQ37" s="435">
        <f t="shared" si="14"/>
        <v>0.85035846976223872</v>
      </c>
      <c r="AR37" s="436">
        <f t="shared" si="15"/>
        <v>4.4935419172851043E-2</v>
      </c>
      <c r="AS37" s="440">
        <f t="shared" si="16"/>
        <v>4.5182693205779223E-2</v>
      </c>
      <c r="AT37" s="432"/>
      <c r="AU37" s="441">
        <f t="shared" si="17"/>
        <v>0</v>
      </c>
      <c r="AV37" s="442">
        <f t="shared" si="18"/>
        <v>0</v>
      </c>
      <c r="AW37" s="442">
        <f t="shared" si="19"/>
        <v>0</v>
      </c>
      <c r="AX37" s="442">
        <f t="shared" si="20"/>
        <v>0</v>
      </c>
      <c r="AY37" s="443">
        <f t="shared" si="21"/>
        <v>0</v>
      </c>
      <c r="AZ37" s="444">
        <f t="shared" si="43"/>
        <v>-1</v>
      </c>
      <c r="BA37" s="445">
        <f t="shared" si="22"/>
        <v>0</v>
      </c>
      <c r="BB37" s="446">
        <f t="shared" si="22"/>
        <v>0</v>
      </c>
      <c r="BC37" s="446">
        <f t="shared" si="22"/>
        <v>0</v>
      </c>
      <c r="BD37" s="446">
        <f t="shared" si="22"/>
        <v>0</v>
      </c>
      <c r="BE37" s="446">
        <f t="shared" si="22"/>
        <v>0</v>
      </c>
      <c r="BF37" s="447">
        <f t="shared" si="44"/>
        <v>4599469.5554106571</v>
      </c>
      <c r="BH37" s="448">
        <f>'Op Cost-26'!E28</f>
        <v>12808994</v>
      </c>
      <c r="BI37" s="449">
        <f t="shared" si="23"/>
        <v>0.35908124833305854</v>
      </c>
      <c r="BJ37" s="450">
        <f t="shared" si="24"/>
        <v>3842698.1999999997</v>
      </c>
      <c r="BK37" s="451">
        <f t="shared" si="25"/>
        <v>756771.35541065736</v>
      </c>
      <c r="BL37" s="1">
        <f t="shared" si="45"/>
        <v>3.6143543868566934</v>
      </c>
      <c r="BM37" s="112">
        <f t="shared" si="46"/>
        <v>3.3657889346657042</v>
      </c>
      <c r="BN37" s="112">
        <f t="shared" si="47"/>
        <v>4.6107217229558444</v>
      </c>
      <c r="BO37" s="113">
        <f t="shared" si="48"/>
        <v>3.2404534449026126</v>
      </c>
      <c r="BP37" s="452">
        <f t="shared" si="26"/>
        <v>0</v>
      </c>
      <c r="BQ37" s="115">
        <f t="shared" si="49"/>
        <v>0.1381088699815459</v>
      </c>
      <c r="BR37" s="116">
        <f t="shared" si="50"/>
        <v>0</v>
      </c>
      <c r="BS37" s="453">
        <f t="shared" si="51"/>
        <v>0</v>
      </c>
      <c r="BT37" s="118">
        <f t="shared" si="52"/>
        <v>3842698.1999999997</v>
      </c>
      <c r="BU37" s="119">
        <f t="shared" si="53"/>
        <v>3842698.1999999997</v>
      </c>
      <c r="BV37" s="119">
        <f t="shared" si="54"/>
        <v>3842698.1999999997</v>
      </c>
      <c r="BW37" s="119">
        <f t="shared" si="65"/>
        <v>0</v>
      </c>
      <c r="BX37" s="120">
        <f t="shared" si="55"/>
        <v>0</v>
      </c>
      <c r="BY37" s="454">
        <f t="shared" si="56"/>
        <v>0</v>
      </c>
      <c r="BZ37" s="122">
        <f t="shared" si="57"/>
        <v>3842698.1999999997</v>
      </c>
      <c r="CA37" s="455">
        <f t="shared" si="27"/>
        <v>0</v>
      </c>
      <c r="CB37" s="456">
        <f t="shared" si="28"/>
        <v>0</v>
      </c>
      <c r="CC37" s="456">
        <f t="shared" si="29"/>
        <v>3842698.1999999997</v>
      </c>
      <c r="CD37" s="457">
        <f t="shared" si="30"/>
        <v>0.3</v>
      </c>
      <c r="CE37" s="458">
        <f t="shared" si="31"/>
        <v>0</v>
      </c>
      <c r="CF37" s="17"/>
      <c r="CG37" s="459">
        <f t="shared" si="32"/>
        <v>12808994</v>
      </c>
      <c r="CH37" s="460">
        <f t="shared" si="58"/>
        <v>0.3</v>
      </c>
      <c r="CI37" s="461">
        <f t="shared" si="33"/>
        <v>3842698.1999999997</v>
      </c>
      <c r="CJ37" s="462">
        <f t="shared" si="34"/>
        <v>0</v>
      </c>
      <c r="CL37" s="463">
        <f t="shared" si="35"/>
        <v>0</v>
      </c>
      <c r="CM37" s="464">
        <f t="shared" si="36"/>
        <v>0</v>
      </c>
      <c r="CN37" s="465">
        <f t="shared" si="37"/>
        <v>0</v>
      </c>
      <c r="CO37" s="466">
        <f t="shared" si="59"/>
        <v>3842698.1999999997</v>
      </c>
      <c r="CP37" s="467">
        <f t="shared" si="60"/>
        <v>0.3</v>
      </c>
      <c r="CQ37" s="468">
        <f t="shared" si="38"/>
        <v>0</v>
      </c>
      <c r="CR37" s="469"/>
      <c r="CS37" s="470">
        <f t="shared" si="39"/>
        <v>3842698.1999999997</v>
      </c>
      <c r="CT37" s="465">
        <f t="shared" si="40"/>
        <v>0</v>
      </c>
      <c r="CU37" s="471">
        <f t="shared" si="41"/>
        <v>3842698.1999999997</v>
      </c>
      <c r="CV37" s="472">
        <f t="shared" si="42"/>
        <v>0.3</v>
      </c>
      <c r="CY37" s="473">
        <v>0</v>
      </c>
      <c r="CZ37" s="474">
        <f t="shared" si="61"/>
        <v>3842698.1999999997</v>
      </c>
      <c r="DA37" s="475">
        <f t="shared" si="62"/>
        <v>0.3</v>
      </c>
      <c r="DB37" s="1">
        <f t="shared" si="63"/>
        <v>0</v>
      </c>
      <c r="DC37" s="293">
        <f t="shared" si="64"/>
        <v>0.3</v>
      </c>
      <c r="DF37" s="476"/>
    </row>
    <row r="38" spans="1:110">
      <c r="A38" s="477" t="s">
        <v>115</v>
      </c>
      <c r="B38" s="428" t="s">
        <v>117</v>
      </c>
      <c r="C38" s="429"/>
      <c r="D38" s="91">
        <f>'Op Cost-26'!E29</f>
        <v>2846110</v>
      </c>
      <c r="E38" s="92">
        <f>'Ridership-26'!$E29</f>
        <v>90833</v>
      </c>
      <c r="F38" s="92">
        <f>'Revenue Hours-26'!$E29</f>
        <v>36673.339999999997</v>
      </c>
      <c r="G38" s="92">
        <f>'Revenue Miles-26'!$E29</f>
        <v>438033</v>
      </c>
      <c r="H38" s="478">
        <f t="shared" si="0"/>
        <v>4.4827797169817709E-3</v>
      </c>
      <c r="I38" s="431">
        <f t="shared" si="1"/>
        <v>4.4827797169817718E-3</v>
      </c>
      <c r="J38" s="432"/>
      <c r="K38" s="433">
        <f>'Ridership-26'!B29/'Revenue Hours-26'!B29</f>
        <v>3.353975911522431</v>
      </c>
      <c r="L38" s="434">
        <f>'Ridership-26'!C29/'Revenue Hours-26'!C29</f>
        <v>4.039822296622992</v>
      </c>
      <c r="M38" s="434">
        <f>'Ridership-26'!D29/'Revenue Hours-26'!D29</f>
        <v>3.7461598379809939</v>
      </c>
      <c r="N38" s="434">
        <f>'Ridership-26'!E29/'Revenue Hours-26'!E29</f>
        <v>2.4768128564237677</v>
      </c>
      <c r="O38" s="435">
        <f t="shared" si="2"/>
        <v>0.77907852184148563</v>
      </c>
      <c r="P38" s="436">
        <f t="shared" si="3"/>
        <v>3.4924373956471519E-3</v>
      </c>
      <c r="Q38" s="437">
        <f t="shared" si="4"/>
        <v>3.3739638536686716E-3</v>
      </c>
      <c r="R38" s="438">
        <f>'Ridership-26'!B29/'Revenue Miles-26'!B29</f>
        <v>0.29134203947124609</v>
      </c>
      <c r="S38" s="434">
        <f>'Ridership-26'!C29/'Revenue Miles-26'!C29</f>
        <v>0.3358526722031458</v>
      </c>
      <c r="T38" s="434">
        <f>'Ridership-26'!D29/'Revenue Miles-26'!D29</f>
        <v>0.30962589842834592</v>
      </c>
      <c r="U38" s="434">
        <f>'Ridership-26'!E29/'Revenue Miles-26'!E29</f>
        <v>0.20736565509904506</v>
      </c>
      <c r="V38" s="435">
        <f t="shared" si="5"/>
        <v>0.77142009613882967</v>
      </c>
      <c r="W38" s="436">
        <f t="shared" si="6"/>
        <v>3.4581063602432739E-3</v>
      </c>
      <c r="X38" s="437">
        <f t="shared" si="7"/>
        <v>3.3457930437660439E-3</v>
      </c>
      <c r="Y38" s="438">
        <f>'Op Cost-26'!B29/'Revenue Hours-26'!B29</f>
        <v>54.975878704341831</v>
      </c>
      <c r="Z38" s="434">
        <f>'Op Cost-26'!C29/'Revenue Hours-26'!C29</f>
        <v>56.597366641985644</v>
      </c>
      <c r="AA38" s="434">
        <f>'Op Cost-26'!D29/'Revenue Hours-26'!D29</f>
        <v>81.316934101885025</v>
      </c>
      <c r="AB38" s="434">
        <f>'Op Cost-26'!E29/'Revenue Hours-26'!E29</f>
        <v>77.607057333747079</v>
      </c>
      <c r="AC38" s="435">
        <f t="shared" si="8"/>
        <v>1.084327821452679</v>
      </c>
      <c r="AD38" s="436">
        <f t="shared" si="9"/>
        <v>4.1341553986654796E-3</v>
      </c>
      <c r="AE38" s="437">
        <f t="shared" si="10"/>
        <v>4.1424503314971897E-3</v>
      </c>
      <c r="AF38" s="438">
        <f>'Op Cost-26'!B29/'Revenue Miles-26'!B29</f>
        <v>4.775462032515458</v>
      </c>
      <c r="AG38" s="434">
        <f>'Op Cost-26'!C29/'Revenue Miles-26'!C29</f>
        <v>4.7052507339893959</v>
      </c>
      <c r="AH38" s="434">
        <f>'Op Cost-26'!D29/'Revenue Miles-26'!D29</f>
        <v>6.7209702382331962</v>
      </c>
      <c r="AI38" s="434">
        <f>'Op Cost-26'!E29/'Revenue Miles-26'!E29</f>
        <v>6.4974785004782749</v>
      </c>
      <c r="AJ38" s="435">
        <f t="shared" si="11"/>
        <v>1.0755645694817073</v>
      </c>
      <c r="AK38" s="436">
        <f t="shared" si="12"/>
        <v>4.1678387743303335E-3</v>
      </c>
      <c r="AL38" s="437">
        <f t="shared" si="13"/>
        <v>4.1754757538597061E-3</v>
      </c>
      <c r="AM38" s="438">
        <f>'Op Cost-26'!B29/'Ridership-26'!B29</f>
        <v>16.391256274523233</v>
      </c>
      <c r="AN38" s="434">
        <f>'Op Cost-26'!C29/'Ridership-26'!C29</f>
        <v>14.009865406529656</v>
      </c>
      <c r="AO38" s="434">
        <f>'Op Cost-26'!D29/'Ridership-26'!D29</f>
        <v>21.706744404614373</v>
      </c>
      <c r="AP38" s="434">
        <f>'Op Cost-26'!E29/'Ridership-26'!E29</f>
        <v>31.333436086003985</v>
      </c>
      <c r="AQ38" s="439">
        <f t="shared" si="14"/>
        <v>1.4195954903170527</v>
      </c>
      <c r="AR38" s="436">
        <f t="shared" si="15"/>
        <v>3.1577866706103629E-3</v>
      </c>
      <c r="AS38" s="440">
        <f t="shared" si="16"/>
        <v>3.1751635786161623E-3</v>
      </c>
      <c r="AT38" s="432"/>
      <c r="AU38" s="441">
        <f t="shared" si="17"/>
        <v>0</v>
      </c>
      <c r="AV38" s="442">
        <f t="shared" si="18"/>
        <v>0</v>
      </c>
      <c r="AW38" s="442">
        <f t="shared" si="19"/>
        <v>0</v>
      </c>
      <c r="AX38" s="442">
        <f t="shared" si="20"/>
        <v>0</v>
      </c>
      <c r="AY38" s="443">
        <f t="shared" si="21"/>
        <v>0</v>
      </c>
      <c r="AZ38" s="444">
        <f t="shared" si="43"/>
        <v>-1</v>
      </c>
      <c r="BA38" s="445">
        <f t="shared" si="22"/>
        <v>0</v>
      </c>
      <c r="BB38" s="446">
        <f t="shared" si="22"/>
        <v>0</v>
      </c>
      <c r="BC38" s="446">
        <f t="shared" si="22"/>
        <v>0</v>
      </c>
      <c r="BD38" s="446">
        <f t="shared" si="22"/>
        <v>0</v>
      </c>
      <c r="BE38" s="446">
        <f t="shared" si="22"/>
        <v>0</v>
      </c>
      <c r="BF38" s="447">
        <f t="shared" si="44"/>
        <v>539590.51595623081</v>
      </c>
      <c r="BH38" s="448">
        <f>'Op Cost-26'!E29</f>
        <v>2846110</v>
      </c>
      <c r="BI38" s="449">
        <f t="shared" si="23"/>
        <v>0.1895887776495746</v>
      </c>
      <c r="BJ38" s="450">
        <f t="shared" si="24"/>
        <v>539590.51595623081</v>
      </c>
      <c r="BK38" s="451">
        <f t="shared" si="25"/>
        <v>0</v>
      </c>
      <c r="BL38" s="1">
        <f t="shared" si="45"/>
        <v>0.29375130211875078</v>
      </c>
      <c r="BM38" s="112">
        <f t="shared" si="46"/>
        <v>0.21840654943211602</v>
      </c>
      <c r="BN38" s="112">
        <f t="shared" si="47"/>
        <v>0.25782001367805307</v>
      </c>
      <c r="BO38" s="113">
        <f t="shared" si="48"/>
        <v>0.34938932268241701</v>
      </c>
      <c r="BP38" s="452">
        <f t="shared" si="26"/>
        <v>539590.51595623081</v>
      </c>
      <c r="BQ38" s="115">
        <f t="shared" si="49"/>
        <v>1.3168223789749205E-3</v>
      </c>
      <c r="BR38" s="116">
        <f t="shared" si="50"/>
        <v>1.3168223789749205E-3</v>
      </c>
      <c r="BS38" s="453">
        <f t="shared" si="51"/>
        <v>1.3862800340661747E-3</v>
      </c>
      <c r="BT38" s="118">
        <f t="shared" si="52"/>
        <v>549946.78193412733</v>
      </c>
      <c r="BU38" s="119">
        <f t="shared" si="53"/>
        <v>853833</v>
      </c>
      <c r="BV38" s="119">
        <f t="shared" si="54"/>
        <v>549946.78193412733</v>
      </c>
      <c r="BW38" s="119">
        <f t="shared" si="65"/>
        <v>0</v>
      </c>
      <c r="BX38" s="120">
        <f t="shared" si="55"/>
        <v>1.3168223789749205E-3</v>
      </c>
      <c r="BY38" s="454">
        <f t="shared" si="56"/>
        <v>1.4928487792928388E-3</v>
      </c>
      <c r="BZ38" s="122">
        <f t="shared" si="57"/>
        <v>550332.47517414554</v>
      </c>
      <c r="CA38" s="455">
        <f t="shared" si="27"/>
        <v>4.7903931893566107E-3</v>
      </c>
      <c r="CB38" s="456">
        <f t="shared" si="28"/>
        <v>35786.843053755372</v>
      </c>
      <c r="CC38" s="456">
        <f t="shared" si="29"/>
        <v>575377.35900998616</v>
      </c>
      <c r="CD38" s="457">
        <f t="shared" si="30"/>
        <v>0.20216272702389793</v>
      </c>
      <c r="CE38" s="458">
        <f t="shared" si="31"/>
        <v>0</v>
      </c>
      <c r="CF38" s="17"/>
      <c r="CG38" s="459">
        <f t="shared" si="32"/>
        <v>2846110</v>
      </c>
      <c r="CH38" s="460">
        <f t="shared" si="58"/>
        <v>0.20216272702389793</v>
      </c>
      <c r="CI38" s="461">
        <f t="shared" si="33"/>
        <v>575377.35900998616</v>
      </c>
      <c r="CJ38" s="462">
        <f t="shared" si="34"/>
        <v>0</v>
      </c>
      <c r="CL38" s="463">
        <f t="shared" si="35"/>
        <v>575377.35900998616</v>
      </c>
      <c r="CM38" s="464">
        <f t="shared" si="36"/>
        <v>4.9468465656255364E-3</v>
      </c>
      <c r="CN38" s="465">
        <f t="shared" si="37"/>
        <v>710.57395598623395</v>
      </c>
      <c r="CO38" s="466">
        <f t="shared" si="59"/>
        <v>576087.93296597234</v>
      </c>
      <c r="CP38" s="467">
        <f t="shared" si="60"/>
        <v>0.20241239198975877</v>
      </c>
      <c r="CQ38" s="468">
        <f t="shared" si="38"/>
        <v>0</v>
      </c>
      <c r="CR38" s="469"/>
      <c r="CS38" s="470">
        <f t="shared" si="39"/>
        <v>853833</v>
      </c>
      <c r="CT38" s="465">
        <f t="shared" si="40"/>
        <v>0</v>
      </c>
      <c r="CU38" s="471">
        <f t="shared" si="41"/>
        <v>576087.93296597234</v>
      </c>
      <c r="CV38" s="472">
        <f t="shared" si="42"/>
        <v>0.20241239198975877</v>
      </c>
      <c r="CY38" s="473">
        <v>0</v>
      </c>
      <c r="CZ38" s="474">
        <f t="shared" si="61"/>
        <v>576087.93296597234</v>
      </c>
      <c r="DA38" s="475">
        <f t="shared" si="62"/>
        <v>0.20241239198975877</v>
      </c>
      <c r="DB38" s="1">
        <f t="shared" si="63"/>
        <v>0</v>
      </c>
      <c r="DC38" s="293">
        <f t="shared" si="64"/>
        <v>0.19336303768095595</v>
      </c>
      <c r="DF38" s="476"/>
    </row>
    <row r="39" spans="1:110">
      <c r="A39" s="477" t="s">
        <v>115</v>
      </c>
      <c r="B39" s="428" t="s">
        <v>118</v>
      </c>
      <c r="C39" s="429"/>
      <c r="D39" s="91">
        <f>'Op Cost-26'!E30</f>
        <v>14322731</v>
      </c>
      <c r="E39" s="92">
        <f>'Ridership-26'!$E30</f>
        <v>1396636</v>
      </c>
      <c r="F39" s="92">
        <f>'Revenue Hours-26'!$E30</f>
        <v>143067</v>
      </c>
      <c r="G39" s="92">
        <f>'Revenue Miles-26'!$E30</f>
        <v>2359994</v>
      </c>
      <c r="H39" s="478">
        <f t="shared" si="0"/>
        <v>2.7776900926837194E-2</v>
      </c>
      <c r="I39" s="431">
        <f t="shared" si="1"/>
        <v>2.7776900926837201E-2</v>
      </c>
      <c r="J39" s="432"/>
      <c r="K39" s="433">
        <f>'Ridership-26'!B30/'Revenue Hours-26'!B30</f>
        <v>7.5369057433360815</v>
      </c>
      <c r="L39" s="434">
        <f>'Ridership-26'!C30/'Revenue Hours-26'!C30</f>
        <v>7.2816302952503209</v>
      </c>
      <c r="M39" s="434">
        <f>'Ridership-26'!D30/'Revenue Hours-26'!D30</f>
        <v>9.0953319765962863</v>
      </c>
      <c r="N39" s="434">
        <f>'Ridership-26'!E30/'Revenue Hours-26'!E30</f>
        <v>9.762111458267805</v>
      </c>
      <c r="O39" s="435">
        <f t="shared" si="2"/>
        <v>0.93562893210464482</v>
      </c>
      <c r="P39" s="436">
        <f t="shared" si="3"/>
        <v>2.5988872151353211E-2</v>
      </c>
      <c r="Q39" s="437">
        <f t="shared" si="4"/>
        <v>2.5107254705716463E-2</v>
      </c>
      <c r="R39" s="438">
        <f>'Ridership-26'!B30/'Revenue Miles-26'!B30</f>
        <v>0.4322966250764449</v>
      </c>
      <c r="S39" s="434">
        <f>'Ridership-26'!C30/'Revenue Miles-26'!C30</f>
        <v>0.43926607650153893</v>
      </c>
      <c r="T39" s="434">
        <f>'Ridership-26'!D30/'Revenue Miles-26'!D30</f>
        <v>0.56790094587284767</v>
      </c>
      <c r="U39" s="434">
        <f>'Ridership-26'!E30/'Revenue Miles-26'!E30</f>
        <v>0.59179641982140629</v>
      </c>
      <c r="V39" s="435">
        <f t="shared" si="5"/>
        <v>0.95458036924452949</v>
      </c>
      <c r="W39" s="436">
        <f t="shared" si="6"/>
        <v>2.6515284343208968E-2</v>
      </c>
      <c r="X39" s="437">
        <f t="shared" si="7"/>
        <v>2.5654113745288705E-2</v>
      </c>
      <c r="Y39" s="438">
        <f>'Op Cost-26'!B30/'Revenue Hours-26'!B30</f>
        <v>71.568899422918378</v>
      </c>
      <c r="Z39" s="434">
        <f>'Op Cost-26'!C30/'Revenue Hours-26'!C30</f>
        <v>68.191964056482675</v>
      </c>
      <c r="AA39" s="434">
        <f>'Op Cost-26'!D30/'Revenue Hours-26'!D30</f>
        <v>90.06116622855366</v>
      </c>
      <c r="AB39" s="434">
        <f>'Op Cost-26'!E30/'Revenue Hours-26'!E30</f>
        <v>100.1120523950317</v>
      </c>
      <c r="AC39" s="435">
        <f t="shared" si="8"/>
        <v>1.0742332216255097</v>
      </c>
      <c r="AD39" s="436">
        <f t="shared" si="9"/>
        <v>2.5857421244900352E-2</v>
      </c>
      <c r="AE39" s="437">
        <f t="shared" si="10"/>
        <v>2.5909302597134216E-2</v>
      </c>
      <c r="AF39" s="438">
        <f>'Op Cost-26'!B30/'Revenue Miles-26'!B30</f>
        <v>4.104999416812201</v>
      </c>
      <c r="AG39" s="434">
        <f>'Op Cost-26'!C30/'Revenue Miles-26'!C30</f>
        <v>4.1136964231161048</v>
      </c>
      <c r="AH39" s="434">
        <f>'Op Cost-26'!D30/'Revenue Miles-26'!D30</f>
        <v>5.6233045279945362</v>
      </c>
      <c r="AI39" s="434">
        <f>'Op Cost-26'!E30/'Revenue Miles-26'!E30</f>
        <v>6.0689692431421438</v>
      </c>
      <c r="AJ39" s="435">
        <f t="shared" si="11"/>
        <v>1.0986857066039803</v>
      </c>
      <c r="AK39" s="436">
        <f t="shared" si="12"/>
        <v>2.528193527946691E-2</v>
      </c>
      <c r="AL39" s="437">
        <f t="shared" si="13"/>
        <v>2.5328260877131911E-2</v>
      </c>
      <c r="AM39" s="438">
        <f>'Op Cost-26'!B30/'Ridership-26'!B30</f>
        <v>9.4957933481120662</v>
      </c>
      <c r="AN39" s="434">
        <f>'Op Cost-26'!C30/'Ridership-26'!C30</f>
        <v>9.3649308316247648</v>
      </c>
      <c r="AO39" s="434">
        <f>'Op Cost-26'!D30/'Ridership-26'!D30</f>
        <v>9.9019108329740089</v>
      </c>
      <c r="AP39" s="434">
        <f>'Op Cost-26'!E30/'Ridership-26'!E30</f>
        <v>10.255163836532926</v>
      </c>
      <c r="AQ39" s="435">
        <f t="shared" si="14"/>
        <v>1.1567680100553506</v>
      </c>
      <c r="AR39" s="436">
        <f t="shared" si="15"/>
        <v>2.4012507854109914E-2</v>
      </c>
      <c r="AS39" s="440">
        <f t="shared" si="16"/>
        <v>2.4144645703652722E-2</v>
      </c>
      <c r="AT39" s="432"/>
      <c r="AU39" s="441">
        <f t="shared" si="17"/>
        <v>0</v>
      </c>
      <c r="AV39" s="442">
        <f t="shared" si="18"/>
        <v>0</v>
      </c>
      <c r="AW39" s="442">
        <f t="shared" si="19"/>
        <v>0</v>
      </c>
      <c r="AX39" s="442">
        <f t="shared" si="20"/>
        <v>0</v>
      </c>
      <c r="AY39" s="443">
        <f t="shared" si="21"/>
        <v>0</v>
      </c>
      <c r="AZ39" s="444">
        <f t="shared" si="43"/>
        <v>-1</v>
      </c>
      <c r="BA39" s="445">
        <f t="shared" si="22"/>
        <v>0</v>
      </c>
      <c r="BB39" s="446">
        <f t="shared" si="22"/>
        <v>0</v>
      </c>
      <c r="BC39" s="446">
        <f t="shared" si="22"/>
        <v>0</v>
      </c>
      <c r="BD39" s="446">
        <f t="shared" si="22"/>
        <v>0</v>
      </c>
      <c r="BE39" s="446">
        <f t="shared" si="22"/>
        <v>0</v>
      </c>
      <c r="BF39" s="447">
        <f t="shared" si="44"/>
        <v>3343495.1635028417</v>
      </c>
      <c r="BH39" s="448">
        <f>'Op Cost-26'!E30</f>
        <v>14322731</v>
      </c>
      <c r="BI39" s="449">
        <f t="shared" si="23"/>
        <v>0.23343977929229012</v>
      </c>
      <c r="BJ39" s="450">
        <f t="shared" si="24"/>
        <v>3343495.1635028417</v>
      </c>
      <c r="BK39" s="451">
        <f t="shared" si="25"/>
        <v>0</v>
      </c>
      <c r="BL39" s="1">
        <f t="shared" si="45"/>
        <v>0.93291248687172268</v>
      </c>
      <c r="BM39" s="112">
        <f t="shared" si="46"/>
        <v>0.86082768556463052</v>
      </c>
      <c r="BN39" s="112">
        <f t="shared" si="47"/>
        <v>0.73578703754053076</v>
      </c>
      <c r="BO39" s="113">
        <f t="shared" si="48"/>
        <v>1.0675176121908647</v>
      </c>
      <c r="BP39" s="452">
        <f t="shared" si="26"/>
        <v>3343495.1635028417</v>
      </c>
      <c r="BQ39" s="115">
        <f t="shared" si="49"/>
        <v>2.5913417721245151E-2</v>
      </c>
      <c r="BR39" s="116">
        <f t="shared" si="50"/>
        <v>2.5913417721245151E-2</v>
      </c>
      <c r="BS39" s="453">
        <f t="shared" si="51"/>
        <v>2.728025751608442E-2</v>
      </c>
      <c r="BT39" s="118">
        <f t="shared" si="52"/>
        <v>3547293.5273539028</v>
      </c>
      <c r="BU39" s="119">
        <f t="shared" si="53"/>
        <v>4296819.3</v>
      </c>
      <c r="BV39" s="119">
        <f t="shared" si="54"/>
        <v>3547293.5273539028</v>
      </c>
      <c r="BW39" s="119">
        <f t="shared" si="65"/>
        <v>0</v>
      </c>
      <c r="BX39" s="120">
        <f t="shared" si="55"/>
        <v>2.5913417721245151E-2</v>
      </c>
      <c r="BY39" s="454">
        <f t="shared" si="56"/>
        <v>2.9377397157071716E-2</v>
      </c>
      <c r="BZ39" s="122">
        <f t="shared" si="57"/>
        <v>3554883.4880049606</v>
      </c>
      <c r="CA39" s="455">
        <f t="shared" si="27"/>
        <v>2.9682983644564245E-2</v>
      </c>
      <c r="CB39" s="456">
        <f t="shared" si="28"/>
        <v>221748.03509143236</v>
      </c>
      <c r="CC39" s="456">
        <f t="shared" si="29"/>
        <v>3565243.198594274</v>
      </c>
      <c r="CD39" s="457">
        <f t="shared" si="30"/>
        <v>0.24892202461906698</v>
      </c>
      <c r="CE39" s="458">
        <f t="shared" si="31"/>
        <v>0</v>
      </c>
      <c r="CF39" s="17"/>
      <c r="CG39" s="459">
        <f t="shared" si="32"/>
        <v>14322731</v>
      </c>
      <c r="CH39" s="460">
        <f t="shared" si="58"/>
        <v>0.24892202461906698</v>
      </c>
      <c r="CI39" s="461">
        <f t="shared" si="33"/>
        <v>3565243.198594274</v>
      </c>
      <c r="CJ39" s="462">
        <f t="shared" si="34"/>
        <v>0</v>
      </c>
      <c r="CL39" s="463">
        <f t="shared" si="35"/>
        <v>3565243.198594274</v>
      </c>
      <c r="CM39" s="464">
        <f t="shared" si="36"/>
        <v>3.0652424528716617E-2</v>
      </c>
      <c r="CN39" s="465">
        <f t="shared" si="37"/>
        <v>4402.9695016799906</v>
      </c>
      <c r="CO39" s="466">
        <f t="shared" si="59"/>
        <v>3569646.1680959538</v>
      </c>
      <c r="CP39" s="467">
        <f t="shared" si="60"/>
        <v>0.24922943592922003</v>
      </c>
      <c r="CQ39" s="468">
        <f t="shared" si="38"/>
        <v>0</v>
      </c>
      <c r="CR39" s="469"/>
      <c r="CS39" s="470">
        <f t="shared" si="39"/>
        <v>4296819.3</v>
      </c>
      <c r="CT39" s="465">
        <f t="shared" si="40"/>
        <v>0</v>
      </c>
      <c r="CU39" s="471">
        <f t="shared" si="41"/>
        <v>3569646.1680959538</v>
      </c>
      <c r="CV39" s="472">
        <f t="shared" si="42"/>
        <v>0.24922943592922003</v>
      </c>
      <c r="CY39" s="473">
        <v>0</v>
      </c>
      <c r="CZ39" s="474">
        <f t="shared" si="61"/>
        <v>3569646.1680959538</v>
      </c>
      <c r="DA39" s="475">
        <f t="shared" si="62"/>
        <v>0.24922943592922003</v>
      </c>
      <c r="DB39" s="1">
        <f t="shared" si="63"/>
        <v>0</v>
      </c>
      <c r="DC39" s="293">
        <f t="shared" si="64"/>
        <v>0.24819871908541469</v>
      </c>
      <c r="DF39" s="476"/>
    </row>
    <row r="40" spans="1:110">
      <c r="A40" s="477" t="s">
        <v>115</v>
      </c>
      <c r="B40" s="428" t="s">
        <v>119</v>
      </c>
      <c r="C40" s="429"/>
      <c r="D40" s="91">
        <f>'Op Cost-26'!E31</f>
        <v>744369</v>
      </c>
      <c r="E40" s="92">
        <f>'Ridership-26'!$E31</f>
        <v>28456</v>
      </c>
      <c r="F40" s="92">
        <f>'Revenue Hours-26'!$E31</f>
        <v>18710.25</v>
      </c>
      <c r="G40" s="92">
        <f>'Revenue Miles-26'!$E31</f>
        <v>231250</v>
      </c>
      <c r="H40" s="478">
        <f t="shared" si="0"/>
        <v>1.7606906850235542E-3</v>
      </c>
      <c r="I40" s="431">
        <f t="shared" si="1"/>
        <v>1.7606906850235547E-3</v>
      </c>
      <c r="J40" s="432"/>
      <c r="K40" s="433">
        <f>'Ridership-26'!B31/'Revenue Hours-26'!B31</f>
        <v>2.0660778541053322</v>
      </c>
      <c r="L40" s="434">
        <f>'Ridership-26'!C31/'Revenue Hours-26'!C31</f>
        <v>1.5442640125720273</v>
      </c>
      <c r="M40" s="434">
        <f>'Ridership-26'!D31/'Revenue Hours-26'!D31</f>
        <v>1.4436910689691704</v>
      </c>
      <c r="N40" s="434">
        <f>'Ridership-26'!E31/'Revenue Hours-26'!E31</f>
        <v>1.5208775938322576</v>
      </c>
      <c r="O40" s="435">
        <f t="shared" si="2"/>
        <v>0.78444065442179911</v>
      </c>
      <c r="P40" s="436">
        <f t="shared" si="3"/>
        <v>1.381157353194243E-3</v>
      </c>
      <c r="Q40" s="437">
        <f t="shared" si="4"/>
        <v>1.3343045151544006E-3</v>
      </c>
      <c r="R40" s="438">
        <f>'Ridership-26'!B31/'Revenue Miles-26'!B31</f>
        <v>0.17929853281414856</v>
      </c>
      <c r="S40" s="434">
        <f>'Ridership-26'!C31/'Revenue Miles-26'!C31</f>
        <v>0.13392938268912755</v>
      </c>
      <c r="T40" s="434">
        <f>'Ridership-26'!D31/'Revenue Miles-26'!D31</f>
        <v>0.11958963737845332</v>
      </c>
      <c r="U40" s="434">
        <f>'Ridership-26'!E31/'Revenue Miles-26'!E31</f>
        <v>0.12305297297297298</v>
      </c>
      <c r="V40" s="435">
        <f t="shared" si="5"/>
        <v>0.76729798078618916</v>
      </c>
      <c r="W40" s="436">
        <f t="shared" si="6"/>
        <v>1.3509744074076257E-3</v>
      </c>
      <c r="X40" s="437">
        <f t="shared" si="7"/>
        <v>1.3070970941137868E-3</v>
      </c>
      <c r="Y40" s="438">
        <f>'Op Cost-26'!B31/'Revenue Hours-26'!B31</f>
        <v>43.551303020390364</v>
      </c>
      <c r="Z40" s="434">
        <f>'Op Cost-26'!C31/'Revenue Hours-26'!C31</f>
        <v>41.282399161864852</v>
      </c>
      <c r="AA40" s="434">
        <f>'Op Cost-26'!D31/'Revenue Hours-26'!D31</f>
        <v>39.012660239432144</v>
      </c>
      <c r="AB40" s="434">
        <f>'Op Cost-26'!E31/'Revenue Hours-26'!E31</f>
        <v>39.784022126909051</v>
      </c>
      <c r="AC40" s="435">
        <f t="shared" si="8"/>
        <v>0.92869241192469454</v>
      </c>
      <c r="AD40" s="436">
        <f t="shared" si="9"/>
        <v>1.895881416081092E-3</v>
      </c>
      <c r="AE40" s="437">
        <f t="shared" si="10"/>
        <v>1.8996853875061519E-3</v>
      </c>
      <c r="AF40" s="438">
        <f>'Op Cost-26'!B31/'Revenue Miles-26'!B31</f>
        <v>3.7794726458078038</v>
      </c>
      <c r="AG40" s="434">
        <f>'Op Cost-26'!C31/'Revenue Miles-26'!C31</f>
        <v>3.5802985698449907</v>
      </c>
      <c r="AH40" s="434">
        <f>'Op Cost-26'!D31/'Revenue Miles-26'!D31</f>
        <v>3.2316539123108785</v>
      </c>
      <c r="AI40" s="434">
        <f>'Op Cost-26'!E31/'Revenue Miles-26'!E31</f>
        <v>3.2188929729729732</v>
      </c>
      <c r="AJ40" s="435">
        <f t="shared" si="11"/>
        <v>0.91256401539541976</v>
      </c>
      <c r="AK40" s="436">
        <f t="shared" si="12"/>
        <v>1.929388684322202E-3</v>
      </c>
      <c r="AL40" s="437">
        <f t="shared" si="13"/>
        <v>1.9329240182648494E-3</v>
      </c>
      <c r="AM40" s="438">
        <f>'Op Cost-26'!B31/'Ridership-26'!B31</f>
        <v>21.079216803884314</v>
      </c>
      <c r="AN40" s="434">
        <f>'Op Cost-26'!C31/'Ridership-26'!C31</f>
        <v>26.732734056987788</v>
      </c>
      <c r="AO40" s="434">
        <f>'Op Cost-26'!D31/'Ridership-26'!D31</f>
        <v>27.022859029867174</v>
      </c>
      <c r="AP40" s="434">
        <f>'Op Cost-26'!E31/'Ridership-26'!E31</f>
        <v>26.158595726736014</v>
      </c>
      <c r="AQ40" s="439">
        <f t="shared" si="14"/>
        <v>1.2360109324116764</v>
      </c>
      <c r="AR40" s="436">
        <f t="shared" si="15"/>
        <v>1.4244944270744718E-3</v>
      </c>
      <c r="AS40" s="440">
        <f t="shared" si="16"/>
        <v>1.4323332430541662E-3</v>
      </c>
      <c r="AT40" s="432"/>
      <c r="AU40" s="441">
        <f t="shared" si="17"/>
        <v>0</v>
      </c>
      <c r="AV40" s="442">
        <f t="shared" si="18"/>
        <v>0</v>
      </c>
      <c r="AW40" s="442">
        <f t="shared" si="19"/>
        <v>0</v>
      </c>
      <c r="AX40" s="442">
        <f t="shared" si="20"/>
        <v>0</v>
      </c>
      <c r="AY40" s="443">
        <f t="shared" si="21"/>
        <v>0</v>
      </c>
      <c r="AZ40" s="444">
        <f t="shared" si="43"/>
        <v>-1</v>
      </c>
      <c r="BA40" s="445">
        <f t="shared" si="22"/>
        <v>0</v>
      </c>
      <c r="BB40" s="446">
        <f t="shared" si="22"/>
        <v>0</v>
      </c>
      <c r="BC40" s="446">
        <f t="shared" si="22"/>
        <v>0</v>
      </c>
      <c r="BD40" s="446">
        <f t="shared" si="22"/>
        <v>0</v>
      </c>
      <c r="BE40" s="446">
        <f t="shared" si="22"/>
        <v>0</v>
      </c>
      <c r="BF40" s="447">
        <f t="shared" si="44"/>
        <v>211933.67846565827</v>
      </c>
      <c r="BH40" s="448">
        <f>'Op Cost-26'!E31</f>
        <v>744369</v>
      </c>
      <c r="BI40" s="449">
        <f t="shared" si="23"/>
        <v>0.28471588481742022</v>
      </c>
      <c r="BJ40" s="450">
        <f t="shared" si="24"/>
        <v>211933.67846565827</v>
      </c>
      <c r="BK40" s="451">
        <f t="shared" si="25"/>
        <v>0</v>
      </c>
      <c r="BL40" s="1">
        <f t="shared" si="45"/>
        <v>0.28102995089168731</v>
      </c>
      <c r="BM40" s="112">
        <f t="shared" si="46"/>
        <v>0.13411171801535998</v>
      </c>
      <c r="BN40" s="112">
        <f t="shared" si="47"/>
        <v>0.1529931229926372</v>
      </c>
      <c r="BO40" s="113">
        <f t="shared" si="48"/>
        <v>0.41850748127937604</v>
      </c>
      <c r="BP40" s="452">
        <f t="shared" si="26"/>
        <v>211933.67846565827</v>
      </c>
      <c r="BQ40" s="115">
        <f t="shared" si="49"/>
        <v>4.948068167476209E-4</v>
      </c>
      <c r="BR40" s="116">
        <f t="shared" si="50"/>
        <v>4.948068167476209E-4</v>
      </c>
      <c r="BS40" s="453">
        <f t="shared" si="51"/>
        <v>5.20906100723347E-4</v>
      </c>
      <c r="BT40" s="118">
        <f t="shared" si="52"/>
        <v>215825.13040612702</v>
      </c>
      <c r="BU40" s="119">
        <f t="shared" si="53"/>
        <v>223310.69999999998</v>
      </c>
      <c r="BV40" s="119">
        <f t="shared" si="54"/>
        <v>215825.13040612702</v>
      </c>
      <c r="BW40" s="119">
        <f t="shared" si="65"/>
        <v>0</v>
      </c>
      <c r="BX40" s="120">
        <f t="shared" si="55"/>
        <v>4.948068167476209E-4</v>
      </c>
      <c r="BY40" s="454">
        <f t="shared" si="56"/>
        <v>5.6095018140751819E-4</v>
      </c>
      <c r="BZ40" s="122">
        <f t="shared" si="57"/>
        <v>215970.05780664936</v>
      </c>
      <c r="CA40" s="455">
        <f t="shared" si="27"/>
        <v>1.8815112940189917E-3</v>
      </c>
      <c r="CB40" s="456">
        <f t="shared" si="28"/>
        <v>14055.912890935213</v>
      </c>
      <c r="CC40" s="456">
        <f t="shared" si="29"/>
        <v>225989.59135659348</v>
      </c>
      <c r="CD40" s="457">
        <f t="shared" si="30"/>
        <v>0.30359887549937392</v>
      </c>
      <c r="CE40" s="458">
        <f t="shared" si="31"/>
        <v>1</v>
      </c>
      <c r="CF40" s="17"/>
      <c r="CG40" s="459">
        <f t="shared" si="32"/>
        <v>744369</v>
      </c>
      <c r="CH40" s="460">
        <f t="shared" si="58"/>
        <v>0.30359887549937392</v>
      </c>
      <c r="CI40" s="461">
        <f t="shared" si="33"/>
        <v>223310.69999999998</v>
      </c>
      <c r="CJ40" s="462">
        <f t="shared" si="34"/>
        <v>2678.8913565934927</v>
      </c>
      <c r="CL40" s="463">
        <f t="shared" si="35"/>
        <v>0</v>
      </c>
      <c r="CM40" s="464">
        <f t="shared" si="36"/>
        <v>0</v>
      </c>
      <c r="CN40" s="465">
        <f t="shared" si="37"/>
        <v>0</v>
      </c>
      <c r="CO40" s="466">
        <f t="shared" si="59"/>
        <v>223310.69999999998</v>
      </c>
      <c r="CP40" s="467">
        <f t="shared" si="60"/>
        <v>0.3</v>
      </c>
      <c r="CQ40" s="468">
        <f t="shared" si="38"/>
        <v>0</v>
      </c>
      <c r="CR40" s="469"/>
      <c r="CS40" s="470">
        <f t="shared" si="39"/>
        <v>223310.69999999998</v>
      </c>
      <c r="CT40" s="465">
        <f t="shared" si="40"/>
        <v>0</v>
      </c>
      <c r="CU40" s="471">
        <f t="shared" si="41"/>
        <v>223310.69999999998</v>
      </c>
      <c r="CV40" s="472">
        <f t="shared" si="42"/>
        <v>0.3</v>
      </c>
      <c r="CY40" s="473">
        <v>0</v>
      </c>
      <c r="CZ40" s="474">
        <f t="shared" si="61"/>
        <v>223310.69999999998</v>
      </c>
      <c r="DA40" s="475">
        <f t="shared" si="62"/>
        <v>0.3</v>
      </c>
      <c r="DB40" s="1">
        <f t="shared" si="63"/>
        <v>0</v>
      </c>
      <c r="DC40" s="293">
        <f t="shared" si="64"/>
        <v>0.29013843645644749</v>
      </c>
      <c r="DF40" s="476"/>
    </row>
    <row r="41" spans="1:110">
      <c r="A41" s="477" t="s">
        <v>120</v>
      </c>
      <c r="B41" s="428" t="s">
        <v>121</v>
      </c>
      <c r="C41" s="429"/>
      <c r="D41" s="91">
        <f>'Op Cost-26'!E32</f>
        <v>3366722</v>
      </c>
      <c r="E41" s="92">
        <f>'Ridership-26'!$E32</f>
        <v>212642</v>
      </c>
      <c r="F41" s="92">
        <f>'Revenue Hours-26'!$E32</f>
        <v>36534.629999999997</v>
      </c>
      <c r="G41" s="92">
        <f>'Revenue Miles-26'!$E32</f>
        <v>705618.94</v>
      </c>
      <c r="H41" s="478">
        <f t="shared" si="0"/>
        <v>6.2027986751302961E-3</v>
      </c>
      <c r="I41" s="431">
        <f t="shared" si="1"/>
        <v>6.2027986751302978E-3</v>
      </c>
      <c r="J41" s="432"/>
      <c r="K41" s="433">
        <f>'Ridership-26'!B32/'Revenue Hours-26'!B32</f>
        <v>4.4820247253569612</v>
      </c>
      <c r="L41" s="434">
        <f>'Ridership-26'!C32/'Revenue Hours-26'!C32</f>
        <v>4.4056907707718551</v>
      </c>
      <c r="M41" s="434">
        <f>'Ridership-26'!D32/'Revenue Hours-26'!D32</f>
        <v>5.2133876816389186</v>
      </c>
      <c r="N41" s="434">
        <f>'Ridership-26'!E32/'Revenue Hours-26'!E32</f>
        <v>5.8202861230563991</v>
      </c>
      <c r="O41" s="435">
        <f t="shared" si="2"/>
        <v>0.93497400249378815</v>
      </c>
      <c r="P41" s="436">
        <f t="shared" si="3"/>
        <v>5.7994555039497407E-3</v>
      </c>
      <c r="Q41" s="437">
        <f t="shared" si="4"/>
        <v>5.6027212587043225E-3</v>
      </c>
      <c r="R41" s="438">
        <f>'Ridership-26'!B32/'Revenue Miles-26'!B32</f>
        <v>0.24753017027607868</v>
      </c>
      <c r="S41" s="434">
        <f>'Ridership-26'!C32/'Revenue Miles-26'!C32</f>
        <v>0.22914428374898088</v>
      </c>
      <c r="T41" s="434">
        <f>'Ridership-26'!D32/'Revenue Miles-26'!D32</f>
        <v>0.26595741807949275</v>
      </c>
      <c r="U41" s="434">
        <f>'Ridership-26'!E32/'Revenue Miles-26'!E32</f>
        <v>0.30135528958448876</v>
      </c>
      <c r="V41" s="435">
        <f t="shared" si="5"/>
        <v>0.92190780884659318</v>
      </c>
      <c r="W41" s="436">
        <f t="shared" si="6"/>
        <v>5.7184085353059241E-3</v>
      </c>
      <c r="X41" s="437">
        <f t="shared" si="7"/>
        <v>5.5326845116160555E-3</v>
      </c>
      <c r="Y41" s="438">
        <f>'Op Cost-26'!B32/'Revenue Hours-26'!B32</f>
        <v>68.510851019247468</v>
      </c>
      <c r="Z41" s="434">
        <f>'Op Cost-26'!C32/'Revenue Hours-26'!C32</f>
        <v>68.297046322116032</v>
      </c>
      <c r="AA41" s="434">
        <f>'Op Cost-26'!D32/'Revenue Hours-26'!D32</f>
        <v>80.659776077922771</v>
      </c>
      <c r="AB41" s="434">
        <f>'Op Cost-26'!E32/'Revenue Hours-26'!E32</f>
        <v>92.151528563447897</v>
      </c>
      <c r="AC41" s="435">
        <f t="shared" si="8"/>
        <v>1.0561797921469089</v>
      </c>
      <c r="AD41" s="436">
        <f t="shared" si="9"/>
        <v>5.872862481606277E-3</v>
      </c>
      <c r="AE41" s="437">
        <f t="shared" si="10"/>
        <v>5.8846460250673001E-3</v>
      </c>
      <c r="AF41" s="438">
        <f>'Op Cost-26'!B32/'Revenue Miles-26'!B32</f>
        <v>3.7836700281038187</v>
      </c>
      <c r="AG41" s="434">
        <f>'Op Cost-26'!C32/'Revenue Miles-26'!C32</f>
        <v>3.5521961426517614</v>
      </c>
      <c r="AH41" s="434">
        <f>'Op Cost-26'!D32/'Revenue Miles-26'!D32</f>
        <v>4.1148034826005002</v>
      </c>
      <c r="AI41" s="434">
        <f>'Op Cost-26'!E32/'Revenue Miles-26'!E32</f>
        <v>4.7713033326458048</v>
      </c>
      <c r="AJ41" s="435">
        <f t="shared" si="11"/>
        <v>1.0398241904816219</v>
      </c>
      <c r="AK41" s="436">
        <f t="shared" si="12"/>
        <v>5.9652379045512577E-3</v>
      </c>
      <c r="AL41" s="437">
        <f t="shared" si="13"/>
        <v>5.9761683656922877E-3</v>
      </c>
      <c r="AM41" s="438">
        <f>'Op Cost-26'!B32/'Ridership-26'!B32</f>
        <v>15.285692341599267</v>
      </c>
      <c r="AN41" s="434">
        <f>'Op Cost-26'!C32/'Ridership-26'!C32</f>
        <v>15.502006353966314</v>
      </c>
      <c r="AO41" s="434">
        <f>'Op Cost-26'!D32/'Ridership-26'!D32</f>
        <v>15.471662765844025</v>
      </c>
      <c r="AP41" s="434">
        <f>'Op Cost-26'!E32/'Ridership-26'!E32</f>
        <v>15.832817599533488</v>
      </c>
      <c r="AQ41" s="439">
        <f t="shared" si="14"/>
        <v>1.1428923483074012</v>
      </c>
      <c r="AR41" s="436">
        <f t="shared" si="15"/>
        <v>5.4272816545814732E-3</v>
      </c>
      <c r="AS41" s="440">
        <f t="shared" si="16"/>
        <v>5.4571473117238523E-3</v>
      </c>
      <c r="AT41" s="432"/>
      <c r="AU41" s="441">
        <f t="shared" si="17"/>
        <v>0</v>
      </c>
      <c r="AV41" s="442">
        <f t="shared" si="18"/>
        <v>0</v>
      </c>
      <c r="AW41" s="442">
        <f t="shared" si="19"/>
        <v>0</v>
      </c>
      <c r="AX41" s="442">
        <f t="shared" si="20"/>
        <v>0</v>
      </c>
      <c r="AY41" s="443">
        <f t="shared" si="21"/>
        <v>0</v>
      </c>
      <c r="AZ41" s="444">
        <f t="shared" si="43"/>
        <v>-1</v>
      </c>
      <c r="BA41" s="445">
        <f t="shared" si="22"/>
        <v>0</v>
      </c>
      <c r="BB41" s="446">
        <f t="shared" si="22"/>
        <v>0</v>
      </c>
      <c r="BC41" s="446">
        <f t="shared" si="22"/>
        <v>0</v>
      </c>
      <c r="BD41" s="446">
        <f t="shared" si="22"/>
        <v>0</v>
      </c>
      <c r="BE41" s="446">
        <f t="shared" si="22"/>
        <v>0</v>
      </c>
      <c r="BF41" s="447">
        <f t="shared" si="44"/>
        <v>746628.55388747004</v>
      </c>
      <c r="BH41" s="448">
        <f>'Op Cost-26'!E32</f>
        <v>3366722</v>
      </c>
      <c r="BI41" s="449">
        <f t="shared" si="23"/>
        <v>0.22176721270347538</v>
      </c>
      <c r="BJ41" s="450">
        <f t="shared" si="24"/>
        <v>746628.55388747004</v>
      </c>
      <c r="BK41" s="451">
        <f t="shared" si="25"/>
        <v>0</v>
      </c>
      <c r="BL41" s="1">
        <f t="shared" si="45"/>
        <v>0.56770243448241919</v>
      </c>
      <c r="BM41" s="112">
        <f t="shared" si="46"/>
        <v>0.5132356308420597</v>
      </c>
      <c r="BN41" s="112">
        <f t="shared" si="47"/>
        <v>0.37467836631633383</v>
      </c>
      <c r="BO41" s="113">
        <f t="shared" si="48"/>
        <v>0.69144787038564159</v>
      </c>
      <c r="BP41" s="452">
        <f t="shared" si="26"/>
        <v>746628.55388747004</v>
      </c>
      <c r="BQ41" s="115">
        <f t="shared" si="49"/>
        <v>3.5213439084757943E-3</v>
      </c>
      <c r="BR41" s="116">
        <f t="shared" si="50"/>
        <v>3.5213439084757943E-3</v>
      </c>
      <c r="BS41" s="453">
        <f t="shared" si="51"/>
        <v>3.7070821633518975E-3</v>
      </c>
      <c r="BT41" s="118">
        <f t="shared" si="52"/>
        <v>774322.47426586563</v>
      </c>
      <c r="BU41" s="119">
        <f t="shared" si="53"/>
        <v>1010016.6</v>
      </c>
      <c r="BV41" s="119">
        <f t="shared" si="54"/>
        <v>774322.47426586563</v>
      </c>
      <c r="BW41" s="119">
        <f t="shared" si="65"/>
        <v>0</v>
      </c>
      <c r="BX41" s="120">
        <f t="shared" si="55"/>
        <v>3.5213439084757943E-3</v>
      </c>
      <c r="BY41" s="454">
        <f t="shared" si="56"/>
        <v>3.9920600068557022E-3</v>
      </c>
      <c r="BZ41" s="122">
        <f t="shared" si="57"/>
        <v>775353.86510715401</v>
      </c>
      <c r="CA41" s="455">
        <f t="shared" si="27"/>
        <v>6.6284418160749018E-3</v>
      </c>
      <c r="CB41" s="456">
        <f t="shared" si="28"/>
        <v>49518.066176668297</v>
      </c>
      <c r="CC41" s="456">
        <f t="shared" si="29"/>
        <v>796146.62006413832</v>
      </c>
      <c r="CD41" s="457">
        <f t="shared" si="30"/>
        <v>0.23647530745459183</v>
      </c>
      <c r="CE41" s="458">
        <f t="shared" si="31"/>
        <v>0</v>
      </c>
      <c r="CF41" s="17"/>
      <c r="CG41" s="459">
        <f t="shared" si="32"/>
        <v>3366722</v>
      </c>
      <c r="CH41" s="460">
        <f t="shared" si="58"/>
        <v>0.23647530745459183</v>
      </c>
      <c r="CI41" s="461">
        <f t="shared" si="33"/>
        <v>796146.62006413832</v>
      </c>
      <c r="CJ41" s="462">
        <f t="shared" si="34"/>
        <v>0</v>
      </c>
      <c r="CL41" s="463">
        <f t="shared" si="35"/>
        <v>796146.62006413832</v>
      </c>
      <c r="CM41" s="464">
        <f t="shared" si="36"/>
        <v>6.8449255284831374E-3</v>
      </c>
      <c r="CN41" s="465">
        <f t="shared" si="37"/>
        <v>983.2174389646525</v>
      </c>
      <c r="CO41" s="466">
        <f t="shared" si="59"/>
        <v>797129.83750310296</v>
      </c>
      <c r="CP41" s="467">
        <f t="shared" si="60"/>
        <v>0.23676734743857764</v>
      </c>
      <c r="CQ41" s="468">
        <f t="shared" si="38"/>
        <v>0</v>
      </c>
      <c r="CR41" s="469"/>
      <c r="CS41" s="470">
        <f t="shared" si="39"/>
        <v>1010016.6</v>
      </c>
      <c r="CT41" s="465">
        <f t="shared" si="40"/>
        <v>0</v>
      </c>
      <c r="CU41" s="471">
        <f t="shared" si="41"/>
        <v>797129.83750310296</v>
      </c>
      <c r="CV41" s="472">
        <f t="shared" si="42"/>
        <v>0.23676734743857764</v>
      </c>
      <c r="CY41" s="473">
        <v>0</v>
      </c>
      <c r="CZ41" s="474">
        <f t="shared" si="61"/>
        <v>797129.83750310296</v>
      </c>
      <c r="DA41" s="475">
        <f t="shared" si="62"/>
        <v>0.23676734743857764</v>
      </c>
      <c r="DB41" s="1">
        <f t="shared" si="63"/>
        <v>0</v>
      </c>
      <c r="DC41" s="293">
        <f t="shared" si="64"/>
        <v>0.23029934313173289</v>
      </c>
      <c r="DF41" s="476"/>
    </row>
    <row r="42" spans="1:110">
      <c r="A42" s="477" t="s">
        <v>120</v>
      </c>
      <c r="B42" s="428" t="s">
        <v>122</v>
      </c>
      <c r="C42" s="429"/>
      <c r="D42" s="91">
        <f>'Op Cost-26'!E33</f>
        <v>7435602</v>
      </c>
      <c r="E42" s="92">
        <f>'Ridership-26'!$E33</f>
        <v>1877126</v>
      </c>
      <c r="F42" s="92">
        <f>'Revenue Hours-26'!$E33</f>
        <v>76614</v>
      </c>
      <c r="G42" s="92">
        <f>'Revenue Miles-26'!$E33</f>
        <v>768657</v>
      </c>
      <c r="H42" s="478">
        <f t="shared" si="0"/>
        <v>2.105232033920133E-2</v>
      </c>
      <c r="I42" s="431">
        <f t="shared" si="1"/>
        <v>2.1052320339201333E-2</v>
      </c>
      <c r="J42" s="432"/>
      <c r="K42" s="433">
        <f>'Ridership-26'!B33/'Revenue Hours-26'!B33</f>
        <v>6.5232631919715116</v>
      </c>
      <c r="L42" s="434">
        <f>'Ridership-26'!C33/'Revenue Hours-26'!C33</f>
        <v>18.24961092626382</v>
      </c>
      <c r="M42" s="434">
        <f>'Ridership-26'!D33/'Revenue Hours-26'!D33</f>
        <v>21.145138445302301</v>
      </c>
      <c r="N42" s="434">
        <f>'Ridership-26'!E33/'Revenue Hours-26'!E33</f>
        <v>24.501083352912001</v>
      </c>
      <c r="O42" s="435">
        <f t="shared" si="2"/>
        <v>1.4130477342171865</v>
      </c>
      <c r="P42" s="436">
        <f t="shared" si="3"/>
        <v>2.9747933555322837E-2</v>
      </c>
      <c r="Q42" s="437">
        <f t="shared" si="4"/>
        <v>2.8738797912910979E-2</v>
      </c>
      <c r="R42" s="438">
        <f>'Ridership-26'!B33/'Revenue Miles-26'!B33</f>
        <v>0.66929775146545356</v>
      </c>
      <c r="S42" s="434">
        <f>'Ridership-26'!C33/'Revenue Miles-26'!C33</f>
        <v>1.8049204125068334</v>
      </c>
      <c r="T42" s="434">
        <f>'Ridership-26'!D33/'Revenue Miles-26'!D33</f>
        <v>2.1042721223804488</v>
      </c>
      <c r="U42" s="434">
        <f>'Ridership-26'!E33/'Revenue Miles-26'!E33</f>
        <v>2.4420853514636569</v>
      </c>
      <c r="V42" s="435">
        <f t="shared" si="5"/>
        <v>1.4013283640407588</v>
      </c>
      <c r="W42" s="436">
        <f t="shared" si="6"/>
        <v>2.9501213620194994E-2</v>
      </c>
      <c r="X42" s="437">
        <f t="shared" si="7"/>
        <v>2.8543065201198928E-2</v>
      </c>
      <c r="Y42" s="438">
        <f>'Op Cost-26'!B33/'Revenue Hours-26'!B33</f>
        <v>76.682473292327614</v>
      </c>
      <c r="Z42" s="434">
        <f>'Op Cost-26'!C33/'Revenue Hours-26'!C33</f>
        <v>79.970349898035849</v>
      </c>
      <c r="AA42" s="434">
        <f>'Op Cost-26'!D33/'Revenue Hours-26'!D33</f>
        <v>91.352487016413477</v>
      </c>
      <c r="AB42" s="434">
        <f>'Op Cost-26'!E33/'Revenue Hours-26'!E33</f>
        <v>97.052784086459397</v>
      </c>
      <c r="AC42" s="435">
        <f t="shared" si="8"/>
        <v>1.0338380562910368</v>
      </c>
      <c r="AD42" s="436">
        <f t="shared" si="9"/>
        <v>2.0363266965358135E-2</v>
      </c>
      <c r="AE42" s="437">
        <f t="shared" si="10"/>
        <v>2.0404124629239458E-2</v>
      </c>
      <c r="AF42" s="438">
        <f>'Op Cost-26'!B33/'Revenue Miles-26'!B33</f>
        <v>7.8677504557122129</v>
      </c>
      <c r="AG42" s="434">
        <f>'Op Cost-26'!C33/'Revenue Miles-26'!C33</f>
        <v>7.9092161202490328</v>
      </c>
      <c r="AH42" s="434">
        <f>'Op Cost-26'!D33/'Revenue Miles-26'!D33</f>
        <v>9.0910018033704372</v>
      </c>
      <c r="AI42" s="434">
        <f>'Op Cost-26'!E33/'Revenue Miles-26'!E33</f>
        <v>9.6734980622045992</v>
      </c>
      <c r="AJ42" s="435">
        <f t="shared" si="11"/>
        <v>1.0288308715377539</v>
      </c>
      <c r="AK42" s="436">
        <f t="shared" si="12"/>
        <v>2.0462372311724316E-2</v>
      </c>
      <c r="AL42" s="437">
        <f t="shared" si="13"/>
        <v>2.0499866736755704E-2</v>
      </c>
      <c r="AM42" s="438">
        <f>'Op Cost-26'!B33/'Ridership-26'!B33</f>
        <v>11.755232164586637</v>
      </c>
      <c r="AN42" s="434">
        <f>'Op Cost-26'!C33/'Ridership-26'!C33</f>
        <v>4.3820304016973317</v>
      </c>
      <c r="AO42" s="434">
        <f>'Op Cost-26'!D33/'Ridership-26'!D33</f>
        <v>4.3202595836731801</v>
      </c>
      <c r="AP42" s="434">
        <f>'Op Cost-26'!E33/'Ridership-26'!E33</f>
        <v>3.9611629693478223</v>
      </c>
      <c r="AQ42" s="439">
        <f t="shared" si="14"/>
        <v>0.83032174110192136</v>
      </c>
      <c r="AR42" s="436">
        <f t="shared" si="15"/>
        <v>2.5354412990876003E-2</v>
      </c>
      <c r="AS42" s="440">
        <f t="shared" si="16"/>
        <v>2.5493935177787488E-2</v>
      </c>
      <c r="AT42" s="432"/>
      <c r="AU42" s="441">
        <f t="shared" si="17"/>
        <v>0</v>
      </c>
      <c r="AV42" s="442">
        <f t="shared" si="18"/>
        <v>0</v>
      </c>
      <c r="AW42" s="442">
        <f t="shared" si="19"/>
        <v>0</v>
      </c>
      <c r="AX42" s="442">
        <f t="shared" si="20"/>
        <v>0</v>
      </c>
      <c r="AY42" s="443">
        <f t="shared" si="21"/>
        <v>0</v>
      </c>
      <c r="AZ42" s="444">
        <f t="shared" si="43"/>
        <v>-1</v>
      </c>
      <c r="BA42" s="445">
        <f t="shared" si="22"/>
        <v>0</v>
      </c>
      <c r="BB42" s="446">
        <f t="shared" si="22"/>
        <v>0</v>
      </c>
      <c r="BC42" s="446">
        <f t="shared" si="22"/>
        <v>0</v>
      </c>
      <c r="BD42" s="446">
        <f t="shared" si="22"/>
        <v>0</v>
      </c>
      <c r="BE42" s="446">
        <f t="shared" si="22"/>
        <v>0</v>
      </c>
      <c r="BF42" s="447">
        <f t="shared" si="44"/>
        <v>2534059.9161883132</v>
      </c>
      <c r="BH42" s="448">
        <f>'Op Cost-26'!E33</f>
        <v>7435602</v>
      </c>
      <c r="BI42" s="449">
        <f t="shared" si="23"/>
        <v>0.34080090841176186</v>
      </c>
      <c r="BJ42" s="450">
        <f t="shared" si="24"/>
        <v>2230680.6</v>
      </c>
      <c r="BK42" s="451">
        <f t="shared" si="25"/>
        <v>303379.31618831307</v>
      </c>
      <c r="BL42" s="1">
        <f t="shared" si="45"/>
        <v>2.6810601291544045</v>
      </c>
      <c r="BM42" s="112">
        <f t="shared" si="46"/>
        <v>2.1605173190939753</v>
      </c>
      <c r="BN42" s="112">
        <f t="shared" si="47"/>
        <v>3.0362717414154496</v>
      </c>
      <c r="BO42" s="113">
        <f t="shared" si="48"/>
        <v>2.7637257280540966</v>
      </c>
      <c r="BP42" s="452">
        <f t="shared" si="26"/>
        <v>0</v>
      </c>
      <c r="BQ42" s="115">
        <f t="shared" si="49"/>
        <v>5.6442536687619026E-2</v>
      </c>
      <c r="BR42" s="116">
        <f t="shared" si="50"/>
        <v>0</v>
      </c>
      <c r="BS42" s="453">
        <f t="shared" si="51"/>
        <v>0</v>
      </c>
      <c r="BT42" s="118">
        <f t="shared" si="52"/>
        <v>2230680.6</v>
      </c>
      <c r="BU42" s="119">
        <f t="shared" si="53"/>
        <v>2230680.6</v>
      </c>
      <c r="BV42" s="119">
        <f t="shared" si="54"/>
        <v>2230680.6</v>
      </c>
      <c r="BW42" s="119">
        <f t="shared" si="65"/>
        <v>0</v>
      </c>
      <c r="BX42" s="120">
        <f t="shared" si="55"/>
        <v>0</v>
      </c>
      <c r="BY42" s="454">
        <f t="shared" si="56"/>
        <v>0</v>
      </c>
      <c r="BZ42" s="122">
        <f t="shared" si="57"/>
        <v>2230680.6</v>
      </c>
      <c r="CA42" s="455">
        <f t="shared" si="27"/>
        <v>0</v>
      </c>
      <c r="CB42" s="456">
        <f t="shared" si="28"/>
        <v>0</v>
      </c>
      <c r="CC42" s="456">
        <f t="shared" si="29"/>
        <v>2230680.6</v>
      </c>
      <c r="CD42" s="457">
        <f t="shared" si="30"/>
        <v>0.3</v>
      </c>
      <c r="CE42" s="458">
        <f t="shared" si="31"/>
        <v>0</v>
      </c>
      <c r="CF42" s="17"/>
      <c r="CG42" s="459">
        <f t="shared" si="32"/>
        <v>7435602</v>
      </c>
      <c r="CH42" s="460">
        <f t="shared" si="58"/>
        <v>0.3</v>
      </c>
      <c r="CI42" s="461">
        <f t="shared" si="33"/>
        <v>2230680.6</v>
      </c>
      <c r="CJ42" s="462">
        <f t="shared" si="34"/>
        <v>0</v>
      </c>
      <c r="CL42" s="463">
        <f t="shared" si="35"/>
        <v>0</v>
      </c>
      <c r="CM42" s="464">
        <f t="shared" si="36"/>
        <v>0</v>
      </c>
      <c r="CN42" s="465">
        <f t="shared" si="37"/>
        <v>0</v>
      </c>
      <c r="CO42" s="466">
        <f t="shared" si="59"/>
        <v>2230680.6</v>
      </c>
      <c r="CP42" s="467">
        <f t="shared" si="60"/>
        <v>0.3</v>
      </c>
      <c r="CQ42" s="468">
        <f t="shared" si="38"/>
        <v>0</v>
      </c>
      <c r="CR42" s="469"/>
      <c r="CS42" s="470">
        <f t="shared" si="39"/>
        <v>2230680.6</v>
      </c>
      <c r="CT42" s="465">
        <f t="shared" si="40"/>
        <v>0</v>
      </c>
      <c r="CU42" s="471">
        <f t="shared" si="41"/>
        <v>2230680.6</v>
      </c>
      <c r="CV42" s="472">
        <f t="shared" si="42"/>
        <v>0.3</v>
      </c>
      <c r="CY42" s="473">
        <v>0</v>
      </c>
      <c r="CZ42" s="474">
        <f t="shared" si="61"/>
        <v>2230680.6</v>
      </c>
      <c r="DA42" s="475">
        <f t="shared" si="62"/>
        <v>0.3</v>
      </c>
      <c r="DB42" s="1">
        <f t="shared" si="63"/>
        <v>0</v>
      </c>
      <c r="DC42" s="293">
        <f t="shared" si="64"/>
        <v>0.3</v>
      </c>
      <c r="DF42" s="476"/>
    </row>
    <row r="43" spans="1:110">
      <c r="A43" s="477" t="s">
        <v>120</v>
      </c>
      <c r="B43" s="428" t="s">
        <v>123</v>
      </c>
      <c r="C43" s="429"/>
      <c r="D43" s="91">
        <f>'Op Cost-26'!E34</f>
        <v>2380653</v>
      </c>
      <c r="E43" s="92">
        <f>'Ridership-26'!$E34</f>
        <v>181306</v>
      </c>
      <c r="F43" s="92">
        <f>'Revenue Hours-26'!$E34</f>
        <v>25268</v>
      </c>
      <c r="G43" s="92">
        <f>'Revenue Miles-26'!$E34</f>
        <v>331246</v>
      </c>
      <c r="H43" s="430">
        <f t="shared" si="0"/>
        <v>4.1908526558596349E-3</v>
      </c>
      <c r="I43" s="431">
        <f t="shared" si="1"/>
        <v>4.1908526558596358E-3</v>
      </c>
      <c r="J43" s="432"/>
      <c r="K43" s="433">
        <f>'Ridership-26'!B34/'Revenue Hours-26'!B34</f>
        <v>5.1692512721104915</v>
      </c>
      <c r="L43" s="434">
        <f>'Ridership-26'!C34/'Revenue Hours-26'!C34</f>
        <v>7.7540727902946278</v>
      </c>
      <c r="M43" s="434">
        <f>'Ridership-26'!D34/'Revenue Hours-26'!D34</f>
        <v>8.9334289529650324</v>
      </c>
      <c r="N43" s="434">
        <f>'Ridership-26'!E34/'Revenue Hours-26'!E34</f>
        <v>7.1753205635586514</v>
      </c>
      <c r="O43" s="435">
        <f t="shared" si="2"/>
        <v>0.9631888761247418</v>
      </c>
      <c r="P43" s="436">
        <f t="shared" si="3"/>
        <v>4.0365826596018319E-3</v>
      </c>
      <c r="Q43" s="437">
        <f t="shared" si="4"/>
        <v>3.8996501419945044E-3</v>
      </c>
      <c r="R43" s="438">
        <f>'Ridership-26'!B34/'Revenue Miles-26'!B34</f>
        <v>0.48672727894958989</v>
      </c>
      <c r="S43" s="434">
        <f>'Ridership-26'!C34/'Revenue Miles-26'!C34</f>
        <v>0.72460145651246777</v>
      </c>
      <c r="T43" s="434">
        <f>'Ridership-26'!D34/'Revenue Miles-26'!D34</f>
        <v>0.79643813026090104</v>
      </c>
      <c r="U43" s="434">
        <f>'Ridership-26'!E34/'Revenue Miles-26'!E34</f>
        <v>0.54734547737934947</v>
      </c>
      <c r="V43" s="435">
        <f t="shared" si="5"/>
        <v>0.91548196708866847</v>
      </c>
      <c r="W43" s="436">
        <f t="shared" si="6"/>
        <v>3.8366500331651499E-3</v>
      </c>
      <c r="X43" s="437">
        <f t="shared" si="7"/>
        <v>3.7120422725880754E-3</v>
      </c>
      <c r="Y43" s="438">
        <f>'Op Cost-26'!B34/'Revenue Hours-26'!B34</f>
        <v>76.918100314998782</v>
      </c>
      <c r="Z43" s="434">
        <f>'Op Cost-26'!C34/'Revenue Hours-26'!C34</f>
        <v>82.248006932409012</v>
      </c>
      <c r="AA43" s="434">
        <f>'Op Cost-26'!D34/'Revenue Hours-26'!D34</f>
        <v>95.121865571986746</v>
      </c>
      <c r="AB43" s="434">
        <f>'Op Cost-26'!E34/'Revenue Hours-26'!E34</f>
        <v>94.216123159727715</v>
      </c>
      <c r="AC43" s="435">
        <f t="shared" si="8"/>
        <v>1.0237533675916397</v>
      </c>
      <c r="AD43" s="436">
        <f t="shared" si="9"/>
        <v>4.0936155020603613E-3</v>
      </c>
      <c r="AE43" s="437">
        <f t="shared" si="10"/>
        <v>4.1018290940408181E-3</v>
      </c>
      <c r="AF43" s="438">
        <f>'Op Cost-26'!B34/'Revenue Miles-26'!B34</f>
        <v>7.2424681443287211</v>
      </c>
      <c r="AG43" s="434">
        <f>'Op Cost-26'!C34/'Revenue Miles-26'!C34</f>
        <v>7.6858996852680619</v>
      </c>
      <c r="AH43" s="434">
        <f>'Op Cost-26'!D34/'Revenue Miles-26'!D34</f>
        <v>8.480358568020776</v>
      </c>
      <c r="AI43" s="434">
        <f>'Op Cost-26'!E34/'Revenue Miles-26'!E34</f>
        <v>7.1869637671096402</v>
      </c>
      <c r="AJ43" s="435">
        <f t="shared" si="11"/>
        <v>0.96417599187899372</v>
      </c>
      <c r="AK43" s="436">
        <f t="shared" si="12"/>
        <v>4.3465639998901753E-3</v>
      </c>
      <c r="AL43" s="437">
        <f t="shared" si="13"/>
        <v>4.3545284683083668E-3</v>
      </c>
      <c r="AM43" s="438">
        <f>'Op Cost-26'!B34/'Ridership-26'!B34</f>
        <v>14.879930625541988</v>
      </c>
      <c r="AN43" s="434">
        <f>'Op Cost-26'!C34/'Ridership-26'!C34</f>
        <v>10.607071813325586</v>
      </c>
      <c r="AO43" s="434">
        <f>'Op Cost-26'!D34/'Ridership-26'!D34</f>
        <v>10.647856055363322</v>
      </c>
      <c r="AP43" s="434">
        <f>'Op Cost-26'!E34/'Ridership-26'!E34</f>
        <v>13.13058034483139</v>
      </c>
      <c r="AQ43" s="439">
        <f t="shared" si="14"/>
        <v>1.0897265159750711</v>
      </c>
      <c r="AR43" s="436">
        <f t="shared" si="15"/>
        <v>3.8457838681751478E-3</v>
      </c>
      <c r="AS43" s="440">
        <f t="shared" si="16"/>
        <v>3.8669467393435634E-3</v>
      </c>
      <c r="AT43" s="432"/>
      <c r="AU43" s="441">
        <f t="shared" si="17"/>
        <v>0</v>
      </c>
      <c r="AV43" s="442">
        <f t="shared" si="18"/>
        <v>0</v>
      </c>
      <c r="AW43" s="442">
        <f t="shared" si="19"/>
        <v>0</v>
      </c>
      <c r="AX43" s="442">
        <f t="shared" si="20"/>
        <v>0</v>
      </c>
      <c r="AY43" s="443">
        <f t="shared" si="21"/>
        <v>0</v>
      </c>
      <c r="AZ43" s="444">
        <f t="shared" si="43"/>
        <v>-1</v>
      </c>
      <c r="BA43" s="445">
        <f t="shared" si="22"/>
        <v>0</v>
      </c>
      <c r="BB43" s="446">
        <f t="shared" si="22"/>
        <v>0</v>
      </c>
      <c r="BC43" s="446">
        <f t="shared" si="22"/>
        <v>0</v>
      </c>
      <c r="BD43" s="446">
        <f t="shared" si="22"/>
        <v>0</v>
      </c>
      <c r="BE43" s="446">
        <f t="shared" si="22"/>
        <v>0</v>
      </c>
      <c r="BF43" s="447">
        <f t="shared" si="44"/>
        <v>504451.36492104735</v>
      </c>
      <c r="BH43" s="448">
        <f>'Op Cost-26'!E34</f>
        <v>2380653</v>
      </c>
      <c r="BI43" s="449">
        <f t="shared" si="23"/>
        <v>0.21189621709717768</v>
      </c>
      <c r="BJ43" s="450">
        <f t="shared" si="24"/>
        <v>504451.36492104735</v>
      </c>
      <c r="BK43" s="451">
        <f t="shared" si="25"/>
        <v>0</v>
      </c>
      <c r="BL43" s="1">
        <f t="shared" si="45"/>
        <v>0.74518394561845747</v>
      </c>
      <c r="BM43" s="112">
        <f t="shared" si="46"/>
        <v>0.63272321979905921</v>
      </c>
      <c r="BN43" s="112">
        <f t="shared" si="47"/>
        <v>0.68052068891139261</v>
      </c>
      <c r="BO43" s="113">
        <f t="shared" si="48"/>
        <v>0.83374593688168896</v>
      </c>
      <c r="BP43" s="452">
        <f t="shared" si="26"/>
        <v>504451.36492104735</v>
      </c>
      <c r="BQ43" s="115">
        <f t="shared" si="49"/>
        <v>3.1229561175990751E-3</v>
      </c>
      <c r="BR43" s="116">
        <f t="shared" si="50"/>
        <v>3.1229561175990751E-3</v>
      </c>
      <c r="BS43" s="453">
        <f t="shared" si="51"/>
        <v>3.2876808461157446E-3</v>
      </c>
      <c r="BT43" s="118">
        <f t="shared" si="52"/>
        <v>529012.12930927996</v>
      </c>
      <c r="BU43" s="119">
        <f t="shared" si="53"/>
        <v>714195.9</v>
      </c>
      <c r="BV43" s="119">
        <f t="shared" si="54"/>
        <v>529012.12930927996</v>
      </c>
      <c r="BW43" s="119">
        <f t="shared" si="65"/>
        <v>0</v>
      </c>
      <c r="BX43" s="120">
        <f t="shared" si="55"/>
        <v>3.1229561175990751E-3</v>
      </c>
      <c r="BY43" s="454">
        <f t="shared" si="56"/>
        <v>3.5404176769626987E-3</v>
      </c>
      <c r="BZ43" s="122">
        <f t="shared" si="57"/>
        <v>529926.83358729281</v>
      </c>
      <c r="CA43" s="455">
        <f t="shared" si="27"/>
        <v>4.4784337593425181E-3</v>
      </c>
      <c r="CB43" s="456">
        <f t="shared" si="28"/>
        <v>33456.336408526789</v>
      </c>
      <c r="CC43" s="456">
        <f t="shared" si="29"/>
        <v>537907.70132957411</v>
      </c>
      <c r="CD43" s="457">
        <f t="shared" si="30"/>
        <v>0.22594964546684213</v>
      </c>
      <c r="CE43" s="458">
        <f t="shared" si="31"/>
        <v>0</v>
      </c>
      <c r="CF43" s="17"/>
      <c r="CG43" s="459">
        <f t="shared" si="32"/>
        <v>2380653</v>
      </c>
      <c r="CH43" s="460">
        <f t="shared" si="58"/>
        <v>0.22594964546684213</v>
      </c>
      <c r="CI43" s="461">
        <f t="shared" si="33"/>
        <v>537907.70132957411</v>
      </c>
      <c r="CJ43" s="462">
        <f t="shared" si="34"/>
        <v>0</v>
      </c>
      <c r="CL43" s="463">
        <f t="shared" si="35"/>
        <v>537907.70132957411</v>
      </c>
      <c r="CM43" s="464">
        <f t="shared" si="36"/>
        <v>4.6246985969768534E-3</v>
      </c>
      <c r="CN43" s="465">
        <f t="shared" si="37"/>
        <v>664.30004118841816</v>
      </c>
      <c r="CO43" s="466">
        <f t="shared" si="59"/>
        <v>538572.00137076247</v>
      </c>
      <c r="CP43" s="467">
        <f t="shared" si="60"/>
        <v>0.22622868657076964</v>
      </c>
      <c r="CQ43" s="468">
        <f t="shared" si="38"/>
        <v>0</v>
      </c>
      <c r="CR43" s="469"/>
      <c r="CS43" s="470">
        <f t="shared" si="39"/>
        <v>714195.9</v>
      </c>
      <c r="CT43" s="465">
        <f t="shared" si="40"/>
        <v>0</v>
      </c>
      <c r="CU43" s="471">
        <f t="shared" si="41"/>
        <v>538572.00137076247</v>
      </c>
      <c r="CV43" s="472">
        <f t="shared" si="42"/>
        <v>0.22622868657076964</v>
      </c>
      <c r="CY43" s="473">
        <v>0</v>
      </c>
      <c r="CZ43" s="474">
        <f t="shared" si="61"/>
        <v>538572.00137076247</v>
      </c>
      <c r="DA43" s="475">
        <f t="shared" si="62"/>
        <v>0.22622868657076964</v>
      </c>
      <c r="DB43" s="1">
        <f t="shared" si="63"/>
        <v>0</v>
      </c>
      <c r="DC43" s="293">
        <f t="shared" si="64"/>
        <v>0.22259725948607076</v>
      </c>
      <c r="DF43" s="476"/>
    </row>
    <row r="44" spans="1:110">
      <c r="A44" s="477" t="s">
        <v>124</v>
      </c>
      <c r="B44" s="428" t="s">
        <v>125</v>
      </c>
      <c r="C44" s="429"/>
      <c r="D44" s="91">
        <f>'Op Cost-26'!E35</f>
        <v>5803873</v>
      </c>
      <c r="E44" s="92">
        <f>'Ridership-26'!$E35</f>
        <v>131277</v>
      </c>
      <c r="F44" s="92">
        <f>'Revenue Hours-26'!$E35</f>
        <v>61710.71</v>
      </c>
      <c r="G44" s="92">
        <f>'Revenue Miles-26'!$E35</f>
        <v>1392527</v>
      </c>
      <c r="H44" s="478">
        <f t="shared" si="0"/>
        <v>9.5013673637281033E-3</v>
      </c>
      <c r="I44" s="431">
        <f t="shared" si="1"/>
        <v>9.5013673637281051E-3</v>
      </c>
      <c r="J44" s="432"/>
      <c r="K44" s="433">
        <f>'Ridership-26'!B35/'Revenue Hours-26'!B35</f>
        <v>1.944317205840252</v>
      </c>
      <c r="L44" s="434">
        <f>'Ridership-26'!C35/'Revenue Hours-26'!C35</f>
        <v>2.0984220777077214</v>
      </c>
      <c r="M44" s="434">
        <f>'Ridership-26'!D35/'Revenue Hours-26'!D35</f>
        <v>2.1059981833517161</v>
      </c>
      <c r="N44" s="434">
        <f>'Ridership-26'!E35/'Revenue Hours-26'!E35</f>
        <v>2.1272968662976006</v>
      </c>
      <c r="O44" s="435">
        <f t="shared" si="2"/>
        <v>0.87651228790853652</v>
      </c>
      <c r="P44" s="436">
        <f t="shared" si="3"/>
        <v>8.328065246240822E-3</v>
      </c>
      <c r="Q44" s="437">
        <f t="shared" si="4"/>
        <v>8.0455532708565911E-3</v>
      </c>
      <c r="R44" s="438">
        <f>'Ridership-26'!B35/'Revenue Miles-26'!B35</f>
        <v>8.4847547858705061E-2</v>
      </c>
      <c r="S44" s="434">
        <f>'Ridership-26'!C35/'Revenue Miles-26'!C35</f>
        <v>9.06701755136681E-2</v>
      </c>
      <c r="T44" s="434">
        <f>'Ridership-26'!D35/'Revenue Miles-26'!D35</f>
        <v>9.3205239748349655E-2</v>
      </c>
      <c r="U44" s="434">
        <f>'Ridership-26'!E35/'Revenue Miles-26'!E35</f>
        <v>9.4272498845623817E-2</v>
      </c>
      <c r="V44" s="435">
        <f t="shared" si="5"/>
        <v>0.8848941187265198</v>
      </c>
      <c r="W44" s="436">
        <f t="shared" si="6"/>
        <v>8.4077041000230977E-3</v>
      </c>
      <c r="X44" s="437">
        <f t="shared" si="7"/>
        <v>8.1346364054347888E-3</v>
      </c>
      <c r="Y44" s="438">
        <f>'Op Cost-26'!B35/'Revenue Hours-26'!B35</f>
        <v>69.859111079301456</v>
      </c>
      <c r="Z44" s="434">
        <f>'Op Cost-26'!C35/'Revenue Hours-26'!C35</f>
        <v>76.546396857359781</v>
      </c>
      <c r="AA44" s="434">
        <f>'Op Cost-26'!D35/'Revenue Hours-26'!D35</f>
        <v>81.113410757153048</v>
      </c>
      <c r="AB44" s="434">
        <f>'Op Cost-26'!E35/'Revenue Hours-26'!E35</f>
        <v>94.049687647411616</v>
      </c>
      <c r="AC44" s="435">
        <f t="shared" si="8"/>
        <v>1.0573411582619359</v>
      </c>
      <c r="AD44" s="436">
        <f t="shared" si="9"/>
        <v>8.9860943078641838E-3</v>
      </c>
      <c r="AE44" s="437">
        <f t="shared" si="10"/>
        <v>9.0041243627400139E-3</v>
      </c>
      <c r="AF44" s="438">
        <f>'Op Cost-26'!B35/'Revenue Miles-26'!B35</f>
        <v>3.0485633994613872</v>
      </c>
      <c r="AG44" s="434">
        <f>'Op Cost-26'!C35/'Revenue Miles-26'!C35</f>
        <v>3.3074734162048824</v>
      </c>
      <c r="AH44" s="434">
        <f>'Op Cost-26'!D35/'Revenue Miles-26'!D35</f>
        <v>3.5898392297730726</v>
      </c>
      <c r="AI44" s="434">
        <f>'Op Cost-26'!E35/'Revenue Miles-26'!E35</f>
        <v>4.1678710717996852</v>
      </c>
      <c r="AJ44" s="435">
        <f t="shared" si="11"/>
        <v>1.0673150531526312</v>
      </c>
      <c r="AK44" s="436">
        <f t="shared" si="12"/>
        <v>8.9021206396958444E-3</v>
      </c>
      <c r="AL44" s="437">
        <f t="shared" si="13"/>
        <v>8.9184325262093248E-3</v>
      </c>
      <c r="AM44" s="438">
        <f>'Op Cost-26'!B35/'Ridership-26'!B35</f>
        <v>35.929893985128473</v>
      </c>
      <c r="AN44" s="434">
        <f>'Op Cost-26'!C35/'Ridership-26'!C35</f>
        <v>36.47807448774924</v>
      </c>
      <c r="AO44" s="434">
        <f>'Op Cost-26'!D35/'Ridership-26'!D35</f>
        <v>38.515422946880371</v>
      </c>
      <c r="AP44" s="434">
        <f>'Op Cost-26'!E35/'Ridership-26'!E35</f>
        <v>44.210889950257851</v>
      </c>
      <c r="AQ44" s="439">
        <f t="shared" si="14"/>
        <v>1.2071736239215365</v>
      </c>
      <c r="AR44" s="436">
        <f t="shared" si="15"/>
        <v>7.8707546084900801E-3</v>
      </c>
      <c r="AS44" s="440">
        <f t="shared" si="16"/>
        <v>7.9140663939380549E-3</v>
      </c>
      <c r="AT44" s="432"/>
      <c r="AU44" s="441">
        <f t="shared" si="17"/>
        <v>0</v>
      </c>
      <c r="AV44" s="442">
        <f t="shared" si="18"/>
        <v>0</v>
      </c>
      <c r="AW44" s="442">
        <f t="shared" si="19"/>
        <v>0</v>
      </c>
      <c r="AX44" s="442">
        <f t="shared" si="20"/>
        <v>0</v>
      </c>
      <c r="AY44" s="443">
        <f t="shared" si="21"/>
        <v>0</v>
      </c>
      <c r="AZ44" s="444">
        <f t="shared" si="43"/>
        <v>-1</v>
      </c>
      <c r="BA44" s="445">
        <f t="shared" si="22"/>
        <v>0</v>
      </c>
      <c r="BB44" s="446">
        <f t="shared" si="22"/>
        <v>0</v>
      </c>
      <c r="BC44" s="446">
        <f t="shared" si="22"/>
        <v>0</v>
      </c>
      <c r="BD44" s="446">
        <f t="shared" si="22"/>
        <v>0</v>
      </c>
      <c r="BE44" s="446">
        <f t="shared" si="22"/>
        <v>0</v>
      </c>
      <c r="BF44" s="447">
        <f t="shared" si="44"/>
        <v>1143676.0317849426</v>
      </c>
      <c r="BH44" s="448">
        <f>'Op Cost-26'!E35</f>
        <v>5803873</v>
      </c>
      <c r="BI44" s="449">
        <f t="shared" si="23"/>
        <v>0.19705393825553086</v>
      </c>
      <c r="BJ44" s="450">
        <f t="shared" si="24"/>
        <v>1143676.0317849426</v>
      </c>
      <c r="BK44" s="451">
        <f t="shared" si="25"/>
        <v>0</v>
      </c>
      <c r="BL44" s="1">
        <f t="shared" si="45"/>
        <v>0.20000978829866403</v>
      </c>
      <c r="BM44" s="112">
        <f t="shared" si="46"/>
        <v>0.18758606124835114</v>
      </c>
      <c r="BN44" s="112">
        <f t="shared" si="47"/>
        <v>0.11721004102744931</v>
      </c>
      <c r="BO44" s="113">
        <f t="shared" si="48"/>
        <v>0.24762152545942784</v>
      </c>
      <c r="BP44" s="452">
        <f t="shared" si="26"/>
        <v>1143676.0317849426</v>
      </c>
      <c r="BQ44" s="115">
        <f t="shared" si="49"/>
        <v>1.9003664749670938E-3</v>
      </c>
      <c r="BR44" s="116">
        <f t="shared" si="50"/>
        <v>1.9003664749670938E-3</v>
      </c>
      <c r="BS44" s="453">
        <f t="shared" si="51"/>
        <v>2.0006039870816726E-3</v>
      </c>
      <c r="BT44" s="118">
        <f t="shared" si="52"/>
        <v>1158621.6318783714</v>
      </c>
      <c r="BU44" s="119">
        <f t="shared" si="53"/>
        <v>1741161.9</v>
      </c>
      <c r="BV44" s="119">
        <f t="shared" si="54"/>
        <v>1158621.6318783714</v>
      </c>
      <c r="BW44" s="119">
        <f t="shared" si="65"/>
        <v>0</v>
      </c>
      <c r="BX44" s="120">
        <f t="shared" si="55"/>
        <v>1.9003664749670938E-3</v>
      </c>
      <c r="BY44" s="454">
        <f t="shared" si="56"/>
        <v>2.1543982071234925E-3</v>
      </c>
      <c r="BZ44" s="122">
        <f t="shared" si="57"/>
        <v>1159178.243396109</v>
      </c>
      <c r="CA44" s="455">
        <f t="shared" si="27"/>
        <v>1.0153362061570016E-2</v>
      </c>
      <c r="CB44" s="456">
        <f t="shared" si="28"/>
        <v>75851.137934287617</v>
      </c>
      <c r="CC44" s="456">
        <f t="shared" si="29"/>
        <v>1219527.1697192302</v>
      </c>
      <c r="CD44" s="457">
        <f t="shared" si="30"/>
        <v>0.21012299368356788</v>
      </c>
      <c r="CE44" s="458">
        <f t="shared" si="31"/>
        <v>0</v>
      </c>
      <c r="CF44" s="17"/>
      <c r="CG44" s="459">
        <f t="shared" si="32"/>
        <v>5803873</v>
      </c>
      <c r="CH44" s="460">
        <f t="shared" si="58"/>
        <v>0.21012299368356788</v>
      </c>
      <c r="CI44" s="461">
        <f t="shared" si="33"/>
        <v>1219527.1697192302</v>
      </c>
      <c r="CJ44" s="462">
        <f t="shared" si="34"/>
        <v>0</v>
      </c>
      <c r="CL44" s="463">
        <f t="shared" si="35"/>
        <v>1219527.1697192302</v>
      </c>
      <c r="CM44" s="464">
        <f t="shared" si="36"/>
        <v>1.0484969032484817E-2</v>
      </c>
      <c r="CN44" s="465">
        <f t="shared" si="37"/>
        <v>1506.0798480342164</v>
      </c>
      <c r="CO44" s="466">
        <f t="shared" si="59"/>
        <v>1221033.2495672645</v>
      </c>
      <c r="CP44" s="467">
        <f t="shared" si="60"/>
        <v>0.2103824893424209</v>
      </c>
      <c r="CQ44" s="468">
        <f t="shared" si="38"/>
        <v>0</v>
      </c>
      <c r="CR44" s="469"/>
      <c r="CS44" s="470">
        <f t="shared" si="39"/>
        <v>1741161.9</v>
      </c>
      <c r="CT44" s="465">
        <f t="shared" si="40"/>
        <v>0</v>
      </c>
      <c r="CU44" s="471">
        <f t="shared" si="41"/>
        <v>1221033.2495672645</v>
      </c>
      <c r="CV44" s="472">
        <f t="shared" si="42"/>
        <v>0.2103824893424209</v>
      </c>
      <c r="CY44" s="473">
        <v>0</v>
      </c>
      <c r="CZ44" s="474">
        <f t="shared" si="61"/>
        <v>1221033.2495672645</v>
      </c>
      <c r="DA44" s="475">
        <f t="shared" si="62"/>
        <v>0.2103824893424209</v>
      </c>
      <c r="DB44" s="1">
        <f t="shared" si="63"/>
        <v>0</v>
      </c>
      <c r="DC44" s="293">
        <f t="shared" si="64"/>
        <v>0.19972494976993965</v>
      </c>
      <c r="DF44" s="476"/>
    </row>
    <row r="45" spans="1:110">
      <c r="A45" s="477" t="s">
        <v>124</v>
      </c>
      <c r="B45" s="428" t="s">
        <v>126</v>
      </c>
      <c r="C45" s="429"/>
      <c r="D45" s="91">
        <f>'Op Cost-26'!E36</f>
        <v>604843</v>
      </c>
      <c r="E45" s="92">
        <f>'Ridership-26'!$E36</f>
        <v>28882</v>
      </c>
      <c r="F45" s="92">
        <f>'Revenue Hours-26'!$E36</f>
        <v>15534</v>
      </c>
      <c r="G45" s="92">
        <f>'Revenue Miles-26'!$E36</f>
        <v>413556</v>
      </c>
      <c r="H45" s="478">
        <f t="shared" si="0"/>
        <v>1.9919703222606392E-3</v>
      </c>
      <c r="I45" s="431">
        <f t="shared" si="1"/>
        <v>1.9919703222606396E-3</v>
      </c>
      <c r="J45" s="432"/>
      <c r="K45" s="433">
        <f>'Ridership-26'!B36/'Revenue Hours-26'!B36</f>
        <v>1.3983089137029627</v>
      </c>
      <c r="L45" s="434">
        <f>'Ridership-26'!C36/'Revenue Hours-26'!C36</f>
        <v>1.5445728965960179</v>
      </c>
      <c r="M45" s="434">
        <f>'Ridership-26'!D36/'Revenue Hours-26'!D36</f>
        <v>1.8291929463251384</v>
      </c>
      <c r="N45" s="434">
        <f>'Ridership-26'!E36/'Revenue Hours-26'!E36</f>
        <v>1.8592764259044676</v>
      </c>
      <c r="O45" s="435">
        <f t="shared" si="2"/>
        <v>0.93575618620058609</v>
      </c>
      <c r="P45" s="436">
        <f t="shared" si="3"/>
        <v>1.8639985517833685E-3</v>
      </c>
      <c r="Q45" s="437">
        <f t="shared" si="4"/>
        <v>1.8007663486956987E-3</v>
      </c>
      <c r="R45" s="438">
        <f>'Ridership-26'!B36/'Revenue Miles-26'!B36</f>
        <v>5.2832581392513109E-2</v>
      </c>
      <c r="S45" s="434">
        <f>'Ridership-26'!C36/'Revenue Miles-26'!C36</f>
        <v>5.8014121779238044E-2</v>
      </c>
      <c r="T45" s="434">
        <f>'Ridership-26'!D36/'Revenue Miles-26'!D36</f>
        <v>6.7953110393320887E-2</v>
      </c>
      <c r="U45" s="434">
        <f>'Ridership-26'!E36/'Revenue Miles-26'!E36</f>
        <v>6.9838183946067764E-2</v>
      </c>
      <c r="V45" s="435">
        <f t="shared" si="5"/>
        <v>0.93786015683866342</v>
      </c>
      <c r="W45" s="436">
        <f t="shared" si="6"/>
        <v>1.8681895988533264E-3</v>
      </c>
      <c r="X45" s="437">
        <f t="shared" si="7"/>
        <v>1.807514030262451E-3</v>
      </c>
      <c r="Y45" s="438">
        <f>'Op Cost-26'!B36/'Revenue Hours-26'!B36</f>
        <v>37.360937197444009</v>
      </c>
      <c r="Z45" s="434">
        <f>'Op Cost-26'!C36/'Revenue Hours-26'!C36</f>
        <v>36.826011560693644</v>
      </c>
      <c r="AA45" s="434">
        <f>'Op Cost-26'!D36/'Revenue Hours-26'!D36</f>
        <v>46.109795340455655</v>
      </c>
      <c r="AB45" s="434">
        <f>'Op Cost-26'!E36/'Revenue Hours-26'!E36</f>
        <v>38.936719454100682</v>
      </c>
      <c r="AC45" s="435">
        <f t="shared" si="8"/>
        <v>0.97827769072150195</v>
      </c>
      <c r="AD45" s="436">
        <f t="shared" si="9"/>
        <v>2.0362013170222831E-3</v>
      </c>
      <c r="AE45" s="437">
        <f t="shared" si="10"/>
        <v>2.0402868318440026E-3</v>
      </c>
      <c r="AF45" s="438">
        <f>'Op Cost-26'!B36/'Revenue Miles-26'!B36</f>
        <v>1.4116156566272406</v>
      </c>
      <c r="AG45" s="434">
        <f>'Op Cost-26'!C36/'Revenue Miles-26'!C36</f>
        <v>1.3831841307289821</v>
      </c>
      <c r="AH45" s="434">
        <f>'Op Cost-26'!D36/'Revenue Miles-26'!D36</f>
        <v>1.712943415443541</v>
      </c>
      <c r="AI45" s="434">
        <f>'Op Cost-26'!E36/'Revenue Miles-26'!E36</f>
        <v>1.4625419532058537</v>
      </c>
      <c r="AJ45" s="435">
        <f t="shared" si="11"/>
        <v>0.97981392718326255</v>
      </c>
      <c r="AK45" s="436">
        <f t="shared" si="12"/>
        <v>2.0330087856447313E-3</v>
      </c>
      <c r="AL45" s="437">
        <f t="shared" si="13"/>
        <v>2.0367339888782703E-3</v>
      </c>
      <c r="AM45" s="438">
        <f>'Op Cost-26'!B36/'Ridership-26'!B36</f>
        <v>26.718657680945348</v>
      </c>
      <c r="AN45" s="434">
        <f>'Op Cost-26'!C36/'Ridership-26'!C36</f>
        <v>23.842197180755957</v>
      </c>
      <c r="AO45" s="434">
        <f>'Op Cost-26'!D36/'Ridership-26'!D36</f>
        <v>25.207726409119697</v>
      </c>
      <c r="AP45" s="434">
        <f>'Op Cost-26'!E36/'Ridership-26'!E36</f>
        <v>20.941866906723909</v>
      </c>
      <c r="AQ45" s="439">
        <f t="shared" si="14"/>
        <v>1.0464177737850957</v>
      </c>
      <c r="AR45" s="436">
        <f t="shared" si="15"/>
        <v>1.9036090289782611E-3</v>
      </c>
      <c r="AS45" s="440">
        <f t="shared" si="16"/>
        <v>1.9140843531296455E-3</v>
      </c>
      <c r="AT45" s="432"/>
      <c r="AU45" s="441">
        <f t="shared" si="17"/>
        <v>0</v>
      </c>
      <c r="AV45" s="442">
        <f t="shared" si="18"/>
        <v>0</v>
      </c>
      <c r="AW45" s="442">
        <f t="shared" si="19"/>
        <v>0</v>
      </c>
      <c r="AX45" s="442">
        <f t="shared" si="20"/>
        <v>0</v>
      </c>
      <c r="AY45" s="443">
        <f t="shared" si="21"/>
        <v>0</v>
      </c>
      <c r="AZ45" s="444">
        <f t="shared" si="43"/>
        <v>-1</v>
      </c>
      <c r="BA45" s="445">
        <f t="shared" si="22"/>
        <v>0</v>
      </c>
      <c r="BB45" s="446">
        <f t="shared" si="22"/>
        <v>0</v>
      </c>
      <c r="BC45" s="446">
        <f t="shared" si="22"/>
        <v>0</v>
      </c>
      <c r="BD45" s="446">
        <f t="shared" si="22"/>
        <v>0</v>
      </c>
      <c r="BE45" s="446">
        <f t="shared" si="22"/>
        <v>0</v>
      </c>
      <c r="BF45" s="447">
        <f t="shared" si="44"/>
        <v>239772.72179722603</v>
      </c>
      <c r="BH45" s="448">
        <f>'Op Cost-26'!E36</f>
        <v>604843</v>
      </c>
      <c r="BI45" s="449">
        <f t="shared" si="23"/>
        <v>0.39642142142213105</v>
      </c>
      <c r="BJ45" s="450">
        <f t="shared" si="24"/>
        <v>181452.9</v>
      </c>
      <c r="BK45" s="451">
        <f t="shared" si="25"/>
        <v>58319.821797226032</v>
      </c>
      <c r="BL45" s="1">
        <f t="shared" si="45"/>
        <v>0.3240755634982842</v>
      </c>
      <c r="BM45" s="112">
        <f t="shared" si="46"/>
        <v>0.163951889852753</v>
      </c>
      <c r="BN45" s="112">
        <f t="shared" si="47"/>
        <v>8.6830586924461703E-2</v>
      </c>
      <c r="BO45" s="113">
        <f t="shared" si="48"/>
        <v>0.52275988860796108</v>
      </c>
      <c r="BP45" s="452">
        <f t="shared" si="26"/>
        <v>0</v>
      </c>
      <c r="BQ45" s="115">
        <f t="shared" si="49"/>
        <v>6.4554890465847554E-4</v>
      </c>
      <c r="BR45" s="116">
        <f t="shared" si="50"/>
        <v>0</v>
      </c>
      <c r="BS45" s="453">
        <f t="shared" si="51"/>
        <v>0</v>
      </c>
      <c r="BT45" s="118">
        <f t="shared" si="52"/>
        <v>181452.9</v>
      </c>
      <c r="BU45" s="119">
        <f t="shared" si="53"/>
        <v>181452.9</v>
      </c>
      <c r="BV45" s="119">
        <f t="shared" si="54"/>
        <v>181452.9</v>
      </c>
      <c r="BW45" s="119">
        <f t="shared" si="65"/>
        <v>0</v>
      </c>
      <c r="BX45" s="120">
        <f t="shared" si="55"/>
        <v>0</v>
      </c>
      <c r="BY45" s="454">
        <f t="shared" si="56"/>
        <v>0</v>
      </c>
      <c r="BZ45" s="122">
        <f t="shared" si="57"/>
        <v>181452.9</v>
      </c>
      <c r="CA45" s="455">
        <f t="shared" si="27"/>
        <v>0</v>
      </c>
      <c r="CB45" s="456">
        <f t="shared" si="28"/>
        <v>0</v>
      </c>
      <c r="CC45" s="456">
        <f t="shared" si="29"/>
        <v>181452.9</v>
      </c>
      <c r="CD45" s="457">
        <f t="shared" si="30"/>
        <v>0.3</v>
      </c>
      <c r="CE45" s="458">
        <f t="shared" si="31"/>
        <v>0</v>
      </c>
      <c r="CF45" s="17"/>
      <c r="CG45" s="459">
        <f t="shared" si="32"/>
        <v>604843</v>
      </c>
      <c r="CH45" s="460">
        <f t="shared" si="58"/>
        <v>0.3</v>
      </c>
      <c r="CI45" s="461">
        <f t="shared" si="33"/>
        <v>181452.9</v>
      </c>
      <c r="CJ45" s="462">
        <f t="shared" si="34"/>
        <v>0</v>
      </c>
      <c r="CL45" s="463">
        <f t="shared" si="35"/>
        <v>0</v>
      </c>
      <c r="CM45" s="464">
        <f t="shared" si="36"/>
        <v>0</v>
      </c>
      <c r="CN45" s="465">
        <f t="shared" si="37"/>
        <v>0</v>
      </c>
      <c r="CO45" s="466">
        <f t="shared" si="59"/>
        <v>181452.9</v>
      </c>
      <c r="CP45" s="467">
        <f t="shared" si="60"/>
        <v>0.3</v>
      </c>
      <c r="CQ45" s="468">
        <f t="shared" si="38"/>
        <v>0</v>
      </c>
      <c r="CR45" s="469"/>
      <c r="CS45" s="470">
        <f t="shared" si="39"/>
        <v>181452.9</v>
      </c>
      <c r="CT45" s="465">
        <f t="shared" si="40"/>
        <v>0</v>
      </c>
      <c r="CU45" s="471">
        <f t="shared" si="41"/>
        <v>181452.9</v>
      </c>
      <c r="CV45" s="472">
        <f t="shared" si="42"/>
        <v>0.3</v>
      </c>
      <c r="CY45" s="473">
        <v>0</v>
      </c>
      <c r="CZ45" s="474">
        <f t="shared" si="61"/>
        <v>181452.9</v>
      </c>
      <c r="DA45" s="475">
        <f t="shared" si="62"/>
        <v>0.3</v>
      </c>
      <c r="DB45" s="1">
        <f t="shared" si="63"/>
        <v>0</v>
      </c>
      <c r="DC45" s="293">
        <f t="shared" si="64"/>
        <v>0.3</v>
      </c>
      <c r="DF45" s="476"/>
    </row>
    <row r="46" spans="1:110">
      <c r="A46" s="477" t="s">
        <v>124</v>
      </c>
      <c r="B46" s="428" t="s">
        <v>127</v>
      </c>
      <c r="C46" s="429"/>
      <c r="D46" s="91">
        <f>'Op Cost-26'!E37</f>
        <v>5022923</v>
      </c>
      <c r="E46" s="92">
        <f>'Ridership-26'!$E37</f>
        <v>125848</v>
      </c>
      <c r="F46" s="92">
        <f>'Revenue Hours-26'!$E37</f>
        <v>46101.396664300002</v>
      </c>
      <c r="G46" s="92">
        <f>'Revenue Miles-26'!$E37</f>
        <v>906466.02099999995</v>
      </c>
      <c r="H46" s="478">
        <f t="shared" si="0"/>
        <v>7.3907945050697655E-3</v>
      </c>
      <c r="I46" s="431">
        <f t="shared" si="1"/>
        <v>7.3907945050697673E-3</v>
      </c>
      <c r="J46" s="432"/>
      <c r="K46" s="433">
        <f>'Ridership-26'!B37/'Revenue Hours-26'!B37</f>
        <v>2.0644874296866029</v>
      </c>
      <c r="L46" s="434">
        <f>'Ridership-26'!C37/'Revenue Hours-26'!C37</f>
        <v>2.271031556749429</v>
      </c>
      <c r="M46" s="434">
        <f>'Ridership-26'!D37/'Revenue Hours-26'!D37</f>
        <v>2.6724711742855303</v>
      </c>
      <c r="N46" s="434">
        <f>'Ridership-26'!E37/'Revenue Hours-26'!E37</f>
        <v>2.7298088367343145</v>
      </c>
      <c r="O46" s="435">
        <f t="shared" si="2"/>
        <v>0.93402485678415115</v>
      </c>
      <c r="P46" s="436">
        <f t="shared" si="3"/>
        <v>6.9031857791188806E-3</v>
      </c>
      <c r="Q46" s="437">
        <f t="shared" si="4"/>
        <v>6.669009821889978E-3</v>
      </c>
      <c r="R46" s="438">
        <f>'Ridership-26'!B37/'Revenue Miles-26'!B37</f>
        <v>9.9364322496519109E-2</v>
      </c>
      <c r="S46" s="434">
        <f>'Ridership-26'!C37/'Revenue Miles-26'!C37</f>
        <v>0.11118198611423494</v>
      </c>
      <c r="T46" s="434">
        <f>'Ridership-26'!D37/'Revenue Miles-26'!D37</f>
        <v>0.13217419191779745</v>
      </c>
      <c r="U46" s="434">
        <f>'Ridership-26'!E37/'Revenue Miles-26'!E37</f>
        <v>0.13883366511760292</v>
      </c>
      <c r="V46" s="435">
        <f t="shared" si="5"/>
        <v>0.95531263932332255</v>
      </c>
      <c r="W46" s="436">
        <f t="shared" si="6"/>
        <v>7.0605194053345085E-3</v>
      </c>
      <c r="X46" s="437">
        <f t="shared" si="7"/>
        <v>6.831205940722283E-3</v>
      </c>
      <c r="Y46" s="438">
        <f>'Op Cost-26'!B37/'Revenue Hours-26'!B37</f>
        <v>134.38379634944323</v>
      </c>
      <c r="Z46" s="434">
        <f>'Op Cost-26'!C37/'Revenue Hours-26'!C37</f>
        <v>98.371300178244169</v>
      </c>
      <c r="AA46" s="434">
        <f>'Op Cost-26'!D37/'Revenue Hours-26'!D37</f>
        <v>93.44738367723788</v>
      </c>
      <c r="AB46" s="434">
        <f>'Op Cost-26'!E37/'Revenue Hours-26'!E37</f>
        <v>108.95381405851531</v>
      </c>
      <c r="AC46" s="435">
        <f t="shared" si="8"/>
        <v>0.90591383740562093</v>
      </c>
      <c r="AD46" s="436">
        <f t="shared" si="9"/>
        <v>8.1583857094353618E-3</v>
      </c>
      <c r="AE46" s="437">
        <f t="shared" si="10"/>
        <v>8.1747550170566466E-3</v>
      </c>
      <c r="AF46" s="438">
        <f>'Op Cost-26'!B37/'Revenue Miles-26'!B37</f>
        <v>6.4679274316529272</v>
      </c>
      <c r="AG46" s="434">
        <f>'Op Cost-26'!C37/'Revenue Miles-26'!C37</f>
        <v>4.8159245070602568</v>
      </c>
      <c r="AH46" s="434">
        <f>'Op Cost-26'!D37/'Revenue Miles-26'!D37</f>
        <v>4.6216896717972462</v>
      </c>
      <c r="AI46" s="434">
        <f>'Op Cost-26'!E37/'Revenue Miles-26'!E37</f>
        <v>5.5412148758304092</v>
      </c>
      <c r="AJ46" s="435">
        <f t="shared" si="11"/>
        <v>0.92676229872522475</v>
      </c>
      <c r="AK46" s="436">
        <f t="shared" si="12"/>
        <v>7.9748545179663798E-3</v>
      </c>
      <c r="AL46" s="437">
        <f t="shared" si="13"/>
        <v>7.9894673194688126E-3</v>
      </c>
      <c r="AM46" s="438">
        <f>'Op Cost-26'!B37/'Ridership-26'!B37</f>
        <v>65.093056231319935</v>
      </c>
      <c r="AN46" s="434">
        <f>'Op Cost-26'!C37/'Ridership-26'!C37</f>
        <v>43.315690566204594</v>
      </c>
      <c r="AO46" s="434">
        <f>'Op Cost-26'!D37/'Ridership-26'!D37</f>
        <v>34.966657293214958</v>
      </c>
      <c r="AP46" s="434">
        <f>'Op Cost-26'!E37/'Ridership-26'!E37</f>
        <v>39.912616807577393</v>
      </c>
      <c r="AQ46" s="439">
        <f t="shared" si="14"/>
        <v>0.96694396142407157</v>
      </c>
      <c r="AR46" s="436">
        <f t="shared" si="15"/>
        <v>7.6434569115928263E-3</v>
      </c>
      <c r="AS46" s="440">
        <f t="shared" si="16"/>
        <v>7.6855179060340267E-3</v>
      </c>
      <c r="AT46" s="432"/>
      <c r="AU46" s="441">
        <f t="shared" si="17"/>
        <v>0</v>
      </c>
      <c r="AV46" s="442">
        <f t="shared" si="18"/>
        <v>0</v>
      </c>
      <c r="AW46" s="442">
        <f t="shared" si="19"/>
        <v>0</v>
      </c>
      <c r="AX46" s="442">
        <f t="shared" si="20"/>
        <v>0</v>
      </c>
      <c r="AY46" s="443">
        <f t="shared" si="21"/>
        <v>0</v>
      </c>
      <c r="AZ46" s="444">
        <f t="shared" si="43"/>
        <v>-1</v>
      </c>
      <c r="BA46" s="445">
        <f t="shared" si="22"/>
        <v>0</v>
      </c>
      <c r="BB46" s="446">
        <f t="shared" si="22"/>
        <v>0</v>
      </c>
      <c r="BC46" s="446">
        <f t="shared" si="22"/>
        <v>0</v>
      </c>
      <c r="BD46" s="446">
        <f t="shared" si="22"/>
        <v>0</v>
      </c>
      <c r="BE46" s="446">
        <f t="shared" si="22"/>
        <v>0</v>
      </c>
      <c r="BF46" s="447">
        <f t="shared" si="44"/>
        <v>889627.16709224542</v>
      </c>
      <c r="BH46" s="448">
        <f>'Op Cost-26'!E37</f>
        <v>5022923</v>
      </c>
      <c r="BI46" s="449">
        <f t="shared" si="23"/>
        <v>0.17711343914534333</v>
      </c>
      <c r="BJ46" s="450">
        <f t="shared" si="24"/>
        <v>889627.16709224542</v>
      </c>
      <c r="BK46" s="451">
        <f t="shared" si="25"/>
        <v>0</v>
      </c>
      <c r="BL46" s="1">
        <f t="shared" si="45"/>
        <v>0.24047652481677084</v>
      </c>
      <c r="BM46" s="112">
        <f t="shared" si="46"/>
        <v>0.24071585670840551</v>
      </c>
      <c r="BN46" s="112">
        <f t="shared" si="47"/>
        <v>0.17261343216405878</v>
      </c>
      <c r="BO46" s="113">
        <f t="shared" si="48"/>
        <v>0.27428840519730957</v>
      </c>
      <c r="BP46" s="452">
        <f t="shared" si="26"/>
        <v>889627.16709224542</v>
      </c>
      <c r="BQ46" s="115">
        <f t="shared" si="49"/>
        <v>1.7773125782140635E-3</v>
      </c>
      <c r="BR46" s="116">
        <f t="shared" si="50"/>
        <v>1.7773125782140635E-3</v>
      </c>
      <c r="BS46" s="453">
        <f t="shared" si="51"/>
        <v>1.8710594388521992E-3</v>
      </c>
      <c r="BT46" s="118">
        <f t="shared" si="52"/>
        <v>903604.99893937283</v>
      </c>
      <c r="BU46" s="119">
        <f t="shared" si="53"/>
        <v>1506876.9</v>
      </c>
      <c r="BV46" s="119">
        <f t="shared" si="54"/>
        <v>903604.99893937283</v>
      </c>
      <c r="BW46" s="119">
        <f t="shared" si="65"/>
        <v>0</v>
      </c>
      <c r="BX46" s="120">
        <f t="shared" si="55"/>
        <v>1.7773125782140635E-3</v>
      </c>
      <c r="BY46" s="454">
        <f t="shared" si="56"/>
        <v>2.0148950649472564E-3</v>
      </c>
      <c r="BZ46" s="122">
        <f t="shared" si="57"/>
        <v>904125.56834779226</v>
      </c>
      <c r="CA46" s="455">
        <f t="shared" si="27"/>
        <v>7.8979592789043679E-3</v>
      </c>
      <c r="CB46" s="456">
        <f t="shared" si="28"/>
        <v>59002.052229675719</v>
      </c>
      <c r="CC46" s="456">
        <f t="shared" si="29"/>
        <v>948629.21932192112</v>
      </c>
      <c r="CD46" s="457">
        <f t="shared" si="30"/>
        <v>0.18885999632523157</v>
      </c>
      <c r="CE46" s="458">
        <f t="shared" si="31"/>
        <v>0</v>
      </c>
      <c r="CF46" s="17"/>
      <c r="CG46" s="459">
        <f t="shared" si="32"/>
        <v>5022923</v>
      </c>
      <c r="CH46" s="460">
        <f t="shared" si="58"/>
        <v>0.18885999632523157</v>
      </c>
      <c r="CI46" s="461">
        <f t="shared" si="33"/>
        <v>948629.21932192112</v>
      </c>
      <c r="CJ46" s="462">
        <f t="shared" si="34"/>
        <v>0</v>
      </c>
      <c r="CL46" s="463">
        <f t="shared" si="35"/>
        <v>948629.21932192112</v>
      </c>
      <c r="CM46" s="464">
        <f t="shared" si="36"/>
        <v>8.1559052023338872E-3</v>
      </c>
      <c r="CN46" s="465">
        <f t="shared" si="37"/>
        <v>1171.5289219887625</v>
      </c>
      <c r="CO46" s="466">
        <f t="shared" si="59"/>
        <v>949800.74824390991</v>
      </c>
      <c r="CP46" s="467">
        <f t="shared" si="60"/>
        <v>0.18909323281362464</v>
      </c>
      <c r="CQ46" s="468">
        <f t="shared" si="38"/>
        <v>0</v>
      </c>
      <c r="CR46" s="469"/>
      <c r="CS46" s="470">
        <f t="shared" si="39"/>
        <v>1506876.9</v>
      </c>
      <c r="CT46" s="465">
        <f t="shared" si="40"/>
        <v>0</v>
      </c>
      <c r="CU46" s="471">
        <f t="shared" si="41"/>
        <v>949800.74824390991</v>
      </c>
      <c r="CV46" s="472">
        <f t="shared" si="42"/>
        <v>0.18909323281362464</v>
      </c>
      <c r="CY46" s="473">
        <v>0</v>
      </c>
      <c r="CZ46" s="474">
        <f t="shared" si="61"/>
        <v>949800.74824390991</v>
      </c>
      <c r="DA46" s="475">
        <f t="shared" si="62"/>
        <v>0.18909323281362464</v>
      </c>
      <c r="DB46" s="1">
        <f t="shared" si="63"/>
        <v>0</v>
      </c>
      <c r="DC46" s="293">
        <f t="shared" si="64"/>
        <v>0.1799998861913257</v>
      </c>
      <c r="DF46" s="476"/>
    </row>
    <row r="47" spans="1:110" ht="16.5" customHeight="1">
      <c r="A47" s="477" t="s">
        <v>124</v>
      </c>
      <c r="B47" s="428" t="s">
        <v>128</v>
      </c>
      <c r="C47" s="429"/>
      <c r="D47" s="91">
        <f>'Op Cost-26'!E38</f>
        <v>457239</v>
      </c>
      <c r="E47" s="92">
        <f>'Ridership-26'!$E38</f>
        <v>12090</v>
      </c>
      <c r="F47" s="92">
        <f>'Revenue Hours-26'!$E38</f>
        <v>5064</v>
      </c>
      <c r="G47" s="92">
        <f>'Revenue Miles-26'!$E38</f>
        <v>59926</v>
      </c>
      <c r="H47" s="430">
        <f t="shared" si="0"/>
        <v>6.5342511455468303E-4</v>
      </c>
      <c r="I47" s="431">
        <f t="shared" si="1"/>
        <v>6.5342511455468313E-4</v>
      </c>
      <c r="J47" s="432"/>
      <c r="K47" s="433">
        <f>'Ridership-26'!B38/'Revenue Hours-26'!B38</f>
        <v>2.06749490079733</v>
      </c>
      <c r="L47" s="434">
        <f>'Ridership-26'!C38/'Revenue Hours-26'!C38</f>
        <v>2.1966604823747682</v>
      </c>
      <c r="M47" s="434">
        <f>'Ridership-26'!D38/'Revenue Hours-26'!D38</f>
        <v>2.1937241638481773</v>
      </c>
      <c r="N47" s="434">
        <f>'Ridership-26'!E38/'Revenue Hours-26'!E38</f>
        <v>2.3874407582938391</v>
      </c>
      <c r="O47" s="435">
        <f t="shared" si="2"/>
        <v>0.89509204736198367</v>
      </c>
      <c r="P47" s="436">
        <f t="shared" si="3"/>
        <v>5.8487562358449003E-4</v>
      </c>
      <c r="Q47" s="437">
        <f t="shared" si="4"/>
        <v>5.6503495676844622E-4</v>
      </c>
      <c r="R47" s="438">
        <f>'Ridership-26'!B38/'Revenue Miles-26'!B38</f>
        <v>0.21433239783168659</v>
      </c>
      <c r="S47" s="434">
        <f>'Ridership-26'!C38/'Revenue Miles-26'!C38</f>
        <v>0.21260549470281917</v>
      </c>
      <c r="T47" s="434">
        <f>'Ridership-26'!D38/'Revenue Miles-26'!D38</f>
        <v>0.19288275041715541</v>
      </c>
      <c r="U47" s="434">
        <f>'Ridership-26'!E38/'Revenue Miles-26'!E38</f>
        <v>0.20174882354904383</v>
      </c>
      <c r="V47" s="435">
        <f t="shared" si="5"/>
        <v>0.84151676129837449</v>
      </c>
      <c r="W47" s="436">
        <f t="shared" si="6"/>
        <v>5.4986818615107634E-4</v>
      </c>
      <c r="X47" s="437">
        <f t="shared" si="7"/>
        <v>5.3200941803394942E-4</v>
      </c>
      <c r="Y47" s="438">
        <f>'Op Cost-26'!B38/'Revenue Hours-26'!B38</f>
        <v>27.145188206934915</v>
      </c>
      <c r="Z47" s="434">
        <f>'Op Cost-26'!C38/'Revenue Hours-26'!C38</f>
        <v>30.05751391465677</v>
      </c>
      <c r="AA47" s="434">
        <f>'Op Cost-26'!D38/'Revenue Hours-26'!D38</f>
        <v>32.056181886508831</v>
      </c>
      <c r="AB47" s="434">
        <f>'Op Cost-26'!E38/'Revenue Hours-26'!E38</f>
        <v>90.292061611374407</v>
      </c>
      <c r="AC47" s="435">
        <f t="shared" si="8"/>
        <v>1.5961923046443367</v>
      </c>
      <c r="AD47" s="436">
        <f t="shared" si="9"/>
        <v>4.0936490713146197E-4</v>
      </c>
      <c r="AE47" s="437">
        <f t="shared" si="10"/>
        <v>4.1018627306497552E-4</v>
      </c>
      <c r="AF47" s="438">
        <f>'Op Cost-26'!B38/'Revenue Miles-26'!B38</f>
        <v>2.8140786590288722</v>
      </c>
      <c r="AG47" s="434">
        <f>'Op Cost-26'!C38/'Revenue Miles-26'!C38</f>
        <v>2.9091398814868019</v>
      </c>
      <c r="AH47" s="434">
        <f>'Op Cost-26'!D38/'Revenue Miles-26'!D38</f>
        <v>2.8185332650465065</v>
      </c>
      <c r="AI47" s="434">
        <f>'Op Cost-26'!E38/'Revenue Miles-26'!E38</f>
        <v>7.6300604078363312</v>
      </c>
      <c r="AJ47" s="435">
        <f t="shared" si="11"/>
        <v>1.5109100097087511</v>
      </c>
      <c r="AK47" s="436">
        <f t="shared" si="12"/>
        <v>4.3247123280402375E-4</v>
      </c>
      <c r="AL47" s="437">
        <f t="shared" si="13"/>
        <v>4.3326367563370049E-4</v>
      </c>
      <c r="AM47" s="438">
        <f>'Op Cost-26'!B38/'Ridership-26'!B38</f>
        <v>13.129506726457398</v>
      </c>
      <c r="AN47" s="434">
        <f>'Op Cost-26'!C38/'Ridership-26'!C38</f>
        <v>13.683277027027026</v>
      </c>
      <c r="AO47" s="434">
        <f>'Op Cost-26'!D38/'Ridership-26'!D38</f>
        <v>14.612676659528908</v>
      </c>
      <c r="AP47" s="434">
        <f>'Op Cost-26'!E38/'Ridership-26'!E38</f>
        <v>37.819602977667493</v>
      </c>
      <c r="AQ47" s="439">
        <f t="shared" si="14"/>
        <v>1.7190933112114191</v>
      </c>
      <c r="AR47" s="436">
        <f t="shared" si="15"/>
        <v>3.8009868940402334E-4</v>
      </c>
      <c r="AS47" s="440">
        <f t="shared" si="16"/>
        <v>3.8219032530215763E-4</v>
      </c>
      <c r="AT47" s="432"/>
      <c r="AU47" s="441">
        <f t="shared" si="17"/>
        <v>0</v>
      </c>
      <c r="AV47" s="442">
        <f t="shared" si="18"/>
        <v>0</v>
      </c>
      <c r="AW47" s="442">
        <f t="shared" si="19"/>
        <v>0</v>
      </c>
      <c r="AX47" s="442">
        <f t="shared" si="20"/>
        <v>0</v>
      </c>
      <c r="AY47" s="443">
        <f t="shared" si="21"/>
        <v>0</v>
      </c>
      <c r="AZ47" s="444">
        <f t="shared" si="43"/>
        <v>-1</v>
      </c>
      <c r="BA47" s="445">
        <f t="shared" si="22"/>
        <v>0</v>
      </c>
      <c r="BB47" s="446">
        <f t="shared" si="22"/>
        <v>0</v>
      </c>
      <c r="BC47" s="446">
        <f t="shared" si="22"/>
        <v>0</v>
      </c>
      <c r="BD47" s="446">
        <f t="shared" si="22"/>
        <v>0</v>
      </c>
      <c r="BE47" s="446">
        <f t="shared" si="22"/>
        <v>0</v>
      </c>
      <c r="BF47" s="447">
        <f t="shared" si="44"/>
        <v>78652.536363913066</v>
      </c>
      <c r="BH47" s="448">
        <f>'Op Cost-26'!E38</f>
        <v>457239</v>
      </c>
      <c r="BI47" s="449">
        <f t="shared" si="23"/>
        <v>0.17201624612929575</v>
      </c>
      <c r="BJ47" s="450">
        <f t="shared" si="24"/>
        <v>78652.536363913066</v>
      </c>
      <c r="BK47" s="451">
        <f t="shared" si="25"/>
        <v>0</v>
      </c>
      <c r="BL47" s="1">
        <f t="shared" si="45"/>
        <v>0.26007459691578361</v>
      </c>
      <c r="BM47" s="112">
        <f t="shared" si="46"/>
        <v>0.21052567481640119</v>
      </c>
      <c r="BN47" s="112">
        <f t="shared" si="47"/>
        <v>0.25083654485648299</v>
      </c>
      <c r="BO47" s="113">
        <f t="shared" si="48"/>
        <v>0.28946808399512508</v>
      </c>
      <c r="BP47" s="452">
        <f t="shared" si="26"/>
        <v>78652.536363913066</v>
      </c>
      <c r="BQ47" s="115">
        <f t="shared" si="49"/>
        <v>1.6993927328245895E-4</v>
      </c>
      <c r="BR47" s="116">
        <f t="shared" si="50"/>
        <v>1.6993927328245895E-4</v>
      </c>
      <c r="BS47" s="453">
        <f t="shared" si="51"/>
        <v>1.7890296012327639E-4</v>
      </c>
      <c r="BT47" s="118">
        <f t="shared" si="52"/>
        <v>79989.038797577363</v>
      </c>
      <c r="BU47" s="119">
        <f t="shared" si="53"/>
        <v>137171.69999999998</v>
      </c>
      <c r="BV47" s="119">
        <f t="shared" si="54"/>
        <v>79989.038797577363</v>
      </c>
      <c r="BW47" s="119">
        <f t="shared" si="65"/>
        <v>0</v>
      </c>
      <c r="BX47" s="120">
        <f t="shared" si="55"/>
        <v>1.6993927328245895E-4</v>
      </c>
      <c r="BY47" s="454">
        <f t="shared" si="56"/>
        <v>1.9265592742365043E-4</v>
      </c>
      <c r="BZ47" s="122">
        <f t="shared" si="57"/>
        <v>80038.813490022731</v>
      </c>
      <c r="CA47" s="455">
        <f t="shared" si="27"/>
        <v>6.9826389341853215E-4</v>
      </c>
      <c r="CB47" s="456">
        <f t="shared" si="28"/>
        <v>5216.4111328885228</v>
      </c>
      <c r="CC47" s="456">
        <f t="shared" si="29"/>
        <v>83868.947496801586</v>
      </c>
      <c r="CD47" s="457">
        <f t="shared" si="30"/>
        <v>0.18342474613233251</v>
      </c>
      <c r="CE47" s="458">
        <f t="shared" si="31"/>
        <v>0</v>
      </c>
      <c r="CF47" s="17"/>
      <c r="CG47" s="459">
        <f t="shared" si="32"/>
        <v>457239</v>
      </c>
      <c r="CH47" s="460">
        <f t="shared" si="58"/>
        <v>0.18342474613233251</v>
      </c>
      <c r="CI47" s="461">
        <f t="shared" si="33"/>
        <v>83868.947496801586</v>
      </c>
      <c r="CJ47" s="462">
        <f t="shared" si="34"/>
        <v>0</v>
      </c>
      <c r="CL47" s="463">
        <f t="shared" si="35"/>
        <v>83868.947496801586</v>
      </c>
      <c r="CM47" s="464">
        <f t="shared" si="36"/>
        <v>7.210690660491919E-4</v>
      </c>
      <c r="CN47" s="465">
        <f t="shared" si="37"/>
        <v>103.57566017151838</v>
      </c>
      <c r="CO47" s="466">
        <f t="shared" si="59"/>
        <v>83972.523156973097</v>
      </c>
      <c r="CP47" s="467">
        <f t="shared" si="60"/>
        <v>0.1836512702481046</v>
      </c>
      <c r="CQ47" s="468">
        <f t="shared" si="38"/>
        <v>0</v>
      </c>
      <c r="CR47" s="469"/>
      <c r="CS47" s="470">
        <f t="shared" si="39"/>
        <v>137171.69999999998</v>
      </c>
      <c r="CT47" s="465">
        <f t="shared" si="40"/>
        <v>0</v>
      </c>
      <c r="CU47" s="471">
        <f t="shared" si="41"/>
        <v>83972.523156973097</v>
      </c>
      <c r="CV47" s="472">
        <f t="shared" si="42"/>
        <v>0.1836512702481046</v>
      </c>
      <c r="CY47" s="473">
        <v>0</v>
      </c>
      <c r="CZ47" s="474">
        <f t="shared" si="61"/>
        <v>83972.523156973097</v>
      </c>
      <c r="DA47" s="475">
        <f t="shared" si="62"/>
        <v>0.1836512702481046</v>
      </c>
      <c r="DB47" s="1">
        <f t="shared" si="63"/>
        <v>0</v>
      </c>
      <c r="DC47" s="293">
        <f t="shared" si="64"/>
        <v>0.17504808970805799</v>
      </c>
      <c r="DF47" s="476"/>
    </row>
    <row r="48" spans="1:110">
      <c r="A48" s="477" t="s">
        <v>124</v>
      </c>
      <c r="B48" s="428" t="s">
        <v>129</v>
      </c>
      <c r="C48" s="429"/>
      <c r="D48" s="91">
        <f>'Op Cost-26'!E39</f>
        <v>1220651</v>
      </c>
      <c r="E48" s="92">
        <f>'Ridership-26'!$E39</f>
        <v>62326</v>
      </c>
      <c r="F48" s="92">
        <f>'Revenue Hours-26'!$E39</f>
        <v>18443</v>
      </c>
      <c r="G48" s="92">
        <f>'Revenue Miles-26'!$E39</f>
        <v>310461</v>
      </c>
      <c r="H48" s="478">
        <f t="shared" si="0"/>
        <v>2.4421731550352899E-3</v>
      </c>
      <c r="I48" s="431">
        <f t="shared" si="1"/>
        <v>2.4421731550352903E-3</v>
      </c>
      <c r="J48" s="432"/>
      <c r="K48" s="433">
        <f>'Ridership-26'!B39/'Revenue Hours-26'!B39</f>
        <v>1.8714498597475455</v>
      </c>
      <c r="L48" s="434">
        <f>'Ridership-26'!C39/'Revenue Hours-26'!C39</f>
        <v>2.7255388346838654</v>
      </c>
      <c r="M48" s="434">
        <f>'Ridership-26'!D39/'Revenue Hours-26'!D39</f>
        <v>3.379350030141941</v>
      </c>
      <c r="N48" s="434">
        <f>'Ridership-26'!E39/'Revenue Hours-26'!E39</f>
        <v>3.379385132570623</v>
      </c>
      <c r="O48" s="435">
        <f t="shared" si="2"/>
        <v>1.0377100683979792</v>
      </c>
      <c r="P48" s="436">
        <f t="shared" si="3"/>
        <v>2.53426767175138E-3</v>
      </c>
      <c r="Q48" s="437">
        <f t="shared" si="4"/>
        <v>2.4482980083386139E-3</v>
      </c>
      <c r="R48" s="438">
        <f>'Ridership-26'!B39/'Revenue Miles-26'!B39</f>
        <v>0.12054951539089166</v>
      </c>
      <c r="S48" s="434">
        <f>'Ridership-26'!C39/'Revenue Miles-26'!C39</f>
        <v>0.1590504069225078</v>
      </c>
      <c r="T48" s="434">
        <f>'Ridership-26'!D39/'Revenue Miles-26'!D39</f>
        <v>0.19664325941233121</v>
      </c>
      <c r="U48" s="434">
        <f>'Ridership-26'!E39/'Revenue Miles-26'!E39</f>
        <v>0.20075307365498404</v>
      </c>
      <c r="V48" s="435">
        <f t="shared" si="5"/>
        <v>1.0125894313685293</v>
      </c>
      <c r="W48" s="436">
        <f t="shared" si="6"/>
        <v>2.4729187263606719E-3</v>
      </c>
      <c r="X48" s="437">
        <f t="shared" si="7"/>
        <v>2.3926026011167174E-3</v>
      </c>
      <c r="Y48" s="438">
        <f>'Op Cost-26'!B39/'Revenue Hours-26'!B39</f>
        <v>53.352691093969142</v>
      </c>
      <c r="Z48" s="434">
        <f>'Op Cost-26'!C39/'Revenue Hours-26'!C39</f>
        <v>79.509949837384923</v>
      </c>
      <c r="AA48" s="434">
        <f>'Op Cost-26'!D39/'Revenue Hours-26'!D39</f>
        <v>73.872855811914292</v>
      </c>
      <c r="AB48" s="434">
        <f>'Op Cost-26'!E39/'Revenue Hours-26'!E39</f>
        <v>66.185056661063825</v>
      </c>
      <c r="AC48" s="435">
        <f t="shared" si="8"/>
        <v>1.0631089096658457</v>
      </c>
      <c r="AD48" s="436">
        <f t="shared" si="9"/>
        <v>2.29719940528286E-3</v>
      </c>
      <c r="AE48" s="437">
        <f t="shared" si="10"/>
        <v>2.3018085969871722E-3</v>
      </c>
      <c r="AF48" s="438">
        <f>'Op Cost-26'!B39/'Revenue Miles-26'!B39</f>
        <v>3.4367156686984583</v>
      </c>
      <c r="AG48" s="434">
        <f>'Op Cost-26'!C39/'Revenue Miles-26'!C39</f>
        <v>4.639849454756007</v>
      </c>
      <c r="AH48" s="434">
        <f>'Op Cost-26'!D39/'Revenue Miles-26'!D39</f>
        <v>4.2986370217298404</v>
      </c>
      <c r="AI48" s="434">
        <f>'Op Cost-26'!E39/'Revenue Miles-26'!E39</f>
        <v>3.9317369975616905</v>
      </c>
      <c r="AJ48" s="435">
        <f t="shared" si="11"/>
        <v>1.0292620787887317</v>
      </c>
      <c r="AK48" s="436">
        <f t="shared" si="12"/>
        <v>2.3727417976083577E-3</v>
      </c>
      <c r="AL48" s="437">
        <f t="shared" si="13"/>
        <v>2.3770895138992146E-3</v>
      </c>
      <c r="AM48" s="438">
        <f>'Op Cost-26'!B39/'Ridership-26'!B39</f>
        <v>28.508747277453804</v>
      </c>
      <c r="AN48" s="434">
        <f>'Op Cost-26'!C39/'Ridership-26'!C39</f>
        <v>29.17219480624545</v>
      </c>
      <c r="AO48" s="434">
        <f>'Op Cost-26'!D39/'Ridership-26'!D39</f>
        <v>21.860078166809917</v>
      </c>
      <c r="AP48" s="434">
        <f>'Op Cost-26'!E39/'Ridership-26'!E39</f>
        <v>19.584940474280398</v>
      </c>
      <c r="AQ48" s="439">
        <f t="shared" si="14"/>
        <v>1.01288844997681</v>
      </c>
      <c r="AR48" s="436">
        <f t="shared" si="15"/>
        <v>2.4110978411208102E-3</v>
      </c>
      <c r="AS48" s="440">
        <f t="shared" si="16"/>
        <v>2.42436581320014E-3</v>
      </c>
      <c r="AT48" s="432"/>
      <c r="AU48" s="441">
        <f t="shared" si="17"/>
        <v>0</v>
      </c>
      <c r="AV48" s="442">
        <f t="shared" si="18"/>
        <v>0</v>
      </c>
      <c r="AW48" s="442">
        <f t="shared" si="19"/>
        <v>0</v>
      </c>
      <c r="AX48" s="442">
        <f t="shared" si="20"/>
        <v>0</v>
      </c>
      <c r="AY48" s="443">
        <f t="shared" si="21"/>
        <v>0</v>
      </c>
      <c r="AZ48" s="444">
        <f t="shared" si="43"/>
        <v>-1</v>
      </c>
      <c r="BA48" s="445">
        <f t="shared" si="22"/>
        <v>0</v>
      </c>
      <c r="BB48" s="446">
        <f t="shared" si="22"/>
        <v>0</v>
      </c>
      <c r="BC48" s="446">
        <f t="shared" si="22"/>
        <v>0</v>
      </c>
      <c r="BD48" s="446">
        <f t="shared" si="22"/>
        <v>0</v>
      </c>
      <c r="BE48" s="446">
        <f t="shared" si="22"/>
        <v>0</v>
      </c>
      <c r="BF48" s="447">
        <f t="shared" si="44"/>
        <v>293963.46819986001</v>
      </c>
      <c r="BH48" s="448">
        <f>'Op Cost-26'!E39</f>
        <v>1220651</v>
      </c>
      <c r="BI48" s="449">
        <f t="shared" si="23"/>
        <v>0.24082515657617126</v>
      </c>
      <c r="BJ48" s="450">
        <f t="shared" si="24"/>
        <v>293963.46819986001</v>
      </c>
      <c r="BK48" s="451">
        <f t="shared" si="25"/>
        <v>0</v>
      </c>
      <c r="BL48" s="1">
        <f t="shared" si="45"/>
        <v>0.41638801921881408</v>
      </c>
      <c r="BM48" s="112">
        <f t="shared" si="46"/>
        <v>0.29799580702784545</v>
      </c>
      <c r="BN48" s="112">
        <f t="shared" si="47"/>
        <v>0.24959851799430183</v>
      </c>
      <c r="BO48" s="113">
        <f t="shared" si="48"/>
        <v>0.55897887592655449</v>
      </c>
      <c r="BP48" s="452">
        <f t="shared" si="26"/>
        <v>293963.46819986001</v>
      </c>
      <c r="BQ48" s="115">
        <f t="shared" si="49"/>
        <v>1.0168916426145063E-3</v>
      </c>
      <c r="BR48" s="116">
        <f t="shared" si="50"/>
        <v>1.0168916426145063E-3</v>
      </c>
      <c r="BS48" s="453">
        <f t="shared" si="51"/>
        <v>1.0705290276602252E-3</v>
      </c>
      <c r="BT48" s="118">
        <f t="shared" si="52"/>
        <v>301960.90239429852</v>
      </c>
      <c r="BU48" s="119">
        <f t="shared" si="53"/>
        <v>366195.3</v>
      </c>
      <c r="BV48" s="119">
        <f t="shared" si="54"/>
        <v>301960.90239429852</v>
      </c>
      <c r="BW48" s="119">
        <f t="shared" si="65"/>
        <v>0</v>
      </c>
      <c r="BX48" s="120">
        <f t="shared" si="55"/>
        <v>1.0168916426145063E-3</v>
      </c>
      <c r="BY48" s="454">
        <f t="shared" si="56"/>
        <v>1.1528247633001898E-3</v>
      </c>
      <c r="BZ48" s="122">
        <f t="shared" si="57"/>
        <v>302258.74684063357</v>
      </c>
      <c r="CA48" s="455">
        <f t="shared" si="27"/>
        <v>2.6097578707230005E-3</v>
      </c>
      <c r="CB48" s="456">
        <f t="shared" si="28"/>
        <v>19496.310978266596</v>
      </c>
      <c r="CC48" s="456">
        <f t="shared" si="29"/>
        <v>313459.7791781266</v>
      </c>
      <c r="CD48" s="457">
        <f t="shared" si="30"/>
        <v>0.25679721654930576</v>
      </c>
      <c r="CE48" s="458">
        <f t="shared" si="31"/>
        <v>0</v>
      </c>
      <c r="CF48" s="17"/>
      <c r="CG48" s="459">
        <f t="shared" si="32"/>
        <v>1220651</v>
      </c>
      <c r="CH48" s="460">
        <f t="shared" si="58"/>
        <v>0.25679721654930576</v>
      </c>
      <c r="CI48" s="461">
        <f t="shared" si="33"/>
        <v>313459.7791781266</v>
      </c>
      <c r="CJ48" s="462">
        <f t="shared" si="34"/>
        <v>0</v>
      </c>
      <c r="CL48" s="463">
        <f t="shared" si="35"/>
        <v>313459.7791781266</v>
      </c>
      <c r="CM48" s="464">
        <f t="shared" si="36"/>
        <v>2.6949920913765775E-3</v>
      </c>
      <c r="CN48" s="465">
        <f t="shared" si="37"/>
        <v>387.11352097069039</v>
      </c>
      <c r="CO48" s="466">
        <f t="shared" si="59"/>
        <v>313846.89269909728</v>
      </c>
      <c r="CP48" s="467">
        <f t="shared" si="60"/>
        <v>0.25711435348768591</v>
      </c>
      <c r="CQ48" s="468">
        <f t="shared" si="38"/>
        <v>0</v>
      </c>
      <c r="CR48" s="469"/>
      <c r="CS48" s="470">
        <f t="shared" si="39"/>
        <v>366195.3</v>
      </c>
      <c r="CT48" s="465">
        <f t="shared" si="40"/>
        <v>0</v>
      </c>
      <c r="CU48" s="471">
        <f t="shared" si="41"/>
        <v>313846.89269909728</v>
      </c>
      <c r="CV48" s="472">
        <f t="shared" si="42"/>
        <v>0.25711435348768591</v>
      </c>
      <c r="CY48" s="473">
        <v>0</v>
      </c>
      <c r="CZ48" s="474">
        <f t="shared" si="61"/>
        <v>313846.89269909728</v>
      </c>
      <c r="DA48" s="475">
        <f t="shared" si="62"/>
        <v>0.25711435348768591</v>
      </c>
      <c r="DB48" s="1">
        <f t="shared" si="63"/>
        <v>0</v>
      </c>
      <c r="DC48" s="293">
        <f t="shared" si="64"/>
        <v>0.24762093902404009</v>
      </c>
      <c r="DF48" s="476"/>
    </row>
    <row r="49" spans="1:110">
      <c r="A49" s="477" t="s">
        <v>124</v>
      </c>
      <c r="B49" s="428" t="s">
        <v>130</v>
      </c>
      <c r="C49" s="429"/>
      <c r="D49" s="91">
        <f>'Op Cost-26'!E40</f>
        <v>4896193</v>
      </c>
      <c r="E49" s="92">
        <f>'Ridership-26'!$E40</f>
        <v>192152</v>
      </c>
      <c r="F49" s="92">
        <f>'Revenue Hours-26'!$E40</f>
        <v>63064.05</v>
      </c>
      <c r="G49" s="92">
        <f>'Revenue Miles-26'!$E40</f>
        <v>985112</v>
      </c>
      <c r="H49" s="478">
        <f t="shared" si="0"/>
        <v>8.4737104493032411E-3</v>
      </c>
      <c r="I49" s="431">
        <f t="shared" si="1"/>
        <v>8.4737104493032428E-3</v>
      </c>
      <c r="J49" s="432"/>
      <c r="K49" s="433">
        <f>'Ridership-26'!B40/'Revenue Hours-26'!B40</f>
        <v>2.6052602436323364</v>
      </c>
      <c r="L49" s="434">
        <f>'Ridership-26'!C40/'Revenue Hours-26'!C40</f>
        <v>2.7993357457988401</v>
      </c>
      <c r="M49" s="434">
        <f>'Ridership-26'!D40/'Revenue Hours-26'!D40</f>
        <v>2.9370912341787041</v>
      </c>
      <c r="N49" s="434">
        <f>'Ridership-26'!E40/'Revenue Hours-26'!E40</f>
        <v>3.0469340297681482</v>
      </c>
      <c r="O49" s="435">
        <f t="shared" si="2"/>
        <v>0.89655682269168502</v>
      </c>
      <c r="P49" s="436">
        <f t="shared" si="3"/>
        <v>7.5971629168366459E-3</v>
      </c>
      <c r="Q49" s="437">
        <f t="shared" si="4"/>
        <v>7.339445254991939E-3</v>
      </c>
      <c r="R49" s="438">
        <f>'Ridership-26'!B40/'Revenue Miles-26'!B40</f>
        <v>0.16890249812434263</v>
      </c>
      <c r="S49" s="434">
        <f>'Ridership-26'!C40/'Revenue Miles-26'!C40</f>
        <v>0.1810610173694088</v>
      </c>
      <c r="T49" s="434">
        <f>'Ridership-26'!D40/'Revenue Miles-26'!D40</f>
        <v>0.18826739427012279</v>
      </c>
      <c r="U49" s="434">
        <f>'Ridership-26'!E40/'Revenue Miles-26'!E40</f>
        <v>0.19505599363321124</v>
      </c>
      <c r="V49" s="435">
        <f t="shared" si="5"/>
        <v>0.89673887950738995</v>
      </c>
      <c r="W49" s="436">
        <f t="shared" si="6"/>
        <v>7.5987056135782514E-3</v>
      </c>
      <c r="X49" s="437">
        <f t="shared" si="7"/>
        <v>7.3519127912964402E-3</v>
      </c>
      <c r="Y49" s="438">
        <f>'Op Cost-26'!B40/'Revenue Hours-26'!B40</f>
        <v>61.375230712440015</v>
      </c>
      <c r="Z49" s="434">
        <f>'Op Cost-26'!C40/'Revenue Hours-26'!C40</f>
        <v>66.464250896412693</v>
      </c>
      <c r="AA49" s="434">
        <f>'Op Cost-26'!D40/'Revenue Hours-26'!D40</f>
        <v>73.070531219122003</v>
      </c>
      <c r="AB49" s="434">
        <f>'Op Cost-26'!E40/'Revenue Hours-26'!E40</f>
        <v>77.638416815919683</v>
      </c>
      <c r="AC49" s="435">
        <f t="shared" si="8"/>
        <v>1.0340237832501058</v>
      </c>
      <c r="AD49" s="436">
        <f t="shared" si="9"/>
        <v>8.1948893116065326E-3</v>
      </c>
      <c r="AE49" s="437">
        <f t="shared" si="10"/>
        <v>8.2113318614983489E-3</v>
      </c>
      <c r="AF49" s="438">
        <f>'Op Cost-26'!B40/'Revenue Miles-26'!B40</f>
        <v>3.9790381078535897</v>
      </c>
      <c r="AG49" s="434">
        <f>'Op Cost-26'!C40/'Revenue Miles-26'!C40</f>
        <v>4.2989073047277451</v>
      </c>
      <c r="AH49" s="434">
        <f>'Op Cost-26'!D40/'Revenue Miles-26'!D40</f>
        <v>4.6838172238134641</v>
      </c>
      <c r="AI49" s="434">
        <f>'Op Cost-26'!E40/'Revenue Miles-26'!E40</f>
        <v>4.9701891764591233</v>
      </c>
      <c r="AJ49" s="435">
        <f t="shared" si="11"/>
        <v>1.0349971909494167</v>
      </c>
      <c r="AK49" s="436">
        <f t="shared" si="12"/>
        <v>8.1871820748906539E-3</v>
      </c>
      <c r="AL49" s="437">
        <f t="shared" si="13"/>
        <v>8.202183936837493E-3</v>
      </c>
      <c r="AM49" s="438">
        <f>'Op Cost-26'!B40/'Ridership-26'!B40</f>
        <v>23.558195716704567</v>
      </c>
      <c r="AN49" s="434">
        <f>'Op Cost-26'!C40/'Ridership-26'!C40</f>
        <v>23.742865069386646</v>
      </c>
      <c r="AO49" s="434">
        <f>'Op Cost-26'!D40/'Ridership-26'!D40</f>
        <v>24.878536413443978</v>
      </c>
      <c r="AP49" s="434">
        <f>'Op Cost-26'!E40/'Ridership-26'!E40</f>
        <v>25.48083288230151</v>
      </c>
      <c r="AQ49" s="439">
        <f t="shared" si="14"/>
        <v>1.1585307516945786</v>
      </c>
      <c r="AR49" s="436">
        <f t="shared" si="15"/>
        <v>7.3141869017363395E-3</v>
      </c>
      <c r="AS49" s="440">
        <f t="shared" si="16"/>
        <v>7.3544359641925213E-3</v>
      </c>
      <c r="AT49" s="432"/>
      <c r="AU49" s="441">
        <f t="shared" si="17"/>
        <v>0</v>
      </c>
      <c r="AV49" s="442">
        <f t="shared" si="18"/>
        <v>0</v>
      </c>
      <c r="AW49" s="442">
        <f t="shared" si="19"/>
        <v>0</v>
      </c>
      <c r="AX49" s="442">
        <f t="shared" si="20"/>
        <v>0</v>
      </c>
      <c r="AY49" s="443">
        <f t="shared" si="21"/>
        <v>0</v>
      </c>
      <c r="AZ49" s="444">
        <f t="shared" si="43"/>
        <v>-1</v>
      </c>
      <c r="BA49" s="445">
        <f t="shared" si="22"/>
        <v>0</v>
      </c>
      <c r="BB49" s="446">
        <f t="shared" si="22"/>
        <v>0</v>
      </c>
      <c r="BC49" s="446">
        <f t="shared" si="22"/>
        <v>0</v>
      </c>
      <c r="BD49" s="446">
        <f t="shared" si="22"/>
        <v>0</v>
      </c>
      <c r="BE49" s="446">
        <f t="shared" si="22"/>
        <v>0</v>
      </c>
      <c r="BF49" s="447">
        <f t="shared" si="44"/>
        <v>1019977.3538017536</v>
      </c>
      <c r="BH49" s="448">
        <f>'Op Cost-26'!E40</f>
        <v>4896193</v>
      </c>
      <c r="BI49" s="449">
        <f t="shared" si="23"/>
        <v>0.20832049590401228</v>
      </c>
      <c r="BJ49" s="450">
        <f t="shared" si="24"/>
        <v>1019977.3538017536</v>
      </c>
      <c r="BK49" s="451">
        <f t="shared" si="25"/>
        <v>0</v>
      </c>
      <c r="BL49" s="1">
        <f t="shared" si="45"/>
        <v>0.34261851190830711</v>
      </c>
      <c r="BM49" s="112">
        <f t="shared" si="46"/>
        <v>0.26868010881928966</v>
      </c>
      <c r="BN49" s="112">
        <f t="shared" si="47"/>
        <v>0.24251527535975434</v>
      </c>
      <c r="BO49" s="113">
        <f t="shared" si="48"/>
        <v>0.42963933172709223</v>
      </c>
      <c r="BP49" s="452">
        <f t="shared" si="26"/>
        <v>1019977.3538017536</v>
      </c>
      <c r="BQ49" s="115">
        <f t="shared" si="49"/>
        <v>2.9032500644821497E-3</v>
      </c>
      <c r="BR49" s="116">
        <f t="shared" si="50"/>
        <v>2.9032500644821497E-3</v>
      </c>
      <c r="BS49" s="453">
        <f t="shared" si="51"/>
        <v>3.0563860871091644E-3</v>
      </c>
      <c r="BT49" s="118">
        <f t="shared" si="52"/>
        <v>1042810.2205180132</v>
      </c>
      <c r="BU49" s="119">
        <f t="shared" si="53"/>
        <v>1468857.9</v>
      </c>
      <c r="BV49" s="119">
        <f t="shared" si="54"/>
        <v>1042810.2205180132</v>
      </c>
      <c r="BW49" s="119">
        <f t="shared" si="65"/>
        <v>0</v>
      </c>
      <c r="BX49" s="120">
        <f t="shared" si="55"/>
        <v>2.9032500644821497E-3</v>
      </c>
      <c r="BY49" s="454">
        <f t="shared" si="56"/>
        <v>3.2913423890304177E-3</v>
      </c>
      <c r="BZ49" s="122">
        <f t="shared" si="57"/>
        <v>1043660.5735662541</v>
      </c>
      <c r="CA49" s="455">
        <f t="shared" si="27"/>
        <v>9.0551861540617527E-3</v>
      </c>
      <c r="CB49" s="456">
        <f t="shared" si="28"/>
        <v>67647.166507739239</v>
      </c>
      <c r="CC49" s="456">
        <f t="shared" si="29"/>
        <v>1087624.5203094929</v>
      </c>
      <c r="CD49" s="457">
        <f t="shared" si="30"/>
        <v>0.22213677449183333</v>
      </c>
      <c r="CE49" s="458">
        <f t="shared" si="31"/>
        <v>0</v>
      </c>
      <c r="CF49" s="17"/>
      <c r="CG49" s="459">
        <f t="shared" si="32"/>
        <v>4896193</v>
      </c>
      <c r="CH49" s="460">
        <f t="shared" si="58"/>
        <v>0.22213677449183333</v>
      </c>
      <c r="CI49" s="461">
        <f t="shared" si="33"/>
        <v>1087624.5203094929</v>
      </c>
      <c r="CJ49" s="462">
        <f t="shared" si="34"/>
        <v>0</v>
      </c>
      <c r="CL49" s="463">
        <f t="shared" si="35"/>
        <v>1087624.5203094929</v>
      </c>
      <c r="CM49" s="464">
        <f t="shared" si="36"/>
        <v>9.3509268982023969E-3</v>
      </c>
      <c r="CN49" s="465">
        <f t="shared" si="37"/>
        <v>1343.183992073858</v>
      </c>
      <c r="CO49" s="466">
        <f t="shared" si="59"/>
        <v>1088967.7043015668</v>
      </c>
      <c r="CP49" s="467">
        <f t="shared" si="60"/>
        <v>0.22241110681330717</v>
      </c>
      <c r="CQ49" s="468">
        <f t="shared" si="38"/>
        <v>0</v>
      </c>
      <c r="CR49" s="469"/>
      <c r="CS49" s="470">
        <f t="shared" si="39"/>
        <v>1468857.9</v>
      </c>
      <c r="CT49" s="465">
        <f t="shared" si="40"/>
        <v>0</v>
      </c>
      <c r="CU49" s="471">
        <f t="shared" si="41"/>
        <v>1088967.7043015668</v>
      </c>
      <c r="CV49" s="472">
        <f t="shared" si="42"/>
        <v>0.22241110681330717</v>
      </c>
      <c r="CY49" s="473">
        <v>4766</v>
      </c>
      <c r="CZ49" s="474">
        <f t="shared" si="61"/>
        <v>1093733.7043015668</v>
      </c>
      <c r="DA49" s="475">
        <f t="shared" si="62"/>
        <v>0.22338451615399288</v>
      </c>
      <c r="DB49" s="1">
        <f t="shared" si="63"/>
        <v>0</v>
      </c>
      <c r="DC49" s="293">
        <f t="shared" si="64"/>
        <v>0.21315756416592527</v>
      </c>
      <c r="DF49" s="476"/>
    </row>
    <row r="50" spans="1:110" s="171" customFormat="1" ht="15" thickBot="1">
      <c r="A50" s="479"/>
      <c r="B50" s="480" t="s">
        <v>131</v>
      </c>
      <c r="C50" s="429"/>
      <c r="D50" s="481">
        <f t="shared" ref="D50:I50" si="66">SUM(D12:D49)</f>
        <v>581261868</v>
      </c>
      <c r="E50" s="482">
        <f t="shared" si="66"/>
        <v>53095068</v>
      </c>
      <c r="F50" s="482">
        <f t="shared" si="66"/>
        <v>4681948.6436643004</v>
      </c>
      <c r="G50" s="482">
        <f t="shared" si="66"/>
        <v>66013685.590599991</v>
      </c>
      <c r="H50" s="483">
        <f t="shared" si="66"/>
        <v>0.99999999999999978</v>
      </c>
      <c r="I50" s="484">
        <f t="shared" si="66"/>
        <v>0.99999999999999989</v>
      </c>
      <c r="J50" s="485"/>
      <c r="K50" s="486">
        <f>'Ridership-26'!B41/'Revenue Hours-26'!B41</f>
        <v>6.9503910166537581</v>
      </c>
      <c r="L50" s="487">
        <f>'Ridership-26'!C41/'Revenue Hours-26'!C41</f>
        <v>8.9103336909540651</v>
      </c>
      <c r="M50" s="487">
        <f>'Ridership-26'!D41/'Revenue Hours-26'!D41</f>
        <v>10.58680012169124</v>
      </c>
      <c r="N50" s="487">
        <f>'Ridership-26'!E41/'Revenue Hours-26'!E41</f>
        <v>11.340378129061545</v>
      </c>
      <c r="O50" s="488"/>
      <c r="P50" s="489">
        <f>SUM(P12:P49)</f>
        <v>1.0351140519332056</v>
      </c>
      <c r="Q50" s="490">
        <f>SUM(Q12:Q49)</f>
        <v>1.0000000000000002</v>
      </c>
      <c r="R50" s="491">
        <f>'Ridership-26'!B41/'Revenue Miles-26'!B41</f>
        <v>0.50001375435483453</v>
      </c>
      <c r="S50" s="487">
        <f>'Ridership-26'!C41/'Revenue Miles-26'!C41</f>
        <v>0.62877909337252769</v>
      </c>
      <c r="T50" s="487">
        <f>'Ridership-26'!D41/'Revenue Miles-26'!D41</f>
        <v>0.74929493676777836</v>
      </c>
      <c r="U50" s="487">
        <f>'Ridership-26'!E41/'Revenue Miles-26'!E41</f>
        <v>0.80430394887026979</v>
      </c>
      <c r="V50" s="488"/>
      <c r="W50" s="489">
        <f>SUM(W12:W49)</f>
        <v>1.0335685187362365</v>
      </c>
      <c r="X50" s="490">
        <f>SUM(X12:X49)</f>
        <v>1.0000000000000002</v>
      </c>
      <c r="Y50" s="492">
        <f>'Op Cost-26'!B41/'Revenue Hours-26'!B41</f>
        <v>108.38174623012041</v>
      </c>
      <c r="Z50" s="493">
        <f>'Op Cost-26'!C41/'Revenue Hours-26'!C41</f>
        <v>109.41026264200019</v>
      </c>
      <c r="AA50" s="493">
        <f>'Op Cost-26'!D41/'Revenue Hours-26'!D41</f>
        <v>119.77918538846754</v>
      </c>
      <c r="AB50" s="493">
        <f>'Op Cost-26'!E41/'Revenue Hours-26'!E41</f>
        <v>124.14956084291406</v>
      </c>
      <c r="AC50" s="488"/>
      <c r="AD50" s="489">
        <f>SUM(AD12:AD49)</f>
        <v>0.99799757820422375</v>
      </c>
      <c r="AE50" s="490">
        <f>SUM(AE12:AE49)</f>
        <v>1</v>
      </c>
      <c r="AF50" s="492">
        <f>'Op Cost-26'!B41/'Revenue Miles-26'!B41</f>
        <v>7.7970237510674849</v>
      </c>
      <c r="AG50" s="493">
        <f>'Op Cost-26'!C41/'Revenue Miles-26'!C41</f>
        <v>7.7207979112531833</v>
      </c>
      <c r="AH50" s="493">
        <f>'Op Cost-26'!D41/'Revenue Miles-26'!D41</f>
        <v>8.4775320314076392</v>
      </c>
      <c r="AI50" s="493">
        <f>'Op Cost-26'!E41/'Revenue Miles-26'!E41</f>
        <v>8.8051721820962641</v>
      </c>
      <c r="AJ50" s="488"/>
      <c r="AK50" s="489">
        <f>SUM(AK12:AK49)</f>
        <v>0.99817099176727031</v>
      </c>
      <c r="AL50" s="490">
        <f>SUM(AL12:AL49)</f>
        <v>1.0000000000000002</v>
      </c>
      <c r="AM50" s="492">
        <f>'Op Cost-26'!B41/'Ridership-26'!B41</f>
        <v>15.593618541809814</v>
      </c>
      <c r="AN50" s="493">
        <f>'Op Cost-26'!C41/'Ridership-26'!C41</f>
        <v>12.279030891185982</v>
      </c>
      <c r="AO50" s="493">
        <f>'Op Cost-26'!D41/'Ridership-26'!D41</f>
        <v>11.314012167194182</v>
      </c>
      <c r="AP50" s="493">
        <f>'Op Cost-26'!E41/'Ridership-26'!E41</f>
        <v>10.947568011401737</v>
      </c>
      <c r="AQ50" s="494"/>
      <c r="AR50" s="489">
        <f>SUM(AR12:AR49)</f>
        <v>0.99452724006951077</v>
      </c>
      <c r="AS50" s="495">
        <f>SUM(AS12:AS49)</f>
        <v>0.99999999999999989</v>
      </c>
      <c r="AT50" s="485"/>
      <c r="AU50" s="496">
        <f>SUM(AU12:AU49)</f>
        <v>0</v>
      </c>
      <c r="AV50" s="497">
        <f>SUM(AV12:AV49)</f>
        <v>0</v>
      </c>
      <c r="AW50" s="497">
        <f>SUM(AW12:AW49)</f>
        <v>0</v>
      </c>
      <c r="AX50" s="497">
        <f>SUM(AX12:AX49)</f>
        <v>0</v>
      </c>
      <c r="AY50" s="498">
        <f>SUM(AY12:AY49)</f>
        <v>0</v>
      </c>
      <c r="AZ50" s="485"/>
      <c r="BA50" s="499">
        <f t="shared" si="22"/>
        <v>0</v>
      </c>
      <c r="BB50" s="500">
        <f t="shared" si="22"/>
        <v>0</v>
      </c>
      <c r="BC50" s="500">
        <f t="shared" si="22"/>
        <v>0</v>
      </c>
      <c r="BD50" s="500">
        <f t="shared" si="22"/>
        <v>0</v>
      </c>
      <c r="BE50" s="500">
        <f t="shared" si="22"/>
        <v>0</v>
      </c>
      <c r="BF50" s="501">
        <f t="shared" ref="BF50" si="67">SUM(BA50:BE50)</f>
        <v>0</v>
      </c>
      <c r="BH50" s="502">
        <f>'Op Cost-26'!E41</f>
        <v>581261868</v>
      </c>
      <c r="BI50" s="503"/>
      <c r="BJ50" s="504">
        <f>SUM(BJ12:BJ49)</f>
        <v>119234325.00931734</v>
      </c>
      <c r="BK50" s="505">
        <f>SUM(BK12:BK49)</f>
        <v>1135300.5406827019</v>
      </c>
      <c r="BP50" s="481">
        <f>SUM(BP12:BP49)</f>
        <v>112640130.90931733</v>
      </c>
      <c r="BQ50" s="506">
        <f>SUM(BQ12:BQ49)</f>
        <v>1.1481264832348668</v>
      </c>
      <c r="BR50" s="507">
        <f>SUM(BR12:BR49)</f>
        <v>0.94989637491385914</v>
      </c>
      <c r="BS50" s="508">
        <f>SUM(BS12:BS49)</f>
        <v>1</v>
      </c>
      <c r="BT50" s="509">
        <f>SUM(BT12:BT49)</f>
        <v>126704868.99999999</v>
      </c>
      <c r="BU50" s="509"/>
      <c r="BV50" s="509">
        <f t="shared" ref="BV50" si="68">SUM(BV12:BV49)</f>
        <v>126446508.44441788</v>
      </c>
      <c r="BW50" s="510">
        <f>SUM(BW12:BW49)</f>
        <v>258360.55558212585</v>
      </c>
      <c r="BX50" s="511">
        <f>SUM(BX12:BX49)</f>
        <v>0.88208691813962437</v>
      </c>
      <c r="BY50" s="512">
        <f>SUM(BY12:BY49)</f>
        <v>1.0000000000000002</v>
      </c>
      <c r="BZ50" s="513">
        <f>SUM(BZ12:BZ49)</f>
        <v>126704869.00000001</v>
      </c>
      <c r="CA50" s="514"/>
      <c r="CB50" s="515">
        <f>SUM(CB12:CB49)</f>
        <v>7470543.9906827025</v>
      </c>
      <c r="CC50" s="515">
        <f>SUM(CC12:CC49)</f>
        <v>126704869.00000003</v>
      </c>
      <c r="CD50" s="516"/>
      <c r="CE50" s="517">
        <f>SUM(CE12:CE49)</f>
        <v>5</v>
      </c>
      <c r="CG50" s="518">
        <f>SUM(CG12:CG49)</f>
        <v>581261868</v>
      </c>
      <c r="CH50" s="519"/>
      <c r="CI50" s="520">
        <f>SUM(CI12:CI49)</f>
        <v>126561227.19778125</v>
      </c>
      <c r="CJ50" s="521">
        <f t="shared" si="34"/>
        <v>143641.80221877992</v>
      </c>
      <c r="CK50" s="1"/>
      <c r="CL50" s="522">
        <f>SUM(CL12:CL49)</f>
        <v>116311947.69778125</v>
      </c>
      <c r="CM50" s="523">
        <f t="shared" si="36"/>
        <v>1</v>
      </c>
      <c r="CN50" s="524">
        <f t="shared" si="37"/>
        <v>143641.80221877992</v>
      </c>
      <c r="CO50" s="525">
        <f>(CN50+CI50)</f>
        <v>126704869.00000003</v>
      </c>
      <c r="CP50" s="526">
        <f>CO50/CG50</f>
        <v>0.21798242061872194</v>
      </c>
      <c r="CQ50" s="527">
        <f>SUM(CQ12:CQ49)</f>
        <v>0</v>
      </c>
      <c r="CR50" s="528"/>
      <c r="CS50" s="529">
        <f>SUM(CS12:CS49)</f>
        <v>174378560.39999998</v>
      </c>
      <c r="CT50" s="520">
        <f>SUM(CT12:CT49)</f>
        <v>0</v>
      </c>
      <c r="CU50" s="530">
        <f>SUM(CU12:CU49)</f>
        <v>126704869.00000003</v>
      </c>
      <c r="CV50" s="531">
        <f>AVERAGE(CV12:CV49)</f>
        <v>0.24667019160175094</v>
      </c>
      <c r="CY50" s="532">
        <f>SUM(CY12:CY49)</f>
        <v>547448.79999999993</v>
      </c>
      <c r="CZ50" s="533">
        <f>SUM(CZ12:CZ49)</f>
        <v>127252317.80000004</v>
      </c>
      <c r="DA50" s="534">
        <f>AVERAGE(DA12:DA49)</f>
        <v>0.24706102670582197</v>
      </c>
      <c r="DB50" s="1">
        <f>SUM(DB12:DB49)</f>
        <v>0</v>
      </c>
    </row>
    <row r="51" spans="1:110">
      <c r="BL51" s="1">
        <f>MEDIAN(BL12:BL49)</f>
        <v>0.66493828941318767</v>
      </c>
      <c r="BS51" s="535"/>
    </row>
    <row r="52" spans="1:110">
      <c r="BS52" s="535"/>
      <c r="CU52" s="301"/>
    </row>
    <row r="53" spans="1:110">
      <c r="BS53" s="535"/>
    </row>
    <row r="54" spans="1:110">
      <c r="BS54" s="535">
        <v>0.03</v>
      </c>
    </row>
    <row r="55" spans="1:110">
      <c r="BS55" s="535"/>
    </row>
    <row r="56" spans="1:110">
      <c r="BS56" s="535"/>
    </row>
    <row r="57" spans="1:110">
      <c r="BS57" s="535"/>
    </row>
    <row r="58" spans="1:110">
      <c r="BS58" s="535"/>
    </row>
    <row r="59" spans="1:110">
      <c r="BS59" s="535"/>
    </row>
    <row r="60" spans="1:110">
      <c r="BS60" s="535"/>
    </row>
    <row r="61" spans="1:110">
      <c r="BS61" s="535"/>
    </row>
    <row r="62" spans="1:110">
      <c r="BS62" s="535"/>
    </row>
    <row r="63" spans="1:110">
      <c r="BS63" s="535"/>
    </row>
    <row r="64" spans="1:110">
      <c r="BS64" s="535"/>
    </row>
    <row r="65" spans="71:71">
      <c r="BS65" s="535"/>
    </row>
    <row r="66" spans="71:71">
      <c r="BS66" s="535"/>
    </row>
    <row r="67" spans="71:71">
      <c r="BS67" s="535"/>
    </row>
    <row r="68" spans="71:71">
      <c r="BS68" s="535"/>
    </row>
    <row r="69" spans="71:71">
      <c r="BS69" s="535"/>
    </row>
    <row r="70" spans="71:71">
      <c r="BS70" s="535"/>
    </row>
    <row r="71" spans="71:71">
      <c r="BS71" s="535"/>
    </row>
    <row r="72" spans="71:71">
      <c r="BS72" s="535"/>
    </row>
    <row r="73" spans="71:71">
      <c r="BS73" s="535"/>
    </row>
    <row r="74" spans="71:71">
      <c r="BS74" s="535"/>
    </row>
    <row r="75" spans="71:71">
      <c r="BS75" s="535"/>
    </row>
    <row r="76" spans="71:71">
      <c r="BS76" s="535"/>
    </row>
    <row r="77" spans="71:71">
      <c r="BS77" s="535"/>
    </row>
    <row r="78" spans="71:71">
      <c r="BS78" s="535"/>
    </row>
    <row r="79" spans="71:71">
      <c r="BS79" s="535"/>
    </row>
    <row r="80" spans="71:71">
      <c r="BS80" s="535"/>
    </row>
    <row r="81" spans="71:71">
      <c r="BS81" s="535"/>
    </row>
    <row r="82" spans="71:71">
      <c r="BS82" s="535"/>
    </row>
    <row r="83" spans="71:71">
      <c r="BS83" s="535"/>
    </row>
    <row r="84" spans="71:71">
      <c r="BS84" s="535"/>
    </row>
    <row r="85" spans="71:71">
      <c r="BS85" s="535"/>
    </row>
    <row r="86" spans="71:71">
      <c r="BS86" s="535"/>
    </row>
    <row r="87" spans="71:71">
      <c r="BS87" s="538"/>
    </row>
  </sheetData>
  <autoFilter ref="A11:CO11" xr:uid="{00000000-0001-0000-0F00-000000000000}"/>
  <mergeCells count="11">
    <mergeCell ref="CS3:CV3"/>
    <mergeCell ref="CY3:CZ3"/>
    <mergeCell ref="AU5:AY5"/>
    <mergeCell ref="A9:A11"/>
    <mergeCell ref="B9:B11"/>
    <mergeCell ref="D3:I3"/>
    <mergeCell ref="K3:AS3"/>
    <mergeCell ref="AU3:AY3"/>
    <mergeCell ref="BA3:BF3"/>
    <mergeCell ref="BH3:CE3"/>
    <mergeCell ref="CG3:CQ3"/>
  </mergeCells>
  <conditionalFormatting sqref="BI12:BI49">
    <cfRule type="cellIs" dxfId="42" priority="5" operator="greaterThan">
      <formula>$BJ$6</formula>
    </cfRule>
  </conditionalFormatting>
  <conditionalFormatting sqref="BL12:BL49">
    <cfRule type="cellIs" dxfId="41" priority="1" operator="greaterThan">
      <formula>$BL$51</formula>
    </cfRule>
  </conditionalFormatting>
  <conditionalFormatting sqref="BS51:BS86">
    <cfRule type="cellIs" dxfId="40" priority="2" operator="greaterThan">
      <formula>0.04</formula>
    </cfRule>
  </conditionalFormatting>
  <conditionalFormatting sqref="CD12:CD49">
    <cfRule type="cellIs" dxfId="39" priority="7" operator="greaterThan">
      <formula>$BJ$6</formula>
    </cfRule>
  </conditionalFormatting>
  <conditionalFormatting sqref="CE12:CE49 CQ12:CR49">
    <cfRule type="cellIs" dxfId="38" priority="8" operator="greaterThan">
      <formula>0</formula>
    </cfRule>
  </conditionalFormatting>
  <conditionalFormatting sqref="CP12:CP49">
    <cfRule type="cellIs" dxfId="37" priority="6" operator="greaterThan">
      <formula>$BJ$6</formula>
    </cfRule>
  </conditionalFormatting>
  <conditionalFormatting sqref="CV12:CV49">
    <cfRule type="cellIs" dxfId="36" priority="3" operator="equal">
      <formula>$BJ$6</formula>
    </cfRule>
    <cfRule type="cellIs" dxfId="35" priority="4" operator="greaterThan">
      <formula>$BJ$6</formula>
    </cfRule>
  </conditionalFormatting>
  <printOptions horizontalCentered="1"/>
  <pageMargins left="0.25" right="0.25" top="0.75" bottom="0.75" header="0.3" footer="0.3"/>
  <pageSetup paperSize="17" scale="18" orientation="landscape" r:id="rId1"/>
  <headerFooter alignWithMargins="0">
    <oddFooter>&amp;L&amp;F&amp;R&amp;D</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652EB-34FB-4E07-B8ED-820569CAF369}">
  <sheetPr>
    <tabColor theme="5"/>
    <pageSetUpPr fitToPage="1"/>
  </sheetPr>
  <dimension ref="A1:DF87"/>
  <sheetViews>
    <sheetView zoomScale="80" zoomScaleNormal="80" workbookViewId="0">
      <pane xSplit="2" topLeftCell="C1" activePane="topRight" state="frozen"/>
      <selection activeCell="A2" sqref="A2"/>
      <selection pane="topRight" activeCell="A2" sqref="A2"/>
    </sheetView>
  </sheetViews>
  <sheetFormatPr defaultColWidth="9.28515625" defaultRowHeight="14.25"/>
  <cols>
    <col min="1" max="1" width="21.28515625" style="10" customWidth="1"/>
    <col min="2" max="2" width="49.42578125" style="1" bestFit="1" customWidth="1"/>
    <col min="3" max="3" width="5.85546875" style="1" customWidth="1"/>
    <col min="4" max="4" width="21.28515625" style="1" customWidth="1"/>
    <col min="5" max="5" width="17.42578125" style="1" customWidth="1"/>
    <col min="6" max="6" width="14.28515625" style="1" customWidth="1"/>
    <col min="7" max="7" width="13.5703125" style="1" customWidth="1"/>
    <col min="8" max="8" width="16.28515625" style="1" customWidth="1"/>
    <col min="9" max="9" width="17.42578125" style="4" customWidth="1"/>
    <col min="10" max="10" width="8" style="1" customWidth="1"/>
    <col min="11" max="11" width="8.7109375" style="1" customWidth="1"/>
    <col min="12" max="12" width="11.5703125" style="1" customWidth="1"/>
    <col min="13" max="14" width="8.7109375" style="1" customWidth="1"/>
    <col min="15" max="17" width="15.7109375" style="1" customWidth="1"/>
    <col min="18" max="21" width="8.7109375" style="1" customWidth="1"/>
    <col min="22" max="23" width="15.7109375" style="1" customWidth="1"/>
    <col min="24" max="24" width="15.7109375" style="5" customWidth="1"/>
    <col min="25" max="28" width="10.7109375" style="1" customWidth="1"/>
    <col min="29" max="30" width="15.7109375" style="1" customWidth="1"/>
    <col min="31" max="31" width="15.7109375" style="5" customWidth="1"/>
    <col min="32" max="35" width="8.7109375" style="1" customWidth="1"/>
    <col min="36" max="37" width="15.7109375" style="1" customWidth="1"/>
    <col min="38" max="38" width="15.7109375" style="5" customWidth="1"/>
    <col min="39" max="41" width="8.7109375" style="1" customWidth="1"/>
    <col min="42" max="42" width="9.28515625" style="1" customWidth="1"/>
    <col min="43" max="44" width="15.7109375" style="1" customWidth="1"/>
    <col min="45" max="45" width="15.7109375" style="5" customWidth="1"/>
    <col min="46" max="46" width="9.28515625" style="1" customWidth="1"/>
    <col min="47" max="51" width="17.7109375" style="1" customWidth="1"/>
    <col min="52" max="52" width="9.28515625" style="1" customWidth="1"/>
    <col min="53" max="53" width="20.28515625" style="1" customWidth="1"/>
    <col min="54" max="58" width="17.7109375" style="1" customWidth="1"/>
    <col min="59" max="59" width="14.28515625" style="1" bestFit="1" customWidth="1"/>
    <col min="60" max="60" width="15.7109375" style="6" customWidth="1"/>
    <col min="61" max="61" width="18.5703125" style="1" customWidth="1"/>
    <col min="62" max="62" width="23.5703125" style="1" customWidth="1"/>
    <col min="63" max="63" width="24.85546875" style="1" customWidth="1"/>
    <col min="64" max="64" width="9.28515625" style="1" customWidth="1"/>
    <col min="65" max="67" width="16.5703125" style="1" customWidth="1"/>
    <col min="68" max="68" width="23.140625" style="1" customWidth="1"/>
    <col min="69" max="69" width="23.28515625" style="1" customWidth="1"/>
    <col min="70" max="70" width="22.5703125" style="1" customWidth="1"/>
    <col min="71" max="74" width="21.7109375" style="1" customWidth="1"/>
    <col min="75" max="76" width="23.85546875" style="1" customWidth="1"/>
    <col min="77" max="77" width="26.7109375" style="1" customWidth="1"/>
    <col min="78" max="78" width="21.7109375" style="1" customWidth="1"/>
    <col min="79" max="79" width="21.7109375" style="1" hidden="1" customWidth="1"/>
    <col min="80" max="80" width="18.42578125" style="1" hidden="1" customWidth="1"/>
    <col min="81" max="81" width="18.42578125" style="8" hidden="1" customWidth="1"/>
    <col min="82" max="82" width="20.5703125" style="8" hidden="1" customWidth="1"/>
    <col min="83" max="83" width="22.42578125" style="1" hidden="1" customWidth="1"/>
    <col min="84" max="84" width="12.42578125" style="1" hidden="1" customWidth="1"/>
    <col min="85" max="85" width="16.85546875" style="1" hidden="1" customWidth="1"/>
    <col min="86" max="86" width="15.140625" style="1" hidden="1" customWidth="1"/>
    <col min="87" max="87" width="18.28515625" style="1" hidden="1" customWidth="1"/>
    <col min="88" max="88" width="15.85546875" style="1" hidden="1" customWidth="1"/>
    <col min="89" max="89" width="9.28515625" style="1" hidden="1" customWidth="1"/>
    <col min="90" max="91" width="21.7109375" style="1" hidden="1" customWidth="1"/>
    <col min="92" max="92" width="18.42578125" style="1" hidden="1" customWidth="1"/>
    <col min="93" max="93" width="18.42578125" style="8" hidden="1" customWidth="1"/>
    <col min="94" max="94" width="19.140625" style="536" hidden="1" customWidth="1"/>
    <col min="95" max="96" width="18" style="537" hidden="1" customWidth="1"/>
    <col min="97" max="97" width="22.42578125" style="1" hidden="1" customWidth="1"/>
    <col min="98" max="98" width="17.5703125" style="1" hidden="1" customWidth="1"/>
    <col min="99" max="99" width="18.5703125" style="1" hidden="1" customWidth="1"/>
    <col min="100" max="100" width="17.28515625" style="1" hidden="1" customWidth="1"/>
    <col min="101" max="102" width="9.28515625" style="1" hidden="1" customWidth="1"/>
    <col min="103" max="103" width="17.140625" style="1" hidden="1" customWidth="1"/>
    <col min="104" max="104" width="20.28515625" style="1" hidden="1" customWidth="1"/>
    <col min="105" max="105" width="17.140625" style="1" hidden="1" customWidth="1"/>
    <col min="106" max="109" width="9.28515625" style="1"/>
    <col min="110" max="110" width="13.85546875" style="1" customWidth="1"/>
    <col min="111" max="16384" width="9.28515625" style="1"/>
  </cols>
  <sheetData>
    <row r="1" spans="1:110" s="371" customFormat="1" ht="20.25">
      <c r="A1" s="370" t="s">
        <v>438</v>
      </c>
      <c r="D1" s="372"/>
      <c r="G1" s="373"/>
      <c r="I1" s="374"/>
      <c r="X1" s="375"/>
      <c r="AE1" s="375"/>
      <c r="AL1" s="375"/>
      <c r="AS1" s="375"/>
      <c r="BH1" s="376"/>
      <c r="BP1" s="377"/>
      <c r="BQ1" s="377"/>
      <c r="BR1" s="377"/>
      <c r="BS1" s="377"/>
      <c r="BT1" s="377"/>
      <c r="BU1" s="377"/>
      <c r="BV1" s="377"/>
      <c r="BW1" s="377"/>
      <c r="BX1" s="377"/>
      <c r="BY1" s="377"/>
      <c r="BZ1" s="377"/>
      <c r="CC1" s="378"/>
      <c r="CD1" s="378"/>
      <c r="CM1" s="377"/>
      <c r="CN1" s="377"/>
      <c r="CO1" s="377"/>
      <c r="CP1" s="379"/>
      <c r="CQ1" s="380"/>
      <c r="CR1" s="380"/>
      <c r="CT1" s="379"/>
      <c r="CU1" s="379"/>
      <c r="CV1" s="379"/>
    </row>
    <row r="2" spans="1:110" ht="15" customHeight="1">
      <c r="A2" s="1149" t="str" cm="1">
        <f t="array" aca="1" ref="A2" ca="1">"Scenario "&amp;MID(CELL("filename",A1),FIND("]",CELL("filename",A1))+1,500)</f>
        <v>Scenario S6C-Combo-26</v>
      </c>
      <c r="B2" s="11"/>
      <c r="C2" s="11"/>
      <c r="D2" s="381"/>
      <c r="E2" s="13"/>
      <c r="F2" s="10"/>
      <c r="G2" s="382"/>
      <c r="I2" s="15"/>
      <c r="M2" s="16"/>
      <c r="O2" s="17"/>
      <c r="P2" s="17"/>
      <c r="S2" s="16"/>
      <c r="Z2" s="16"/>
      <c r="AG2" s="16"/>
      <c r="AN2" s="16"/>
      <c r="CP2" s="9"/>
      <c r="CQ2" s="379"/>
      <c r="CR2" s="379"/>
      <c r="CS2" s="379"/>
      <c r="CT2" s="379"/>
      <c r="CU2" s="379"/>
      <c r="CV2" s="379"/>
    </row>
    <row r="3" spans="1:110" s="9" customFormat="1" ht="15" customHeight="1">
      <c r="B3" s="383"/>
      <c r="C3" s="383"/>
      <c r="D3" s="1156" t="s">
        <v>157</v>
      </c>
      <c r="E3" s="1156"/>
      <c r="F3" s="1156"/>
      <c r="G3" s="1156"/>
      <c r="H3" s="1156"/>
      <c r="I3" s="1156"/>
      <c r="K3" s="1156" t="s">
        <v>158</v>
      </c>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U3" s="1156" t="s">
        <v>159</v>
      </c>
      <c r="AV3" s="1156"/>
      <c r="AW3" s="1156"/>
      <c r="AX3" s="1156"/>
      <c r="AY3" s="1156"/>
      <c r="AZ3" s="383"/>
      <c r="BA3" s="1156" t="s">
        <v>160</v>
      </c>
      <c r="BB3" s="1156"/>
      <c r="BC3" s="1156"/>
      <c r="BD3" s="1156"/>
      <c r="BE3" s="1156"/>
      <c r="BF3" s="1156"/>
      <c r="BH3" s="1156" t="s">
        <v>161</v>
      </c>
      <c r="BI3" s="1156"/>
      <c r="BJ3" s="1156"/>
      <c r="BK3" s="1156"/>
      <c r="BL3" s="1156"/>
      <c r="BM3" s="1156"/>
      <c r="BN3" s="1156"/>
      <c r="BO3" s="1156"/>
      <c r="BP3" s="1156"/>
      <c r="BQ3" s="1156"/>
      <c r="BR3" s="1156"/>
      <c r="BS3" s="1156"/>
      <c r="BT3" s="1156"/>
      <c r="BU3" s="1156"/>
      <c r="BV3" s="1156"/>
      <c r="BW3" s="1156"/>
      <c r="BX3" s="1156"/>
      <c r="BY3" s="1156"/>
      <c r="BZ3" s="1156"/>
      <c r="CA3" s="1156"/>
      <c r="CB3" s="1156"/>
      <c r="CC3" s="1156"/>
      <c r="CD3" s="1156"/>
      <c r="CE3" s="1156"/>
      <c r="CG3" s="1156" t="s">
        <v>162</v>
      </c>
      <c r="CH3" s="1156"/>
      <c r="CI3" s="1156"/>
      <c r="CJ3" s="1156"/>
      <c r="CK3" s="1156"/>
      <c r="CL3" s="1156"/>
      <c r="CM3" s="1156"/>
      <c r="CN3" s="1156"/>
      <c r="CO3" s="1156"/>
      <c r="CP3" s="1156"/>
      <c r="CQ3" s="1156"/>
      <c r="CR3" s="384"/>
      <c r="CS3" s="1156" t="s">
        <v>163</v>
      </c>
      <c r="CT3" s="1156"/>
      <c r="CU3" s="1156"/>
      <c r="CV3" s="1156"/>
      <c r="CW3" s="383"/>
      <c r="CY3" s="1156" t="s">
        <v>164</v>
      </c>
      <c r="CZ3" s="1156"/>
    </row>
    <row r="4" spans="1:110" s="9" customFormat="1" ht="15" customHeight="1">
      <c r="B4" s="383"/>
      <c r="C4" s="383"/>
      <c r="D4" s="385"/>
      <c r="E4" s="385"/>
      <c r="F4" s="385"/>
      <c r="G4" s="385"/>
      <c r="H4" s="385"/>
      <c r="I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U4" s="385"/>
      <c r="AV4" s="385"/>
      <c r="AW4" s="385"/>
      <c r="AX4" s="385"/>
      <c r="AY4" s="385"/>
      <c r="AZ4" s="383"/>
      <c r="BA4" s="385"/>
      <c r="BB4" s="385"/>
      <c r="BC4" s="385"/>
      <c r="BD4" s="385"/>
      <c r="BE4" s="385"/>
      <c r="BF4" s="385"/>
      <c r="BH4" s="385"/>
      <c r="BI4" s="385"/>
      <c r="BJ4" s="385"/>
      <c r="BK4" s="385"/>
      <c r="BL4" s="385"/>
      <c r="BM4" s="385"/>
      <c r="BN4" s="385"/>
      <c r="BO4" s="385"/>
      <c r="BP4" s="385"/>
      <c r="BQ4" s="385"/>
      <c r="BR4" s="385"/>
      <c r="BS4" s="385"/>
      <c r="BT4" s="385"/>
      <c r="BU4" s="385"/>
      <c r="BV4" s="385"/>
      <c r="BW4" s="385"/>
      <c r="BX4" s="385"/>
      <c r="BY4" s="385"/>
      <c r="BZ4" s="385"/>
      <c r="CA4" s="385"/>
      <c r="CB4" s="385"/>
      <c r="CC4" s="385"/>
      <c r="CD4" s="385"/>
      <c r="CE4" s="385"/>
      <c r="CO4" s="386"/>
      <c r="CP4" s="384"/>
      <c r="CQ4" s="384"/>
      <c r="CR4" s="384"/>
      <c r="CS4" s="384"/>
      <c r="CT4" s="384"/>
      <c r="CU4" s="384"/>
      <c r="CV4" s="384"/>
    </row>
    <row r="5" spans="1:110" ht="15" customHeight="1">
      <c r="B5" s="11"/>
      <c r="C5" s="11"/>
      <c r="D5" s="387" t="s">
        <v>3</v>
      </c>
      <c r="E5" s="13"/>
      <c r="F5" s="10"/>
      <c r="G5" s="382"/>
      <c r="I5" s="15"/>
      <c r="M5" s="16"/>
      <c r="O5" s="17"/>
      <c r="P5" s="17"/>
      <c r="S5" s="16"/>
      <c r="Z5" s="16"/>
      <c r="AG5" s="16"/>
      <c r="AN5" s="16"/>
      <c r="AU5" s="1157" t="s">
        <v>4</v>
      </c>
      <c r="AV5" s="1158"/>
      <c r="AW5" s="1158"/>
      <c r="AX5" s="1158"/>
      <c r="AY5" s="1159"/>
      <c r="BA5" s="25" t="s">
        <v>5</v>
      </c>
      <c r="BJ5" s="25" t="s">
        <v>6</v>
      </c>
      <c r="BP5" s="25" t="s">
        <v>165</v>
      </c>
      <c r="BQ5" s="7"/>
      <c r="BR5" s="7"/>
      <c r="BS5" s="7"/>
      <c r="BT5" s="7"/>
      <c r="BU5" s="7" t="s">
        <v>142</v>
      </c>
      <c r="BV5" s="7"/>
      <c r="BW5" s="7"/>
      <c r="BX5" s="7"/>
      <c r="BY5" s="7"/>
      <c r="BZ5" s="7"/>
      <c r="CM5" s="25" t="s">
        <v>7</v>
      </c>
      <c r="CP5" s="388"/>
      <c r="CQ5" s="388"/>
      <c r="CR5" s="388"/>
      <c r="CS5" s="388"/>
      <c r="CT5" s="388"/>
      <c r="CU5" s="388"/>
      <c r="CV5" s="388"/>
    </row>
    <row r="6" spans="1:110">
      <c r="B6" s="26"/>
      <c r="C6" s="26"/>
      <c r="D6" s="27">
        <v>0.35</v>
      </c>
      <c r="E6" s="27">
        <v>0.35</v>
      </c>
      <c r="F6" s="27">
        <v>0.15</v>
      </c>
      <c r="G6" s="27">
        <v>0.15</v>
      </c>
      <c r="I6" s="15"/>
      <c r="M6" s="16"/>
      <c r="O6" s="17"/>
      <c r="P6" s="17"/>
      <c r="S6" s="16"/>
      <c r="Z6" s="16"/>
      <c r="AG6" s="16"/>
      <c r="AN6" s="16"/>
      <c r="AU6" s="28">
        <v>0</v>
      </c>
      <c r="AV6" s="28">
        <v>0</v>
      </c>
      <c r="AW6" s="28">
        <v>0</v>
      </c>
      <c r="AX6" s="28">
        <v>0</v>
      </c>
      <c r="AY6" s="28">
        <v>0</v>
      </c>
      <c r="AZ6" s="29"/>
      <c r="BA6" s="30">
        <f>126704869*(1-AZ8)</f>
        <v>120369625.55</v>
      </c>
      <c r="BB6" s="1" t="s">
        <v>8</v>
      </c>
      <c r="BJ6" s="284">
        <v>0.3</v>
      </c>
      <c r="BP6" s="31">
        <f>$BK$50+BA8</f>
        <v>7470543.9906827025</v>
      </c>
      <c r="BQ6" s="32"/>
      <c r="BR6" s="32"/>
      <c r="BS6" s="32"/>
      <c r="BT6" s="32"/>
      <c r="BU6" s="33">
        <v>0.3</v>
      </c>
      <c r="BV6" s="32"/>
      <c r="BW6" s="32"/>
      <c r="BX6" s="32"/>
      <c r="BY6" s="32"/>
      <c r="BZ6" s="32"/>
      <c r="CM6" s="31">
        <f>CJ50</f>
        <v>143641.80221877992</v>
      </c>
      <c r="CP6" s="388"/>
      <c r="CQ6" s="388"/>
      <c r="CR6" s="388"/>
      <c r="CS6" s="388"/>
      <c r="CT6" s="388"/>
      <c r="CU6" s="388"/>
      <c r="CV6" s="388"/>
      <c r="DB6" s="32"/>
    </row>
    <row r="7" spans="1:110">
      <c r="B7" s="26"/>
      <c r="C7" s="26"/>
      <c r="D7" s="389"/>
      <c r="E7" s="389"/>
      <c r="F7" s="389"/>
      <c r="G7" s="389"/>
      <c r="I7" s="15"/>
      <c r="M7" s="16"/>
      <c r="O7" s="17"/>
      <c r="P7" s="17"/>
      <c r="S7" s="16"/>
      <c r="Z7" s="16"/>
      <c r="AG7" s="16"/>
      <c r="AN7" s="16"/>
      <c r="AU7" s="390"/>
      <c r="AV7" s="390"/>
      <c r="AW7" s="390"/>
      <c r="AX7" s="390"/>
      <c r="AY7" s="390"/>
      <c r="AZ7" s="29"/>
      <c r="BA7" s="391"/>
      <c r="BJ7" s="392"/>
      <c r="BP7" s="393" t="s">
        <v>145</v>
      </c>
      <c r="BQ7" s="393" t="s">
        <v>144</v>
      </c>
      <c r="BR7" s="393" t="s">
        <v>166</v>
      </c>
      <c r="BT7" s="393"/>
      <c r="BU7" s="393"/>
      <c r="BV7" s="393"/>
      <c r="BW7" s="393"/>
      <c r="BX7" s="393"/>
      <c r="BY7" s="393"/>
      <c r="BZ7" s="393"/>
      <c r="CM7" s="393"/>
      <c r="CP7" s="388"/>
      <c r="CQ7" s="388"/>
      <c r="CR7" s="388"/>
      <c r="CS7" s="388"/>
      <c r="CT7" s="388"/>
      <c r="CU7" s="388"/>
      <c r="CV7" s="388"/>
    </row>
    <row r="8" spans="1:110" ht="15" customHeight="1" thickBot="1">
      <c r="A8" s="1"/>
      <c r="D8" s="34" t="s">
        <v>167</v>
      </c>
      <c r="I8" s="394" t="s">
        <v>168</v>
      </c>
      <c r="K8" s="34" t="s">
        <v>169</v>
      </c>
      <c r="AY8" s="1" t="s">
        <v>16</v>
      </c>
      <c r="AZ8" s="16">
        <v>0.05</v>
      </c>
      <c r="BA8" s="395">
        <f>126704869*AZ8</f>
        <v>6335243.4500000002</v>
      </c>
      <c r="BB8" s="1" t="s">
        <v>170</v>
      </c>
      <c r="BP8" s="16">
        <v>0.25</v>
      </c>
      <c r="BQ8" s="16">
        <v>0.25</v>
      </c>
      <c r="BR8" s="16">
        <v>0.5</v>
      </c>
      <c r="CL8" s="396"/>
      <c r="CP8" s="388"/>
      <c r="CQ8" s="388"/>
      <c r="CR8" s="388"/>
      <c r="CS8" s="388"/>
      <c r="CT8" s="388"/>
      <c r="CU8" s="388"/>
      <c r="CV8" s="388"/>
    </row>
    <row r="9" spans="1:110" s="29" customFormat="1">
      <c r="A9" s="1160" t="s">
        <v>29</v>
      </c>
      <c r="B9" s="1163" t="s">
        <v>171</v>
      </c>
      <c r="C9" s="397"/>
      <c r="D9" s="38" t="s">
        <v>10</v>
      </c>
      <c r="E9" s="39"/>
      <c r="F9" s="39"/>
      <c r="G9" s="39"/>
      <c r="H9" s="40"/>
      <c r="I9" s="398"/>
      <c r="K9" s="43" t="s">
        <v>11</v>
      </c>
      <c r="L9" s="43"/>
      <c r="M9" s="43"/>
      <c r="N9" s="43"/>
      <c r="O9" s="43"/>
      <c r="P9" s="43"/>
      <c r="Q9" s="44"/>
      <c r="R9" s="42" t="s">
        <v>12</v>
      </c>
      <c r="S9" s="43"/>
      <c r="T9" s="43"/>
      <c r="U9" s="43"/>
      <c r="V9" s="43"/>
      <c r="W9" s="43"/>
      <c r="X9" s="44"/>
      <c r="Y9" s="42" t="s">
        <v>13</v>
      </c>
      <c r="Z9" s="43"/>
      <c r="AA9" s="43"/>
      <c r="AB9" s="43"/>
      <c r="AC9" s="43"/>
      <c r="AD9" s="43"/>
      <c r="AE9" s="44"/>
      <c r="AF9" s="42" t="s">
        <v>14</v>
      </c>
      <c r="AG9" s="43"/>
      <c r="AH9" s="43"/>
      <c r="AI9" s="43"/>
      <c r="AJ9" s="43"/>
      <c r="AK9" s="43"/>
      <c r="AL9" s="44"/>
      <c r="AM9" s="42" t="s">
        <v>15</v>
      </c>
      <c r="AN9" s="43"/>
      <c r="AO9" s="43"/>
      <c r="AP9" s="43"/>
      <c r="AQ9" s="43"/>
      <c r="AR9" s="43"/>
      <c r="AS9" s="43"/>
      <c r="BA9" s="46"/>
      <c r="BB9" s="46"/>
      <c r="BC9" s="46"/>
      <c r="BD9" s="46"/>
      <c r="BE9" s="46"/>
      <c r="BH9" s="47"/>
      <c r="BI9" s="396"/>
      <c r="BP9" s="396"/>
      <c r="BQ9" s="396"/>
      <c r="BR9" s="396"/>
      <c r="BS9" s="396"/>
      <c r="BT9" s="396"/>
      <c r="BU9" s="396"/>
      <c r="BV9" s="396"/>
      <c r="BW9" s="396"/>
      <c r="BX9" s="396"/>
      <c r="BY9" s="396"/>
      <c r="BZ9" s="396"/>
      <c r="CA9" s="48"/>
      <c r="CB9" s="48"/>
      <c r="CC9" s="49"/>
      <c r="CD9" s="396"/>
      <c r="CH9" s="396"/>
      <c r="CL9" s="48" t="s">
        <v>17</v>
      </c>
      <c r="CM9" s="48"/>
      <c r="CN9" s="48"/>
      <c r="CO9" s="49"/>
      <c r="CP9" s="396"/>
      <c r="CQ9" s="396"/>
      <c r="CR9" s="399"/>
      <c r="CS9" s="396"/>
      <c r="CT9" s="396"/>
      <c r="CU9" s="396"/>
      <c r="CV9" s="396"/>
    </row>
    <row r="10" spans="1:110" s="403" customFormat="1" ht="15" thickBot="1">
      <c r="A10" s="1161"/>
      <c r="B10" s="1164"/>
      <c r="C10" s="400"/>
      <c r="D10" s="54">
        <f>D$6</f>
        <v>0.35</v>
      </c>
      <c r="E10" s="54">
        <f>E$6</f>
        <v>0.35</v>
      </c>
      <c r="F10" s="54">
        <f>F$6</f>
        <v>0.15</v>
      </c>
      <c r="G10" s="54">
        <f>G$6</f>
        <v>0.15</v>
      </c>
      <c r="H10" s="54"/>
      <c r="I10" s="401"/>
      <c r="J10" s="29"/>
      <c r="K10" s="402" t="s">
        <v>20</v>
      </c>
      <c r="L10" s="57"/>
      <c r="M10" s="57"/>
      <c r="N10" s="57"/>
      <c r="O10" s="57"/>
      <c r="P10" s="57"/>
      <c r="Q10" s="58"/>
      <c r="R10" s="56" t="s">
        <v>21</v>
      </c>
      <c r="S10" s="57"/>
      <c r="T10" s="57"/>
      <c r="U10" s="57"/>
      <c r="V10" s="57"/>
      <c r="W10" s="57"/>
      <c r="X10" s="58"/>
      <c r="Y10" s="56" t="s">
        <v>22</v>
      </c>
      <c r="Z10" s="57"/>
      <c r="AA10" s="57"/>
      <c r="AB10" s="57"/>
      <c r="AC10" s="57"/>
      <c r="AD10" s="57"/>
      <c r="AE10" s="58"/>
      <c r="AF10" s="56" t="s">
        <v>23</v>
      </c>
      <c r="AG10" s="57"/>
      <c r="AH10" s="57"/>
      <c r="AI10" s="57"/>
      <c r="AJ10" s="57"/>
      <c r="AK10" s="57"/>
      <c r="AL10" s="58"/>
      <c r="AM10" s="56" t="s">
        <v>24</v>
      </c>
      <c r="AN10" s="57"/>
      <c r="AO10" s="57"/>
      <c r="AP10" s="57"/>
      <c r="AQ10" s="57"/>
      <c r="AR10" s="57"/>
      <c r="AS10" s="57"/>
      <c r="BH10" s="404" t="s">
        <v>172</v>
      </c>
      <c r="BP10" s="404" t="s">
        <v>173</v>
      </c>
      <c r="BQ10" s="404"/>
      <c r="BR10" s="404"/>
      <c r="BS10" s="404"/>
      <c r="BT10" s="404"/>
      <c r="BU10" s="404"/>
      <c r="BV10" s="404"/>
      <c r="BW10" s="404"/>
      <c r="BX10" s="404"/>
      <c r="BY10" s="404"/>
      <c r="BZ10" s="404"/>
      <c r="CC10" s="405"/>
      <c r="CD10" s="405"/>
      <c r="CE10" s="404"/>
      <c r="CG10" s="404" t="s">
        <v>174</v>
      </c>
      <c r="CL10" s="404" t="s">
        <v>175</v>
      </c>
      <c r="CO10" s="405"/>
      <c r="CQ10" s="406"/>
      <c r="CR10" s="406"/>
      <c r="CS10" s="407" t="s">
        <v>176</v>
      </c>
    </row>
    <row r="11" spans="1:110" s="45" customFormat="1" ht="101.25" customHeight="1">
      <c r="A11" s="1162"/>
      <c r="B11" s="1165"/>
      <c r="C11" s="408"/>
      <c r="D11" s="63" t="s">
        <v>177</v>
      </c>
      <c r="E11" s="64" t="s">
        <v>178</v>
      </c>
      <c r="F11" s="64" t="s">
        <v>179</v>
      </c>
      <c r="G11" s="64" t="s">
        <v>180</v>
      </c>
      <c r="H11" s="64" t="s">
        <v>35</v>
      </c>
      <c r="I11" s="409" t="s">
        <v>36</v>
      </c>
      <c r="K11" s="410">
        <v>2021</v>
      </c>
      <c r="L11" s="66">
        <v>2022</v>
      </c>
      <c r="M11" s="66">
        <v>2023</v>
      </c>
      <c r="N11" s="66">
        <v>2024</v>
      </c>
      <c r="O11" s="67" t="s">
        <v>37</v>
      </c>
      <c r="P11" s="67" t="s">
        <v>38</v>
      </c>
      <c r="Q11" s="68" t="s">
        <v>39</v>
      </c>
      <c r="R11" s="66">
        <v>2021</v>
      </c>
      <c r="S11" s="66">
        <v>2022</v>
      </c>
      <c r="T11" s="66">
        <v>2023</v>
      </c>
      <c r="U11" s="66">
        <v>2024</v>
      </c>
      <c r="V11" s="67" t="s">
        <v>40</v>
      </c>
      <c r="W11" s="67" t="s">
        <v>41</v>
      </c>
      <c r="X11" s="68" t="s">
        <v>39</v>
      </c>
      <c r="Y11" s="66">
        <v>2021</v>
      </c>
      <c r="Z11" s="66">
        <v>2022</v>
      </c>
      <c r="AA11" s="66">
        <v>2023</v>
      </c>
      <c r="AB11" s="66">
        <v>2024</v>
      </c>
      <c r="AC11" s="67" t="s">
        <v>42</v>
      </c>
      <c r="AD11" s="67" t="s">
        <v>43</v>
      </c>
      <c r="AE11" s="68" t="s">
        <v>39</v>
      </c>
      <c r="AF11" s="66">
        <v>2021</v>
      </c>
      <c r="AG11" s="66">
        <v>2022</v>
      </c>
      <c r="AH11" s="66">
        <v>2023</v>
      </c>
      <c r="AI11" s="66">
        <v>2024</v>
      </c>
      <c r="AJ11" s="67" t="s">
        <v>44</v>
      </c>
      <c r="AK11" s="67" t="s">
        <v>45</v>
      </c>
      <c r="AL11" s="68" t="s">
        <v>39</v>
      </c>
      <c r="AM11" s="66">
        <v>2021</v>
      </c>
      <c r="AN11" s="66">
        <v>2022</v>
      </c>
      <c r="AO11" s="66">
        <v>2023</v>
      </c>
      <c r="AP11" s="66">
        <v>2024</v>
      </c>
      <c r="AQ11" s="67" t="s">
        <v>46</v>
      </c>
      <c r="AR11" s="67" t="s">
        <v>47</v>
      </c>
      <c r="AS11" s="411" t="s">
        <v>39</v>
      </c>
      <c r="AU11" s="412" t="s">
        <v>48</v>
      </c>
      <c r="AV11" s="70" t="s">
        <v>49</v>
      </c>
      <c r="AW11" s="70" t="s">
        <v>50</v>
      </c>
      <c r="AX11" s="70" t="s">
        <v>51</v>
      </c>
      <c r="AY11" s="413" t="s">
        <v>52</v>
      </c>
      <c r="BA11" s="414" t="s">
        <v>53</v>
      </c>
      <c r="BB11" s="73" t="s">
        <v>54</v>
      </c>
      <c r="BC11" s="73" t="s">
        <v>55</v>
      </c>
      <c r="BD11" s="73" t="s">
        <v>56</v>
      </c>
      <c r="BE11" s="73" t="s">
        <v>57</v>
      </c>
      <c r="BF11" s="415" t="s">
        <v>181</v>
      </c>
      <c r="BH11" s="416" t="s">
        <v>59</v>
      </c>
      <c r="BI11" s="76" t="s">
        <v>60</v>
      </c>
      <c r="BJ11" s="76" t="s">
        <v>61</v>
      </c>
      <c r="BK11" s="417" t="s">
        <v>62</v>
      </c>
      <c r="BM11" s="78" t="s">
        <v>63</v>
      </c>
      <c r="BN11" s="78" t="s">
        <v>64</v>
      </c>
      <c r="BO11" s="78" t="s">
        <v>65</v>
      </c>
      <c r="BP11" s="416" t="s">
        <v>66</v>
      </c>
      <c r="BQ11" s="79" t="s">
        <v>67</v>
      </c>
      <c r="BR11" s="79" t="s">
        <v>68</v>
      </c>
      <c r="BS11" s="79" t="s">
        <v>69</v>
      </c>
      <c r="BT11" s="79" t="s">
        <v>70</v>
      </c>
      <c r="BU11" s="79" t="s">
        <v>71</v>
      </c>
      <c r="BV11" s="80" t="s">
        <v>72</v>
      </c>
      <c r="BW11" s="80" t="s">
        <v>73</v>
      </c>
      <c r="BX11" s="79" t="s">
        <v>74</v>
      </c>
      <c r="BY11" s="79" t="s">
        <v>75</v>
      </c>
      <c r="BZ11" s="79" t="s">
        <v>76</v>
      </c>
      <c r="CA11" s="76" t="s">
        <v>80</v>
      </c>
      <c r="CB11" s="76" t="s">
        <v>77</v>
      </c>
      <c r="CC11" s="418" t="s">
        <v>182</v>
      </c>
      <c r="CD11" s="76" t="s">
        <v>183</v>
      </c>
      <c r="CE11" s="77" t="s">
        <v>79</v>
      </c>
      <c r="CG11" s="419" t="s">
        <v>59</v>
      </c>
      <c r="CH11" s="84" t="s">
        <v>60</v>
      </c>
      <c r="CI11" s="84" t="s">
        <v>61</v>
      </c>
      <c r="CJ11" s="420" t="s">
        <v>62</v>
      </c>
      <c r="CL11" s="419" t="s">
        <v>66</v>
      </c>
      <c r="CM11" s="84" t="s">
        <v>80</v>
      </c>
      <c r="CN11" s="84" t="s">
        <v>77</v>
      </c>
      <c r="CO11" s="420" t="s">
        <v>184</v>
      </c>
      <c r="CP11" s="84" t="s">
        <v>185</v>
      </c>
      <c r="CQ11" s="420" t="s">
        <v>186</v>
      </c>
      <c r="CR11" s="421"/>
      <c r="CS11" s="422" t="s">
        <v>187</v>
      </c>
      <c r="CT11" s="423" t="s">
        <v>188</v>
      </c>
      <c r="CU11" s="423" t="s">
        <v>189</v>
      </c>
      <c r="CV11" s="424" t="s">
        <v>190</v>
      </c>
      <c r="CY11" s="425" t="s">
        <v>191</v>
      </c>
      <c r="CZ11" s="426" t="s">
        <v>192</v>
      </c>
      <c r="DA11" s="426" t="s">
        <v>193</v>
      </c>
    </row>
    <row r="12" spans="1:110">
      <c r="A12" s="427" t="s">
        <v>82</v>
      </c>
      <c r="B12" s="428" t="s">
        <v>83</v>
      </c>
      <c r="C12" s="429"/>
      <c r="D12" s="91">
        <f>'Op Cost-26'!E3</f>
        <v>2553471</v>
      </c>
      <c r="E12" s="92">
        <f>'Ridership-26'!$E3</f>
        <v>124617</v>
      </c>
      <c r="F12" s="92">
        <f>'Revenue Hours-26'!$E3</f>
        <v>31601</v>
      </c>
      <c r="G12" s="92">
        <f>'Revenue Miles-26'!$E3</f>
        <v>650766</v>
      </c>
      <c r="H12" s="430">
        <f t="shared" ref="H12:H49" si="0">IFERROR($D$10*(D12/D$50),0) + IFERROR($E$10*(E12/E$50),0) + IFERROR($F$10*(F12/F$50),0) + IFERROR($G$10*(G12/G$50),0)</f>
        <v>4.8501495230967827E-3</v>
      </c>
      <c r="I12" s="431">
        <f t="shared" ref="I12:I49" si="1">H12/(SUM($H$12:$H$49))</f>
        <v>4.8501495230967836E-3</v>
      </c>
      <c r="J12" s="432"/>
      <c r="K12" s="433">
        <f>'Ridership-26'!B3/'Revenue Hours-26'!B3</f>
        <v>3.0233116215289679</v>
      </c>
      <c r="L12" s="539">
        <f>'Ridership-26'!C3/'Revenue Hours-26'!I3</f>
        <v>3.1691372472531043</v>
      </c>
      <c r="M12" s="539">
        <f>'Ridership-26'!D3/'Revenue Hours-26'!J3</f>
        <v>3.6951123254401943</v>
      </c>
      <c r="N12" s="539">
        <f>'Ridership-26'!E3/'Revenue Hours-26'!K3</f>
        <v>3.9434511566089681</v>
      </c>
      <c r="O12" s="435">
        <f t="shared" ref="O12:O49" si="2">IF(K12=0,IF(L12=0,1,AVERAGE(1,(M12/L12)/($M$50/$L$50),(N12/M12)/($N$50/$M$50))), AVERAGE((L12/K12)/($L$50/$K$50),(M12/L12)/($M$50/$L$50),(N12/M12)/($N$50/$M$50)))</f>
        <v>0.93176116753380356</v>
      </c>
      <c r="P12" s="436">
        <f t="shared" ref="P12:P49" si="3">$I12*O12</f>
        <v>4.5191809823541792E-3</v>
      </c>
      <c r="Q12" s="437">
        <f t="shared" ref="Q12:Q49" si="4">P12/SUM($P$12:$P$49)</f>
        <v>4.3117718734909192E-3</v>
      </c>
      <c r="R12" s="438">
        <f>'Ridership-26'!B3/'Revenue Miles-26'!B3</f>
        <v>0.1472857600940598</v>
      </c>
      <c r="S12" s="539">
        <f>'Ridership-26'!C3/'Revenue Miles-26'!I3</f>
        <v>0.15372497942218116</v>
      </c>
      <c r="T12" s="539">
        <f>'Ridership-26'!D3/'Revenue Miles-26'!J3</f>
        <v>0.17586518789083722</v>
      </c>
      <c r="U12" s="539">
        <f>'Ridership-26'!E3/'Revenue Miles-26'!K3</f>
        <v>0.19149279464507979</v>
      </c>
      <c r="V12" s="435">
        <f t="shared" ref="V12:V49" si="5">IF(R12=0,IF(S12=0,1,AVERAGE(1,(T12/S12)/($T$50/$S$50),(U12/T12)/($U$50/$T$50))), AVERAGE((S12/R12)/($S$50/$R$50),(T12/S12)/($T$50/$S$50),(U12/T12)/($U$50/$T$50)))</f>
        <v>0.9347970958451205</v>
      </c>
      <c r="W12" s="436">
        <f t="shared" ref="W12:W49" si="6">$I12*V12</f>
        <v>4.5339056886054691E-3</v>
      </c>
      <c r="X12" s="437">
        <f t="shared" ref="X12:X49" si="7">W12/SUM($W$12:$W$49)</f>
        <v>4.314830786780628E-3</v>
      </c>
      <c r="Y12" s="438">
        <f>'Op Cost-26'!B3/'Revenue Hours-26'!B3</f>
        <v>64.628076791223862</v>
      </c>
      <c r="Z12" s="434">
        <f>'Op Cost-26'!C3/'Revenue Hours-26'!C3</f>
        <v>74.945094597230351</v>
      </c>
      <c r="AA12" s="434">
        <f>'Op Cost-26'!D3/'Revenue Hours-26'!D3</f>
        <v>75.894444444444446</v>
      </c>
      <c r="AB12" s="434">
        <f>'Op Cost-26'!E3/'Revenue Hours-26'!E3</f>
        <v>80.803487231416725</v>
      </c>
      <c r="AC12" s="435">
        <f t="shared" ref="AC12:AC49" si="8">IF(Y12=0,IF(Z12=0,1,AVERAGE(1,(AA12/Z12)/($AA$50/$AA$50),(AB12/AA12)/($AB$50/$AA$50))), AVERAGE((Z12/Y12)/($Z$50/$Y$50),(AA12/Z12)/($AA$50/$Z$50),(AB12/AA12)/($AB$50/$AA$50)))</f>
        <v>1.0336474299505864</v>
      </c>
      <c r="AD12" s="436">
        <f t="shared" ref="AD12:AD49" si="9">$I12*(1/AC12)</f>
        <v>4.6922668044834638E-3</v>
      </c>
      <c r="AE12" s="437">
        <f t="shared" ref="AE12:AE49" si="10">AD12/SUM($AD$12:$AD$49)</f>
        <v>4.701681554104201E-3</v>
      </c>
      <c r="AF12" s="438">
        <f>'Op Cost-26'!B3/'Revenue Miles-26'!B3</f>
        <v>3.148466517916789</v>
      </c>
      <c r="AG12" s="434">
        <f>'Op Cost-26'!C3/'Revenue Miles-26'!C3</f>
        <v>3.6353531658304137</v>
      </c>
      <c r="AH12" s="434">
        <f>'Op Cost-26'!D3/'Revenue Miles-26'!D3</f>
        <v>3.61212043276733</v>
      </c>
      <c r="AI12" s="434">
        <f>'Op Cost-26'!E3/'Revenue Miles-26'!E3</f>
        <v>3.9237928840781477</v>
      </c>
      <c r="AJ12" s="435">
        <f t="shared" ref="AJ12:AJ49" si="11">IF(AF12=0,IF(AG12=0,1,AVERAGE(1,(AH12/AG12)/($AH$50/$AG$50),(AI12/AH12)/($AI$50/$AH$50))), AVERAGE((AG12/AF12)/($AG$50/$AF$50),(AH12/AG12)/($AH$50/$AG$50),(AI12/AH12)/($AI$50/$AH$50)))</f>
        <v>1.0389409184023559</v>
      </c>
      <c r="AK12" s="436">
        <f t="shared" ref="AK12:AK49" si="12">$I12*(1/AJ12)</f>
        <v>4.6683593236034639E-3</v>
      </c>
      <c r="AL12" s="437">
        <f t="shared" ref="AL12:AL49" si="13">AK12/SUM($AK$12:$AK$49)</f>
        <v>4.676913436783104E-3</v>
      </c>
      <c r="AM12" s="438">
        <f>'Op Cost-26'!B3/'Ridership-26'!B3</f>
        <v>21.37658464678535</v>
      </c>
      <c r="AN12" s="434">
        <f>'Op Cost-26'!C3/'Ridership-26'!C3</f>
        <v>23.64842187323698</v>
      </c>
      <c r="AO12" s="434">
        <f>'Op Cost-26'!D3/'Ridership-26'!D3</f>
        <v>20.53914408012028</v>
      </c>
      <c r="AP12" s="434">
        <f>'Op Cost-26'!E3/'Ridership-26'!E3</f>
        <v>20.490551048412335</v>
      </c>
      <c r="AQ12" s="439">
        <f t="shared" ref="AQ12:AQ49" si="14">IF(AM12=0,IF(AN12=0,1,AVERAGE(1,(AO12/AN12)/($AO$50/$AN$50),(AP12/AO12)/($AP$50/$AO$50))), AVERAGE((AN12/AM12)/($AN$50/$AM$50),(AO12/AN12)/($AO$50/$AN$50),(AP12/AO12)/($AP$50/$AO$50)))</f>
        <v>1.1261773463790854</v>
      </c>
      <c r="AR12" s="436">
        <f t="shared" ref="AR12:AR49" si="15">$I12*(1/AQ12)</f>
        <v>4.306736890678107E-3</v>
      </c>
      <c r="AS12" s="440">
        <f t="shared" ref="AS12:AS49" si="16">AR12/SUM($AR$12:$AR$49)</f>
        <v>4.330436329101549E-3</v>
      </c>
      <c r="AT12" s="432"/>
      <c r="AU12" s="441">
        <f t="shared" ref="AU12:AU49" si="17">Q12*AU$6</f>
        <v>0</v>
      </c>
      <c r="AV12" s="442">
        <f t="shared" ref="AV12:AV49" si="18">X12*AV$6</f>
        <v>0</v>
      </c>
      <c r="AW12" s="442">
        <f t="shared" ref="AW12:AW49" si="19">AE12*AW$6</f>
        <v>0</v>
      </c>
      <c r="AX12" s="442">
        <f t="shared" ref="AX12:AX49" si="20">AL12*AX$6</f>
        <v>0</v>
      </c>
      <c r="AY12" s="443">
        <f t="shared" ref="AY12:AY49" si="21">AS12*AY$6</f>
        <v>0</v>
      </c>
      <c r="AZ12" s="444">
        <f>(SUM(AU12:AY12)-I12)/I12</f>
        <v>-1</v>
      </c>
      <c r="BA12" s="445">
        <f t="shared" ref="BA12:BE50" si="22">AU12*$BA$6</f>
        <v>0</v>
      </c>
      <c r="BB12" s="446">
        <f t="shared" si="22"/>
        <v>0</v>
      </c>
      <c r="BC12" s="446">
        <f t="shared" si="22"/>
        <v>0</v>
      </c>
      <c r="BD12" s="446">
        <f t="shared" si="22"/>
        <v>0</v>
      </c>
      <c r="BE12" s="446">
        <f t="shared" si="22"/>
        <v>0</v>
      </c>
      <c r="BF12" s="447">
        <f>$BA$6*I12</f>
        <v>583810.68195667095</v>
      </c>
      <c r="BH12" s="448">
        <f>'Op Cost-26'!E3</f>
        <v>2553471</v>
      </c>
      <c r="BI12" s="449">
        <f t="shared" ref="BI12:BI49" si="23">BF12/BH12</f>
        <v>0.22863415404234899</v>
      </c>
      <c r="BJ12" s="450">
        <f t="shared" ref="BJ12:BJ49" si="24">IF(BF12&gt;BH12*$BJ$6,BH12*$BJ$6,BF12)</f>
        <v>583810.68195667095</v>
      </c>
      <c r="BK12" s="451">
        <f t="shared" ref="BK12:BK49" si="25">BF12-BJ12</f>
        <v>0</v>
      </c>
      <c r="BL12" s="1">
        <f>BM12*$BP$8+BN12*$BQ$8+BO12*$BR$8</f>
        <v>0.41486877332152594</v>
      </c>
      <c r="BM12" s="112">
        <f>AVERAGE(N12/$N$50,M12/$M$50,L12/$L$50)</f>
        <v>0.35081181085802204</v>
      </c>
      <c r="BN12" s="112">
        <f>AVERAGE(U12/$U$50,T12/$T$50,S12/$S$50)</f>
        <v>0.23909145637786808</v>
      </c>
      <c r="BO12" s="113">
        <f>AVERAGE((1/AP12)/(1/$AP$50), (1/AO12)/(1/$AO$50), (1/AN12)/(1/$AN$50))</f>
        <v>0.53478591302510681</v>
      </c>
      <c r="BP12" s="452">
        <f t="shared" ref="BP12:BP49" si="26">IF(OR(BK12&gt;0,BI12&gt;=$BJ$6),0,BJ12)</f>
        <v>583810.68195667095</v>
      </c>
      <c r="BQ12" s="115">
        <f>(BM12*$BP$8+BN12*$BQ$8+BO12*$BR$8)*I12</f>
        <v>2.0121755830731468E-3</v>
      </c>
      <c r="BR12" s="116">
        <f>IF(BP12=0,0,BQ12)</f>
        <v>2.0121755830731468E-3</v>
      </c>
      <c r="BS12" s="453">
        <f>BR12/$BR$50</f>
        <v>2.1093279725755429E-3</v>
      </c>
      <c r="BT12" s="118">
        <f>$BP$6*BS12+BJ12</f>
        <v>599568.50936657412</v>
      </c>
      <c r="BU12" s="119">
        <f>BH12*$BU$6</f>
        <v>766041.29999999993</v>
      </c>
      <c r="BV12" s="119">
        <f>IF(BT12&lt;BU12,BT12, BU12)</f>
        <v>599568.50936657412</v>
      </c>
      <c r="BW12" s="119">
        <f>BT12-BV12</f>
        <v>0</v>
      </c>
      <c r="BX12" s="120">
        <f>IF(AND(BW12=0,BK12=0),BR12,0)</f>
        <v>2.0121755830731468E-3</v>
      </c>
      <c r="BY12" s="454">
        <f>BX12/$BX$50</f>
        <v>2.2138711880400862E-3</v>
      </c>
      <c r="BZ12" s="122">
        <f>$BW$50*BY12+BV12</f>
        <v>600169.62424317782</v>
      </c>
      <c r="CA12" s="455">
        <f t="shared" ref="CA12:CA49" si="27">BP12/$BP$50</f>
        <v>5.1829723318297339E-3</v>
      </c>
      <c r="CB12" s="456">
        <f t="shared" ref="CB12:CB49" si="28">CA12*$BP$6</f>
        <v>38719.62280742533</v>
      </c>
      <c r="CC12" s="456">
        <f t="shared" ref="CC12:CC49" si="29">(CB12+BJ12)</f>
        <v>622530.30476409628</v>
      </c>
      <c r="CD12" s="457">
        <f t="shared" ref="CD12:CD49" si="30">CC12/BH12</f>
        <v>0.24379767961496185</v>
      </c>
      <c r="CE12" s="458">
        <f t="shared" ref="CE12:CE49" si="31">IF(CC12&gt;($BJ$6*BH12),1,0)</f>
        <v>0</v>
      </c>
      <c r="CF12" s="17"/>
      <c r="CG12" s="459">
        <f t="shared" ref="CG12:CG49" si="32">BH12</f>
        <v>2553471</v>
      </c>
      <c r="CH12" s="460">
        <f>CC12/CG12</f>
        <v>0.24379767961496185</v>
      </c>
      <c r="CI12" s="461">
        <f t="shared" ref="CI12:CI49" si="33">IF(CC12&gt;BH12*$BJ$6,BH12*$BJ$6,CC12)</f>
        <v>622530.30476409628</v>
      </c>
      <c r="CJ12" s="462">
        <f t="shared" ref="CJ12:CJ50" si="34">CC12-CI12</f>
        <v>0</v>
      </c>
      <c r="CL12" s="463">
        <f t="shared" ref="CL12:CL49" si="35">IF(OR(CJ12&gt;0,CH12&gt;=$BJ$6),0,CI12)</f>
        <v>622530.30476409628</v>
      </c>
      <c r="CM12" s="464">
        <f t="shared" ref="CM12:CM50" si="36">CL12/$CL$50</f>
        <v>5.3522472719797088E-3</v>
      </c>
      <c r="CN12" s="465">
        <f t="shared" ref="CN12:CN50" si="37">CM12*$CM$6</f>
        <v>768.80644406771376</v>
      </c>
      <c r="CO12" s="466">
        <f>(CN12+CI12)</f>
        <v>623299.11120816402</v>
      </c>
      <c r="CP12" s="467">
        <f>CO12/CG12</f>
        <v>0.24409876251117166</v>
      </c>
      <c r="CQ12" s="468">
        <f t="shared" ref="CQ12:CQ49" si="38">IF(CP12&gt;$BJ$6,1,0)</f>
        <v>0</v>
      </c>
      <c r="CR12" s="469"/>
      <c r="CS12" s="470">
        <f t="shared" ref="CS12:CS49" si="39">BH12*$BJ$6</f>
        <v>766041.29999999993</v>
      </c>
      <c r="CT12" s="465">
        <f t="shared" ref="CT12:CT49" si="40">IF(CO12&gt;CS12,CO12-CS12,0)</f>
        <v>0</v>
      </c>
      <c r="CU12" s="471">
        <f t="shared" ref="CU12:CU49" si="41">CO12-CT12</f>
        <v>623299.11120816402</v>
      </c>
      <c r="CV12" s="472">
        <f t="shared" ref="CV12:CV49" si="42">CU12/CG12</f>
        <v>0.24409876251117166</v>
      </c>
      <c r="CY12" s="473">
        <v>0</v>
      </c>
      <c r="CZ12" s="474">
        <f>CU12+CY12</f>
        <v>623299.11120816402</v>
      </c>
      <c r="DA12" s="475">
        <f>CZ12/CG12</f>
        <v>0.24409876251117166</v>
      </c>
      <c r="DB12" s="1">
        <f>IF(BZ12&lt;=BH12*$BU$6, 0, 1)</f>
        <v>0</v>
      </c>
      <c r="DC12" s="293">
        <f>BZ12/BH12</f>
        <v>0.23504070508072261</v>
      </c>
      <c r="DF12" s="476"/>
    </row>
    <row r="13" spans="1:110">
      <c r="A13" s="477" t="s">
        <v>82</v>
      </c>
      <c r="B13" s="428" t="s">
        <v>84</v>
      </c>
      <c r="C13" s="429"/>
      <c r="D13" s="91">
        <f>'Op Cost-26'!E4</f>
        <v>361548</v>
      </c>
      <c r="E13" s="92">
        <f>'Ridership-26'!$E4</f>
        <v>42876</v>
      </c>
      <c r="F13" s="92">
        <f>'Revenue Hours-26'!$E4</f>
        <v>7605</v>
      </c>
      <c r="G13" s="92">
        <f>'Revenue Miles-26'!$E4</f>
        <v>91473</v>
      </c>
      <c r="H13" s="478">
        <f t="shared" si="0"/>
        <v>9.5183693161752223E-4</v>
      </c>
      <c r="I13" s="431">
        <f t="shared" si="1"/>
        <v>9.5183693161752245E-4</v>
      </c>
      <c r="J13" s="432"/>
      <c r="K13" s="433">
        <f>'Ridership-26'!B4/'Revenue Hours-26'!B4</f>
        <v>3.8435006435006436</v>
      </c>
      <c r="L13" s="539">
        <f>'Ridership-26'!C4/'Revenue Hours-26'!I4</f>
        <v>4.8354101054361225</v>
      </c>
      <c r="M13" s="539">
        <f>'Ridership-26'!D4/'Revenue Hours-26'!J4</f>
        <v>5.5493279229013446</v>
      </c>
      <c r="N13" s="539">
        <f>'Ridership-26'!E4/'Revenue Hours-26'!K4</f>
        <v>5.6378698224852073</v>
      </c>
      <c r="O13" s="435">
        <f t="shared" si="2"/>
        <v>0.96523278806967661</v>
      </c>
      <c r="P13" s="436">
        <f t="shared" si="3"/>
        <v>9.1874421529286729E-4</v>
      </c>
      <c r="Q13" s="437">
        <f t="shared" si="4"/>
        <v>8.7657818571555614E-4</v>
      </c>
      <c r="R13" s="438">
        <f>'Ridership-26'!B4/'Revenue Miles-26'!B4</f>
        <v>0.31931227680003421</v>
      </c>
      <c r="S13" s="539">
        <f>'Ridership-26'!C4/'Revenue Miles-26'!I4</f>
        <v>0.41985803797543603</v>
      </c>
      <c r="T13" s="539">
        <f>'Ridership-26'!D4/'Revenue Miles-26'!J4</f>
        <v>0.46390976646560589</v>
      </c>
      <c r="U13" s="539">
        <f>'Ridership-26'!E4/'Revenue Miles-26'!K4</f>
        <v>0.46872847725558364</v>
      </c>
      <c r="V13" s="435">
        <f t="shared" si="5"/>
        <v>0.97136734783700807</v>
      </c>
      <c r="W13" s="436">
        <f t="shared" si="6"/>
        <v>9.2458331583862834E-4</v>
      </c>
      <c r="X13" s="437">
        <f t="shared" si="7"/>
        <v>8.7990814765961521E-4</v>
      </c>
      <c r="Y13" s="438">
        <f>'Op Cost-26'!B4/'Revenue Hours-26'!B4</f>
        <v>108.14491634491634</v>
      </c>
      <c r="Z13" s="434">
        <f>'Op Cost-26'!C4/'Revenue Hours-26'!C4</f>
        <v>62.039983568396551</v>
      </c>
      <c r="AA13" s="434">
        <f>'Op Cost-26'!D4/'Revenue Hours-26'!D4</f>
        <v>50.572406796855184</v>
      </c>
      <c r="AB13" s="434">
        <f>'Op Cost-26'!E4/'Revenue Hours-26'!E4</f>
        <v>47.540828402366863</v>
      </c>
      <c r="AC13" s="435">
        <f t="shared" si="8"/>
        <v>0.73994552647823897</v>
      </c>
      <c r="AD13" s="436">
        <f t="shared" si="9"/>
        <v>1.2863608165154777E-3</v>
      </c>
      <c r="AE13" s="437">
        <f t="shared" si="10"/>
        <v>1.288941821712763E-3</v>
      </c>
      <c r="AF13" s="438">
        <f>'Op Cost-26'!B4/'Revenue Miles-26'!B4</f>
        <v>8.9845176742296253</v>
      </c>
      <c r="AG13" s="434">
        <f>'Op Cost-26'!C4/'Revenue Miles-26'!C4</f>
        <v>5.3869237994459436</v>
      </c>
      <c r="AH13" s="434">
        <f>'Op Cost-26'!D4/'Revenue Miles-26'!D4</f>
        <v>4.2277251863080787</v>
      </c>
      <c r="AI13" s="434">
        <f>'Op Cost-26'!E4/'Revenue Miles-26'!E4</f>
        <v>3.9525105768915418</v>
      </c>
      <c r="AJ13" s="435">
        <f t="shared" si="11"/>
        <v>0.74012339547458483</v>
      </c>
      <c r="AK13" s="436">
        <f t="shared" si="12"/>
        <v>1.2860516738660609E-3</v>
      </c>
      <c r="AL13" s="437">
        <f t="shared" si="13"/>
        <v>1.2884081830399573E-3</v>
      </c>
      <c r="AM13" s="438">
        <f>'Op Cost-26'!B4/'Ridership-26'!B4</f>
        <v>28.137088132869007</v>
      </c>
      <c r="AN13" s="434">
        <f>'Op Cost-26'!C4/'Ridership-26'!C4</f>
        <v>12.830345765015716</v>
      </c>
      <c r="AO13" s="434">
        <f>'Op Cost-26'!D4/'Ridership-26'!D4</f>
        <v>9.1132489374343031</v>
      </c>
      <c r="AP13" s="434">
        <f>'Op Cost-26'!E4/'Ridership-26'!E4</f>
        <v>8.4324097397145259</v>
      </c>
      <c r="AQ13" s="439">
        <f t="shared" si="14"/>
        <v>0.7687399782462182</v>
      </c>
      <c r="AR13" s="436">
        <f t="shared" si="15"/>
        <v>1.2381780036847005E-3</v>
      </c>
      <c r="AS13" s="440">
        <f t="shared" si="16"/>
        <v>1.2449915435178631E-3</v>
      </c>
      <c r="AT13" s="432"/>
      <c r="AU13" s="441">
        <f t="shared" si="17"/>
        <v>0</v>
      </c>
      <c r="AV13" s="442">
        <f t="shared" si="18"/>
        <v>0</v>
      </c>
      <c r="AW13" s="442">
        <f t="shared" si="19"/>
        <v>0</v>
      </c>
      <c r="AX13" s="442">
        <f t="shared" si="20"/>
        <v>0</v>
      </c>
      <c r="AY13" s="443">
        <f t="shared" si="21"/>
        <v>0</v>
      </c>
      <c r="AZ13" s="444">
        <f t="shared" ref="AZ13:AZ49" si="43">(SUM(AU13:AY13)-I13)/I13</f>
        <v>-1</v>
      </c>
      <c r="BA13" s="445">
        <f t="shared" si="22"/>
        <v>0</v>
      </c>
      <c r="BB13" s="446">
        <f t="shared" si="22"/>
        <v>0</v>
      </c>
      <c r="BC13" s="446">
        <f t="shared" si="22"/>
        <v>0</v>
      </c>
      <c r="BD13" s="446">
        <f t="shared" si="22"/>
        <v>0</v>
      </c>
      <c r="BE13" s="446">
        <f t="shared" si="22"/>
        <v>0</v>
      </c>
      <c r="BF13" s="447">
        <f t="shared" ref="BF13:BF49" si="44">$BA$6*I13</f>
        <v>114572.25504346214</v>
      </c>
      <c r="BH13" s="448">
        <f>'Op Cost-26'!E4</f>
        <v>361548</v>
      </c>
      <c r="BI13" s="449">
        <f t="shared" si="23"/>
        <v>0.31689362143743605</v>
      </c>
      <c r="BJ13" s="450">
        <f t="shared" si="24"/>
        <v>108464.4</v>
      </c>
      <c r="BK13" s="451">
        <f t="shared" si="25"/>
        <v>6107.8550434621429</v>
      </c>
      <c r="BL13" s="1">
        <f t="shared" ref="BL13:BL49" si="45">BM13*$BP$8+BN13*$BQ$8+BO13*$BR$8</f>
        <v>0.86893543106947613</v>
      </c>
      <c r="BM13" s="112">
        <f t="shared" ref="BM13:BM49" si="46">AVERAGE(N13/$N$50,M13/$M$50,L13/$L$50)</f>
        <v>0.52133290937243248</v>
      </c>
      <c r="BN13" s="112">
        <f t="shared" ref="BN13:BN49" si="47">AVERAGE(U13/$U$50,T13/$T$50,S13/$S$50)</f>
        <v>0.62321301891522152</v>
      </c>
      <c r="BO13" s="113">
        <f t="shared" ref="BO13:BO49" si="48">AVERAGE((1/AP13)/(1/$AP$50), (1/AO13)/(1/$AO$50), (1/AN13)/(1/$AN$50))</f>
        <v>1.1655978979951254</v>
      </c>
      <c r="BP13" s="452">
        <f t="shared" si="26"/>
        <v>0</v>
      </c>
      <c r="BQ13" s="115">
        <f t="shared" ref="BQ13:BQ49" si="49">(BM13*$BP$8+BN13*$BQ$8+BO13*$BR$8)*I13</f>
        <v>8.2708483448291935E-4</v>
      </c>
      <c r="BR13" s="116">
        <f t="shared" ref="BR13:BR49" si="50">IF(BP13=0,0,BQ13)</f>
        <v>0</v>
      </c>
      <c r="BS13" s="453">
        <f t="shared" ref="BS13:BS49" si="51">BR13/$BR$50</f>
        <v>0</v>
      </c>
      <c r="BT13" s="118">
        <f t="shared" ref="BT13:BT49" si="52">$BP$6*BS13+BJ13</f>
        <v>108464.4</v>
      </c>
      <c r="BU13" s="119">
        <f t="shared" ref="BU13:BU49" si="53">BH13*$BU$6</f>
        <v>108464.4</v>
      </c>
      <c r="BV13" s="119">
        <f t="shared" ref="BV13:BV49" si="54">IF(BT13&lt;BU13,BT13, BU13)</f>
        <v>108464.4</v>
      </c>
      <c r="BW13" s="119">
        <f>BT13-BV13</f>
        <v>0</v>
      </c>
      <c r="BX13" s="120">
        <f t="shared" ref="BX13:BX49" si="55">IF(AND(BW13=0,BK13=0),BR13,0)</f>
        <v>0</v>
      </c>
      <c r="BY13" s="454">
        <f t="shared" ref="BY13:BY49" si="56">BX13/$BX$50</f>
        <v>0</v>
      </c>
      <c r="BZ13" s="122">
        <f t="shared" ref="BZ13:BZ49" si="57">$BW$50*BY13+BV13</f>
        <v>108464.4</v>
      </c>
      <c r="CA13" s="455">
        <f t="shared" si="27"/>
        <v>0</v>
      </c>
      <c r="CB13" s="456">
        <f t="shared" si="28"/>
        <v>0</v>
      </c>
      <c r="CC13" s="456">
        <f t="shared" si="29"/>
        <v>108464.4</v>
      </c>
      <c r="CD13" s="457">
        <f t="shared" si="30"/>
        <v>0.3</v>
      </c>
      <c r="CE13" s="458">
        <f t="shared" si="31"/>
        <v>0</v>
      </c>
      <c r="CF13" s="17"/>
      <c r="CG13" s="459">
        <f t="shared" si="32"/>
        <v>361548</v>
      </c>
      <c r="CH13" s="460">
        <f t="shared" ref="CH13:CH49" si="58">CC13/CG13</f>
        <v>0.3</v>
      </c>
      <c r="CI13" s="461">
        <f t="shared" si="33"/>
        <v>108464.4</v>
      </c>
      <c r="CJ13" s="462">
        <f t="shared" si="34"/>
        <v>0</v>
      </c>
      <c r="CL13" s="463">
        <f t="shared" si="35"/>
        <v>0</v>
      </c>
      <c r="CM13" s="464">
        <f t="shared" si="36"/>
        <v>0</v>
      </c>
      <c r="CN13" s="465">
        <f t="shared" si="37"/>
        <v>0</v>
      </c>
      <c r="CO13" s="466">
        <f t="shared" ref="CO13:CO49" si="59">(CN13+CI13)</f>
        <v>108464.4</v>
      </c>
      <c r="CP13" s="467">
        <f t="shared" ref="CP13:CP49" si="60">CO13/CG13</f>
        <v>0.3</v>
      </c>
      <c r="CQ13" s="468">
        <f t="shared" si="38"/>
        <v>0</v>
      </c>
      <c r="CR13" s="469"/>
      <c r="CS13" s="470">
        <f t="shared" si="39"/>
        <v>108464.4</v>
      </c>
      <c r="CT13" s="465">
        <f t="shared" si="40"/>
        <v>0</v>
      </c>
      <c r="CU13" s="471">
        <f t="shared" si="41"/>
        <v>108464.4</v>
      </c>
      <c r="CV13" s="472">
        <f t="shared" si="42"/>
        <v>0.3</v>
      </c>
      <c r="CY13" s="473">
        <v>0</v>
      </c>
      <c r="CZ13" s="474">
        <f t="shared" ref="CZ13:CZ49" si="61">CU13+CY13</f>
        <v>108464.4</v>
      </c>
      <c r="DA13" s="475">
        <f t="shared" ref="DA13:DA49" si="62">CZ13/CG13</f>
        <v>0.3</v>
      </c>
      <c r="DB13" s="1">
        <f t="shared" ref="DB13:DB49" si="63">IF(BZ13&lt;=BH13*$BU$6, 0, 1)</f>
        <v>0</v>
      </c>
      <c r="DC13" s="293">
        <f t="shared" ref="DC13:DC49" si="64">BZ13/BH13</f>
        <v>0.3</v>
      </c>
      <c r="DF13" s="476"/>
    </row>
    <row r="14" spans="1:110">
      <c r="A14" s="477" t="s">
        <v>82</v>
      </c>
      <c r="B14" s="428" t="s">
        <v>85</v>
      </c>
      <c r="C14" s="429"/>
      <c r="D14" s="91">
        <f>'Op Cost-26'!E5</f>
        <v>2998198</v>
      </c>
      <c r="E14" s="92">
        <f>'Ridership-26'!$E5</f>
        <v>177659</v>
      </c>
      <c r="F14" s="92">
        <f>'Revenue Hours-26'!$E5</f>
        <v>48302</v>
      </c>
      <c r="G14" s="92">
        <f>'Revenue Miles-26'!$E5</f>
        <v>522054</v>
      </c>
      <c r="H14" s="430">
        <f t="shared" si="0"/>
        <v>5.7101858809636297E-3</v>
      </c>
      <c r="I14" s="431">
        <f t="shared" si="1"/>
        <v>5.7101858809636306E-3</v>
      </c>
      <c r="J14" s="432"/>
      <c r="K14" s="433">
        <f>'Ridership-26'!B5/'Revenue Hours-26'!B5</f>
        <v>3.0037184124655352</v>
      </c>
      <c r="L14" s="539">
        <f>'Ridership-26'!C5/'Revenue Hours-26'!I5</f>
        <v>3.0190503841343577</v>
      </c>
      <c r="M14" s="539">
        <f>'Ridership-26'!D5/'Revenue Hours-26'!J5</f>
        <v>3.4820277878872212</v>
      </c>
      <c r="N14" s="539">
        <f>'Ridership-26'!E5/'Revenue Hours-26'!K5</f>
        <v>3.6780878638565691</v>
      </c>
      <c r="O14" s="435">
        <f t="shared" si="2"/>
        <v>0.91361537754777933</v>
      </c>
      <c r="P14" s="436">
        <f t="shared" si="3"/>
        <v>5.2169136295045866E-3</v>
      </c>
      <c r="Q14" s="437">
        <f t="shared" si="4"/>
        <v>4.9774818804471559E-3</v>
      </c>
      <c r="R14" s="438">
        <f>'Ridership-26'!B5/'Revenue Miles-26'!B5</f>
        <v>0.30898734605406614</v>
      </c>
      <c r="S14" s="539">
        <f>'Ridership-26'!C5/'Revenue Miles-26'!I5</f>
        <v>0.30702858129224508</v>
      </c>
      <c r="T14" s="539">
        <f>'Ridership-26'!D5/'Revenue Miles-26'!J5</f>
        <v>0.33183650652455993</v>
      </c>
      <c r="U14" s="539">
        <f>'Ridership-26'!E5/'Revenue Miles-26'!K5</f>
        <v>0.34030770763177753</v>
      </c>
      <c r="V14" s="435">
        <f t="shared" si="5"/>
        <v>0.8841756096309652</v>
      </c>
      <c r="W14" s="436">
        <f t="shared" si="6"/>
        <v>5.0488070824071486E-3</v>
      </c>
      <c r="X14" s="437">
        <f t="shared" si="7"/>
        <v>4.8048525337515257E-3</v>
      </c>
      <c r="Y14" s="438">
        <f>'Op Cost-26'!B5/'Revenue Hours-26'!B5</f>
        <v>61.145979308425872</v>
      </c>
      <c r="Z14" s="434">
        <f>'Op Cost-26'!C5/'Revenue Hours-26'!C5</f>
        <v>58.62645167053779</v>
      </c>
      <c r="AA14" s="434">
        <f>'Op Cost-26'!D5/'Revenue Hours-26'!D5</f>
        <v>57.842499625355913</v>
      </c>
      <c r="AB14" s="434">
        <f>'Op Cost-26'!E5/'Revenue Hours-26'!E5</f>
        <v>62.071922487681668</v>
      </c>
      <c r="AC14" s="435">
        <f t="shared" si="8"/>
        <v>0.96211447539197736</v>
      </c>
      <c r="AD14" s="436">
        <f t="shared" si="9"/>
        <v>5.9350379055852272E-3</v>
      </c>
      <c r="AE14" s="437">
        <f t="shared" si="10"/>
        <v>5.9469462002749666E-3</v>
      </c>
      <c r="AF14" s="438">
        <f>'Op Cost-26'!B5/'Revenue Miles-26'!B5</f>
        <v>6.2899817073329398</v>
      </c>
      <c r="AG14" s="434">
        <f>'Op Cost-26'!C5/'Revenue Miles-26'!C5</f>
        <v>5.9621384184897162</v>
      </c>
      <c r="AH14" s="434">
        <f>'Op Cost-26'!D5/'Revenue Miles-26'!D5</f>
        <v>5.5123778940238459</v>
      </c>
      <c r="AI14" s="434">
        <f>'Op Cost-26'!E5/'Revenue Miles-26'!E5</f>
        <v>5.7430802177552511</v>
      </c>
      <c r="AJ14" s="435">
        <f t="shared" si="11"/>
        <v>0.93411840641972699</v>
      </c>
      <c r="AK14" s="436">
        <f t="shared" si="12"/>
        <v>6.112914424681485E-3</v>
      </c>
      <c r="AL14" s="437">
        <f t="shared" si="13"/>
        <v>6.12411548231683E-3</v>
      </c>
      <c r="AM14" s="438">
        <f>'Op Cost-26'!B5/'Ridership-26'!B5</f>
        <v>20.356761490913378</v>
      </c>
      <c r="AN14" s="434">
        <f>'Op Cost-26'!C5/'Ridership-26'!C5</f>
        <v>19.418838446231348</v>
      </c>
      <c r="AO14" s="434">
        <f>'Op Cost-26'!D5/'Ridership-26'!D5</f>
        <v>16.611728322953109</v>
      </c>
      <c r="AP14" s="434">
        <f>'Op Cost-26'!E5/'Ridership-26'!E5</f>
        <v>16.876139120449849</v>
      </c>
      <c r="AQ14" s="439">
        <f t="shared" si="14"/>
        <v>1.0632527411646482</v>
      </c>
      <c r="AR14" s="436">
        <f t="shared" si="15"/>
        <v>5.3704878058521647E-3</v>
      </c>
      <c r="AS14" s="440">
        <f t="shared" si="16"/>
        <v>5.4000409334960036E-3</v>
      </c>
      <c r="AT14" s="432"/>
      <c r="AU14" s="441">
        <f t="shared" si="17"/>
        <v>0</v>
      </c>
      <c r="AV14" s="442">
        <f t="shared" si="18"/>
        <v>0</v>
      </c>
      <c r="AW14" s="442">
        <f t="shared" si="19"/>
        <v>0</v>
      </c>
      <c r="AX14" s="442">
        <f t="shared" si="20"/>
        <v>0</v>
      </c>
      <c r="AY14" s="443">
        <f t="shared" si="21"/>
        <v>0</v>
      </c>
      <c r="AZ14" s="444">
        <f t="shared" si="43"/>
        <v>-1</v>
      </c>
      <c r="BA14" s="445">
        <f t="shared" si="22"/>
        <v>0</v>
      </c>
      <c r="BB14" s="446">
        <f t="shared" si="22"/>
        <v>0</v>
      </c>
      <c r="BC14" s="446">
        <f t="shared" si="22"/>
        <v>0</v>
      </c>
      <c r="BD14" s="446">
        <f t="shared" si="22"/>
        <v>0</v>
      </c>
      <c r="BE14" s="446">
        <f t="shared" si="22"/>
        <v>0</v>
      </c>
      <c r="BF14" s="447">
        <f t="shared" si="44"/>
        <v>687332.9363124891</v>
      </c>
      <c r="BH14" s="448">
        <f>'Op Cost-26'!E5</f>
        <v>2998198</v>
      </c>
      <c r="BI14" s="449">
        <f t="shared" si="23"/>
        <v>0.22924868081177063</v>
      </c>
      <c r="BJ14" s="450">
        <f t="shared" si="24"/>
        <v>687332.9363124891</v>
      </c>
      <c r="BK14" s="451">
        <f t="shared" si="25"/>
        <v>0</v>
      </c>
      <c r="BL14" s="1">
        <f t="shared" si="45"/>
        <v>0.52254630166380744</v>
      </c>
      <c r="BM14" s="112">
        <f t="shared" si="46"/>
        <v>0.33068801862424491</v>
      </c>
      <c r="BN14" s="112">
        <f t="shared" si="47"/>
        <v>0.45142219513181409</v>
      </c>
      <c r="BO14" s="113">
        <f t="shared" si="48"/>
        <v>0.65403749644958553</v>
      </c>
      <c r="BP14" s="452">
        <f t="shared" si="26"/>
        <v>687332.9363124891</v>
      </c>
      <c r="BQ14" s="115">
        <f t="shared" si="49"/>
        <v>2.9838365139104352E-3</v>
      </c>
      <c r="BR14" s="116">
        <f t="shared" si="50"/>
        <v>2.9838365139104352E-3</v>
      </c>
      <c r="BS14" s="453">
        <f t="shared" si="51"/>
        <v>3.1279028914420427E-3</v>
      </c>
      <c r="BT14" s="118">
        <f t="shared" si="52"/>
        <v>710700.07246159052</v>
      </c>
      <c r="BU14" s="119">
        <f t="shared" si="53"/>
        <v>899459.4</v>
      </c>
      <c r="BV14" s="119">
        <f t="shared" si="54"/>
        <v>710700.07246159052</v>
      </c>
      <c r="BW14" s="119">
        <f t="shared" ref="BW14:BW49" si="65">BT14-BV14</f>
        <v>0</v>
      </c>
      <c r="BX14" s="120">
        <f t="shared" si="55"/>
        <v>2.9838365139104352E-3</v>
      </c>
      <c r="BY14" s="454">
        <f t="shared" si="56"/>
        <v>3.2829290562602703E-3</v>
      </c>
      <c r="BZ14" s="122">
        <f t="shared" si="57"/>
        <v>711591.4601381697</v>
      </c>
      <c r="CA14" s="455">
        <f t="shared" si="27"/>
        <v>6.1020253684349593E-3</v>
      </c>
      <c r="CB14" s="456">
        <f t="shared" si="28"/>
        <v>45585.448947155186</v>
      </c>
      <c r="CC14" s="456">
        <f t="shared" si="29"/>
        <v>732918.38525964424</v>
      </c>
      <c r="CD14" s="457">
        <f t="shared" si="30"/>
        <v>0.24445296316642337</v>
      </c>
      <c r="CE14" s="458">
        <f t="shared" si="31"/>
        <v>0</v>
      </c>
      <c r="CF14" s="17"/>
      <c r="CG14" s="459">
        <f t="shared" si="32"/>
        <v>2998198</v>
      </c>
      <c r="CH14" s="460">
        <f t="shared" si="58"/>
        <v>0.24445296316642337</v>
      </c>
      <c r="CI14" s="461">
        <f t="shared" si="33"/>
        <v>732918.38525964424</v>
      </c>
      <c r="CJ14" s="462">
        <f t="shared" si="34"/>
        <v>0</v>
      </c>
      <c r="CL14" s="463">
        <f t="shared" si="35"/>
        <v>732918.38525964424</v>
      </c>
      <c r="CM14" s="464">
        <f t="shared" si="36"/>
        <v>6.301316414750617E-3</v>
      </c>
      <c r="CN14" s="465">
        <f t="shared" si="37"/>
        <v>905.13244616555949</v>
      </c>
      <c r="CO14" s="466">
        <f t="shared" si="59"/>
        <v>733823.51770580979</v>
      </c>
      <c r="CP14" s="467">
        <f t="shared" si="60"/>
        <v>0.24475485531836449</v>
      </c>
      <c r="CQ14" s="468">
        <f t="shared" si="38"/>
        <v>0</v>
      </c>
      <c r="CR14" s="469"/>
      <c r="CS14" s="470">
        <f t="shared" si="39"/>
        <v>899459.4</v>
      </c>
      <c r="CT14" s="465">
        <f t="shared" si="40"/>
        <v>0</v>
      </c>
      <c r="CU14" s="471">
        <f t="shared" si="41"/>
        <v>733823.51770580979</v>
      </c>
      <c r="CV14" s="472">
        <f t="shared" si="42"/>
        <v>0.24475485531836449</v>
      </c>
      <c r="CY14" s="473">
        <v>0</v>
      </c>
      <c r="CZ14" s="474">
        <f t="shared" si="61"/>
        <v>733823.51770580979</v>
      </c>
      <c r="DA14" s="475">
        <f t="shared" si="62"/>
        <v>0.24475485531836449</v>
      </c>
      <c r="DB14" s="1">
        <f t="shared" si="63"/>
        <v>0</v>
      </c>
      <c r="DC14" s="293">
        <f t="shared" si="64"/>
        <v>0.23733971543512794</v>
      </c>
      <c r="DF14" s="476"/>
    </row>
    <row r="15" spans="1:110">
      <c r="A15" s="477" t="s">
        <v>82</v>
      </c>
      <c r="B15" s="428" t="s">
        <v>86</v>
      </c>
      <c r="C15" s="429"/>
      <c r="D15" s="91">
        <f>'Op Cost-26'!E6</f>
        <v>2155919</v>
      </c>
      <c r="E15" s="92">
        <f>'Ridership-26'!$E6</f>
        <v>130896</v>
      </c>
      <c r="F15" s="92">
        <f>'Revenue Hours-26'!$E6</f>
        <v>44163</v>
      </c>
      <c r="G15" s="92">
        <f>'Revenue Miles-26'!$E6</f>
        <v>745438</v>
      </c>
      <c r="H15" s="430">
        <f t="shared" si="0"/>
        <v>5.2697387700213249E-3</v>
      </c>
      <c r="I15" s="431">
        <f t="shared" si="1"/>
        <v>5.2697387700213257E-3</v>
      </c>
      <c r="J15" s="432"/>
      <c r="K15" s="433">
        <f>'Ridership-26'!B6/'Revenue Hours-26'!B6</f>
        <v>1.3455313359222201</v>
      </c>
      <c r="L15" s="539">
        <f>'Ridership-26'!C6/'Revenue Hours-26'!I6</f>
        <v>2.5156324194636741</v>
      </c>
      <c r="M15" s="539">
        <f>'Ridership-26'!D6/'Revenue Hours-26'!J6</f>
        <v>2.7827345119658662</v>
      </c>
      <c r="N15" s="539">
        <f>'Ridership-26'!E6/'Revenue Hours-26'!K6</f>
        <v>2.9639290809048298</v>
      </c>
      <c r="O15" s="435">
        <f t="shared" si="2"/>
        <v>1.1279060361303517</v>
      </c>
      <c r="P15" s="436">
        <f t="shared" si="3"/>
        <v>5.9437701675371882E-3</v>
      </c>
      <c r="Q15" s="437">
        <f t="shared" si="4"/>
        <v>5.6709791289506527E-3</v>
      </c>
      <c r="R15" s="438">
        <f>'Ridership-26'!B6/'Revenue Miles-26'!B6</f>
        <v>8.6154544217069737E-2</v>
      </c>
      <c r="S15" s="539">
        <f>'Ridership-26'!C6/'Revenue Miles-26'!I6</f>
        <v>0.15736959607772016</v>
      </c>
      <c r="T15" s="539">
        <f>'Ridership-26'!D6/'Revenue Miles-26'!J6</f>
        <v>0.16460220997236286</v>
      </c>
      <c r="U15" s="539">
        <f>'Ridership-26'!E6/'Revenue Miles-26'!K6</f>
        <v>0.17559609249863839</v>
      </c>
      <c r="V15" s="435">
        <f t="shared" si="5"/>
        <v>1.108030754011484</v>
      </c>
      <c r="W15" s="436">
        <f t="shared" si="6"/>
        <v>5.8390326227902795E-3</v>
      </c>
      <c r="X15" s="437">
        <f t="shared" si="7"/>
        <v>5.5568949722862885E-3</v>
      </c>
      <c r="Y15" s="438">
        <f>'Op Cost-26'!B6/'Revenue Hours-26'!B6</f>
        <v>42.25856741971144</v>
      </c>
      <c r="Z15" s="434">
        <f>'Op Cost-26'!C6/'Revenue Hours-26'!C6</f>
        <v>54.154224876915002</v>
      </c>
      <c r="AA15" s="434">
        <f>'Op Cost-26'!D6/'Revenue Hours-26'!D6</f>
        <v>45.459899034704179</v>
      </c>
      <c r="AB15" s="434">
        <f>'Op Cost-26'!E6/'Revenue Hours-26'!E6</f>
        <v>48.817313135430112</v>
      </c>
      <c r="AC15" s="435">
        <f t="shared" si="8"/>
        <v>1.024095279002766</v>
      </c>
      <c r="AD15" s="436">
        <f t="shared" si="9"/>
        <v>5.1457504766088203E-3</v>
      </c>
      <c r="AE15" s="437">
        <f t="shared" si="10"/>
        <v>5.1560751137973478E-3</v>
      </c>
      <c r="AF15" s="438">
        <f>'Op Cost-26'!B6/'Revenue Miles-26'!B6</f>
        <v>2.7058214982530968</v>
      </c>
      <c r="AG15" s="434">
        <f>'Op Cost-26'!C6/'Revenue Miles-26'!C6</f>
        <v>3.3877081678725758</v>
      </c>
      <c r="AH15" s="434">
        <f>'Op Cost-26'!D6/'Revenue Miles-26'!D6</f>
        <v>2.689009610531103</v>
      </c>
      <c r="AI15" s="434">
        <f>'Op Cost-26'!E6/'Revenue Miles-26'!E6</f>
        <v>2.8921506550511245</v>
      </c>
      <c r="AJ15" s="435">
        <f t="shared" si="11"/>
        <v>1.0075978281171294</v>
      </c>
      <c r="AK15" s="436">
        <f t="shared" si="12"/>
        <v>5.2300021129151721E-3</v>
      </c>
      <c r="AL15" s="437">
        <f t="shared" si="13"/>
        <v>5.2395853576704416E-3</v>
      </c>
      <c r="AM15" s="438">
        <f>'Op Cost-26'!B6/'Ridership-26'!B6</f>
        <v>31.406602203543365</v>
      </c>
      <c r="AN15" s="434">
        <f>'Op Cost-26'!C6/'Ridership-26'!C6</f>
        <v>21.527081801744522</v>
      </c>
      <c r="AO15" s="434">
        <f>'Op Cost-26'!D6/'Ridership-26'!D6</f>
        <v>16.33641256081917</v>
      </c>
      <c r="AP15" s="434">
        <f>'Op Cost-26'!E6/'Ridership-26'!E6</f>
        <v>16.470472741718616</v>
      </c>
      <c r="AQ15" s="439">
        <f t="shared" si="14"/>
        <v>0.91200498953668374</v>
      </c>
      <c r="AR15" s="436">
        <f t="shared" si="15"/>
        <v>5.7781907231652923E-3</v>
      </c>
      <c r="AS15" s="440">
        <f t="shared" si="16"/>
        <v>5.8099873893463546E-3</v>
      </c>
      <c r="AT15" s="432"/>
      <c r="AU15" s="441">
        <f t="shared" si="17"/>
        <v>0</v>
      </c>
      <c r="AV15" s="442">
        <f t="shared" si="18"/>
        <v>0</v>
      </c>
      <c r="AW15" s="442">
        <f t="shared" si="19"/>
        <v>0</v>
      </c>
      <c r="AX15" s="442">
        <f t="shared" si="20"/>
        <v>0</v>
      </c>
      <c r="AY15" s="443">
        <f t="shared" si="21"/>
        <v>0</v>
      </c>
      <c r="AZ15" s="444">
        <f t="shared" si="43"/>
        <v>-1</v>
      </c>
      <c r="BA15" s="445">
        <f t="shared" si="22"/>
        <v>0</v>
      </c>
      <c r="BB15" s="446">
        <f t="shared" si="22"/>
        <v>0</v>
      </c>
      <c r="BC15" s="446">
        <f t="shared" si="22"/>
        <v>0</v>
      </c>
      <c r="BD15" s="446">
        <f t="shared" si="22"/>
        <v>0</v>
      </c>
      <c r="BE15" s="446">
        <f t="shared" si="22"/>
        <v>0</v>
      </c>
      <c r="BF15" s="447">
        <f t="shared" si="44"/>
        <v>634316.48249378451</v>
      </c>
      <c r="BH15" s="448">
        <f>'Op Cost-26'!E6</f>
        <v>2155919</v>
      </c>
      <c r="BI15" s="449">
        <f t="shared" si="23"/>
        <v>0.29422092504114694</v>
      </c>
      <c r="BJ15" s="450">
        <f t="shared" si="24"/>
        <v>634316.48249378451</v>
      </c>
      <c r="BK15" s="451">
        <f t="shared" si="25"/>
        <v>0</v>
      </c>
      <c r="BL15" s="1">
        <f t="shared" si="45"/>
        <v>0.44584131873491162</v>
      </c>
      <c r="BM15" s="112">
        <f t="shared" si="46"/>
        <v>0.26884588529238101</v>
      </c>
      <c r="BN15" s="112">
        <f t="shared" si="47"/>
        <v>0.22942490917864855</v>
      </c>
      <c r="BO15" s="113">
        <f t="shared" si="48"/>
        <v>0.64254724023430843</v>
      </c>
      <c r="BP15" s="452">
        <f t="shared" si="26"/>
        <v>634316.48249378451</v>
      </c>
      <c r="BQ15" s="115">
        <f t="shared" si="49"/>
        <v>2.3494672826147988E-3</v>
      </c>
      <c r="BR15" s="116">
        <f t="shared" si="50"/>
        <v>2.3494672826147988E-3</v>
      </c>
      <c r="BS15" s="453">
        <f t="shared" si="51"/>
        <v>2.4629048784607435E-3</v>
      </c>
      <c r="BT15" s="118">
        <f t="shared" si="52"/>
        <v>652715.72173319256</v>
      </c>
      <c r="BU15" s="119">
        <f t="shared" si="53"/>
        <v>646775.69999999995</v>
      </c>
      <c r="BV15" s="119">
        <f t="shared" si="54"/>
        <v>646775.69999999995</v>
      </c>
      <c r="BW15" s="119">
        <f t="shared" si="65"/>
        <v>5940.0217331926106</v>
      </c>
      <c r="BX15" s="120">
        <f t="shared" si="55"/>
        <v>0</v>
      </c>
      <c r="BY15" s="454">
        <f t="shared" si="56"/>
        <v>0</v>
      </c>
      <c r="BZ15" s="122">
        <f t="shared" si="57"/>
        <v>646775.69999999995</v>
      </c>
      <c r="CA15" s="455">
        <f t="shared" si="27"/>
        <v>5.6313542728785599E-3</v>
      </c>
      <c r="CB15" s="456">
        <f t="shared" si="28"/>
        <v>42069.279822658282</v>
      </c>
      <c r="CC15" s="456">
        <f t="shared" si="29"/>
        <v>676385.76231644279</v>
      </c>
      <c r="CD15" s="457">
        <f t="shared" si="30"/>
        <v>0.31373431112970512</v>
      </c>
      <c r="CE15" s="458">
        <f t="shared" si="31"/>
        <v>1</v>
      </c>
      <c r="CF15" s="17"/>
      <c r="CG15" s="459">
        <f t="shared" si="32"/>
        <v>2155919</v>
      </c>
      <c r="CH15" s="460">
        <f t="shared" si="58"/>
        <v>0.31373431112970512</v>
      </c>
      <c r="CI15" s="461">
        <f t="shared" si="33"/>
        <v>646775.69999999995</v>
      </c>
      <c r="CJ15" s="462">
        <f t="shared" si="34"/>
        <v>29610.06231644284</v>
      </c>
      <c r="CL15" s="463">
        <f t="shared" si="35"/>
        <v>0</v>
      </c>
      <c r="CM15" s="464">
        <f t="shared" si="36"/>
        <v>0</v>
      </c>
      <c r="CN15" s="465">
        <f t="shared" si="37"/>
        <v>0</v>
      </c>
      <c r="CO15" s="466">
        <f t="shared" si="59"/>
        <v>646775.69999999995</v>
      </c>
      <c r="CP15" s="467">
        <f t="shared" si="60"/>
        <v>0.3</v>
      </c>
      <c r="CQ15" s="468">
        <f t="shared" si="38"/>
        <v>0</v>
      </c>
      <c r="CR15" s="469"/>
      <c r="CS15" s="470">
        <f t="shared" si="39"/>
        <v>646775.69999999995</v>
      </c>
      <c r="CT15" s="465">
        <f t="shared" si="40"/>
        <v>0</v>
      </c>
      <c r="CU15" s="471">
        <f t="shared" si="41"/>
        <v>646775.69999999995</v>
      </c>
      <c r="CV15" s="472">
        <f t="shared" si="42"/>
        <v>0.3</v>
      </c>
      <c r="CY15" s="473">
        <v>0</v>
      </c>
      <c r="CZ15" s="474">
        <f t="shared" si="61"/>
        <v>646775.69999999995</v>
      </c>
      <c r="DA15" s="475">
        <f t="shared" si="62"/>
        <v>0.3</v>
      </c>
      <c r="DB15" s="1">
        <f t="shared" si="63"/>
        <v>0</v>
      </c>
      <c r="DC15" s="293">
        <f t="shared" si="64"/>
        <v>0.3</v>
      </c>
      <c r="DF15" s="476"/>
    </row>
    <row r="16" spans="1:110">
      <c r="A16" s="477" t="s">
        <v>82</v>
      </c>
      <c r="B16" s="428" t="s">
        <v>87</v>
      </c>
      <c r="C16" s="429"/>
      <c r="D16" s="91">
        <f>'Op Cost-26'!E7</f>
        <v>447645</v>
      </c>
      <c r="E16" s="92">
        <f>'Ridership-26'!$E7</f>
        <v>33235</v>
      </c>
      <c r="F16" s="92">
        <f>'Revenue Hours-26'!$E7</f>
        <v>8168</v>
      </c>
      <c r="G16" s="92">
        <f>'Revenue Miles-26'!$E7</f>
        <v>126970</v>
      </c>
      <c r="H16" s="430">
        <f t="shared" si="0"/>
        <v>1.0388218804325221E-3</v>
      </c>
      <c r="I16" s="431">
        <f t="shared" si="1"/>
        <v>1.0388218804325223E-3</v>
      </c>
      <c r="J16" s="432"/>
      <c r="K16" s="433">
        <f>'Ridership-26'!B7/'Revenue Hours-26'!B7</f>
        <v>3.8071505958829901</v>
      </c>
      <c r="L16" s="539">
        <f>'Ridership-26'!C7/'Revenue Hours-26'!I7</f>
        <v>3.650582779796967</v>
      </c>
      <c r="M16" s="539">
        <f>'Ridership-26'!D7/'Revenue Hours-26'!J7</f>
        <v>3.815299877600979</v>
      </c>
      <c r="N16" s="539">
        <f>'Ridership-26'!E7/'Revenue Hours-26'!K7</f>
        <v>4.0689275220372183</v>
      </c>
      <c r="O16" s="435">
        <f t="shared" si="2"/>
        <v>0.87439593763301104</v>
      </c>
      <c r="P16" s="436">
        <f t="shared" si="3"/>
        <v>9.0834163217448302E-4</v>
      </c>
      <c r="Q16" s="437">
        <f t="shared" si="4"/>
        <v>8.6665303213648097E-4</v>
      </c>
      <c r="R16" s="438">
        <f>'Ridership-26'!B7/'Revenue Miles-26'!B7</f>
        <v>0.2437813629741542</v>
      </c>
      <c r="S16" s="539">
        <f>'Ridership-26'!C7/'Revenue Miles-26'!I7</f>
        <v>0.22496138399752857</v>
      </c>
      <c r="T16" s="539">
        <f>'Ridership-26'!D7/'Revenue Miles-26'!J7</f>
        <v>0.23446890772737189</v>
      </c>
      <c r="U16" s="539">
        <f>'Ridership-26'!E7/'Revenue Miles-26'!K7</f>
        <v>0.2617547452154052</v>
      </c>
      <c r="V16" s="435">
        <f t="shared" si="5"/>
        <v>0.88282330624614769</v>
      </c>
      <c r="W16" s="436">
        <f t="shared" si="6"/>
        <v>9.1709616708427974E-4</v>
      </c>
      <c r="X16" s="437">
        <f t="shared" si="7"/>
        <v>8.7278277228366508E-4</v>
      </c>
      <c r="Y16" s="438">
        <f>'Op Cost-26'!B7/'Revenue Hours-26'!B7</f>
        <v>43.683519922956542</v>
      </c>
      <c r="Z16" s="434">
        <f>'Op Cost-26'!C7/'Revenue Hours-26'!C7</f>
        <v>59.664118310565236</v>
      </c>
      <c r="AA16" s="434">
        <f>'Op Cost-26'!D7/'Revenue Hours-26'!D7</f>
        <v>55.822399020807836</v>
      </c>
      <c r="AB16" s="434">
        <f>'Op Cost-26'!E7/'Revenue Hours-26'!E7</f>
        <v>54.804725759059743</v>
      </c>
      <c r="AC16" s="435">
        <f t="shared" si="8"/>
        <v>1.0516045914118244</v>
      </c>
      <c r="AD16" s="436">
        <f t="shared" si="9"/>
        <v>9.8784456526369792E-4</v>
      </c>
      <c r="AE16" s="437">
        <f t="shared" si="10"/>
        <v>9.8982661565292086E-4</v>
      </c>
      <c r="AF16" s="438">
        <f>'Op Cost-26'!B7/'Revenue Miles-26'!B7</f>
        <v>2.7971649027603269</v>
      </c>
      <c r="AG16" s="434">
        <f>'Op Cost-26'!C7/'Revenue Miles-26'!C7</f>
        <v>3.6767068273092369</v>
      </c>
      <c r="AH16" s="434">
        <f>'Op Cost-26'!D7/'Revenue Miles-26'!D7</f>
        <v>3.4305604657635227</v>
      </c>
      <c r="AI16" s="434">
        <f>'Op Cost-26'!E7/'Revenue Miles-26'!E7</f>
        <v>3.5255965976214854</v>
      </c>
      <c r="AJ16" s="435">
        <f t="shared" si="11"/>
        <v>1.0555482262779829</v>
      </c>
      <c r="AK16" s="436">
        <f t="shared" si="12"/>
        <v>9.8415387811844448E-4</v>
      </c>
      <c r="AL16" s="437">
        <f t="shared" si="13"/>
        <v>9.859572019579447E-4</v>
      </c>
      <c r="AM16" s="438">
        <f>'Op Cost-26'!B7/'Ridership-26'!B7</f>
        <v>11.474071966103839</v>
      </c>
      <c r="AN16" s="434">
        <f>'Op Cost-26'!C7/'Ridership-26'!C7</f>
        <v>16.343724251579236</v>
      </c>
      <c r="AO16" s="434">
        <f>'Op Cost-26'!D7/'Ridership-26'!D7</f>
        <v>14.631195662635141</v>
      </c>
      <c r="AP16" s="434">
        <f>'Op Cost-26'!E7/'Ridership-26'!E7</f>
        <v>13.469083797201746</v>
      </c>
      <c r="AQ16" s="439">
        <f t="shared" si="14"/>
        <v>1.2439563207545858</v>
      </c>
      <c r="AR16" s="436">
        <f t="shared" si="15"/>
        <v>8.3509514208856737E-4</v>
      </c>
      <c r="AS16" s="440">
        <f t="shared" si="16"/>
        <v>8.396905669775318E-4</v>
      </c>
      <c r="AT16" s="432"/>
      <c r="AU16" s="441">
        <f t="shared" si="17"/>
        <v>0</v>
      </c>
      <c r="AV16" s="442">
        <f t="shared" si="18"/>
        <v>0</v>
      </c>
      <c r="AW16" s="442">
        <f t="shared" si="19"/>
        <v>0</v>
      </c>
      <c r="AX16" s="442">
        <f t="shared" si="20"/>
        <v>0</v>
      </c>
      <c r="AY16" s="443">
        <f t="shared" si="21"/>
        <v>0</v>
      </c>
      <c r="AZ16" s="444">
        <f t="shared" si="43"/>
        <v>-1</v>
      </c>
      <c r="BA16" s="445">
        <f t="shared" si="22"/>
        <v>0</v>
      </c>
      <c r="BB16" s="446">
        <f t="shared" si="22"/>
        <v>0</v>
      </c>
      <c r="BC16" s="446">
        <f t="shared" si="22"/>
        <v>0</v>
      </c>
      <c r="BD16" s="446">
        <f t="shared" si="22"/>
        <v>0</v>
      </c>
      <c r="BE16" s="446">
        <f t="shared" si="22"/>
        <v>0</v>
      </c>
      <c r="BF16" s="447">
        <f t="shared" si="44"/>
        <v>125042.60076080958</v>
      </c>
      <c r="BH16" s="448">
        <f>'Op Cost-26'!E7</f>
        <v>447645</v>
      </c>
      <c r="BI16" s="449">
        <f t="shared" si="23"/>
        <v>0.27933429561552031</v>
      </c>
      <c r="BJ16" s="450">
        <f t="shared" si="24"/>
        <v>125042.60076080958</v>
      </c>
      <c r="BK16" s="451">
        <f t="shared" si="25"/>
        <v>0</v>
      </c>
      <c r="BL16" s="1">
        <f t="shared" si="45"/>
        <v>0.5666471182921925</v>
      </c>
      <c r="BM16" s="112">
        <f t="shared" si="46"/>
        <v>0.37629495053765782</v>
      </c>
      <c r="BN16" s="112">
        <f t="shared" si="47"/>
        <v>0.33204562097149509</v>
      </c>
      <c r="BO16" s="113">
        <f t="shared" si="48"/>
        <v>0.77912395082980856</v>
      </c>
      <c r="BP16" s="452">
        <f t="shared" si="26"/>
        <v>125042.60076080958</v>
      </c>
      <c r="BQ16" s="115">
        <f t="shared" si="49"/>
        <v>5.8864542496596536E-4</v>
      </c>
      <c r="BR16" s="116">
        <f t="shared" si="50"/>
        <v>5.8864542496596536E-4</v>
      </c>
      <c r="BS16" s="453">
        <f t="shared" si="51"/>
        <v>6.1706655783636563E-4</v>
      </c>
      <c r="BT16" s="118">
        <f t="shared" si="52"/>
        <v>129652.4236263053</v>
      </c>
      <c r="BU16" s="119">
        <f t="shared" si="53"/>
        <v>134293.5</v>
      </c>
      <c r="BV16" s="119">
        <f t="shared" si="54"/>
        <v>129652.4236263053</v>
      </c>
      <c r="BW16" s="119">
        <f t="shared" si="65"/>
        <v>0</v>
      </c>
      <c r="BX16" s="120">
        <f t="shared" si="55"/>
        <v>5.8864542496596536E-4</v>
      </c>
      <c r="BY16" s="454">
        <f t="shared" si="56"/>
        <v>6.4764981608286896E-4</v>
      </c>
      <c r="BZ16" s="122">
        <f t="shared" si="57"/>
        <v>129828.27484176004</v>
      </c>
      <c r="CA16" s="455">
        <f t="shared" si="27"/>
        <v>1.1101070262558293E-3</v>
      </c>
      <c r="CB16" s="456">
        <f t="shared" si="28"/>
        <v>8293.1033740101302</v>
      </c>
      <c r="CC16" s="456">
        <f t="shared" si="29"/>
        <v>133335.70413481971</v>
      </c>
      <c r="CD16" s="457">
        <f t="shared" si="30"/>
        <v>0.29786036733308696</v>
      </c>
      <c r="CE16" s="458">
        <f t="shared" si="31"/>
        <v>0</v>
      </c>
      <c r="CF16" s="17"/>
      <c r="CG16" s="459">
        <f t="shared" si="32"/>
        <v>447645</v>
      </c>
      <c r="CH16" s="460">
        <f t="shared" si="58"/>
        <v>0.29786036733308696</v>
      </c>
      <c r="CI16" s="461">
        <f t="shared" si="33"/>
        <v>133335.70413481971</v>
      </c>
      <c r="CJ16" s="462">
        <f t="shared" si="34"/>
        <v>0</v>
      </c>
      <c r="CL16" s="463">
        <f t="shared" si="35"/>
        <v>133335.70413481971</v>
      </c>
      <c r="CM16" s="464">
        <f t="shared" si="36"/>
        <v>1.1463629212131506E-3</v>
      </c>
      <c r="CN16" s="465">
        <f t="shared" si="37"/>
        <v>164.66563599984218</v>
      </c>
      <c r="CO16" s="466">
        <f t="shared" si="59"/>
        <v>133500.36977081955</v>
      </c>
      <c r="CP16" s="467">
        <f t="shared" si="60"/>
        <v>0.29822821604356031</v>
      </c>
      <c r="CQ16" s="468">
        <f t="shared" si="38"/>
        <v>0</v>
      </c>
      <c r="CR16" s="469"/>
      <c r="CS16" s="470">
        <f t="shared" si="39"/>
        <v>134293.5</v>
      </c>
      <c r="CT16" s="465">
        <f t="shared" si="40"/>
        <v>0</v>
      </c>
      <c r="CU16" s="471">
        <f t="shared" si="41"/>
        <v>133500.36977081955</v>
      </c>
      <c r="CV16" s="472">
        <f t="shared" si="42"/>
        <v>0.29822821604356031</v>
      </c>
      <c r="CY16" s="473">
        <v>566</v>
      </c>
      <c r="CZ16" s="474">
        <f t="shared" si="61"/>
        <v>134066.36977081955</v>
      </c>
      <c r="DA16" s="475">
        <f t="shared" si="62"/>
        <v>0.29949261082067163</v>
      </c>
      <c r="DB16" s="1">
        <f t="shared" si="63"/>
        <v>0</v>
      </c>
      <c r="DC16" s="293">
        <f t="shared" si="64"/>
        <v>0.29002507532030969</v>
      </c>
      <c r="DF16" s="476"/>
    </row>
    <row r="17" spans="1:110">
      <c r="A17" s="477" t="s">
        <v>88</v>
      </c>
      <c r="B17" s="428" t="s">
        <v>89</v>
      </c>
      <c r="C17" s="429"/>
      <c r="D17" s="91">
        <f>'Op Cost-26'!E8</f>
        <v>14481448</v>
      </c>
      <c r="E17" s="92">
        <f>'Ridership-26'!$E8</f>
        <v>1476869</v>
      </c>
      <c r="F17" s="92">
        <f>'Revenue Hours-26'!$E8</f>
        <v>128069</v>
      </c>
      <c r="G17" s="92">
        <f>'Revenue Miles-26'!$E8</f>
        <v>1380275</v>
      </c>
      <c r="H17" s="430">
        <f t="shared" si="0"/>
        <v>2.5694684841576283E-2</v>
      </c>
      <c r="I17" s="431">
        <f t="shared" si="1"/>
        <v>2.569468484157629E-2</v>
      </c>
      <c r="J17" s="432"/>
      <c r="K17" s="433">
        <f>'Ridership-26'!B8/'Revenue Hours-26'!B8</f>
        <v>6.5903135821469796</v>
      </c>
      <c r="L17" s="539">
        <f>'Ridership-26'!C8/'Revenue Hours-26'!I8</f>
        <v>13.15305492915798</v>
      </c>
      <c r="M17" s="539">
        <f>'Ridership-26'!D8/'Revenue Hours-26'!J8</f>
        <v>10.956321576014718</v>
      </c>
      <c r="N17" s="539">
        <f>'Ridership-26'!E8/'Revenue Hours-26'!K8</f>
        <v>11.531822689331532</v>
      </c>
      <c r="O17" s="435">
        <f t="shared" si="2"/>
        <v>1.0801586609984979</v>
      </c>
      <c r="P17" s="436">
        <f t="shared" si="3"/>
        <v>2.7754336373255445E-2</v>
      </c>
      <c r="Q17" s="437">
        <f t="shared" si="4"/>
        <v>2.6480543135776087E-2</v>
      </c>
      <c r="R17" s="438">
        <f>'Ridership-26'!B8/'Revenue Miles-26'!B8</f>
        <v>0.65665071513529727</v>
      </c>
      <c r="S17" s="539">
        <f>'Ridership-26'!C8/'Revenue Miles-26'!I8</f>
        <v>1.0437083935072138</v>
      </c>
      <c r="T17" s="539">
        <f>'Ridership-26'!D8/'Revenue Miles-26'!J8</f>
        <v>1.0015167534877283</v>
      </c>
      <c r="U17" s="539">
        <f>'Ridership-26'!E8/'Revenue Miles-26'!K8</f>
        <v>1.0699817065439858</v>
      </c>
      <c r="V17" s="435">
        <f t="shared" si="5"/>
        <v>1.0214923032337606</v>
      </c>
      <c r="W17" s="436">
        <f t="shared" si="6"/>
        <v>2.624692279968736E-2</v>
      </c>
      <c r="X17" s="437">
        <f t="shared" si="7"/>
        <v>2.4978691294564394E-2</v>
      </c>
      <c r="Y17" s="438">
        <f>'Op Cost-26'!B8/'Revenue Hours-26'!B8</f>
        <v>123.85324163139668</v>
      </c>
      <c r="Z17" s="434">
        <f>'Op Cost-26'!C8/'Revenue Hours-26'!C8</f>
        <v>137.78897374803216</v>
      </c>
      <c r="AA17" s="434">
        <f>'Op Cost-26'!D8/'Revenue Hours-26'!D8</f>
        <v>129.86446660739594</v>
      </c>
      <c r="AB17" s="434">
        <f>'Op Cost-26'!E8/'Revenue Hours-26'!E8</f>
        <v>113.07535781492788</v>
      </c>
      <c r="AC17" s="435">
        <f t="shared" si="8"/>
        <v>0.93434210903999049</v>
      </c>
      <c r="AD17" s="436">
        <f t="shared" si="9"/>
        <v>2.7500296297227615E-2</v>
      </c>
      <c r="AE17" s="437">
        <f t="shared" si="10"/>
        <v>2.7555473978915942E-2</v>
      </c>
      <c r="AF17" s="438">
        <f>'Op Cost-26'!B8/'Revenue Miles-26'!B8</f>
        <v>12.340584203670993</v>
      </c>
      <c r="AG17" s="434">
        <f>'Op Cost-26'!C8/'Revenue Miles-26'!C8</f>
        <v>10.933696332002826</v>
      </c>
      <c r="AH17" s="434">
        <f>'Op Cost-26'!D8/'Revenue Miles-26'!D8</f>
        <v>11.870903759778434</v>
      </c>
      <c r="AI17" s="434">
        <f>'Op Cost-26'!E8/'Revenue Miles-26'!E8</f>
        <v>10.491712158808934</v>
      </c>
      <c r="AJ17" s="435">
        <f t="shared" si="11"/>
        <v>0.91149178626529148</v>
      </c>
      <c r="AK17" s="436">
        <f t="shared" si="12"/>
        <v>2.8189705303716034E-2</v>
      </c>
      <c r="AL17" s="437">
        <f t="shared" si="13"/>
        <v>2.8241358981797214E-2</v>
      </c>
      <c r="AM17" s="438">
        <f>'Op Cost-26'!B8/'Ridership-26'!B8</f>
        <v>18.793224341693318</v>
      </c>
      <c r="AN17" s="434">
        <f>'Op Cost-26'!C8/'Ridership-26'!C8</f>
        <v>10.475815275626847</v>
      </c>
      <c r="AO17" s="434">
        <f>'Op Cost-26'!D8/'Ridership-26'!D8</f>
        <v>11.852925793241749</v>
      </c>
      <c r="AP17" s="434">
        <f>'Op Cost-26'!E8/'Ridership-26'!E8</f>
        <v>9.8055061078538444</v>
      </c>
      <c r="AQ17" s="435">
        <f t="shared" si="14"/>
        <v>0.93027130136651037</v>
      </c>
      <c r="AR17" s="436">
        <f t="shared" si="15"/>
        <v>2.7620635833688952E-2</v>
      </c>
      <c r="AS17" s="440">
        <f t="shared" si="16"/>
        <v>2.7772628763550463E-2</v>
      </c>
      <c r="AT17" s="432"/>
      <c r="AU17" s="441">
        <f t="shared" si="17"/>
        <v>0</v>
      </c>
      <c r="AV17" s="442">
        <f t="shared" si="18"/>
        <v>0</v>
      </c>
      <c r="AW17" s="442">
        <f t="shared" si="19"/>
        <v>0</v>
      </c>
      <c r="AX17" s="442">
        <f t="shared" si="20"/>
        <v>0</v>
      </c>
      <c r="AY17" s="443">
        <f t="shared" si="21"/>
        <v>0</v>
      </c>
      <c r="AZ17" s="444">
        <f t="shared" si="43"/>
        <v>-1</v>
      </c>
      <c r="BA17" s="445">
        <f t="shared" si="22"/>
        <v>0</v>
      </c>
      <c r="BB17" s="446">
        <f t="shared" si="22"/>
        <v>0</v>
      </c>
      <c r="BC17" s="446">
        <f t="shared" si="22"/>
        <v>0</v>
      </c>
      <c r="BD17" s="446">
        <f t="shared" si="22"/>
        <v>0</v>
      </c>
      <c r="BE17" s="446">
        <f t="shared" si="22"/>
        <v>0</v>
      </c>
      <c r="BF17" s="447">
        <f t="shared" si="44"/>
        <v>3092859.5930057992</v>
      </c>
      <c r="BH17" s="448">
        <f>'Op Cost-26'!E8</f>
        <v>14481448</v>
      </c>
      <c r="BI17" s="449">
        <f t="shared" si="23"/>
        <v>0.2135739183682322</v>
      </c>
      <c r="BJ17" s="450">
        <f t="shared" si="24"/>
        <v>3092859.5930057992</v>
      </c>
      <c r="BK17" s="451">
        <f t="shared" si="25"/>
        <v>0</v>
      </c>
      <c r="BL17" s="1">
        <f t="shared" si="45"/>
        <v>1.1950870207477182</v>
      </c>
      <c r="BM17" s="112">
        <f t="shared" si="46"/>
        <v>1.1759810144561496</v>
      </c>
      <c r="BN17" s="112">
        <f t="shared" si="47"/>
        <v>1.4422763590963037</v>
      </c>
      <c r="BO17" s="113">
        <f t="shared" si="48"/>
        <v>1.0810453547192098</v>
      </c>
      <c r="BP17" s="452">
        <f t="shared" si="26"/>
        <v>3092859.5930057992</v>
      </c>
      <c r="BQ17" s="115">
        <f t="shared" si="49"/>
        <v>3.0707384356370965E-2</v>
      </c>
      <c r="BR17" s="116">
        <f t="shared" si="50"/>
        <v>3.0707384356370965E-2</v>
      </c>
      <c r="BS17" s="453">
        <f t="shared" si="51"/>
        <v>3.2190006345568165E-2</v>
      </c>
      <c r="BT17" s="118">
        <f t="shared" si="52"/>
        <v>3333336.4514707215</v>
      </c>
      <c r="BU17" s="119">
        <f t="shared" si="53"/>
        <v>4344434.3999999994</v>
      </c>
      <c r="BV17" s="119">
        <f t="shared" si="54"/>
        <v>3333336.4514707215</v>
      </c>
      <c r="BW17" s="119">
        <f t="shared" si="65"/>
        <v>0</v>
      </c>
      <c r="BX17" s="120">
        <f t="shared" si="55"/>
        <v>3.0707384356370965E-2</v>
      </c>
      <c r="BY17" s="454">
        <f t="shared" si="56"/>
        <v>3.3785418160583676E-2</v>
      </c>
      <c r="BZ17" s="122">
        <f t="shared" si="57"/>
        <v>3342509.9379763133</v>
      </c>
      <c r="CA17" s="455">
        <f t="shared" si="27"/>
        <v>2.7457883509526045E-2</v>
      </c>
      <c r="CB17" s="456">
        <f t="shared" si="28"/>
        <v>205125.32664895547</v>
      </c>
      <c r="CC17" s="456">
        <f t="shared" si="29"/>
        <v>3297984.9196547549</v>
      </c>
      <c r="CD17" s="457">
        <f t="shared" si="30"/>
        <v>0.22773861561735781</v>
      </c>
      <c r="CE17" s="458">
        <f t="shared" si="31"/>
        <v>0</v>
      </c>
      <c r="CF17" s="17"/>
      <c r="CG17" s="459">
        <f t="shared" si="32"/>
        <v>14481448</v>
      </c>
      <c r="CH17" s="460">
        <f t="shared" si="58"/>
        <v>0.22773861561735781</v>
      </c>
      <c r="CI17" s="461">
        <f t="shared" si="33"/>
        <v>3297984.9196547549</v>
      </c>
      <c r="CJ17" s="462">
        <f t="shared" si="34"/>
        <v>0</v>
      </c>
      <c r="CL17" s="463">
        <f t="shared" si="35"/>
        <v>3297984.9196547549</v>
      </c>
      <c r="CM17" s="464">
        <f t="shared" si="36"/>
        <v>2.8354653025191037E-2</v>
      </c>
      <c r="CN17" s="465">
        <f t="shared" si="37"/>
        <v>4072.9134618266207</v>
      </c>
      <c r="CO17" s="466">
        <f t="shared" si="59"/>
        <v>3302057.8331165817</v>
      </c>
      <c r="CP17" s="467">
        <f t="shared" si="60"/>
        <v>0.22801986604630847</v>
      </c>
      <c r="CQ17" s="468">
        <f t="shared" si="38"/>
        <v>0</v>
      </c>
      <c r="CR17" s="469"/>
      <c r="CS17" s="470">
        <f t="shared" si="39"/>
        <v>4344434.3999999994</v>
      </c>
      <c r="CT17" s="465">
        <f t="shared" si="40"/>
        <v>0</v>
      </c>
      <c r="CU17" s="471">
        <f t="shared" si="41"/>
        <v>3302057.8331165817</v>
      </c>
      <c r="CV17" s="472">
        <f t="shared" si="42"/>
        <v>0.22801986604630847</v>
      </c>
      <c r="CY17" s="473">
        <v>0</v>
      </c>
      <c r="CZ17" s="474">
        <f t="shared" si="61"/>
        <v>3302057.8331165817</v>
      </c>
      <c r="DA17" s="475">
        <f t="shared" si="62"/>
        <v>0.22801986604630847</v>
      </c>
      <c r="DB17" s="1">
        <f t="shared" si="63"/>
        <v>0</v>
      </c>
      <c r="DC17" s="293">
        <f t="shared" si="64"/>
        <v>0.23081324035941111</v>
      </c>
      <c r="DF17" s="476"/>
    </row>
    <row r="18" spans="1:110">
      <c r="A18" s="477" t="s">
        <v>90</v>
      </c>
      <c r="B18" s="428" t="s">
        <v>91</v>
      </c>
      <c r="C18" s="429"/>
      <c r="D18" s="91">
        <f>'Op Cost-26'!E9</f>
        <v>5267046</v>
      </c>
      <c r="E18" s="92">
        <f>'Ridership-26'!$E9</f>
        <v>332441</v>
      </c>
      <c r="F18" s="92">
        <f>'Revenue Hours-26'!$E9</f>
        <v>38032</v>
      </c>
      <c r="G18" s="92">
        <f>'Revenue Miles-26'!$E9</f>
        <v>554895</v>
      </c>
      <c r="H18" s="478">
        <f t="shared" si="0"/>
        <v>7.8422546332279682E-3</v>
      </c>
      <c r="I18" s="431">
        <f t="shared" si="1"/>
        <v>7.84225463322797E-3</v>
      </c>
      <c r="J18" s="432"/>
      <c r="K18" s="433">
        <f>'Ridership-26'!B9/'Revenue Hours-26'!B9</f>
        <v>3.4815432129025932</v>
      </c>
      <c r="L18" s="539">
        <f>'Ridership-26'!C9/'Revenue Hours-26'!I9</f>
        <v>4.4669216251117509</v>
      </c>
      <c r="M18" s="539">
        <f>'Ridership-26'!D9/'Revenue Hours-26'!J9</f>
        <v>7.7552782335063606</v>
      </c>
      <c r="N18" s="539">
        <f>'Ridership-26'!E9/'Revenue Hours-26'!K9</f>
        <v>8.7410864535128319</v>
      </c>
      <c r="O18" s="435">
        <f t="shared" si="2"/>
        <v>1.1714187434979995</v>
      </c>
      <c r="P18" s="436">
        <f t="shared" si="3"/>
        <v>9.1865640686472731E-3</v>
      </c>
      <c r="Q18" s="437">
        <f t="shared" si="4"/>
        <v>8.7649440728043964E-3</v>
      </c>
      <c r="R18" s="438">
        <f>'Ridership-26'!B9/'Revenue Miles-26'!B9</f>
        <v>0.23255357049300571</v>
      </c>
      <c r="S18" s="539">
        <f>'Ridership-26'!C9/'Revenue Miles-26'!I9</f>
        <v>0.30066694525699961</v>
      </c>
      <c r="T18" s="539">
        <f>'Ridership-26'!D9/'Revenue Miles-26'!J9</f>
        <v>0.52558774529639718</v>
      </c>
      <c r="U18" s="539">
        <f>'Ridership-26'!E9/'Revenue Miles-26'!K9</f>
        <v>0.59910613719712735</v>
      </c>
      <c r="V18" s="435">
        <f t="shared" si="5"/>
        <v>1.1856531510578938</v>
      </c>
      <c r="W18" s="436">
        <f t="shared" si="6"/>
        <v>9.2981939172851105E-3</v>
      </c>
      <c r="X18" s="437">
        <f t="shared" si="7"/>
        <v>8.8489122031336839E-3</v>
      </c>
      <c r="Y18" s="438">
        <f>'Op Cost-26'!B9/'Revenue Hours-26'!B9</f>
        <v>97.854576204715912</v>
      </c>
      <c r="Z18" s="434">
        <f>'Op Cost-26'!C9/'Revenue Hours-26'!C9</f>
        <v>112.67122777391477</v>
      </c>
      <c r="AA18" s="434">
        <f>'Op Cost-26'!D9/'Revenue Hours-26'!D9</f>
        <v>122.86288695839272</v>
      </c>
      <c r="AB18" s="434">
        <f>'Op Cost-26'!E9/'Revenue Hours-26'!E9</f>
        <v>138.48985065208245</v>
      </c>
      <c r="AC18" s="435">
        <f t="shared" si="8"/>
        <v>1.0747196303588169</v>
      </c>
      <c r="AD18" s="436">
        <f t="shared" si="9"/>
        <v>7.297023718278668E-3</v>
      </c>
      <c r="AE18" s="437">
        <f t="shared" si="10"/>
        <v>7.3116647551477853E-3</v>
      </c>
      <c r="AF18" s="438">
        <f>'Op Cost-26'!B9/'Revenue Miles-26'!B9</f>
        <v>6.5363057971394145</v>
      </c>
      <c r="AG18" s="434">
        <f>'Op Cost-26'!C9/'Revenue Miles-26'!C9</f>
        <v>7.5838612620142083</v>
      </c>
      <c r="AH18" s="434">
        <f>'Op Cost-26'!D9/'Revenue Miles-26'!D9</f>
        <v>8.3266165046243135</v>
      </c>
      <c r="AI18" s="434">
        <f>'Op Cost-26'!E9/'Revenue Miles-26'!E9</f>
        <v>9.4919687508447552</v>
      </c>
      <c r="AJ18" s="435">
        <f t="shared" si="11"/>
        <v>1.0897309117503498</v>
      </c>
      <c r="AK18" s="436">
        <f t="shared" si="12"/>
        <v>7.1965056223206219E-3</v>
      </c>
      <c r="AL18" s="437">
        <f t="shared" si="13"/>
        <v>7.2096922087258285E-3</v>
      </c>
      <c r="AM18" s="438">
        <f>'Op Cost-26'!B9/'Ridership-26'!B9</f>
        <v>28.106667136018022</v>
      </c>
      <c r="AN18" s="434">
        <f>'Op Cost-26'!C9/'Ridership-26'!C9</f>
        <v>25.223461978940815</v>
      </c>
      <c r="AO18" s="434">
        <f>'Op Cost-26'!D9/'Ridership-26'!D9</f>
        <v>15.842486015210735</v>
      </c>
      <c r="AP18" s="434">
        <f>'Op Cost-26'!E9/'Ridership-26'!E9</f>
        <v>15.843551186526332</v>
      </c>
      <c r="AQ18" s="439">
        <f t="shared" si="14"/>
        <v>0.95162230758164368</v>
      </c>
      <c r="AR18" s="436">
        <f t="shared" si="15"/>
        <v>8.240931902024743E-3</v>
      </c>
      <c r="AS18" s="440">
        <f t="shared" si="16"/>
        <v>8.2862807271611352E-3</v>
      </c>
      <c r="AT18" s="432"/>
      <c r="AU18" s="441">
        <f t="shared" si="17"/>
        <v>0</v>
      </c>
      <c r="AV18" s="442">
        <f t="shared" si="18"/>
        <v>0</v>
      </c>
      <c r="AW18" s="442">
        <f t="shared" si="19"/>
        <v>0</v>
      </c>
      <c r="AX18" s="442">
        <f t="shared" si="20"/>
        <v>0</v>
      </c>
      <c r="AY18" s="443">
        <f t="shared" si="21"/>
        <v>0</v>
      </c>
      <c r="AZ18" s="444">
        <f t="shared" si="43"/>
        <v>-1</v>
      </c>
      <c r="BA18" s="445">
        <f t="shared" si="22"/>
        <v>0</v>
      </c>
      <c r="BB18" s="446">
        <f t="shared" si="22"/>
        <v>0</v>
      </c>
      <c r="BC18" s="446">
        <f t="shared" si="22"/>
        <v>0</v>
      </c>
      <c r="BD18" s="446">
        <f t="shared" si="22"/>
        <v>0</v>
      </c>
      <c r="BE18" s="446">
        <f t="shared" si="22"/>
        <v>0</v>
      </c>
      <c r="BF18" s="447">
        <f t="shared" si="44"/>
        <v>943969.25366940326</v>
      </c>
      <c r="BH18" s="448">
        <f>'Op Cost-26'!E9</f>
        <v>5267046</v>
      </c>
      <c r="BI18" s="449">
        <f t="shared" si="23"/>
        <v>0.17922175991426756</v>
      </c>
      <c r="BJ18" s="450">
        <f t="shared" si="24"/>
        <v>943969.25366940326</v>
      </c>
      <c r="BK18" s="451">
        <f t="shared" si="25"/>
        <v>0</v>
      </c>
      <c r="BL18" s="1">
        <f t="shared" si="45"/>
        <v>0.64275335162776781</v>
      </c>
      <c r="BM18" s="112">
        <f t="shared" si="46"/>
        <v>0.66821822513490536</v>
      </c>
      <c r="BN18" s="112">
        <f t="shared" si="47"/>
        <v>0.64149805496375178</v>
      </c>
      <c r="BO18" s="113">
        <f t="shared" si="48"/>
        <v>0.6306485632062071</v>
      </c>
      <c r="BP18" s="452">
        <f t="shared" si="26"/>
        <v>943969.25366940326</v>
      </c>
      <c r="BQ18" s="115">
        <f t="shared" si="49"/>
        <v>5.0406354498256688E-3</v>
      </c>
      <c r="BR18" s="116">
        <f t="shared" si="50"/>
        <v>5.0406354498256688E-3</v>
      </c>
      <c r="BS18" s="453">
        <f t="shared" si="51"/>
        <v>5.2840087332908861E-3</v>
      </c>
      <c r="BT18" s="118">
        <f t="shared" si="52"/>
        <v>983443.67335860443</v>
      </c>
      <c r="BU18" s="119">
        <f t="shared" si="53"/>
        <v>1580113.8</v>
      </c>
      <c r="BV18" s="119">
        <f t="shared" si="54"/>
        <v>983443.67335860443</v>
      </c>
      <c r="BW18" s="119">
        <f t="shared" si="65"/>
        <v>0</v>
      </c>
      <c r="BX18" s="120">
        <f t="shared" si="55"/>
        <v>5.0406354498256688E-3</v>
      </c>
      <c r="BY18" s="454">
        <f t="shared" si="56"/>
        <v>5.5458965339094182E-3</v>
      </c>
      <c r="BZ18" s="122">
        <f t="shared" si="57"/>
        <v>984949.50663772551</v>
      </c>
      <c r="CA18" s="455">
        <f t="shared" si="27"/>
        <v>8.3803991175166528E-3</v>
      </c>
      <c r="CB18" s="456">
        <f t="shared" si="28"/>
        <v>62606.140266886658</v>
      </c>
      <c r="CC18" s="456">
        <f t="shared" si="29"/>
        <v>1006575.3939362899</v>
      </c>
      <c r="CD18" s="457">
        <f t="shared" si="30"/>
        <v>0.19110814561640244</v>
      </c>
      <c r="CE18" s="458">
        <f t="shared" si="31"/>
        <v>0</v>
      </c>
      <c r="CF18" s="17"/>
      <c r="CG18" s="459">
        <f t="shared" si="32"/>
        <v>5267046</v>
      </c>
      <c r="CH18" s="460">
        <f t="shared" si="58"/>
        <v>0.19110814561640244</v>
      </c>
      <c r="CI18" s="461">
        <f t="shared" si="33"/>
        <v>1006575.3939362899</v>
      </c>
      <c r="CJ18" s="462">
        <f t="shared" si="34"/>
        <v>0</v>
      </c>
      <c r="CL18" s="463">
        <f t="shared" si="35"/>
        <v>1006575.3939362899</v>
      </c>
      <c r="CM18" s="464">
        <f t="shared" si="36"/>
        <v>8.6541014389314649E-3</v>
      </c>
      <c r="CN18" s="465">
        <f t="shared" si="37"/>
        <v>1243.0907272722523</v>
      </c>
      <c r="CO18" s="466">
        <f t="shared" si="59"/>
        <v>1007818.4846635622</v>
      </c>
      <c r="CP18" s="467">
        <f t="shared" si="60"/>
        <v>0.19134415850242473</v>
      </c>
      <c r="CQ18" s="468">
        <f t="shared" si="38"/>
        <v>0</v>
      </c>
      <c r="CR18" s="469"/>
      <c r="CS18" s="470">
        <f t="shared" si="39"/>
        <v>1580113.8</v>
      </c>
      <c r="CT18" s="465">
        <f t="shared" si="40"/>
        <v>0</v>
      </c>
      <c r="CU18" s="471">
        <f t="shared" si="41"/>
        <v>1007818.4846635622</v>
      </c>
      <c r="CV18" s="472">
        <f t="shared" si="42"/>
        <v>0.19134415850242473</v>
      </c>
      <c r="CY18" s="473">
        <v>0</v>
      </c>
      <c r="CZ18" s="474">
        <f t="shared" si="61"/>
        <v>1007818.4846635622</v>
      </c>
      <c r="DA18" s="475">
        <f t="shared" si="62"/>
        <v>0.19134415850242473</v>
      </c>
      <c r="DB18" s="1">
        <f t="shared" si="63"/>
        <v>0</v>
      </c>
      <c r="DC18" s="293">
        <f t="shared" si="64"/>
        <v>0.18700226021145924</v>
      </c>
      <c r="DF18" s="476"/>
    </row>
    <row r="19" spans="1:110">
      <c r="A19" s="477" t="s">
        <v>92</v>
      </c>
      <c r="B19" s="428" t="s">
        <v>93</v>
      </c>
      <c r="C19" s="429"/>
      <c r="D19" s="91">
        <f>'Op Cost-26'!E10</f>
        <v>2126888</v>
      </c>
      <c r="E19" s="92">
        <f>'Ridership-26'!$E10</f>
        <v>77878</v>
      </c>
      <c r="F19" s="92">
        <f>'Revenue Hours-26'!$E10</f>
        <v>24727.8</v>
      </c>
      <c r="G19" s="92">
        <f>'Revenue Miles-26'!$E10</f>
        <v>463883</v>
      </c>
      <c r="H19" s="478">
        <f t="shared" si="0"/>
        <v>3.6403372416836332E-3</v>
      </c>
      <c r="I19" s="431">
        <f t="shared" si="1"/>
        <v>3.640337241683634E-3</v>
      </c>
      <c r="J19" s="432"/>
      <c r="K19" s="433">
        <f>'Ridership-26'!B10/'Revenue Hours-26'!B10</f>
        <v>5.361326293975428</v>
      </c>
      <c r="L19" s="539">
        <f>'Ridership-26'!C10/'Revenue Hours-26'!I10</f>
        <v>3.4816356739753909</v>
      </c>
      <c r="M19" s="539">
        <f>'Ridership-26'!D10/'Revenue Hours-26'!J10</f>
        <v>3.3501561802766622</v>
      </c>
      <c r="N19" s="539">
        <f>'Ridership-26'!E10/'Revenue Hours-26'!K10</f>
        <v>3.1494107846229751</v>
      </c>
      <c r="O19" s="435">
        <f t="shared" si="2"/>
        <v>0.73134212552263556</v>
      </c>
      <c r="P19" s="436">
        <f t="shared" si="3"/>
        <v>2.6623319759521173E-3</v>
      </c>
      <c r="Q19" s="437">
        <f t="shared" si="4"/>
        <v>2.5401434854299392E-3</v>
      </c>
      <c r="R19" s="438">
        <f>'Ridership-26'!B10/'Revenue Miles-26'!B10</f>
        <v>0.29459705668644059</v>
      </c>
      <c r="S19" s="539">
        <f>'Ridership-26'!C10/'Revenue Miles-26'!I10</f>
        <v>0.18135424146189841</v>
      </c>
      <c r="T19" s="539">
        <f>'Ridership-26'!D10/'Revenue Miles-26'!J10</f>
        <v>0.16980829081171064</v>
      </c>
      <c r="U19" s="539">
        <f>'Ridership-26'!E10/'Revenue Miles-26'!K10</f>
        <v>0.16788284977030846</v>
      </c>
      <c r="V19" s="435">
        <f t="shared" si="5"/>
        <v>0.73210443369450051</v>
      </c>
      <c r="W19" s="436">
        <f t="shared" si="6"/>
        <v>2.665107034779797E-3</v>
      </c>
      <c r="X19" s="437">
        <f t="shared" si="7"/>
        <v>2.5363310738098941E-3</v>
      </c>
      <c r="Y19" s="438">
        <f>'Op Cost-26'!B10/'Revenue Hours-26'!B10</f>
        <v>71.305225243005879</v>
      </c>
      <c r="Z19" s="434">
        <f>'Op Cost-26'!C10/'Revenue Hours-26'!C10</f>
        <v>79.874363955962622</v>
      </c>
      <c r="AA19" s="434">
        <f>'Op Cost-26'!D10/'Revenue Hours-26'!D10</f>
        <v>87.91722445336903</v>
      </c>
      <c r="AB19" s="434">
        <f>'Op Cost-26'!E10/'Revenue Hours-26'!E10</f>
        <v>86.01201886136252</v>
      </c>
      <c r="AC19" s="435">
        <f t="shared" si="8"/>
        <v>1.0196484156589218</v>
      </c>
      <c r="AD19" s="436">
        <f t="shared" si="9"/>
        <v>3.5701886903155328E-3</v>
      </c>
      <c r="AE19" s="437">
        <f t="shared" si="10"/>
        <v>3.5773520580477326E-3</v>
      </c>
      <c r="AF19" s="438">
        <f>'Op Cost-26'!B10/'Revenue Miles-26'!B10</f>
        <v>3.9181180795800845</v>
      </c>
      <c r="AG19" s="434">
        <f>'Op Cost-26'!C10/'Revenue Miles-26'!C10</f>
        <v>4.1605601630756928</v>
      </c>
      <c r="AH19" s="434">
        <f>'Op Cost-26'!D10/'Revenue Miles-26'!D10</f>
        <v>4.456232131871313</v>
      </c>
      <c r="AI19" s="434">
        <f>'Op Cost-26'!E10/'Revenue Miles-26'!E10</f>
        <v>4.5849664678377957</v>
      </c>
      <c r="AJ19" s="435">
        <f t="shared" si="11"/>
        <v>1.0128076498369882</v>
      </c>
      <c r="AK19" s="436">
        <f t="shared" si="12"/>
        <v>3.5943026716569013E-3</v>
      </c>
      <c r="AL19" s="437">
        <f t="shared" si="13"/>
        <v>3.6008887267833314E-3</v>
      </c>
      <c r="AM19" s="438">
        <f>'Op Cost-26'!B10/'Ridership-26'!B10</f>
        <v>13.299922693220932</v>
      </c>
      <c r="AN19" s="434">
        <f>'Op Cost-26'!C10/'Ridership-26'!C10</f>
        <v>22.941620386363031</v>
      </c>
      <c r="AO19" s="434">
        <f>'Op Cost-26'!D10/'Ridership-26'!D10</f>
        <v>26.242724136553139</v>
      </c>
      <c r="AP19" s="434">
        <f>'Op Cost-26'!E10/'Ridership-26'!E10</f>
        <v>27.310511312565808</v>
      </c>
      <c r="AQ19" s="439">
        <f t="shared" si="14"/>
        <v>1.5025184960180014</v>
      </c>
      <c r="AR19" s="436">
        <f t="shared" si="15"/>
        <v>2.4228235800965608E-3</v>
      </c>
      <c r="AS19" s="440">
        <f t="shared" si="16"/>
        <v>2.4361560774617112E-3</v>
      </c>
      <c r="AT19" s="432"/>
      <c r="AU19" s="441">
        <f t="shared" si="17"/>
        <v>0</v>
      </c>
      <c r="AV19" s="442">
        <f t="shared" si="18"/>
        <v>0</v>
      </c>
      <c r="AW19" s="442">
        <f t="shared" si="19"/>
        <v>0</v>
      </c>
      <c r="AX19" s="442">
        <f t="shared" si="20"/>
        <v>0</v>
      </c>
      <c r="AY19" s="443">
        <f t="shared" si="21"/>
        <v>0</v>
      </c>
      <c r="AZ19" s="444">
        <f t="shared" si="43"/>
        <v>-1</v>
      </c>
      <c r="BA19" s="445">
        <f t="shared" si="22"/>
        <v>0</v>
      </c>
      <c r="BB19" s="446">
        <f t="shared" si="22"/>
        <v>0</v>
      </c>
      <c r="BC19" s="446">
        <f t="shared" si="22"/>
        <v>0</v>
      </c>
      <c r="BD19" s="446">
        <f t="shared" si="22"/>
        <v>0</v>
      </c>
      <c r="BE19" s="446">
        <f t="shared" si="22"/>
        <v>0</v>
      </c>
      <c r="BF19" s="447">
        <f t="shared" si="44"/>
        <v>438186.0306571789</v>
      </c>
      <c r="BH19" s="448">
        <f>'Op Cost-26'!E10</f>
        <v>2126888</v>
      </c>
      <c r="BI19" s="449">
        <f t="shared" si="23"/>
        <v>0.20602214628000107</v>
      </c>
      <c r="BJ19" s="450">
        <f t="shared" si="24"/>
        <v>438186.0306571789</v>
      </c>
      <c r="BK19" s="451">
        <f t="shared" si="25"/>
        <v>0</v>
      </c>
      <c r="BL19" s="1">
        <f t="shared" si="45"/>
        <v>0.37025923160253738</v>
      </c>
      <c r="BM19" s="112">
        <f t="shared" si="46"/>
        <v>0.32830147473350396</v>
      </c>
      <c r="BN19" s="112">
        <f t="shared" si="47"/>
        <v>0.24125917618839562</v>
      </c>
      <c r="BO19" s="113">
        <f t="shared" si="48"/>
        <v>0.45573813774412503</v>
      </c>
      <c r="BP19" s="452">
        <f t="shared" si="26"/>
        <v>438186.0306571789</v>
      </c>
      <c r="BQ19" s="115">
        <f t="shared" si="49"/>
        <v>1.3478684698798827E-3</v>
      </c>
      <c r="BR19" s="116">
        <f t="shared" si="50"/>
        <v>1.3478684698798827E-3</v>
      </c>
      <c r="BS19" s="453">
        <f t="shared" si="51"/>
        <v>1.4129466090270512E-3</v>
      </c>
      <c r="BT19" s="118">
        <f t="shared" si="52"/>
        <v>448741.51045640145</v>
      </c>
      <c r="BU19" s="119">
        <f t="shared" si="53"/>
        <v>638066.4</v>
      </c>
      <c r="BV19" s="119">
        <f t="shared" si="54"/>
        <v>448741.51045640145</v>
      </c>
      <c r="BW19" s="119">
        <f t="shared" si="65"/>
        <v>0</v>
      </c>
      <c r="BX19" s="120">
        <f t="shared" si="55"/>
        <v>1.3478684698798827E-3</v>
      </c>
      <c r="BY19" s="454">
        <f t="shared" si="56"/>
        <v>1.4829755394294903E-3</v>
      </c>
      <c r="BZ19" s="122">
        <f t="shared" si="57"/>
        <v>449144.17103720049</v>
      </c>
      <c r="CA19" s="455">
        <f t="shared" si="27"/>
        <v>3.890141347668952E-3</v>
      </c>
      <c r="CB19" s="456">
        <f t="shared" si="28"/>
        <v>29061.472067734598</v>
      </c>
      <c r="CC19" s="456">
        <f t="shared" si="29"/>
        <v>467247.50272491347</v>
      </c>
      <c r="CD19" s="457">
        <f t="shared" si="30"/>
        <v>0.21968599320928675</v>
      </c>
      <c r="CE19" s="458">
        <f t="shared" si="31"/>
        <v>0</v>
      </c>
      <c r="CF19" s="17"/>
      <c r="CG19" s="459">
        <f t="shared" si="32"/>
        <v>2126888</v>
      </c>
      <c r="CH19" s="460">
        <f t="shared" si="58"/>
        <v>0.21968599320928675</v>
      </c>
      <c r="CI19" s="461">
        <f t="shared" si="33"/>
        <v>467247.50272491347</v>
      </c>
      <c r="CJ19" s="462">
        <f t="shared" si="34"/>
        <v>0</v>
      </c>
      <c r="CL19" s="463">
        <f t="shared" si="35"/>
        <v>467247.50272491347</v>
      </c>
      <c r="CM19" s="464">
        <f t="shared" si="36"/>
        <v>4.0171926614021155E-3</v>
      </c>
      <c r="CN19" s="465">
        <f t="shared" si="37"/>
        <v>577.03679374385683</v>
      </c>
      <c r="CO19" s="466">
        <f t="shared" si="59"/>
        <v>467824.53951865732</v>
      </c>
      <c r="CP19" s="467">
        <f t="shared" si="60"/>
        <v>0.21995729888863791</v>
      </c>
      <c r="CQ19" s="468">
        <f t="shared" si="38"/>
        <v>0</v>
      </c>
      <c r="CR19" s="469"/>
      <c r="CS19" s="470">
        <f t="shared" si="39"/>
        <v>638066.4</v>
      </c>
      <c r="CT19" s="465">
        <f t="shared" si="40"/>
        <v>0</v>
      </c>
      <c r="CU19" s="471">
        <f t="shared" si="41"/>
        <v>467824.53951865732</v>
      </c>
      <c r="CV19" s="472">
        <f t="shared" si="42"/>
        <v>0.21995729888863791</v>
      </c>
      <c r="CY19" s="473">
        <v>0</v>
      </c>
      <c r="CZ19" s="474">
        <f t="shared" si="61"/>
        <v>467824.53951865732</v>
      </c>
      <c r="DA19" s="475">
        <f t="shared" si="62"/>
        <v>0.21995729888863791</v>
      </c>
      <c r="DB19" s="1">
        <f t="shared" si="63"/>
        <v>0</v>
      </c>
      <c r="DC19" s="293">
        <f t="shared" si="64"/>
        <v>0.21117434065037768</v>
      </c>
      <c r="DF19" s="476"/>
    </row>
    <row r="20" spans="1:110">
      <c r="A20" s="477" t="s">
        <v>92</v>
      </c>
      <c r="B20" s="428" t="s">
        <v>94</v>
      </c>
      <c r="C20" s="429"/>
      <c r="D20" s="91">
        <f>'Op Cost-26'!E11</f>
        <v>225862</v>
      </c>
      <c r="E20" s="92">
        <f>'Ridership-26'!$E11</f>
        <v>11821</v>
      </c>
      <c r="F20" s="92">
        <f>'Revenue Hours-26'!$E11</f>
        <v>2826</v>
      </c>
      <c r="G20" s="92">
        <f>'Revenue Miles-26'!$E11</f>
        <v>53914</v>
      </c>
      <c r="H20" s="478">
        <f t="shared" si="0"/>
        <v>4.2696922156798859E-4</v>
      </c>
      <c r="I20" s="431">
        <f t="shared" si="1"/>
        <v>4.269692215679887E-4</v>
      </c>
      <c r="J20" s="432"/>
      <c r="K20" s="433">
        <f>'Ridership-26'!B11/'Revenue Hours-26'!B11</f>
        <v>1.3415032679738561</v>
      </c>
      <c r="L20" s="539">
        <f>'Ridership-26'!C11/'Revenue Hours-26'!I11</f>
        <v>1.759546925566343</v>
      </c>
      <c r="M20" s="539">
        <f>'Ridership-26'!D11/'Revenue Hours-26'!J11</f>
        <v>3.4945302445302446</v>
      </c>
      <c r="N20" s="539">
        <f>'Ridership-26'!E11/'Revenue Hours-26'!K11</f>
        <v>4.1829440905874025</v>
      </c>
      <c r="O20" s="435">
        <f t="shared" si="2"/>
        <v>1.2707041716788596</v>
      </c>
      <c r="P20" s="436">
        <f t="shared" si="3"/>
        <v>5.425515710249186E-4</v>
      </c>
      <c r="Q20" s="437">
        <f t="shared" si="4"/>
        <v>5.1765101087961117E-4</v>
      </c>
      <c r="R20" s="438">
        <f>'Ridership-26'!B11/'Revenue Miles-26'!B11</f>
        <v>8.4451119157340354E-2</v>
      </c>
      <c r="S20" s="539">
        <f>'Ridership-26'!C11/'Revenue Miles-26'!I11</f>
        <v>0.10382691059084138</v>
      </c>
      <c r="T20" s="539">
        <f>'Ridership-26'!D11/'Revenue Miles-26'!J11</f>
        <v>0.19750504628030041</v>
      </c>
      <c r="U20" s="539">
        <f>'Ridership-26'!E11/'Revenue Miles-26'!K11</f>
        <v>0.21925659383462551</v>
      </c>
      <c r="V20" s="435">
        <f t="shared" si="5"/>
        <v>1.2027212402786347</v>
      </c>
      <c r="W20" s="436">
        <f t="shared" si="6"/>
        <v>5.1352495172505457E-4</v>
      </c>
      <c r="X20" s="437">
        <f t="shared" si="7"/>
        <v>4.8871181353682392E-4</v>
      </c>
      <c r="Y20" s="438">
        <f>'Op Cost-26'!B11/'Revenue Hours-26'!B11</f>
        <v>49.306209150326801</v>
      </c>
      <c r="Z20" s="434">
        <f>'Op Cost-26'!C11/'Revenue Hours-26'!C11</f>
        <v>54.219417475728157</v>
      </c>
      <c r="AA20" s="434">
        <f>'Op Cost-26'!D11/'Revenue Hours-26'!D11</f>
        <v>62.816602316602314</v>
      </c>
      <c r="AB20" s="434">
        <f>'Op Cost-26'!E11/'Revenue Hours-26'!E11</f>
        <v>79.922859164897375</v>
      </c>
      <c r="AC20" s="435">
        <f t="shared" si="8"/>
        <v>1.1250369583058519</v>
      </c>
      <c r="AD20" s="436">
        <f t="shared" si="9"/>
        <v>3.7951572916408412E-4</v>
      </c>
      <c r="AE20" s="437">
        <f t="shared" si="10"/>
        <v>3.802772045268656E-4</v>
      </c>
      <c r="AF20" s="438">
        <f>'Op Cost-26'!B11/'Revenue Miles-26'!B11</f>
        <v>3.103954081632653</v>
      </c>
      <c r="AG20" s="434">
        <f>'Op Cost-26'!C11/'Revenue Miles-26'!C11</f>
        <v>3.1993660008402398</v>
      </c>
      <c r="AH20" s="434">
        <f>'Op Cost-26'!D11/'Revenue Miles-26'!D11</f>
        <v>3.5502900474623118</v>
      </c>
      <c r="AI20" s="434">
        <f>'Op Cost-26'!E11/'Revenue Miles-26'!E11</f>
        <v>4.1893014801350299</v>
      </c>
      <c r="AJ20" s="435">
        <f t="shared" si="11"/>
        <v>1.0625424592304593</v>
      </c>
      <c r="AK20" s="436">
        <f t="shared" si="12"/>
        <v>4.0183732693112225E-4</v>
      </c>
      <c r="AL20" s="437">
        <f t="shared" si="13"/>
        <v>4.0257363742825849E-4</v>
      </c>
      <c r="AM20" s="438">
        <f>'Op Cost-26'!B11/'Ridership-26'!B11</f>
        <v>36.754445797807549</v>
      </c>
      <c r="AN20" s="434">
        <f>'Op Cost-26'!C11/'Ridership-26'!C11</f>
        <v>30.814419716755562</v>
      </c>
      <c r="AO20" s="434">
        <f>'Op Cost-26'!D11/'Ridership-26'!D11</f>
        <v>17.97569284596262</v>
      </c>
      <c r="AP20" s="434">
        <f>'Op Cost-26'!E11/'Ridership-26'!E11</f>
        <v>19.106843752643602</v>
      </c>
      <c r="AQ20" s="439">
        <f t="shared" si="14"/>
        <v>0.93210492020148372</v>
      </c>
      <c r="AR20" s="436">
        <f t="shared" si="15"/>
        <v>4.5806991500022876E-4</v>
      </c>
      <c r="AS20" s="440">
        <f t="shared" si="16"/>
        <v>4.6059061687260848E-4</v>
      </c>
      <c r="AT20" s="432"/>
      <c r="AU20" s="441">
        <f t="shared" si="17"/>
        <v>0</v>
      </c>
      <c r="AV20" s="442">
        <f t="shared" si="18"/>
        <v>0</v>
      </c>
      <c r="AW20" s="442">
        <f t="shared" si="19"/>
        <v>0</v>
      </c>
      <c r="AX20" s="442">
        <f t="shared" si="20"/>
        <v>0</v>
      </c>
      <c r="AY20" s="443">
        <f t="shared" si="21"/>
        <v>0</v>
      </c>
      <c r="AZ20" s="444">
        <f t="shared" si="43"/>
        <v>-1</v>
      </c>
      <c r="BA20" s="445">
        <f t="shared" si="22"/>
        <v>0</v>
      </c>
      <c r="BB20" s="446">
        <f t="shared" si="22"/>
        <v>0</v>
      </c>
      <c r="BC20" s="446">
        <f t="shared" si="22"/>
        <v>0</v>
      </c>
      <c r="BD20" s="446">
        <f t="shared" si="22"/>
        <v>0</v>
      </c>
      <c r="BE20" s="446">
        <f t="shared" si="22"/>
        <v>0</v>
      </c>
      <c r="BF20" s="447">
        <f t="shared" si="44"/>
        <v>51394.125321513784</v>
      </c>
      <c r="BH20" s="448">
        <f>'Op Cost-26'!E11</f>
        <v>225862</v>
      </c>
      <c r="BI20" s="449">
        <f t="shared" si="23"/>
        <v>0.22754657853695523</v>
      </c>
      <c r="BJ20" s="450">
        <f t="shared" si="24"/>
        <v>51394.125321513784</v>
      </c>
      <c r="BK20" s="451">
        <f t="shared" si="25"/>
        <v>0</v>
      </c>
      <c r="BL20" s="1">
        <f t="shared" si="45"/>
        <v>0.3999531240019627</v>
      </c>
      <c r="BM20" s="112">
        <f t="shared" si="46"/>
        <v>0.29880344983477863</v>
      </c>
      <c r="BN20" s="112">
        <f t="shared" si="47"/>
        <v>0.23377220955493294</v>
      </c>
      <c r="BO20" s="113">
        <f t="shared" si="48"/>
        <v>0.53361841830906964</v>
      </c>
      <c r="BP20" s="452">
        <f t="shared" si="26"/>
        <v>51394.125321513784</v>
      </c>
      <c r="BQ20" s="115">
        <f t="shared" si="49"/>
        <v>1.7076767401880328E-4</v>
      </c>
      <c r="BR20" s="116">
        <f t="shared" si="50"/>
        <v>1.7076767401880328E-4</v>
      </c>
      <c r="BS20" s="453">
        <f t="shared" si="51"/>
        <v>1.7901272366569083E-4</v>
      </c>
      <c r="BT20" s="118">
        <f t="shared" si="52"/>
        <v>52731.447748550258</v>
      </c>
      <c r="BU20" s="119">
        <f t="shared" si="53"/>
        <v>67758.599999999991</v>
      </c>
      <c r="BV20" s="119">
        <f t="shared" si="54"/>
        <v>52731.447748550258</v>
      </c>
      <c r="BW20" s="119">
        <f t="shared" si="65"/>
        <v>0</v>
      </c>
      <c r="BX20" s="120">
        <f t="shared" si="55"/>
        <v>1.7076767401880328E-4</v>
      </c>
      <c r="BY20" s="454">
        <f t="shared" si="56"/>
        <v>1.878850118941668E-4</v>
      </c>
      <c r="BZ20" s="122">
        <f t="shared" si="57"/>
        <v>52782.462674960872</v>
      </c>
      <c r="CA20" s="455">
        <f t="shared" si="27"/>
        <v>4.5626833799482545E-4</v>
      </c>
      <c r="CB20" s="456">
        <f t="shared" si="28"/>
        <v>3408.5726905460274</v>
      </c>
      <c r="CC20" s="456">
        <f t="shared" si="29"/>
        <v>54802.698012059809</v>
      </c>
      <c r="CD20" s="457">
        <f t="shared" si="30"/>
        <v>0.24263797368331019</v>
      </c>
      <c r="CE20" s="458">
        <f t="shared" si="31"/>
        <v>0</v>
      </c>
      <c r="CF20" s="17"/>
      <c r="CG20" s="459">
        <f t="shared" si="32"/>
        <v>225862</v>
      </c>
      <c r="CH20" s="460">
        <f t="shared" si="58"/>
        <v>0.24263797368331019</v>
      </c>
      <c r="CI20" s="461">
        <f t="shared" si="33"/>
        <v>54802.698012059809</v>
      </c>
      <c r="CJ20" s="462">
        <f t="shared" si="34"/>
        <v>0</v>
      </c>
      <c r="CL20" s="463">
        <f t="shared" si="35"/>
        <v>54802.698012059809</v>
      </c>
      <c r="CM20" s="464">
        <f t="shared" si="36"/>
        <v>4.7116997949734458E-4</v>
      </c>
      <c r="CN20" s="465">
        <f t="shared" si="37"/>
        <v>67.679705006384154</v>
      </c>
      <c r="CO20" s="466">
        <f t="shared" si="59"/>
        <v>54870.377717066192</v>
      </c>
      <c r="CP20" s="467">
        <f t="shared" si="60"/>
        <v>0.24293762437712493</v>
      </c>
      <c r="CQ20" s="468">
        <f t="shared" si="38"/>
        <v>0</v>
      </c>
      <c r="CR20" s="469"/>
      <c r="CS20" s="470">
        <f t="shared" si="39"/>
        <v>67758.599999999991</v>
      </c>
      <c r="CT20" s="465">
        <f t="shared" si="40"/>
        <v>0</v>
      </c>
      <c r="CU20" s="471">
        <f t="shared" si="41"/>
        <v>54870.377717066192</v>
      </c>
      <c r="CV20" s="472">
        <f t="shared" si="42"/>
        <v>0.24293762437712493</v>
      </c>
      <c r="CY20" s="473">
        <v>685.4</v>
      </c>
      <c r="CZ20" s="474">
        <f t="shared" si="61"/>
        <v>55555.777717066194</v>
      </c>
      <c r="DA20" s="475">
        <f t="shared" si="62"/>
        <v>0.24597222072356659</v>
      </c>
      <c r="DB20" s="1">
        <f t="shared" si="63"/>
        <v>0</v>
      </c>
      <c r="DC20" s="293">
        <f t="shared" si="64"/>
        <v>0.23369341755125198</v>
      </c>
      <c r="DF20" s="476"/>
    </row>
    <row r="21" spans="1:110">
      <c r="A21" s="477" t="s">
        <v>92</v>
      </c>
      <c r="B21" s="428" t="s">
        <v>95</v>
      </c>
      <c r="C21" s="429"/>
      <c r="D21" s="91">
        <f>'Op Cost-26'!E12</f>
        <v>129442718</v>
      </c>
      <c r="E21" s="92">
        <f>'Ridership-26'!$E12</f>
        <v>8574727</v>
      </c>
      <c r="F21" s="92">
        <f>'Revenue Hours-26'!$E12</f>
        <v>1002985.3500000001</v>
      </c>
      <c r="G21" s="92">
        <f>'Revenue Miles-26'!$E12</f>
        <v>13608118.7366</v>
      </c>
      <c r="H21" s="478">
        <f t="shared" si="0"/>
        <v>0.1975212945618143</v>
      </c>
      <c r="I21" s="431">
        <f t="shared" si="1"/>
        <v>0.19752129456181436</v>
      </c>
      <c r="J21" s="432"/>
      <c r="K21" s="433">
        <f>'Ridership-26'!B12/'Revenue Hours-26'!B12</f>
        <v>6.640780447028594</v>
      </c>
      <c r="L21" s="539">
        <f>'Ridership-26'!C12/'Revenue Hours-26'!I12</f>
        <v>7.1961861955660096</v>
      </c>
      <c r="M21" s="539">
        <f>'Ridership-26'!D12/'Revenue Hours-26'!J12</f>
        <v>7.4695517602798605</v>
      </c>
      <c r="N21" s="539">
        <f>'Ridership-26'!E12/'Revenue Hours-26'!K12</f>
        <v>8.5492046319520014</v>
      </c>
      <c r="O21" s="435">
        <f t="shared" si="2"/>
        <v>0.92912615428559064</v>
      </c>
      <c r="P21" s="436">
        <f t="shared" si="3"/>
        <v>0.18352220080572992</v>
      </c>
      <c r="Q21" s="437">
        <f t="shared" si="4"/>
        <v>0.17509939670154204</v>
      </c>
      <c r="R21" s="438">
        <f>'Ridership-26'!B12/'Revenue Miles-26'!B12</f>
        <v>0.46622665154015291</v>
      </c>
      <c r="S21" s="539">
        <f>'Ridership-26'!C12/'Revenue Miles-26'!I12</f>
        <v>0.49455273703023678</v>
      </c>
      <c r="T21" s="539">
        <f>'Ridership-26'!D12/'Revenue Miles-26'!J12</f>
        <v>0.51854760762331398</v>
      </c>
      <c r="U21" s="539">
        <f>'Ridership-26'!E12/'Revenue Miles-26'!K12</f>
        <v>0.6301184730948638</v>
      </c>
      <c r="V21" s="435">
        <f t="shared" si="5"/>
        <v>0.95181830349680541</v>
      </c>
      <c r="W21" s="436">
        <f t="shared" si="6"/>
        <v>0.18800438349431892</v>
      </c>
      <c r="X21" s="437">
        <f t="shared" si="7"/>
        <v>0.17892015354216789</v>
      </c>
      <c r="Y21" s="438">
        <f>'Op Cost-26'!B12/'Revenue Hours-26'!B12</f>
        <v>107.97198556298591</v>
      </c>
      <c r="Z21" s="434">
        <f>'Op Cost-26'!C12/'Revenue Hours-26'!C12</f>
        <v>112.49719845156518</v>
      </c>
      <c r="AA21" s="434">
        <f>'Op Cost-26'!D12/'Revenue Hours-26'!D12</f>
        <v>125.82563161812979</v>
      </c>
      <c r="AB21" s="434">
        <f>'Op Cost-26'!E12/'Revenue Hours-26'!E12</f>
        <v>129.05743638229609</v>
      </c>
      <c r="AC21" s="435">
        <f t="shared" si="8"/>
        <v>1.0144497417422516</v>
      </c>
      <c r="AD21" s="436">
        <f t="shared" si="9"/>
        <v>0.19470781689251984</v>
      </c>
      <c r="AE21" s="437">
        <f t="shared" si="10"/>
        <v>0.19509848635391788</v>
      </c>
      <c r="AF21" s="438">
        <f>'Op Cost-26'!B12/'Revenue Miles-26'!B12</f>
        <v>7.5803465708156237</v>
      </c>
      <c r="AG21" s="434">
        <f>'Op Cost-26'!C12/'Revenue Miles-26'!C12</f>
        <v>7.7312893094311175</v>
      </c>
      <c r="AH21" s="434">
        <f>'Op Cost-26'!D12/'Revenue Miles-26'!D12</f>
        <v>8.735006108429328</v>
      </c>
      <c r="AI21" s="434">
        <f>'Op Cost-26'!E12/'Revenue Miles-26'!E12</f>
        <v>9.512168471300491</v>
      </c>
      <c r="AJ21" s="435">
        <f t="shared" si="11"/>
        <v>1.0358017781168538</v>
      </c>
      <c r="AK21" s="436">
        <f t="shared" si="12"/>
        <v>0.19069410647365295</v>
      </c>
      <c r="AL21" s="437">
        <f t="shared" si="13"/>
        <v>0.19104352665671781</v>
      </c>
      <c r="AM21" s="438">
        <f>'Op Cost-26'!B12/'Ridership-26'!B12</f>
        <v>16.258930170067252</v>
      </c>
      <c r="AN21" s="434">
        <f>'Op Cost-26'!C12/'Ridership-26'!C12</f>
        <v>15.632891561488677</v>
      </c>
      <c r="AO21" s="434">
        <f>'Op Cost-26'!D12/'Ridership-26'!D12</f>
        <v>16.845138189847084</v>
      </c>
      <c r="AP21" s="434">
        <f>'Op Cost-26'!E12/'Ridership-26'!E12</f>
        <v>15.095841302002967</v>
      </c>
      <c r="AQ21" s="435">
        <f t="shared" si="14"/>
        <v>1.105548154721899</v>
      </c>
      <c r="AR21" s="436">
        <f t="shared" si="15"/>
        <v>0.17866367350728463</v>
      </c>
      <c r="AS21" s="440">
        <f t="shared" si="16"/>
        <v>0.17964683752131036</v>
      </c>
      <c r="AT21" s="432"/>
      <c r="AU21" s="441">
        <f t="shared" si="17"/>
        <v>0</v>
      </c>
      <c r="AV21" s="442">
        <f t="shared" si="18"/>
        <v>0</v>
      </c>
      <c r="AW21" s="442">
        <f t="shared" si="19"/>
        <v>0</v>
      </c>
      <c r="AX21" s="442">
        <f t="shared" si="20"/>
        <v>0</v>
      </c>
      <c r="AY21" s="443">
        <f t="shared" si="21"/>
        <v>0</v>
      </c>
      <c r="AZ21" s="444">
        <f t="shared" si="43"/>
        <v>-1</v>
      </c>
      <c r="BA21" s="445">
        <f t="shared" si="22"/>
        <v>0</v>
      </c>
      <c r="BB21" s="446">
        <f t="shared" si="22"/>
        <v>0</v>
      </c>
      <c r="BC21" s="446">
        <f t="shared" si="22"/>
        <v>0</v>
      </c>
      <c r="BD21" s="446">
        <f t="shared" si="22"/>
        <v>0</v>
      </c>
      <c r="BE21" s="446">
        <f t="shared" si="22"/>
        <v>0</v>
      </c>
      <c r="BF21" s="447">
        <f t="shared" si="44"/>
        <v>23775564.264556844</v>
      </c>
      <c r="BH21" s="448">
        <f>'Op Cost-26'!E12</f>
        <v>129442718</v>
      </c>
      <c r="BI21" s="449">
        <f t="shared" si="23"/>
        <v>0.18367633677590767</v>
      </c>
      <c r="BJ21" s="450">
        <f t="shared" si="24"/>
        <v>23775564.264556844</v>
      </c>
      <c r="BK21" s="451">
        <f t="shared" si="25"/>
        <v>0</v>
      </c>
      <c r="BL21" s="1">
        <f t="shared" si="45"/>
        <v>0.7411405096221847</v>
      </c>
      <c r="BM21" s="112">
        <f t="shared" si="46"/>
        <v>0.75568293432971434</v>
      </c>
      <c r="BN21" s="112">
        <f t="shared" si="47"/>
        <v>0.75400308625016021</v>
      </c>
      <c r="BO21" s="113">
        <f t="shared" si="48"/>
        <v>0.72743800895443211</v>
      </c>
      <c r="BP21" s="452">
        <f t="shared" si="26"/>
        <v>23775564.264556844</v>
      </c>
      <c r="BQ21" s="115">
        <f t="shared" si="49"/>
        <v>0.14639103291277675</v>
      </c>
      <c r="BR21" s="116">
        <f t="shared" si="50"/>
        <v>0.14639103291277675</v>
      </c>
      <c r="BS21" s="453">
        <f t="shared" si="51"/>
        <v>0.15345912317728483</v>
      </c>
      <c r="BT21" s="118">
        <f t="shared" si="52"/>
        <v>24921987.395024344</v>
      </c>
      <c r="BU21" s="119">
        <f t="shared" si="53"/>
        <v>38832815.399999999</v>
      </c>
      <c r="BV21" s="119">
        <f t="shared" si="54"/>
        <v>24921987.395024344</v>
      </c>
      <c r="BW21" s="119">
        <f t="shared" si="65"/>
        <v>0</v>
      </c>
      <c r="BX21" s="120">
        <f t="shared" si="55"/>
        <v>0.14639103291277675</v>
      </c>
      <c r="BY21" s="454">
        <f t="shared" si="56"/>
        <v>0.16106491534801765</v>
      </c>
      <c r="BZ21" s="122">
        <f t="shared" si="57"/>
        <v>24965720.073437456</v>
      </c>
      <c r="CA21" s="455">
        <f t="shared" si="27"/>
        <v>0.21107543175440491</v>
      </c>
      <c r="CB21" s="456">
        <f t="shared" si="28"/>
        <v>1576848.2982736265</v>
      </c>
      <c r="CC21" s="456">
        <f t="shared" si="29"/>
        <v>25352412.562830471</v>
      </c>
      <c r="CD21" s="457">
        <f t="shared" si="30"/>
        <v>0.19585815992237177</v>
      </c>
      <c r="CE21" s="458">
        <f t="shared" si="31"/>
        <v>0</v>
      </c>
      <c r="CF21" s="17"/>
      <c r="CG21" s="459">
        <f t="shared" si="32"/>
        <v>129442718</v>
      </c>
      <c r="CH21" s="460">
        <f t="shared" si="58"/>
        <v>0.19585815992237177</v>
      </c>
      <c r="CI21" s="461">
        <f t="shared" si="33"/>
        <v>25352412.562830471</v>
      </c>
      <c r="CJ21" s="462">
        <f t="shared" si="34"/>
        <v>0</v>
      </c>
      <c r="CL21" s="463">
        <f t="shared" si="35"/>
        <v>25352412.562830471</v>
      </c>
      <c r="CM21" s="464">
        <f t="shared" si="36"/>
        <v>0.21796911722865156</v>
      </c>
      <c r="CN21" s="465">
        <f t="shared" si="37"/>
        <v>31309.476826760023</v>
      </c>
      <c r="CO21" s="466">
        <f t="shared" si="59"/>
        <v>25383722.039657231</v>
      </c>
      <c r="CP21" s="467">
        <f t="shared" si="60"/>
        <v>0.19610003893503866</v>
      </c>
      <c r="CQ21" s="468">
        <f t="shared" si="38"/>
        <v>0</v>
      </c>
      <c r="CR21" s="469"/>
      <c r="CS21" s="470">
        <f t="shared" si="39"/>
        <v>38832815.399999999</v>
      </c>
      <c r="CT21" s="465">
        <f t="shared" si="40"/>
        <v>0</v>
      </c>
      <c r="CU21" s="471">
        <f t="shared" si="41"/>
        <v>25383722.039657231</v>
      </c>
      <c r="CV21" s="472">
        <f t="shared" si="42"/>
        <v>0.19610003893503866</v>
      </c>
      <c r="CY21" s="473">
        <v>0</v>
      </c>
      <c r="CZ21" s="474">
        <f t="shared" si="61"/>
        <v>25383722.039657231</v>
      </c>
      <c r="DA21" s="475">
        <f t="shared" si="62"/>
        <v>0.19610003893503866</v>
      </c>
      <c r="DB21" s="1">
        <f t="shared" si="63"/>
        <v>0</v>
      </c>
      <c r="DC21" s="293">
        <f t="shared" si="64"/>
        <v>0.19287079612649555</v>
      </c>
      <c r="DF21" s="476"/>
    </row>
    <row r="22" spans="1:110">
      <c r="A22" s="477" t="s">
        <v>92</v>
      </c>
      <c r="B22" s="428" t="s">
        <v>96</v>
      </c>
      <c r="C22" s="429"/>
      <c r="D22" s="91">
        <f>'Op Cost-26'!E13</f>
        <v>1347743</v>
      </c>
      <c r="E22" s="92">
        <f>'Ridership-26'!$E13</f>
        <v>101901</v>
      </c>
      <c r="F22" s="92">
        <f>'Revenue Hours-26'!$E13</f>
        <v>20119</v>
      </c>
      <c r="G22" s="92">
        <f>'Revenue Miles-26'!$E13</f>
        <v>529269</v>
      </c>
      <c r="H22" s="478">
        <f t="shared" si="0"/>
        <v>3.3304599095293156E-3</v>
      </c>
      <c r="I22" s="431">
        <f t="shared" si="1"/>
        <v>3.3304599095293165E-3</v>
      </c>
      <c r="J22" s="432"/>
      <c r="K22" s="433">
        <f>'Ridership-26'!B13/'Revenue Hours-26'!B13</f>
        <v>2.5445369916707494</v>
      </c>
      <c r="L22" s="539">
        <f>'Ridership-26'!C13/'Revenue Hours-26'!I13</f>
        <v>3.1323175227328584</v>
      </c>
      <c r="M22" s="539">
        <f>'Ridership-26'!D13/'Revenue Hours-26'!J13</f>
        <v>4.5268015794669303</v>
      </c>
      <c r="N22" s="539">
        <f>'Ridership-26'!E13/'Revenue Hours-26'!K13</f>
        <v>5.0649137631094989</v>
      </c>
      <c r="O22" s="435">
        <f t="shared" si="2"/>
        <v>1.073695224756283</v>
      </c>
      <c r="P22" s="436">
        <f t="shared" si="3"/>
        <v>3.5758989011038691E-3</v>
      </c>
      <c r="Q22" s="437">
        <f t="shared" si="4"/>
        <v>3.4117819942220602E-3</v>
      </c>
      <c r="R22" s="438">
        <f>'Ridership-26'!B13/'Revenue Miles-26'!B13</f>
        <v>0.1120356208297289</v>
      </c>
      <c r="S22" s="539">
        <f>'Ridership-26'!C13/'Revenue Miles-26'!I13</f>
        <v>0.13193504175827817</v>
      </c>
      <c r="T22" s="539">
        <f>'Ridership-26'!D13/'Revenue Miles-26'!J13</f>
        <v>0.17952070654971744</v>
      </c>
      <c r="U22" s="539">
        <f>'Ridership-26'!E13/'Revenue Miles-26'!K13</f>
        <v>0.1925315860176961</v>
      </c>
      <c r="V22" s="435">
        <f t="shared" si="5"/>
        <v>1.025802652359719</v>
      </c>
      <c r="W22" s="436">
        <f t="shared" si="6"/>
        <v>3.4163946087728825E-3</v>
      </c>
      <c r="X22" s="437">
        <f t="shared" si="7"/>
        <v>3.2513169991100219E-3</v>
      </c>
      <c r="Y22" s="438">
        <f>'Op Cost-26'!B13/'Revenue Hours-26'!B13</f>
        <v>48.696570308672221</v>
      </c>
      <c r="Z22" s="434">
        <f>'Op Cost-26'!C13/'Revenue Hours-26'!C13</f>
        <v>59.030916687146721</v>
      </c>
      <c r="AA22" s="434">
        <f>'Op Cost-26'!D13/'Revenue Hours-26'!D13</f>
        <v>61.540424481737411</v>
      </c>
      <c r="AB22" s="434">
        <f>'Op Cost-26'!E13/'Revenue Hours-26'!E13</f>
        <v>66.988568020279331</v>
      </c>
      <c r="AC22" s="435">
        <f t="shared" si="8"/>
        <v>1.0677662862612751</v>
      </c>
      <c r="AD22" s="436">
        <f t="shared" si="9"/>
        <v>3.1190907152451293E-3</v>
      </c>
      <c r="AE22" s="437">
        <f t="shared" si="10"/>
        <v>3.1253489821664263E-3</v>
      </c>
      <c r="AF22" s="438">
        <f>'Op Cost-26'!B13/'Revenue Miles-26'!B13</f>
        <v>2.1441034281165527</v>
      </c>
      <c r="AG22" s="434">
        <f>'Op Cost-26'!C13/'Revenue Miles-26'!C13</f>
        <v>2.4864166552799274</v>
      </c>
      <c r="AH22" s="434">
        <f>'Op Cost-26'!D13/'Revenue Miles-26'!D13</f>
        <v>2.4405267804187702</v>
      </c>
      <c r="AI22" s="434">
        <f>'Op Cost-26'!E13/'Revenue Miles-26'!E13</f>
        <v>2.5464234633050489</v>
      </c>
      <c r="AJ22" s="435">
        <f t="shared" si="11"/>
        <v>1.0231988179124334</v>
      </c>
      <c r="AK22" s="436">
        <f t="shared" si="12"/>
        <v>3.2549489417161752E-3</v>
      </c>
      <c r="AL22" s="437">
        <f t="shared" si="13"/>
        <v>3.2609131787663557E-3</v>
      </c>
      <c r="AM22" s="438">
        <f>'Op Cost-26'!B13/'Ridership-26'!B13</f>
        <v>19.13769399622598</v>
      </c>
      <c r="AN22" s="434">
        <f>'Op Cost-26'!C13/'Ridership-26'!C13</f>
        <v>18.84576396189998</v>
      </c>
      <c r="AO22" s="434">
        <f>'Op Cost-26'!D13/'Ridership-26'!D13</f>
        <v>13.594681233849073</v>
      </c>
      <c r="AP22" s="434">
        <f>'Op Cost-26'!E13/'Ridership-26'!E13</f>
        <v>13.226003670228948</v>
      </c>
      <c r="AQ22" s="439">
        <f t="shared" si="14"/>
        <v>1.0129687350188592</v>
      </c>
      <c r="AR22" s="436">
        <f t="shared" si="15"/>
        <v>3.2878210298043511E-3</v>
      </c>
      <c r="AS22" s="440">
        <f t="shared" si="16"/>
        <v>3.305913500744891E-3</v>
      </c>
      <c r="AT22" s="432"/>
      <c r="AU22" s="441">
        <f t="shared" si="17"/>
        <v>0</v>
      </c>
      <c r="AV22" s="442">
        <f t="shared" si="18"/>
        <v>0</v>
      </c>
      <c r="AW22" s="442">
        <f t="shared" si="19"/>
        <v>0</v>
      </c>
      <c r="AX22" s="442">
        <f t="shared" si="20"/>
        <v>0</v>
      </c>
      <c r="AY22" s="443">
        <f t="shared" si="21"/>
        <v>0</v>
      </c>
      <c r="AZ22" s="444">
        <f t="shared" si="43"/>
        <v>-1</v>
      </c>
      <c r="BA22" s="445">
        <f t="shared" si="22"/>
        <v>0</v>
      </c>
      <c r="BB22" s="446">
        <f t="shared" si="22"/>
        <v>0</v>
      </c>
      <c r="BC22" s="446">
        <f t="shared" si="22"/>
        <v>0</v>
      </c>
      <c r="BD22" s="446">
        <f t="shared" si="22"/>
        <v>0</v>
      </c>
      <c r="BE22" s="446">
        <f t="shared" si="22"/>
        <v>0</v>
      </c>
      <c r="BF22" s="447">
        <f t="shared" si="44"/>
        <v>400886.21221933072</v>
      </c>
      <c r="BH22" s="448">
        <f>'Op Cost-26'!E13</f>
        <v>1347743</v>
      </c>
      <c r="BI22" s="449">
        <f t="shared" si="23"/>
        <v>0.29745004219597559</v>
      </c>
      <c r="BJ22" s="450">
        <f t="shared" si="24"/>
        <v>400886.21221933072</v>
      </c>
      <c r="BK22" s="451">
        <f t="shared" si="25"/>
        <v>0</v>
      </c>
      <c r="BL22" s="1">
        <f t="shared" si="45"/>
        <v>0.54479906674843637</v>
      </c>
      <c r="BM22" s="112">
        <f t="shared" si="46"/>
        <v>0.40858445759877987</v>
      </c>
      <c r="BN22" s="112">
        <f t="shared" si="47"/>
        <v>0.22959672005659082</v>
      </c>
      <c r="BO22" s="113">
        <f t="shared" si="48"/>
        <v>0.77050754466918736</v>
      </c>
      <c r="BP22" s="452">
        <f t="shared" si="26"/>
        <v>400886.21221933072</v>
      </c>
      <c r="BQ22" s="115">
        <f t="shared" si="49"/>
        <v>1.8144314505546535E-3</v>
      </c>
      <c r="BR22" s="116">
        <f t="shared" si="50"/>
        <v>1.8144314505546535E-3</v>
      </c>
      <c r="BS22" s="453">
        <f t="shared" si="51"/>
        <v>1.9020363059621826E-3</v>
      </c>
      <c r="BT22" s="118">
        <f t="shared" si="52"/>
        <v>415095.45811489684</v>
      </c>
      <c r="BU22" s="119">
        <f t="shared" si="53"/>
        <v>404322.89999999997</v>
      </c>
      <c r="BV22" s="119">
        <f t="shared" si="54"/>
        <v>404322.89999999997</v>
      </c>
      <c r="BW22" s="119">
        <f t="shared" si="65"/>
        <v>10772.558114896878</v>
      </c>
      <c r="BX22" s="120">
        <f t="shared" si="55"/>
        <v>0</v>
      </c>
      <c r="BY22" s="454">
        <f t="shared" si="56"/>
        <v>0</v>
      </c>
      <c r="BZ22" s="122">
        <f t="shared" si="57"/>
        <v>404322.89999999997</v>
      </c>
      <c r="CA22" s="455">
        <f t="shared" si="27"/>
        <v>3.5589998784897573E-3</v>
      </c>
      <c r="CB22" s="456">
        <f t="shared" si="28"/>
        <v>26587.665155092123</v>
      </c>
      <c r="CC22" s="456">
        <f t="shared" si="29"/>
        <v>427473.87737442285</v>
      </c>
      <c r="CD22" s="457">
        <f t="shared" si="30"/>
        <v>0.31717759051571615</v>
      </c>
      <c r="CE22" s="458">
        <f t="shared" si="31"/>
        <v>1</v>
      </c>
      <c r="CF22" s="17"/>
      <c r="CG22" s="459">
        <f t="shared" si="32"/>
        <v>1347743</v>
      </c>
      <c r="CH22" s="460">
        <f t="shared" si="58"/>
        <v>0.31717759051571615</v>
      </c>
      <c r="CI22" s="461">
        <f t="shared" si="33"/>
        <v>404322.89999999997</v>
      </c>
      <c r="CJ22" s="462">
        <f t="shared" si="34"/>
        <v>23150.977374422888</v>
      </c>
      <c r="CL22" s="463">
        <f t="shared" si="35"/>
        <v>0</v>
      </c>
      <c r="CM22" s="464">
        <f t="shared" si="36"/>
        <v>0</v>
      </c>
      <c r="CN22" s="465">
        <f t="shared" si="37"/>
        <v>0</v>
      </c>
      <c r="CO22" s="466">
        <f t="shared" si="59"/>
        <v>404322.89999999997</v>
      </c>
      <c r="CP22" s="467">
        <f t="shared" si="60"/>
        <v>0.3</v>
      </c>
      <c r="CQ22" s="468">
        <f t="shared" si="38"/>
        <v>0</v>
      </c>
      <c r="CR22" s="469"/>
      <c r="CS22" s="470">
        <f t="shared" si="39"/>
        <v>404322.89999999997</v>
      </c>
      <c r="CT22" s="465">
        <f t="shared" si="40"/>
        <v>0</v>
      </c>
      <c r="CU22" s="471">
        <f t="shared" si="41"/>
        <v>404322.89999999997</v>
      </c>
      <c r="CV22" s="472">
        <f t="shared" si="42"/>
        <v>0.3</v>
      </c>
      <c r="CY22" s="473">
        <v>0</v>
      </c>
      <c r="CZ22" s="474">
        <f t="shared" si="61"/>
        <v>404322.89999999997</v>
      </c>
      <c r="DA22" s="475">
        <f t="shared" si="62"/>
        <v>0.3</v>
      </c>
      <c r="DB22" s="1">
        <f t="shared" si="63"/>
        <v>0</v>
      </c>
      <c r="DC22" s="293">
        <f t="shared" si="64"/>
        <v>0.3</v>
      </c>
      <c r="DF22" s="476"/>
    </row>
    <row r="23" spans="1:110">
      <c r="A23" s="477" t="s">
        <v>92</v>
      </c>
      <c r="B23" s="428" t="s">
        <v>97</v>
      </c>
      <c r="C23" s="429"/>
      <c r="D23" s="91">
        <f>'Op Cost-26'!E14</f>
        <v>71294</v>
      </c>
      <c r="E23" s="92">
        <f>'Ridership-26'!$E14</f>
        <v>6243</v>
      </c>
      <c r="F23" s="92">
        <f>'Revenue Hours-26'!$E14</f>
        <v>3135</v>
      </c>
      <c r="G23" s="92">
        <f>'Revenue Miles-26'!$E14</f>
        <v>11686</v>
      </c>
      <c r="H23" s="430">
        <f t="shared" si="0"/>
        <v>2.1107491742033599E-4</v>
      </c>
      <c r="I23" s="431">
        <f t="shared" si="1"/>
        <v>2.1107491742033605E-4</v>
      </c>
      <c r="J23" s="432"/>
      <c r="K23" s="433">
        <f>'Ridership-26'!B14/'Revenue Hours-26'!B14</f>
        <v>1.0119225037257824</v>
      </c>
      <c r="L23" s="539">
        <f>'Ridership-26'!C14/'Revenue Hours-26'!I14</f>
        <v>3.4102272727272727</v>
      </c>
      <c r="M23" s="539">
        <f>'Ridership-26'!D14/'Revenue Hours-26'!J14</f>
        <v>6.2649402390438249</v>
      </c>
      <c r="N23" s="539">
        <f>'Ridership-26'!E14/'Revenue Hours-26'!K14</f>
        <v>1.9913875598086124</v>
      </c>
      <c r="O23" s="435">
        <f t="shared" si="2"/>
        <v>1.4905641336229849</v>
      </c>
      <c r="P23" s="436">
        <f t="shared" si="3"/>
        <v>3.1462070141418627E-4</v>
      </c>
      <c r="Q23" s="437">
        <f t="shared" si="4"/>
        <v>3.001810939797753E-4</v>
      </c>
      <c r="R23" s="438">
        <f>'Ridership-26'!B14/'Revenue Miles-26'!B14</f>
        <v>0.14279705573080967</v>
      </c>
      <c r="S23" s="539">
        <f>'Ridership-26'!C14/'Revenue Miles-26'!I14</f>
        <v>0.44282130736314002</v>
      </c>
      <c r="T23" s="539">
        <f>'Ridership-26'!D14/'Revenue Miles-26'!J14</f>
        <v>0.67765567765567769</v>
      </c>
      <c r="U23" s="539">
        <f>'Ridership-26'!E14/'Revenue Miles-26'!K14</f>
        <v>0.53422899195618689</v>
      </c>
      <c r="V23" s="435">
        <f t="shared" si="5"/>
        <v>1.4948703613430017</v>
      </c>
      <c r="W23" s="436">
        <f t="shared" si="6"/>
        <v>3.1552963807458199E-4</v>
      </c>
      <c r="X23" s="437">
        <f t="shared" si="7"/>
        <v>3.0028348404501326E-4</v>
      </c>
      <c r="Y23" s="438">
        <f>'Op Cost-26'!B14/'Revenue Hours-26'!B14</f>
        <v>58.488077496274215</v>
      </c>
      <c r="Z23" s="434">
        <f>'Op Cost-26'!C14/'Revenue Hours-26'!C14</f>
        <v>76.226136363636357</v>
      </c>
      <c r="AA23" s="434">
        <f>'Op Cost-26'!D14/'Revenue Hours-26'!D14</f>
        <v>100.44621513944223</v>
      </c>
      <c r="AB23" s="434">
        <f>'Op Cost-26'!E14/'Revenue Hours-26'!E14</f>
        <v>22.741307814992027</v>
      </c>
      <c r="AC23" s="435">
        <f t="shared" si="8"/>
        <v>0.90437497433822445</v>
      </c>
      <c r="AD23" s="436">
        <f t="shared" si="9"/>
        <v>2.333931426782236E-4</v>
      </c>
      <c r="AE23" s="437">
        <f t="shared" si="10"/>
        <v>2.3386143190666495E-4</v>
      </c>
      <c r="AF23" s="438">
        <f>'Op Cost-26'!B14/'Revenue Miles-26'!B14</f>
        <v>8.2535226077812833</v>
      </c>
      <c r="AG23" s="434">
        <f>'Op Cost-26'!C14/'Revenue Miles-26'!C14</f>
        <v>9.8980374797107871</v>
      </c>
      <c r="AH23" s="434">
        <f>'Op Cost-26'!D14/'Revenue Miles-26'!D14</f>
        <v>10.864899806076277</v>
      </c>
      <c r="AI23" s="434">
        <f>'Op Cost-26'!E14/'Revenue Miles-26'!E14</f>
        <v>6.1008043813109705</v>
      </c>
      <c r="AJ23" s="435">
        <f t="shared" si="11"/>
        <v>0.91713678138535648</v>
      </c>
      <c r="AK23" s="436">
        <f t="shared" si="12"/>
        <v>2.3014551559201723E-4</v>
      </c>
      <c r="AL23" s="437">
        <f t="shared" si="13"/>
        <v>2.3056722494463862E-4</v>
      </c>
      <c r="AM23" s="438">
        <f>'Op Cost-26'!B14/'Ridership-26'!B14</f>
        <v>57.798969072164951</v>
      </c>
      <c r="AN23" s="434">
        <f>'Op Cost-26'!C14/'Ridership-26'!C14</f>
        <v>22.352215928023991</v>
      </c>
      <c r="AO23" s="434">
        <f>'Op Cost-26'!D14/'Ridership-26'!D14</f>
        <v>16.033068362480126</v>
      </c>
      <c r="AP23" s="434">
        <f>'Op Cost-26'!E14/'Ridership-26'!E14</f>
        <v>11.419830209835014</v>
      </c>
      <c r="AQ23" s="439">
        <f t="shared" si="14"/>
        <v>0.66856560434544443</v>
      </c>
      <c r="AR23" s="436">
        <f t="shared" si="15"/>
        <v>3.1571309688745923E-4</v>
      </c>
      <c r="AS23" s="440">
        <f t="shared" si="16"/>
        <v>3.1745042686351458E-4</v>
      </c>
      <c r="AT23" s="432"/>
      <c r="AU23" s="441">
        <f t="shared" si="17"/>
        <v>0</v>
      </c>
      <c r="AV23" s="442">
        <f t="shared" si="18"/>
        <v>0</v>
      </c>
      <c r="AW23" s="442">
        <f t="shared" si="19"/>
        <v>0</v>
      </c>
      <c r="AX23" s="442">
        <f t="shared" si="20"/>
        <v>0</v>
      </c>
      <c r="AY23" s="443">
        <f t="shared" si="21"/>
        <v>0</v>
      </c>
      <c r="AZ23" s="444">
        <f t="shared" si="43"/>
        <v>-1</v>
      </c>
      <c r="BA23" s="445">
        <f t="shared" si="22"/>
        <v>0</v>
      </c>
      <c r="BB23" s="446">
        <f t="shared" si="22"/>
        <v>0</v>
      </c>
      <c r="BC23" s="446">
        <f t="shared" si="22"/>
        <v>0</v>
      </c>
      <c r="BD23" s="446">
        <f t="shared" si="22"/>
        <v>0</v>
      </c>
      <c r="BE23" s="446">
        <f t="shared" si="22"/>
        <v>0</v>
      </c>
      <c r="BF23" s="447">
        <f t="shared" si="44"/>
        <v>25407.008772883022</v>
      </c>
      <c r="BH23" s="448">
        <f>'Op Cost-26'!E14</f>
        <v>71294</v>
      </c>
      <c r="BI23" s="449">
        <f t="shared" si="23"/>
        <v>0.3563695230016975</v>
      </c>
      <c r="BJ23" s="450">
        <f t="shared" si="24"/>
        <v>21388.2</v>
      </c>
      <c r="BK23" s="451">
        <f t="shared" si="25"/>
        <v>4018.8087728830214</v>
      </c>
      <c r="BL23" s="1">
        <f t="shared" si="45"/>
        <v>0.65418905786279136</v>
      </c>
      <c r="BM23" s="112">
        <f t="shared" si="46"/>
        <v>0.38336591589831331</v>
      </c>
      <c r="BN23" s="112">
        <f t="shared" si="47"/>
        <v>0.75761989977426702</v>
      </c>
      <c r="BO23" s="113">
        <f t="shared" si="48"/>
        <v>0.73788520788929246</v>
      </c>
      <c r="BP23" s="452">
        <f t="shared" si="26"/>
        <v>0</v>
      </c>
      <c r="BQ23" s="115">
        <f t="shared" si="49"/>
        <v>1.3808290136567612E-4</v>
      </c>
      <c r="BR23" s="116">
        <f t="shared" si="50"/>
        <v>0</v>
      </c>
      <c r="BS23" s="453">
        <f t="shared" si="51"/>
        <v>0</v>
      </c>
      <c r="BT23" s="118">
        <f t="shared" si="52"/>
        <v>21388.2</v>
      </c>
      <c r="BU23" s="119">
        <f t="shared" si="53"/>
        <v>21388.2</v>
      </c>
      <c r="BV23" s="119">
        <f t="shared" si="54"/>
        <v>21388.2</v>
      </c>
      <c r="BW23" s="119">
        <f t="shared" si="65"/>
        <v>0</v>
      </c>
      <c r="BX23" s="120">
        <f t="shared" si="55"/>
        <v>0</v>
      </c>
      <c r="BY23" s="454">
        <f t="shared" si="56"/>
        <v>0</v>
      </c>
      <c r="BZ23" s="122">
        <f t="shared" si="57"/>
        <v>21388.2</v>
      </c>
      <c r="CA23" s="455">
        <f t="shared" si="27"/>
        <v>0</v>
      </c>
      <c r="CB23" s="456">
        <f t="shared" si="28"/>
        <v>0</v>
      </c>
      <c r="CC23" s="456">
        <f t="shared" si="29"/>
        <v>21388.2</v>
      </c>
      <c r="CD23" s="457">
        <f t="shared" si="30"/>
        <v>0.3</v>
      </c>
      <c r="CE23" s="458">
        <f t="shared" si="31"/>
        <v>0</v>
      </c>
      <c r="CF23" s="17"/>
      <c r="CG23" s="459">
        <f t="shared" si="32"/>
        <v>71294</v>
      </c>
      <c r="CH23" s="460">
        <f t="shared" si="58"/>
        <v>0.3</v>
      </c>
      <c r="CI23" s="461">
        <f t="shared" si="33"/>
        <v>21388.2</v>
      </c>
      <c r="CJ23" s="462">
        <f t="shared" si="34"/>
        <v>0</v>
      </c>
      <c r="CL23" s="463">
        <f t="shared" si="35"/>
        <v>0</v>
      </c>
      <c r="CM23" s="464">
        <f t="shared" si="36"/>
        <v>0</v>
      </c>
      <c r="CN23" s="465">
        <f t="shared" si="37"/>
        <v>0</v>
      </c>
      <c r="CO23" s="466">
        <f t="shared" si="59"/>
        <v>21388.2</v>
      </c>
      <c r="CP23" s="467">
        <f t="shared" si="60"/>
        <v>0.3</v>
      </c>
      <c r="CQ23" s="468">
        <f t="shared" si="38"/>
        <v>0</v>
      </c>
      <c r="CR23" s="469"/>
      <c r="CS23" s="470">
        <f t="shared" si="39"/>
        <v>21388.2</v>
      </c>
      <c r="CT23" s="465">
        <f t="shared" si="40"/>
        <v>0</v>
      </c>
      <c r="CU23" s="471">
        <f t="shared" si="41"/>
        <v>21388.2</v>
      </c>
      <c r="CV23" s="472">
        <f t="shared" si="42"/>
        <v>0.3</v>
      </c>
      <c r="CY23" s="473">
        <v>0</v>
      </c>
      <c r="CZ23" s="474">
        <f t="shared" si="61"/>
        <v>21388.2</v>
      </c>
      <c r="DA23" s="475">
        <f t="shared" si="62"/>
        <v>0.3</v>
      </c>
      <c r="DB23" s="1">
        <f t="shared" si="63"/>
        <v>0</v>
      </c>
      <c r="DC23" s="293">
        <f t="shared" si="64"/>
        <v>0.3</v>
      </c>
      <c r="DF23" s="476"/>
    </row>
    <row r="24" spans="1:110">
      <c r="A24" s="477" t="s">
        <v>92</v>
      </c>
      <c r="B24" s="428" t="s">
        <v>98</v>
      </c>
      <c r="C24" s="429"/>
      <c r="D24" s="91">
        <f>'Op Cost-26'!E15</f>
        <v>7769877</v>
      </c>
      <c r="E24" s="92">
        <f>'Ridership-26'!$E15</f>
        <v>1423486</v>
      </c>
      <c r="F24" s="92">
        <f>'Revenue Hours-26'!$E15</f>
        <v>68607</v>
      </c>
      <c r="G24" s="92">
        <f>'Revenue Miles-26'!$E15</f>
        <v>1127856</v>
      </c>
      <c r="H24" s="478">
        <f t="shared" si="0"/>
        <v>1.8822892505657017E-2</v>
      </c>
      <c r="I24" s="431">
        <f t="shared" si="1"/>
        <v>1.8822892505657021E-2</v>
      </c>
      <c r="J24" s="432"/>
      <c r="K24" s="433">
        <f>'Ridership-26'!B15/'Revenue Hours-26'!B15</f>
        <v>14.316342020333447</v>
      </c>
      <c r="L24" s="539">
        <f>'Ridership-26'!C15/'Revenue Hours-26'!I15</f>
        <v>19.466079261836335</v>
      </c>
      <c r="M24" s="539">
        <f>'Ridership-26'!D15/'Revenue Hours-26'!J15</f>
        <v>23.218467236227433</v>
      </c>
      <c r="N24" s="539">
        <f>'Ridership-26'!E15/'Revenue Hours-26'!K15</f>
        <v>20.748407596892445</v>
      </c>
      <c r="O24" s="435">
        <f t="shared" si="2"/>
        <v>0.96624846266131004</v>
      </c>
      <c r="P24" s="436">
        <f t="shared" si="3"/>
        <v>1.8187590946430191E-2</v>
      </c>
      <c r="Q24" s="437">
        <f t="shared" si="4"/>
        <v>1.7352866237395969E-2</v>
      </c>
      <c r="R24" s="438">
        <f>'Ridership-26'!B15/'Revenue Miles-26'!B15</f>
        <v>1.0462325686324412</v>
      </c>
      <c r="S24" s="539">
        <f>'Ridership-26'!C15/'Revenue Miles-26'!I15</f>
        <v>1.4050534441156883</v>
      </c>
      <c r="T24" s="539">
        <f>'Ridership-26'!D15/'Revenue Miles-26'!J15</f>
        <v>1.5050852081552479</v>
      </c>
      <c r="U24" s="539">
        <f>'Ridership-26'!E15/'Revenue Miles-26'!K15</f>
        <v>1.2621167950518506</v>
      </c>
      <c r="V24" s="435">
        <f t="shared" si="5"/>
        <v>0.91602143366124933</v>
      </c>
      <c r="W24" s="436">
        <f t="shared" si="6"/>
        <v>1.724217297868353E-2</v>
      </c>
      <c r="X24" s="437">
        <f t="shared" si="7"/>
        <v>1.6409044190397275E-2</v>
      </c>
      <c r="Y24" s="438">
        <f>'Op Cost-26'!B15/'Revenue Hours-26'!B15</f>
        <v>90.654407919074401</v>
      </c>
      <c r="Z24" s="434">
        <f>'Op Cost-26'!C15/'Revenue Hours-26'!C15</f>
        <v>94.089194776382797</v>
      </c>
      <c r="AA24" s="434">
        <f>'Op Cost-26'!D15/'Revenue Hours-26'!D15</f>
        <v>110.97560428152575</v>
      </c>
      <c r="AB24" s="434">
        <f>'Op Cost-26'!E15/'Revenue Hours-26'!E15</f>
        <v>113.25195679741134</v>
      </c>
      <c r="AC24" s="435">
        <f t="shared" si="8"/>
        <v>1.0300295581458903</v>
      </c>
      <c r="AD24" s="436">
        <f t="shared" si="9"/>
        <v>1.8274128501262876E-2</v>
      </c>
      <c r="AE24" s="437">
        <f t="shared" si="10"/>
        <v>1.8310794435137775E-2</v>
      </c>
      <c r="AF24" s="438">
        <f>'Op Cost-26'!B15/'Revenue Miles-26'!B15</f>
        <v>6.6249879976545323</v>
      </c>
      <c r="AG24" s="434">
        <f>'Op Cost-26'!C15/'Revenue Miles-26'!C15</f>
        <v>6.7913186521237527</v>
      </c>
      <c r="AH24" s="434">
        <f>'Op Cost-26'!D15/'Revenue Miles-26'!D15</f>
        <v>7.1937453394685633</v>
      </c>
      <c r="AI24" s="434">
        <f>'Op Cost-26'!E15/'Revenue Miles-26'!E15</f>
        <v>6.8890682853130185</v>
      </c>
      <c r="AJ24" s="435">
        <f t="shared" si="11"/>
        <v>0.97398110528978188</v>
      </c>
      <c r="AK24" s="436">
        <f t="shared" si="12"/>
        <v>1.9325726549958868E-2</v>
      </c>
      <c r="AL24" s="437">
        <f t="shared" si="13"/>
        <v>1.9361138231178712E-2</v>
      </c>
      <c r="AM24" s="438">
        <f>'Op Cost-26'!B15/'Ridership-26'!B15</f>
        <v>6.3322326185221254</v>
      </c>
      <c r="AN24" s="434">
        <f>'Op Cost-26'!C15/'Ridership-26'!C15</f>
        <v>4.833494896984555</v>
      </c>
      <c r="AO24" s="434">
        <f>'Op Cost-26'!D15/'Ridership-26'!D15</f>
        <v>4.779626628771263</v>
      </c>
      <c r="AP24" s="434">
        <f>'Op Cost-26'!E15/'Ridership-26'!E15</f>
        <v>5.4583445148037981</v>
      </c>
      <c r="AQ24" s="435">
        <f t="shared" si="14"/>
        <v>1.0742638725165357</v>
      </c>
      <c r="AR24" s="436">
        <f t="shared" si="15"/>
        <v>1.7521665753836742E-2</v>
      </c>
      <c r="AS24" s="440">
        <f t="shared" si="16"/>
        <v>1.7618085305146691E-2</v>
      </c>
      <c r="AT24" s="432"/>
      <c r="AU24" s="441">
        <f t="shared" si="17"/>
        <v>0</v>
      </c>
      <c r="AV24" s="442">
        <f t="shared" si="18"/>
        <v>0</v>
      </c>
      <c r="AW24" s="442">
        <f t="shared" si="19"/>
        <v>0</v>
      </c>
      <c r="AX24" s="442">
        <f t="shared" si="20"/>
        <v>0</v>
      </c>
      <c r="AY24" s="443">
        <f t="shared" si="21"/>
        <v>0</v>
      </c>
      <c r="AZ24" s="444">
        <f t="shared" si="43"/>
        <v>-1</v>
      </c>
      <c r="BA24" s="445">
        <f t="shared" si="22"/>
        <v>0</v>
      </c>
      <c r="BB24" s="446">
        <f t="shared" si="22"/>
        <v>0</v>
      </c>
      <c r="BC24" s="446">
        <f t="shared" si="22"/>
        <v>0</v>
      </c>
      <c r="BD24" s="446">
        <f t="shared" si="22"/>
        <v>0</v>
      </c>
      <c r="BE24" s="446">
        <f t="shared" si="22"/>
        <v>0</v>
      </c>
      <c r="BF24" s="447">
        <f t="shared" si="44"/>
        <v>2265704.5226738369</v>
      </c>
      <c r="BH24" s="448">
        <f>'Op Cost-26'!E15</f>
        <v>7769877</v>
      </c>
      <c r="BI24" s="449">
        <f t="shared" si="23"/>
        <v>0.29160107974345501</v>
      </c>
      <c r="BJ24" s="450">
        <f t="shared" si="24"/>
        <v>2265704.5226738369</v>
      </c>
      <c r="BK24" s="451">
        <f t="shared" si="25"/>
        <v>0</v>
      </c>
      <c r="BL24" s="1">
        <f t="shared" si="45"/>
        <v>2.1538546502571587</v>
      </c>
      <c r="BM24" s="112">
        <f t="shared" si="46"/>
        <v>2.0691401339452931</v>
      </c>
      <c r="BN24" s="112">
        <f t="shared" si="47"/>
        <v>1.9374821404583458</v>
      </c>
      <c r="BO24" s="113">
        <f t="shared" si="48"/>
        <v>2.3043981633124981</v>
      </c>
      <c r="BP24" s="452">
        <f t="shared" si="26"/>
        <v>2265704.5226738369</v>
      </c>
      <c r="BQ24" s="115">
        <f t="shared" si="49"/>
        <v>4.0541774554599994E-2</v>
      </c>
      <c r="BR24" s="116">
        <f t="shared" si="50"/>
        <v>4.0541774554599994E-2</v>
      </c>
      <c r="BS24" s="453">
        <f t="shared" si="51"/>
        <v>4.2499223151919376E-2</v>
      </c>
      <c r="BT24" s="118">
        <f t="shared" si="52"/>
        <v>2583196.8388000913</v>
      </c>
      <c r="BU24" s="119">
        <f t="shared" si="53"/>
        <v>2330963.1</v>
      </c>
      <c r="BV24" s="119">
        <f t="shared" si="54"/>
        <v>2330963.1</v>
      </c>
      <c r="BW24" s="119">
        <f t="shared" si="65"/>
        <v>252233.7388000912</v>
      </c>
      <c r="BX24" s="120">
        <f t="shared" si="55"/>
        <v>0</v>
      </c>
      <c r="BY24" s="454">
        <f t="shared" si="56"/>
        <v>0</v>
      </c>
      <c r="BZ24" s="122">
        <f t="shared" si="57"/>
        <v>2330963.1</v>
      </c>
      <c r="CA24" s="455">
        <f t="shared" si="27"/>
        <v>2.0114540922345672E-2</v>
      </c>
      <c r="CB24" s="456">
        <f t="shared" si="28"/>
        <v>150266.56281277078</v>
      </c>
      <c r="CC24" s="456">
        <f t="shared" si="29"/>
        <v>2415971.0854866076</v>
      </c>
      <c r="CD24" s="457">
        <f t="shared" si="30"/>
        <v>0.31094071186540118</v>
      </c>
      <c r="CE24" s="458">
        <f t="shared" si="31"/>
        <v>1</v>
      </c>
      <c r="CF24" s="17"/>
      <c r="CG24" s="459">
        <f t="shared" si="32"/>
        <v>7769877</v>
      </c>
      <c r="CH24" s="460">
        <f t="shared" si="58"/>
        <v>0.31094071186540118</v>
      </c>
      <c r="CI24" s="461">
        <f t="shared" si="33"/>
        <v>2330963.1</v>
      </c>
      <c r="CJ24" s="462">
        <f t="shared" si="34"/>
        <v>85007.985486607533</v>
      </c>
      <c r="CL24" s="463">
        <f t="shared" si="35"/>
        <v>0</v>
      </c>
      <c r="CM24" s="464">
        <f t="shared" si="36"/>
        <v>0</v>
      </c>
      <c r="CN24" s="465">
        <f t="shared" si="37"/>
        <v>0</v>
      </c>
      <c r="CO24" s="466">
        <f t="shared" si="59"/>
        <v>2330963.1</v>
      </c>
      <c r="CP24" s="467">
        <f t="shared" si="60"/>
        <v>0.3</v>
      </c>
      <c r="CQ24" s="468">
        <f t="shared" si="38"/>
        <v>0</v>
      </c>
      <c r="CR24" s="469"/>
      <c r="CS24" s="470">
        <f t="shared" si="39"/>
        <v>2330963.1</v>
      </c>
      <c r="CT24" s="465">
        <f t="shared" si="40"/>
        <v>0</v>
      </c>
      <c r="CU24" s="471">
        <f t="shared" si="41"/>
        <v>2330963.1</v>
      </c>
      <c r="CV24" s="472">
        <f t="shared" si="42"/>
        <v>0.3</v>
      </c>
      <c r="CY24" s="473">
        <v>0</v>
      </c>
      <c r="CZ24" s="474">
        <f t="shared" si="61"/>
        <v>2330963.1</v>
      </c>
      <c r="DA24" s="475">
        <f t="shared" si="62"/>
        <v>0.3</v>
      </c>
      <c r="DB24" s="1">
        <f t="shared" si="63"/>
        <v>0</v>
      </c>
      <c r="DC24" s="293">
        <f t="shared" si="64"/>
        <v>0.3</v>
      </c>
      <c r="DF24" s="476"/>
    </row>
    <row r="25" spans="1:110">
      <c r="A25" s="477" t="s">
        <v>99</v>
      </c>
      <c r="B25" s="428" t="s">
        <v>100</v>
      </c>
      <c r="C25" s="429"/>
      <c r="D25" s="91">
        <f>'Op Cost-26'!E16</f>
        <v>4067447</v>
      </c>
      <c r="E25" s="92">
        <f>'Ridership-26'!$E16</f>
        <v>259346</v>
      </c>
      <c r="F25" s="92">
        <f>'Revenue Hours-26'!$E16</f>
        <v>34940</v>
      </c>
      <c r="G25" s="92">
        <f>'Revenue Miles-26'!$E16</f>
        <v>565576</v>
      </c>
      <c r="H25" s="430">
        <f t="shared" si="0"/>
        <v>6.5633003099502341E-3</v>
      </c>
      <c r="I25" s="431">
        <f t="shared" si="1"/>
        <v>6.5633003099502358E-3</v>
      </c>
      <c r="J25" s="432"/>
      <c r="K25" s="433">
        <f>'Ridership-26'!B16/'Revenue Hours-26'!B16</f>
        <v>5.7639186016175321</v>
      </c>
      <c r="L25" s="539">
        <f>'Ridership-26'!C16/'Revenue Hours-26'!I16</f>
        <v>6.4797153630255435</v>
      </c>
      <c r="M25" s="539">
        <f>'Ridership-26'!D16/'Revenue Hours-26'!J16</f>
        <v>7.8693923906871097</v>
      </c>
      <c r="N25" s="539">
        <f>'Ridership-26'!E16/'Revenue Hours-26'!K16</f>
        <v>7.4226101888952494</v>
      </c>
      <c r="O25" s="435">
        <f t="shared" si="2"/>
        <v>0.92653452379767975</v>
      </c>
      <c r="P25" s="436">
        <f t="shared" si="3"/>
        <v>6.081124327220906E-3</v>
      </c>
      <c r="Q25" s="437">
        <f t="shared" si="4"/>
        <v>5.8020293800345821E-3</v>
      </c>
      <c r="R25" s="438">
        <f>'Ridership-26'!B16/'Revenue Miles-26'!B16</f>
        <v>0.39323250859241093</v>
      </c>
      <c r="S25" s="539">
        <f>'Ridership-26'!C16/'Revenue Miles-26'!I16</f>
        <v>0.42963025620782347</v>
      </c>
      <c r="T25" s="539">
        <f>'Ridership-26'!D16/'Revenue Miles-26'!J16</f>
        <v>0.50038763229943484</v>
      </c>
      <c r="U25" s="539">
        <f>'Ridership-26'!E16/'Revenue Miles-26'!K16</f>
        <v>0.45855198947621539</v>
      </c>
      <c r="V25" s="435">
        <f t="shared" si="5"/>
        <v>0.89996760816377319</v>
      </c>
      <c r="W25" s="436">
        <f t="shared" si="6"/>
        <v>5.9067576816064652E-3</v>
      </c>
      <c r="X25" s="437">
        <f t="shared" si="7"/>
        <v>5.6213476073622703E-3</v>
      </c>
      <c r="Y25" s="438">
        <f>'Op Cost-26'!B16/'Revenue Hours-26'!B16</f>
        <v>72.997808505087406</v>
      </c>
      <c r="Z25" s="434">
        <f>'Op Cost-26'!C16/'Revenue Hours-26'!C16</f>
        <v>89.842457403679873</v>
      </c>
      <c r="AA25" s="434">
        <f>'Op Cost-26'!D16/'Revenue Hours-26'!D16</f>
        <v>122.89167251227578</v>
      </c>
      <c r="AB25" s="434">
        <f>'Op Cost-26'!E16/'Revenue Hours-26'!E16</f>
        <v>116.41233543216943</v>
      </c>
      <c r="AC25" s="435">
        <f t="shared" si="8"/>
        <v>1.1275204801752217</v>
      </c>
      <c r="AD25" s="436">
        <f t="shared" si="9"/>
        <v>5.8210031882793556E-3</v>
      </c>
      <c r="AE25" s="437">
        <f t="shared" si="10"/>
        <v>5.8326826792040407E-3</v>
      </c>
      <c r="AF25" s="438">
        <f>'Op Cost-26'!B16/'Revenue Miles-26'!B16</f>
        <v>4.9801382261276927</v>
      </c>
      <c r="AG25" s="434">
        <f>'Op Cost-26'!C16/'Revenue Miles-26'!C16</f>
        <v>5.9569033252504751</v>
      </c>
      <c r="AH25" s="434">
        <f>'Op Cost-26'!D16/'Revenue Miles-26'!D16</f>
        <v>7.8142593461864411</v>
      </c>
      <c r="AI25" s="434">
        <f>'Op Cost-26'!E16/'Revenue Miles-26'!E16</f>
        <v>7.1916895342093721</v>
      </c>
      <c r="AJ25" s="435">
        <f t="shared" si="11"/>
        <v>1.0962426841958166</v>
      </c>
      <c r="AK25" s="436">
        <f t="shared" si="12"/>
        <v>5.9870869877366173E-3</v>
      </c>
      <c r="AL25" s="437">
        <f t="shared" si="13"/>
        <v>5.9980574842557069E-3</v>
      </c>
      <c r="AM25" s="438">
        <f>'Op Cost-26'!B16/'Ridership-26'!B16</f>
        <v>12.664614743969837</v>
      </c>
      <c r="AN25" s="434">
        <f>'Op Cost-26'!C16/'Ridership-26'!C16</f>
        <v>13.865185794477576</v>
      </c>
      <c r="AO25" s="434">
        <f>'Op Cost-26'!D16/'Ridership-26'!D16</f>
        <v>15.616411841111102</v>
      </c>
      <c r="AP25" s="434">
        <f>'Op Cost-26'!E16/'Ridership-26'!E16</f>
        <v>15.683476899585882</v>
      </c>
      <c r="AQ25" s="439">
        <f t="shared" si="14"/>
        <v>1.21686915565862</v>
      </c>
      <c r="AR25" s="436">
        <f t="shared" si="15"/>
        <v>5.3935957530272891E-3</v>
      </c>
      <c r="AS25" s="440">
        <f t="shared" si="16"/>
        <v>5.4232760408355566E-3</v>
      </c>
      <c r="AT25" s="432"/>
      <c r="AU25" s="441">
        <f t="shared" si="17"/>
        <v>0</v>
      </c>
      <c r="AV25" s="442">
        <f t="shared" si="18"/>
        <v>0</v>
      </c>
      <c r="AW25" s="442">
        <f t="shared" si="19"/>
        <v>0</v>
      </c>
      <c r="AX25" s="442">
        <f t="shared" si="20"/>
        <v>0</v>
      </c>
      <c r="AY25" s="443">
        <f t="shared" si="21"/>
        <v>0</v>
      </c>
      <c r="AZ25" s="444">
        <f t="shared" si="43"/>
        <v>-1</v>
      </c>
      <c r="BA25" s="445">
        <f t="shared" si="22"/>
        <v>0</v>
      </c>
      <c r="BB25" s="446">
        <f t="shared" si="22"/>
        <v>0</v>
      </c>
      <c r="BC25" s="446">
        <f t="shared" si="22"/>
        <v>0</v>
      </c>
      <c r="BD25" s="446">
        <f t="shared" si="22"/>
        <v>0</v>
      </c>
      <c r="BE25" s="446">
        <f t="shared" si="22"/>
        <v>0</v>
      </c>
      <c r="BF25" s="447">
        <f t="shared" si="44"/>
        <v>790022.00068090879</v>
      </c>
      <c r="BH25" s="448">
        <f>'Op Cost-26'!E16</f>
        <v>4067447</v>
      </c>
      <c r="BI25" s="449">
        <f t="shared" si="23"/>
        <v>0.19423043513066274</v>
      </c>
      <c r="BJ25" s="450">
        <f t="shared" si="24"/>
        <v>790022.00068090879</v>
      </c>
      <c r="BK25" s="451">
        <f t="shared" si="25"/>
        <v>0</v>
      </c>
      <c r="BL25" s="1">
        <f t="shared" si="45"/>
        <v>0.72187767974250427</v>
      </c>
      <c r="BM25" s="112">
        <f t="shared" si="46"/>
        <v>0.70835467652392647</v>
      </c>
      <c r="BN25" s="112">
        <f t="shared" si="47"/>
        <v>0.64040367121178543</v>
      </c>
      <c r="BO25" s="113">
        <f t="shared" si="48"/>
        <v>0.7693761856171526</v>
      </c>
      <c r="BP25" s="452">
        <f t="shared" si="26"/>
        <v>790022.00068090879</v>
      </c>
      <c r="BQ25" s="115">
        <f t="shared" si="49"/>
        <v>4.7378999992001352E-3</v>
      </c>
      <c r="BR25" s="116">
        <f t="shared" si="50"/>
        <v>4.7378999992001352E-3</v>
      </c>
      <c r="BS25" s="453">
        <f t="shared" si="51"/>
        <v>4.966656530199628E-3</v>
      </c>
      <c r="BT25" s="118">
        <f t="shared" si="52"/>
        <v>827125.62677637662</v>
      </c>
      <c r="BU25" s="119">
        <f t="shared" si="53"/>
        <v>1220234.0999999999</v>
      </c>
      <c r="BV25" s="119">
        <f t="shared" si="54"/>
        <v>827125.62677637662</v>
      </c>
      <c r="BW25" s="119">
        <f t="shared" si="65"/>
        <v>0</v>
      </c>
      <c r="BX25" s="120">
        <f t="shared" si="55"/>
        <v>4.7378999992001352E-3</v>
      </c>
      <c r="BY25" s="454">
        <f t="shared" si="56"/>
        <v>5.2128156152380003E-3</v>
      </c>
      <c r="BZ25" s="122">
        <f t="shared" si="57"/>
        <v>828541.02123665041</v>
      </c>
      <c r="CA25" s="455">
        <f t="shared" si="27"/>
        <v>7.0136814854816548E-3</v>
      </c>
      <c r="CB25" s="456">
        <f t="shared" si="28"/>
        <v>52396.016073927509</v>
      </c>
      <c r="CC25" s="456">
        <f t="shared" si="29"/>
        <v>842418.01675483631</v>
      </c>
      <c r="CD25" s="457">
        <f t="shared" si="30"/>
        <v>0.20711222955205963</v>
      </c>
      <c r="CE25" s="458">
        <f t="shared" si="31"/>
        <v>0</v>
      </c>
      <c r="CF25" s="17"/>
      <c r="CG25" s="459">
        <f t="shared" si="32"/>
        <v>4067447</v>
      </c>
      <c r="CH25" s="460">
        <f t="shared" si="58"/>
        <v>0.20711222955205963</v>
      </c>
      <c r="CI25" s="461">
        <f t="shared" si="33"/>
        <v>842418.01675483631</v>
      </c>
      <c r="CJ25" s="462">
        <f t="shared" si="34"/>
        <v>0</v>
      </c>
      <c r="CL25" s="463">
        <f t="shared" si="35"/>
        <v>842418.01675483631</v>
      </c>
      <c r="CM25" s="464">
        <f t="shared" si="36"/>
        <v>7.2427470559063307E-3</v>
      </c>
      <c r="CN25" s="465">
        <f t="shared" si="37"/>
        <v>1040.3612401251478</v>
      </c>
      <c r="CO25" s="466">
        <f t="shared" si="59"/>
        <v>843458.37799496145</v>
      </c>
      <c r="CP25" s="467">
        <f t="shared" si="60"/>
        <v>0.20736800700659688</v>
      </c>
      <c r="CQ25" s="468">
        <f t="shared" si="38"/>
        <v>0</v>
      </c>
      <c r="CR25" s="469"/>
      <c r="CS25" s="470">
        <f t="shared" si="39"/>
        <v>1220234.0999999999</v>
      </c>
      <c r="CT25" s="465">
        <f t="shared" si="40"/>
        <v>0</v>
      </c>
      <c r="CU25" s="471">
        <f t="shared" si="41"/>
        <v>843458.37799496145</v>
      </c>
      <c r="CV25" s="472">
        <f t="shared" si="42"/>
        <v>0.20736800700659688</v>
      </c>
      <c r="CY25" s="473">
        <v>0</v>
      </c>
      <c r="CZ25" s="474">
        <f t="shared" si="61"/>
        <v>843458.37799496145</v>
      </c>
      <c r="DA25" s="475">
        <f t="shared" si="62"/>
        <v>0.20736800700659688</v>
      </c>
      <c r="DB25" s="1">
        <f t="shared" si="63"/>
        <v>0</v>
      </c>
      <c r="DC25" s="293">
        <f t="shared" si="64"/>
        <v>0.20370050826394306</v>
      </c>
      <c r="DF25" s="476"/>
    </row>
    <row r="26" spans="1:110">
      <c r="A26" s="477" t="s">
        <v>99</v>
      </c>
      <c r="B26" s="428" t="s">
        <v>101</v>
      </c>
      <c r="C26" s="429"/>
      <c r="D26" s="91">
        <f>'Op Cost-26'!E17</f>
        <v>698366</v>
      </c>
      <c r="E26" s="92">
        <f>'Ridership-26'!$E17</f>
        <v>96178</v>
      </c>
      <c r="F26" s="92">
        <f>'Revenue Hours-26'!$E17</f>
        <v>11193</v>
      </c>
      <c r="G26" s="92">
        <f>'Revenue Miles-26'!$E17</f>
        <v>168612</v>
      </c>
      <c r="H26" s="430">
        <f t="shared" si="0"/>
        <v>1.7962437158230401E-3</v>
      </c>
      <c r="I26" s="431">
        <f t="shared" si="1"/>
        <v>1.7962437158230405E-3</v>
      </c>
      <c r="J26" s="432"/>
      <c r="K26" s="433">
        <f>'Ridership-26'!B17/'Revenue Hours-26'!B17</f>
        <v>6.5520235467255334</v>
      </c>
      <c r="L26" s="539">
        <f>'Ridership-26'!C17/'Revenue Hours-26'!I17</f>
        <v>6.5625580805947452</v>
      </c>
      <c r="M26" s="539">
        <f>'Ridership-26'!D17/'Revenue Hours-26'!J17</f>
        <v>7.7980103806228378</v>
      </c>
      <c r="N26" s="539">
        <f>'Ridership-26'!E17/'Revenue Hours-26'!K17</f>
        <v>8.5926918609845444</v>
      </c>
      <c r="O26" s="435">
        <f t="shared" si="2"/>
        <v>0.93668954813722882</v>
      </c>
      <c r="P26" s="436">
        <f t="shared" si="3"/>
        <v>1.6825227145186206E-3</v>
      </c>
      <c r="Q26" s="437">
        <f t="shared" si="4"/>
        <v>1.6053028514011426E-3</v>
      </c>
      <c r="R26" s="438">
        <f>'Ridership-26'!B17/'Revenue Miles-26'!B17</f>
        <v>0.47317713453679738</v>
      </c>
      <c r="S26" s="539">
        <f>'Ridership-26'!C17/'Revenue Miles-26'!I17</f>
        <v>0.44629120011030743</v>
      </c>
      <c r="T26" s="539">
        <f>'Ridership-26'!D17/'Revenue Miles-26'!J17</f>
        <v>0.52648024202497345</v>
      </c>
      <c r="U26" s="539">
        <f>'Ridership-26'!E17/'Revenue Miles-26'!K17</f>
        <v>0.57041017246696557</v>
      </c>
      <c r="V26" s="435">
        <f t="shared" si="5"/>
        <v>0.91643691347378609</v>
      </c>
      <c r="W26" s="436">
        <f t="shared" si="6"/>
        <v>1.6461440467755517E-3</v>
      </c>
      <c r="X26" s="437">
        <f t="shared" si="7"/>
        <v>1.5666036085297305E-3</v>
      </c>
      <c r="Y26" s="438">
        <f>'Op Cost-26'!B17/'Revenue Hours-26'!B17</f>
        <v>45.519278881530539</v>
      </c>
      <c r="Z26" s="434">
        <f>'Op Cost-26'!C17/'Revenue Hours-26'!C17</f>
        <v>51.194390470558417</v>
      </c>
      <c r="AA26" s="434">
        <f>'Op Cost-26'!D17/'Revenue Hours-26'!D17</f>
        <v>60.816435986159171</v>
      </c>
      <c r="AB26" s="434">
        <f>'Op Cost-26'!E17/'Revenue Hours-26'!E17</f>
        <v>62.393102832127219</v>
      </c>
      <c r="AC26" s="435">
        <f t="shared" si="8"/>
        <v>1.0630086809606323</v>
      </c>
      <c r="AD26" s="436">
        <f t="shared" si="9"/>
        <v>1.6897733273445986E-3</v>
      </c>
      <c r="AE26" s="437">
        <f t="shared" si="10"/>
        <v>1.6931637553521341E-3</v>
      </c>
      <c r="AF26" s="438">
        <f>'Op Cost-26'!B17/'Revenue Miles-26'!B17</f>
        <v>3.2873328054671349</v>
      </c>
      <c r="AG26" s="434">
        <f>'Op Cost-26'!C17/'Revenue Miles-26'!C17</f>
        <v>3.4815091434513583</v>
      </c>
      <c r="AH26" s="434">
        <f>'Op Cost-26'!D17/'Revenue Miles-26'!D17</f>
        <v>4.1060027332936189</v>
      </c>
      <c r="AI26" s="434">
        <f>'Op Cost-26'!E17/'Revenue Miles-26'!E17</f>
        <v>4.1418522999549259</v>
      </c>
      <c r="AJ26" s="435">
        <f t="shared" si="11"/>
        <v>1.0382731642613201</v>
      </c>
      <c r="AK26" s="436">
        <f t="shared" si="12"/>
        <v>1.7300299936972548E-3</v>
      </c>
      <c r="AL26" s="437">
        <f t="shared" si="13"/>
        <v>1.7332000308225967E-3</v>
      </c>
      <c r="AM26" s="438">
        <f>'Op Cost-26'!B17/'Ridership-26'!B17</f>
        <v>6.9473619190943596</v>
      </c>
      <c r="AN26" s="434">
        <f>'Op Cost-26'!C17/'Ridership-26'!C17</f>
        <v>7.8009809348489334</v>
      </c>
      <c r="AO26" s="434">
        <f>'Op Cost-26'!D17/'Ridership-26'!D17</f>
        <v>7.7989683288035945</v>
      </c>
      <c r="AP26" s="434">
        <f>'Op Cost-26'!E17/'Ridership-26'!E17</f>
        <v>7.261182390983385</v>
      </c>
      <c r="AQ26" s="439">
        <f t="shared" si="14"/>
        <v>1.1577327465899605</v>
      </c>
      <c r="AR26" s="436">
        <f t="shared" si="15"/>
        <v>1.5515184494122496E-3</v>
      </c>
      <c r="AS26" s="440">
        <f t="shared" si="16"/>
        <v>1.5600562628167015E-3</v>
      </c>
      <c r="AT26" s="432"/>
      <c r="AU26" s="441">
        <f t="shared" si="17"/>
        <v>0</v>
      </c>
      <c r="AV26" s="442">
        <f t="shared" si="18"/>
        <v>0</v>
      </c>
      <c r="AW26" s="442">
        <f t="shared" si="19"/>
        <v>0</v>
      </c>
      <c r="AX26" s="442">
        <f t="shared" si="20"/>
        <v>0</v>
      </c>
      <c r="AY26" s="443">
        <f t="shared" si="21"/>
        <v>0</v>
      </c>
      <c r="AZ26" s="444">
        <f t="shared" si="43"/>
        <v>-1</v>
      </c>
      <c r="BA26" s="445">
        <f t="shared" si="22"/>
        <v>0</v>
      </c>
      <c r="BB26" s="446">
        <f t="shared" si="22"/>
        <v>0</v>
      </c>
      <c r="BC26" s="446">
        <f t="shared" si="22"/>
        <v>0</v>
      </c>
      <c r="BD26" s="446">
        <f t="shared" si="22"/>
        <v>0</v>
      </c>
      <c r="BE26" s="446">
        <f t="shared" si="22"/>
        <v>0</v>
      </c>
      <c r="BF26" s="447">
        <f t="shared" si="44"/>
        <v>216213.18347016</v>
      </c>
      <c r="BH26" s="448">
        <f>'Op Cost-26'!E17</f>
        <v>698366</v>
      </c>
      <c r="BI26" s="449">
        <f t="shared" si="23"/>
        <v>0.30959866813413023</v>
      </c>
      <c r="BJ26" s="450">
        <f t="shared" si="24"/>
        <v>209509.8</v>
      </c>
      <c r="BK26" s="451">
        <f t="shared" si="25"/>
        <v>6703.3834701600135</v>
      </c>
      <c r="BL26" s="1">
        <f t="shared" si="45"/>
        <v>1.1181047385361</v>
      </c>
      <c r="BM26" s="112">
        <f t="shared" si="46"/>
        <v>0.74359907388519053</v>
      </c>
      <c r="BN26" s="112">
        <f t="shared" si="47"/>
        <v>0.70720190205380984</v>
      </c>
      <c r="BO26" s="113">
        <f t="shared" si="48"/>
        <v>1.5108089891026999</v>
      </c>
      <c r="BP26" s="452">
        <f t="shared" si="26"/>
        <v>0</v>
      </c>
      <c r="BQ26" s="115">
        <f t="shared" si="49"/>
        <v>2.0083886102274335E-3</v>
      </c>
      <c r="BR26" s="116">
        <f t="shared" si="50"/>
        <v>0</v>
      </c>
      <c r="BS26" s="453">
        <f t="shared" si="51"/>
        <v>0</v>
      </c>
      <c r="BT26" s="118">
        <f t="shared" si="52"/>
        <v>209509.8</v>
      </c>
      <c r="BU26" s="119">
        <f t="shared" si="53"/>
        <v>209509.8</v>
      </c>
      <c r="BV26" s="119">
        <f t="shared" si="54"/>
        <v>209509.8</v>
      </c>
      <c r="BW26" s="119">
        <f>BT26-BV26</f>
        <v>0</v>
      </c>
      <c r="BX26" s="120">
        <f t="shared" si="55"/>
        <v>0</v>
      </c>
      <c r="BY26" s="454">
        <f t="shared" si="56"/>
        <v>0</v>
      </c>
      <c r="BZ26" s="122">
        <f t="shared" si="57"/>
        <v>209509.8</v>
      </c>
      <c r="CA26" s="455">
        <f t="shared" si="27"/>
        <v>0</v>
      </c>
      <c r="CB26" s="456">
        <f t="shared" si="28"/>
        <v>0</v>
      </c>
      <c r="CC26" s="456">
        <f t="shared" si="29"/>
        <v>209509.8</v>
      </c>
      <c r="CD26" s="457">
        <f t="shared" si="30"/>
        <v>0.3</v>
      </c>
      <c r="CE26" s="458">
        <f t="shared" si="31"/>
        <v>0</v>
      </c>
      <c r="CF26" s="17"/>
      <c r="CG26" s="459">
        <f t="shared" si="32"/>
        <v>698366</v>
      </c>
      <c r="CH26" s="460">
        <f t="shared" si="58"/>
        <v>0.3</v>
      </c>
      <c r="CI26" s="461">
        <f t="shared" si="33"/>
        <v>209509.8</v>
      </c>
      <c r="CJ26" s="462">
        <f t="shared" si="34"/>
        <v>0</v>
      </c>
      <c r="CL26" s="463">
        <f t="shared" si="35"/>
        <v>0</v>
      </c>
      <c r="CM26" s="464">
        <f t="shared" si="36"/>
        <v>0</v>
      </c>
      <c r="CN26" s="465">
        <f t="shared" si="37"/>
        <v>0</v>
      </c>
      <c r="CO26" s="466">
        <f t="shared" si="59"/>
        <v>209509.8</v>
      </c>
      <c r="CP26" s="467">
        <f t="shared" si="60"/>
        <v>0.3</v>
      </c>
      <c r="CQ26" s="468">
        <f t="shared" si="38"/>
        <v>0</v>
      </c>
      <c r="CR26" s="469"/>
      <c r="CS26" s="470">
        <f t="shared" si="39"/>
        <v>209509.8</v>
      </c>
      <c r="CT26" s="465">
        <f t="shared" si="40"/>
        <v>0</v>
      </c>
      <c r="CU26" s="471">
        <f t="shared" si="41"/>
        <v>209509.8</v>
      </c>
      <c r="CV26" s="472">
        <f t="shared" si="42"/>
        <v>0.3</v>
      </c>
      <c r="CY26" s="473">
        <v>0</v>
      </c>
      <c r="CZ26" s="474">
        <f t="shared" si="61"/>
        <v>209509.8</v>
      </c>
      <c r="DA26" s="475">
        <f t="shared" si="62"/>
        <v>0.3</v>
      </c>
      <c r="DB26" s="1">
        <f t="shared" si="63"/>
        <v>0</v>
      </c>
      <c r="DC26" s="293">
        <f t="shared" si="64"/>
        <v>0.3</v>
      </c>
      <c r="DF26" s="476"/>
    </row>
    <row r="27" spans="1:110">
      <c r="A27" s="477" t="s">
        <v>99</v>
      </c>
      <c r="B27" s="428" t="s">
        <v>102</v>
      </c>
      <c r="C27" s="429"/>
      <c r="D27" s="91">
        <f>'Op Cost-26'!E18</f>
        <v>9003000</v>
      </c>
      <c r="E27" s="92">
        <f>'Ridership-26'!$E18</f>
        <v>585649</v>
      </c>
      <c r="F27" s="92">
        <f>'Revenue Hours-26'!$E18</f>
        <v>80007.260000000009</v>
      </c>
      <c r="G27" s="92">
        <f>'Revenue Miles-26'!$E18</f>
        <v>1157573.97</v>
      </c>
      <c r="H27" s="430">
        <f t="shared" si="0"/>
        <v>1.4475191648559049E-2</v>
      </c>
      <c r="I27" s="431">
        <f t="shared" si="1"/>
        <v>1.4475191648559052E-2</v>
      </c>
      <c r="J27" s="432"/>
      <c r="K27" s="433">
        <f>'Ridership-26'!B18/'Revenue Hours-26'!B18</f>
        <v>6.2106387495687709</v>
      </c>
      <c r="L27" s="539">
        <f>'Ridership-26'!C18/'Revenue Hours-26'!I18</f>
        <v>5.9993407953505891</v>
      </c>
      <c r="M27" s="539">
        <f>'Ridership-26'!D18/'Revenue Hours-26'!J18</f>
        <v>6.5244789507405869</v>
      </c>
      <c r="N27" s="539">
        <f>'Ridership-26'!E18/'Revenue Hours-26'!K18</f>
        <v>7.3199482146995152</v>
      </c>
      <c r="O27" s="435">
        <f t="shared" si="2"/>
        <v>0.90539464268492109</v>
      </c>
      <c r="P27" s="436">
        <f t="shared" si="3"/>
        <v>1.3105760970442876E-2</v>
      </c>
      <c r="Q27" s="437">
        <f t="shared" si="4"/>
        <v>1.2504268307398781E-2</v>
      </c>
      <c r="R27" s="438">
        <f>'Ridership-26'!B18/'Revenue Miles-26'!B18</f>
        <v>0.43710720015539234</v>
      </c>
      <c r="S27" s="539">
        <f>'Ridership-26'!C18/'Revenue Miles-26'!I18</f>
        <v>0.41539215330115964</v>
      </c>
      <c r="T27" s="539">
        <f>'Ridership-26'!D18/'Revenue Miles-26'!J18</f>
        <v>0.45126387982562621</v>
      </c>
      <c r="U27" s="539">
        <f>'Ridership-26'!E18/'Revenue Miles-26'!K18</f>
        <v>0.50592792787142582</v>
      </c>
      <c r="V27" s="435">
        <f t="shared" si="5"/>
        <v>0.90393113365152045</v>
      </c>
      <c r="W27" s="436">
        <f t="shared" si="6"/>
        <v>1.3084576396705004E-2</v>
      </c>
      <c r="X27" s="437">
        <f t="shared" si="7"/>
        <v>1.2452339538154588E-2</v>
      </c>
      <c r="Y27" s="438">
        <f>'Op Cost-26'!B18/'Revenue Hours-26'!B18</f>
        <v>88.890998593530242</v>
      </c>
      <c r="Z27" s="434">
        <f>'Op Cost-26'!C18/'Revenue Hours-26'!C18</f>
        <v>103.53699617930367</v>
      </c>
      <c r="AA27" s="434">
        <f>'Op Cost-26'!D18/'Revenue Hours-26'!D18</f>
        <v>108.98527619693715</v>
      </c>
      <c r="AB27" s="434">
        <f>'Op Cost-26'!E18/'Revenue Hours-26'!E18</f>
        <v>112.5272881486005</v>
      </c>
      <c r="AC27" s="435">
        <f t="shared" si="8"/>
        <v>1.0371555930389649</v>
      </c>
      <c r="AD27" s="436">
        <f t="shared" si="9"/>
        <v>1.3956624970941302E-2</v>
      </c>
      <c r="AE27" s="437">
        <f t="shared" si="10"/>
        <v>1.3984628095044645E-2</v>
      </c>
      <c r="AF27" s="438">
        <f>'Op Cost-26'!B18/'Revenue Miles-26'!B18</f>
        <v>6.2561834749980854</v>
      </c>
      <c r="AG27" s="434">
        <f>'Op Cost-26'!C18/'Revenue Miles-26'!C18</f>
        <v>7.168863589577354</v>
      </c>
      <c r="AH27" s="434">
        <f>'Op Cost-26'!D18/'Revenue Miles-26'!D18</f>
        <v>7.537938117635405</v>
      </c>
      <c r="AI27" s="434">
        <f>'Op Cost-26'!E18/'Revenue Miles-26'!E18</f>
        <v>7.7774727432753172</v>
      </c>
      <c r="AJ27" s="435">
        <f t="shared" si="11"/>
        <v>1.0360687752653082</v>
      </c>
      <c r="AK27" s="436">
        <f t="shared" si="12"/>
        <v>1.3971265223056608E-2</v>
      </c>
      <c r="AL27" s="437">
        <f t="shared" si="13"/>
        <v>1.3996865605481445E-2</v>
      </c>
      <c r="AM27" s="438">
        <f>'Op Cost-26'!B18/'Ridership-26'!B18</f>
        <v>14.312698287225656</v>
      </c>
      <c r="AN27" s="434">
        <f>'Op Cost-26'!C18/'Ridership-26'!C18</f>
        <v>17.258062129016487</v>
      </c>
      <c r="AO27" s="434">
        <f>'Op Cost-26'!D18/'Ridership-26'!D18</f>
        <v>16.704058212122263</v>
      </c>
      <c r="AP27" s="434">
        <f>'Op Cost-26'!E18/'Ridership-26'!E18</f>
        <v>15.372689102175535</v>
      </c>
      <c r="AQ27" s="435">
        <f t="shared" si="14"/>
        <v>1.1776106082937341</v>
      </c>
      <c r="AR27" s="436">
        <f t="shared" si="15"/>
        <v>1.2292001742012561E-2</v>
      </c>
      <c r="AS27" s="440">
        <f t="shared" si="16"/>
        <v>1.2359643101533783E-2</v>
      </c>
      <c r="AT27" s="432"/>
      <c r="AU27" s="441">
        <f t="shared" si="17"/>
        <v>0</v>
      </c>
      <c r="AV27" s="442">
        <f t="shared" si="18"/>
        <v>0</v>
      </c>
      <c r="AW27" s="442">
        <f t="shared" si="19"/>
        <v>0</v>
      </c>
      <c r="AX27" s="442">
        <f t="shared" si="20"/>
        <v>0</v>
      </c>
      <c r="AY27" s="443">
        <f t="shared" si="21"/>
        <v>0</v>
      </c>
      <c r="AZ27" s="444">
        <f t="shared" si="43"/>
        <v>-1</v>
      </c>
      <c r="BA27" s="445">
        <f t="shared" si="22"/>
        <v>0</v>
      </c>
      <c r="BB27" s="446">
        <f t="shared" si="22"/>
        <v>0</v>
      </c>
      <c r="BC27" s="446">
        <f t="shared" si="22"/>
        <v>0</v>
      </c>
      <c r="BD27" s="446">
        <f t="shared" si="22"/>
        <v>0</v>
      </c>
      <c r="BE27" s="446">
        <f t="shared" si="22"/>
        <v>0</v>
      </c>
      <c r="BF27" s="447">
        <f t="shared" si="44"/>
        <v>1742373.3985015403</v>
      </c>
      <c r="BH27" s="448">
        <f>'Op Cost-26'!E18</f>
        <v>9003000</v>
      </c>
      <c r="BI27" s="449">
        <f t="shared" si="23"/>
        <v>0.1935325334334711</v>
      </c>
      <c r="BJ27" s="450">
        <f t="shared" si="24"/>
        <v>1742373.3985015403</v>
      </c>
      <c r="BK27" s="451">
        <f t="shared" si="25"/>
        <v>0</v>
      </c>
      <c r="BL27" s="1">
        <f t="shared" si="45"/>
        <v>0.66907444690671536</v>
      </c>
      <c r="BM27" s="112">
        <f t="shared" si="46"/>
        <v>0.64502078390837014</v>
      </c>
      <c r="BN27" s="112">
        <f t="shared" si="47"/>
        <v>0.63063667575506666</v>
      </c>
      <c r="BO27" s="113">
        <f t="shared" si="48"/>
        <v>0.70032016398171237</v>
      </c>
      <c r="BP27" s="452">
        <f t="shared" si="26"/>
        <v>1742373.3985015403</v>
      </c>
      <c r="BQ27" s="115">
        <f t="shared" si="49"/>
        <v>9.6849808461283524E-3</v>
      </c>
      <c r="BR27" s="116">
        <f t="shared" si="50"/>
        <v>9.6849808461283524E-3</v>
      </c>
      <c r="BS27" s="453">
        <f t="shared" si="51"/>
        <v>1.015259363270698E-2</v>
      </c>
      <c r="BT27" s="118">
        <f t="shared" si="52"/>
        <v>1818218.7958542029</v>
      </c>
      <c r="BU27" s="119">
        <f t="shared" si="53"/>
        <v>2700900</v>
      </c>
      <c r="BV27" s="119">
        <f t="shared" si="54"/>
        <v>1818218.7958542029</v>
      </c>
      <c r="BW27" s="119">
        <f t="shared" si="65"/>
        <v>0</v>
      </c>
      <c r="BX27" s="120">
        <f t="shared" si="55"/>
        <v>9.6849808461283524E-3</v>
      </c>
      <c r="BY27" s="454">
        <f t="shared" si="56"/>
        <v>1.0655779859537346E-2</v>
      </c>
      <c r="BZ27" s="122">
        <f t="shared" si="57"/>
        <v>1821112.0752057685</v>
      </c>
      <c r="CA27" s="455">
        <f t="shared" si="27"/>
        <v>1.5468495858765157E-2</v>
      </c>
      <c r="CB27" s="456">
        <f t="shared" si="28"/>
        <v>115558.07878259831</v>
      </c>
      <c r="CC27" s="456">
        <f t="shared" si="29"/>
        <v>1857931.4772841386</v>
      </c>
      <c r="CD27" s="457">
        <f t="shared" si="30"/>
        <v>0.20636804146219467</v>
      </c>
      <c r="CE27" s="458">
        <f t="shared" si="31"/>
        <v>0</v>
      </c>
      <c r="CF27" s="17"/>
      <c r="CG27" s="459">
        <f t="shared" si="32"/>
        <v>9003000</v>
      </c>
      <c r="CH27" s="460">
        <f t="shared" si="58"/>
        <v>0.20636804146219467</v>
      </c>
      <c r="CI27" s="461">
        <f t="shared" si="33"/>
        <v>1857931.4772841386</v>
      </c>
      <c r="CJ27" s="462">
        <f t="shared" si="34"/>
        <v>0</v>
      </c>
      <c r="CL27" s="463">
        <f t="shared" si="35"/>
        <v>1857931.4772841386</v>
      </c>
      <c r="CM27" s="464">
        <f t="shared" si="36"/>
        <v>1.5973694139416256E-2</v>
      </c>
      <c r="CN27" s="465">
        <f t="shared" si="37"/>
        <v>2294.490214277314</v>
      </c>
      <c r="CO27" s="466">
        <f t="shared" si="59"/>
        <v>1860225.9674984158</v>
      </c>
      <c r="CP27" s="467">
        <f t="shared" si="60"/>
        <v>0.20662289986653515</v>
      </c>
      <c r="CQ27" s="468">
        <f t="shared" si="38"/>
        <v>0</v>
      </c>
      <c r="CR27" s="469"/>
      <c r="CS27" s="470">
        <f t="shared" si="39"/>
        <v>2700900</v>
      </c>
      <c r="CT27" s="465">
        <f t="shared" si="40"/>
        <v>0</v>
      </c>
      <c r="CU27" s="471">
        <f t="shared" si="41"/>
        <v>1860225.9674984158</v>
      </c>
      <c r="CV27" s="472">
        <f t="shared" si="42"/>
        <v>0.20662289986653515</v>
      </c>
      <c r="CY27" s="473">
        <v>0</v>
      </c>
      <c r="CZ27" s="474">
        <f t="shared" si="61"/>
        <v>1860225.9674984158</v>
      </c>
      <c r="DA27" s="475">
        <f t="shared" si="62"/>
        <v>0.20662289986653515</v>
      </c>
      <c r="DB27" s="1">
        <f t="shared" si="63"/>
        <v>0</v>
      </c>
      <c r="DC27" s="293">
        <f t="shared" si="64"/>
        <v>0.20227836001396962</v>
      </c>
      <c r="DF27" s="476"/>
    </row>
    <row r="28" spans="1:110">
      <c r="A28" s="477" t="s">
        <v>99</v>
      </c>
      <c r="B28" s="428" t="s">
        <v>103</v>
      </c>
      <c r="C28" s="429"/>
      <c r="D28" s="91">
        <f>'Op Cost-26'!E19</f>
        <v>165710</v>
      </c>
      <c r="E28" s="92">
        <f>'Ridership-26'!$E19</f>
        <v>15318</v>
      </c>
      <c r="F28" s="92">
        <f>'Revenue Hours-26'!$E19</f>
        <v>3004</v>
      </c>
      <c r="G28" s="92">
        <f>'Revenue Miles-26'!$E19</f>
        <v>50699</v>
      </c>
      <c r="H28" s="478">
        <f t="shared" si="0"/>
        <v>4.1219889924786873E-4</v>
      </c>
      <c r="I28" s="431">
        <f t="shared" si="1"/>
        <v>4.1219889924786884E-4</v>
      </c>
      <c r="J28" s="432"/>
      <c r="K28" s="433">
        <f>'Ridership-26'!B19/'Revenue Hours-26'!B19</f>
        <v>4.686815011624045</v>
      </c>
      <c r="L28" s="539">
        <f>'Ridership-26'!C19/'Revenue Hours-26'!I19</f>
        <v>4.8892540256325994</v>
      </c>
      <c r="M28" s="539">
        <f>'Ridership-26'!D19/'Revenue Hours-26'!J19</f>
        <v>4.7219286657859971</v>
      </c>
      <c r="N28" s="539">
        <f>'Ridership-26'!E19/'Revenue Hours-26'!K19</f>
        <v>5.099201065246338</v>
      </c>
      <c r="O28" s="435">
        <f t="shared" si="2"/>
        <v>0.87823638966897821</v>
      </c>
      <c r="P28" s="436">
        <f t="shared" si="3"/>
        <v>3.6200807310097523E-4</v>
      </c>
      <c r="Q28" s="437">
        <f t="shared" si="4"/>
        <v>3.4539360863576461E-4</v>
      </c>
      <c r="R28" s="438">
        <f>'Ridership-26'!B19/'Revenue Miles-26'!B19</f>
        <v>0.28707433174661295</v>
      </c>
      <c r="S28" s="539">
        <f>'Ridership-26'!C19/'Revenue Miles-26'!I19</f>
        <v>0.30552817479875144</v>
      </c>
      <c r="T28" s="539">
        <f>'Ridership-26'!D19/'Revenue Miles-26'!J19</f>
        <v>0.29334044561158756</v>
      </c>
      <c r="U28" s="539">
        <f>'Ridership-26'!E19/'Revenue Miles-26'!K19</f>
        <v>0.30213613680743212</v>
      </c>
      <c r="V28" s="435">
        <f t="shared" si="5"/>
        <v>0.87051960662416128</v>
      </c>
      <c r="W28" s="436">
        <f t="shared" si="6"/>
        <v>3.5882722362416707E-4</v>
      </c>
      <c r="X28" s="437">
        <f t="shared" si="7"/>
        <v>3.4148896293094042E-4</v>
      </c>
      <c r="Y28" s="438">
        <f>'Op Cost-26'!B19/'Revenue Hours-26'!B19</f>
        <v>38.42344735968117</v>
      </c>
      <c r="Z28" s="434">
        <f>'Op Cost-26'!C19/'Revenue Hours-26'!C19</f>
        <v>35.43739730529083</v>
      </c>
      <c r="AA28" s="434">
        <f>'Op Cost-26'!D19/'Revenue Hours-26'!D19</f>
        <v>58.537318361955087</v>
      </c>
      <c r="AB28" s="434">
        <f>'Op Cost-26'!E19/'Revenue Hours-26'!E19</f>
        <v>55.163115845539281</v>
      </c>
      <c r="AC28" s="435">
        <f t="shared" si="8"/>
        <v>1.1105520609683832</v>
      </c>
      <c r="AD28" s="436">
        <f t="shared" si="9"/>
        <v>3.7116575956685734E-4</v>
      </c>
      <c r="AE28" s="437">
        <f t="shared" si="10"/>
        <v>3.7191048122053096E-4</v>
      </c>
      <c r="AF28" s="438">
        <f>'Op Cost-26'!B19/'Revenue Miles-26'!B19</f>
        <v>2.3534928190731925</v>
      </c>
      <c r="AG28" s="434">
        <f>'Op Cost-26'!C19/'Revenue Miles-26'!C19</f>
        <v>2.2144734680466569</v>
      </c>
      <c r="AH28" s="434">
        <f>'Op Cost-26'!D19/'Revenue Miles-26'!D19</f>
        <v>3.6365147101062738</v>
      </c>
      <c r="AI28" s="434">
        <f>'Op Cost-26'!E19/'Revenue Miles-26'!E19</f>
        <v>3.2685062821751907</v>
      </c>
      <c r="AJ28" s="435">
        <f t="shared" si="11"/>
        <v>1.1037169090605909</v>
      </c>
      <c r="AK28" s="436">
        <f t="shared" si="12"/>
        <v>3.7346433298616821E-4</v>
      </c>
      <c r="AL28" s="437">
        <f t="shared" si="13"/>
        <v>3.7414865395451574E-4</v>
      </c>
      <c r="AM28" s="438">
        <f>'Op Cost-26'!B19/'Ridership-26'!B19</f>
        <v>8.1982001133786842</v>
      </c>
      <c r="AN28" s="434">
        <f>'Op Cost-26'!C19/'Ridership-26'!C19</f>
        <v>7.2480172066137918</v>
      </c>
      <c r="AO28" s="434">
        <f>'Op Cost-26'!D19/'Ridership-26'!D19</f>
        <v>12.396908658553643</v>
      </c>
      <c r="AP28" s="434">
        <f>'Op Cost-26'!E19/'Ridership-26'!E19</f>
        <v>10.817991904948427</v>
      </c>
      <c r="AQ28" s="439">
        <f t="shared" si="14"/>
        <v>1.2936229881858146</v>
      </c>
      <c r="AR28" s="436">
        <f t="shared" si="15"/>
        <v>3.1863912671027851E-4</v>
      </c>
      <c r="AS28" s="440">
        <f t="shared" si="16"/>
        <v>3.2039255826517911E-4</v>
      </c>
      <c r="AT28" s="432"/>
      <c r="AU28" s="441">
        <f t="shared" si="17"/>
        <v>0</v>
      </c>
      <c r="AV28" s="442">
        <f t="shared" si="18"/>
        <v>0</v>
      </c>
      <c r="AW28" s="442">
        <f t="shared" si="19"/>
        <v>0</v>
      </c>
      <c r="AX28" s="442">
        <f t="shared" si="20"/>
        <v>0</v>
      </c>
      <c r="AY28" s="443">
        <f t="shared" si="21"/>
        <v>0</v>
      </c>
      <c r="AZ28" s="444">
        <f t="shared" si="43"/>
        <v>-1</v>
      </c>
      <c r="BA28" s="445">
        <f t="shared" si="22"/>
        <v>0</v>
      </c>
      <c r="BB28" s="446">
        <f t="shared" si="22"/>
        <v>0</v>
      </c>
      <c r="BC28" s="446">
        <f t="shared" si="22"/>
        <v>0</v>
      </c>
      <c r="BD28" s="446">
        <f t="shared" si="22"/>
        <v>0</v>
      </c>
      <c r="BE28" s="446">
        <f t="shared" si="22"/>
        <v>0</v>
      </c>
      <c r="BF28" s="447">
        <f t="shared" si="44"/>
        <v>49616.227154588145</v>
      </c>
      <c r="BH28" s="448">
        <f>'Op Cost-26'!E19</f>
        <v>165710</v>
      </c>
      <c r="BI28" s="449">
        <f t="shared" si="23"/>
        <v>0.29941601082969127</v>
      </c>
      <c r="BJ28" s="450">
        <f t="shared" si="24"/>
        <v>49616.227154588145</v>
      </c>
      <c r="BK28" s="451">
        <f t="shared" si="25"/>
        <v>0</v>
      </c>
      <c r="BL28" s="1">
        <f t="shared" si="45"/>
        <v>0.82791078447065525</v>
      </c>
      <c r="BM28" s="112">
        <f t="shared" si="46"/>
        <v>0.48146255460879034</v>
      </c>
      <c r="BN28" s="112">
        <f t="shared" si="47"/>
        <v>0.41768161588658659</v>
      </c>
      <c r="BO28" s="113">
        <f t="shared" si="48"/>
        <v>1.2062494836936219</v>
      </c>
      <c r="BP28" s="452">
        <f t="shared" si="26"/>
        <v>49616.227154588145</v>
      </c>
      <c r="BQ28" s="115">
        <f t="shared" si="49"/>
        <v>3.4126391403424365E-4</v>
      </c>
      <c r="BR28" s="116">
        <f t="shared" si="50"/>
        <v>3.4126391403424365E-4</v>
      </c>
      <c r="BS28" s="453">
        <f t="shared" si="51"/>
        <v>3.5774090788024337E-4</v>
      </c>
      <c r="BT28" s="118">
        <f t="shared" si="52"/>
        <v>52288.746344174273</v>
      </c>
      <c r="BU28" s="119">
        <f t="shared" si="53"/>
        <v>49713</v>
      </c>
      <c r="BV28" s="119">
        <f t="shared" si="54"/>
        <v>49713</v>
      </c>
      <c r="BW28" s="119">
        <f t="shared" si="65"/>
        <v>2575.746344174273</v>
      </c>
      <c r="BX28" s="120">
        <f t="shared" si="55"/>
        <v>0</v>
      </c>
      <c r="BY28" s="454">
        <f t="shared" si="56"/>
        <v>0</v>
      </c>
      <c r="BZ28" s="122">
        <f t="shared" si="57"/>
        <v>49713</v>
      </c>
      <c r="CA28" s="455">
        <f t="shared" si="27"/>
        <v>4.4048445926019432E-4</v>
      </c>
      <c r="CB28" s="456">
        <f t="shared" si="28"/>
        <v>3290.6585301153646</v>
      </c>
      <c r="CC28" s="456">
        <f t="shared" si="29"/>
        <v>52906.885684703506</v>
      </c>
      <c r="CD28" s="457">
        <f t="shared" si="30"/>
        <v>0.31927394656148395</v>
      </c>
      <c r="CE28" s="458">
        <f t="shared" si="31"/>
        <v>1</v>
      </c>
      <c r="CF28" s="17"/>
      <c r="CG28" s="459">
        <f t="shared" si="32"/>
        <v>165710</v>
      </c>
      <c r="CH28" s="460">
        <f t="shared" si="58"/>
        <v>0.31927394656148395</v>
      </c>
      <c r="CI28" s="461">
        <f t="shared" si="33"/>
        <v>49713</v>
      </c>
      <c r="CJ28" s="462">
        <f t="shared" si="34"/>
        <v>3193.8856847035058</v>
      </c>
      <c r="CL28" s="463">
        <f t="shared" si="35"/>
        <v>0</v>
      </c>
      <c r="CM28" s="464">
        <f t="shared" si="36"/>
        <v>0</v>
      </c>
      <c r="CN28" s="465">
        <f t="shared" si="37"/>
        <v>0</v>
      </c>
      <c r="CO28" s="466">
        <f t="shared" si="59"/>
        <v>49713</v>
      </c>
      <c r="CP28" s="467">
        <f t="shared" si="60"/>
        <v>0.3</v>
      </c>
      <c r="CQ28" s="468">
        <f t="shared" si="38"/>
        <v>0</v>
      </c>
      <c r="CR28" s="469"/>
      <c r="CS28" s="470">
        <f t="shared" si="39"/>
        <v>49713</v>
      </c>
      <c r="CT28" s="465">
        <f t="shared" si="40"/>
        <v>0</v>
      </c>
      <c r="CU28" s="471">
        <f t="shared" si="41"/>
        <v>49713</v>
      </c>
      <c r="CV28" s="472">
        <f t="shared" si="42"/>
        <v>0.3</v>
      </c>
      <c r="CY28" s="473">
        <v>0</v>
      </c>
      <c r="CZ28" s="474">
        <f t="shared" si="61"/>
        <v>49713</v>
      </c>
      <c r="DA28" s="475">
        <f t="shared" si="62"/>
        <v>0.3</v>
      </c>
      <c r="DB28" s="1">
        <f t="shared" si="63"/>
        <v>0</v>
      </c>
      <c r="DC28" s="293">
        <f t="shared" si="64"/>
        <v>0.3</v>
      </c>
      <c r="DF28" s="476"/>
    </row>
    <row r="29" spans="1:110">
      <c r="A29" s="477" t="s">
        <v>104</v>
      </c>
      <c r="B29" s="428" t="s">
        <v>105</v>
      </c>
      <c r="C29" s="429"/>
      <c r="D29" s="91">
        <f>'Op Cost-26'!E20</f>
        <v>25291520</v>
      </c>
      <c r="E29" s="92">
        <f>'Ridership-26'!$E20</f>
        <v>690827</v>
      </c>
      <c r="F29" s="92">
        <f>'Revenue Hours-26'!$E20</f>
        <v>172995.92</v>
      </c>
      <c r="G29" s="92">
        <f>'Revenue Miles-26'!$E20</f>
        <v>3894172</v>
      </c>
      <c r="H29" s="478">
        <f t="shared" si="0"/>
        <v>3.4173877405736741E-2</v>
      </c>
      <c r="I29" s="431">
        <f t="shared" si="1"/>
        <v>3.4173877405736748E-2</v>
      </c>
      <c r="J29" s="432"/>
      <c r="K29" s="433">
        <f>'Ridership-26'!B20/'Revenue Hours-26'!B20</f>
        <v>3.470492023892092</v>
      </c>
      <c r="L29" s="539">
        <f>'Ridership-26'!C20/'Revenue Hours-26'!I20</f>
        <v>4.7546665463609399</v>
      </c>
      <c r="M29" s="539">
        <f>'Ridership-26'!D20/'Revenue Hours-26'!J20</f>
        <v>4.8706758029662192</v>
      </c>
      <c r="N29" s="539">
        <f>'Ridership-26'!E20/'Revenue Hours-26'!K20</f>
        <v>4.3156997120063973</v>
      </c>
      <c r="O29" s="435">
        <f t="shared" si="2"/>
        <v>0.91934364875896046</v>
      </c>
      <c r="P29" s="436">
        <f t="shared" si="3"/>
        <v>3.1417537146431418E-2</v>
      </c>
      <c r="Q29" s="437">
        <f t="shared" si="4"/>
        <v>2.9975620257582863E-2</v>
      </c>
      <c r="R29" s="438">
        <f>'Ridership-26'!B20/'Revenue Miles-26'!B20</f>
        <v>0.16305901321605187</v>
      </c>
      <c r="S29" s="539">
        <f>'Ridership-26'!C20/'Revenue Miles-26'!I20</f>
        <v>0.23157738033111441</v>
      </c>
      <c r="T29" s="539">
        <f>'Ridership-26'!D20/'Revenue Miles-26'!J20</f>
        <v>0.2523477615168061</v>
      </c>
      <c r="U29" s="539">
        <f>'Ridership-26'!E20/'Revenue Miles-26'!K20</f>
        <v>0.20892587927350589</v>
      </c>
      <c r="V29" s="435">
        <f t="shared" si="5"/>
        <v>0.93836565917546555</v>
      </c>
      <c r="W29" s="436">
        <f t="shared" si="6"/>
        <v>3.206759299841571E-2</v>
      </c>
      <c r="X29" s="437">
        <f t="shared" si="7"/>
        <v>3.0518111101264098E-2</v>
      </c>
      <c r="Y29" s="438">
        <f>'Op Cost-26'!B20/'Revenue Hours-26'!B20</f>
        <v>179.69728056645377</v>
      </c>
      <c r="Z29" s="434">
        <f>'Op Cost-26'!C20/'Revenue Hours-26'!C20</f>
        <v>158.41301948873704</v>
      </c>
      <c r="AA29" s="434">
        <f>'Op Cost-26'!D20/'Revenue Hours-26'!D20</f>
        <v>159.2898254734497</v>
      </c>
      <c r="AB29" s="434">
        <f>'Op Cost-26'!E20/'Revenue Hours-26'!E20</f>
        <v>146.19720511327665</v>
      </c>
      <c r="AC29" s="435">
        <f t="shared" si="8"/>
        <v>0.89241794556285381</v>
      </c>
      <c r="AD29" s="436">
        <f t="shared" si="9"/>
        <v>3.8293579343233693E-2</v>
      </c>
      <c r="AE29" s="437">
        <f t="shared" si="10"/>
        <v>3.8370413094727517E-2</v>
      </c>
      <c r="AF29" s="438">
        <f>'Op Cost-26'!B20/'Revenue Miles-26'!B20</f>
        <v>8.4429703468712045</v>
      </c>
      <c r="AG29" s="434">
        <f>'Op Cost-26'!C20/'Revenue Miles-26'!C20</f>
        <v>6.9594026402794391</v>
      </c>
      <c r="AH29" s="434">
        <f>'Op Cost-26'!D20/'Revenue Miles-26'!D20</f>
        <v>7.2834208585718461</v>
      </c>
      <c r="AI29" s="434">
        <f>'Op Cost-26'!E20/'Revenue Miles-26'!E20</f>
        <v>6.4947105572121622</v>
      </c>
      <c r="AJ29" s="435">
        <f t="shared" si="11"/>
        <v>0.88136384841768123</v>
      </c>
      <c r="AK29" s="436">
        <f t="shared" si="12"/>
        <v>3.8773858795194918E-2</v>
      </c>
      <c r="AL29" s="437">
        <f t="shared" si="13"/>
        <v>3.8844906448889549E-2</v>
      </c>
      <c r="AM29" s="438">
        <f>'Op Cost-26'!B20/'Ridership-26'!B20</f>
        <v>51.778617939287642</v>
      </c>
      <c r="AN29" s="434">
        <f>'Op Cost-26'!C20/'Ridership-26'!C20</f>
        <v>37.117218541475417</v>
      </c>
      <c r="AO29" s="434">
        <f>'Op Cost-26'!D20/'Ridership-26'!D20</f>
        <v>35.786195599003463</v>
      </c>
      <c r="AP29" s="434">
        <f>'Op Cost-26'!E20/'Ridership-26'!E20</f>
        <v>36.610497273557634</v>
      </c>
      <c r="AQ29" s="435">
        <f t="shared" si="14"/>
        <v>1.0046673128501329</v>
      </c>
      <c r="AR29" s="436">
        <f t="shared" si="15"/>
        <v>3.4015118207428426E-2</v>
      </c>
      <c r="AS29" s="440">
        <f t="shared" si="16"/>
        <v>3.4202299179910849E-2</v>
      </c>
      <c r="AT29" s="432"/>
      <c r="AU29" s="441">
        <f t="shared" si="17"/>
        <v>0</v>
      </c>
      <c r="AV29" s="442">
        <f t="shared" si="18"/>
        <v>0</v>
      </c>
      <c r="AW29" s="442">
        <f t="shared" si="19"/>
        <v>0</v>
      </c>
      <c r="AX29" s="442">
        <f t="shared" si="20"/>
        <v>0</v>
      </c>
      <c r="AY29" s="443">
        <f t="shared" si="21"/>
        <v>0</v>
      </c>
      <c r="AZ29" s="444">
        <f t="shared" si="43"/>
        <v>-1</v>
      </c>
      <c r="BA29" s="445">
        <f t="shared" si="22"/>
        <v>0</v>
      </c>
      <c r="BB29" s="446">
        <f t="shared" si="22"/>
        <v>0</v>
      </c>
      <c r="BC29" s="446">
        <f t="shared" si="22"/>
        <v>0</v>
      </c>
      <c r="BD29" s="446">
        <f t="shared" si="22"/>
        <v>0</v>
      </c>
      <c r="BE29" s="446">
        <f t="shared" si="22"/>
        <v>0</v>
      </c>
      <c r="BF29" s="447">
        <f t="shared" si="44"/>
        <v>4113496.8269201377</v>
      </c>
      <c r="BH29" s="448">
        <f>'Op Cost-26'!E20</f>
        <v>25291520</v>
      </c>
      <c r="BI29" s="449">
        <f t="shared" si="23"/>
        <v>0.16264332182961475</v>
      </c>
      <c r="BJ29" s="450">
        <f t="shared" si="24"/>
        <v>4113496.8269201377</v>
      </c>
      <c r="BK29" s="451">
        <f t="shared" si="25"/>
        <v>0</v>
      </c>
      <c r="BL29" s="1">
        <f t="shared" si="45"/>
        <v>0.35259031817227676</v>
      </c>
      <c r="BM29" s="112">
        <f t="shared" si="46"/>
        <v>0.45808124394199057</v>
      </c>
      <c r="BN29" s="112">
        <f t="shared" si="47"/>
        <v>0.32161234159182456</v>
      </c>
      <c r="BO29" s="113">
        <f t="shared" si="48"/>
        <v>0.31533384357764593</v>
      </c>
      <c r="BP29" s="452">
        <f t="shared" si="26"/>
        <v>4113496.8269201377</v>
      </c>
      <c r="BQ29" s="115">
        <f t="shared" si="49"/>
        <v>1.20493783076691E-2</v>
      </c>
      <c r="BR29" s="116">
        <f t="shared" si="50"/>
        <v>1.20493783076691E-2</v>
      </c>
      <c r="BS29" s="453">
        <f t="shared" si="51"/>
        <v>1.2631149552910295E-2</v>
      </c>
      <c r="BT29" s="118">
        <f t="shared" si="52"/>
        <v>4207858.3853080459</v>
      </c>
      <c r="BU29" s="119">
        <f t="shared" si="53"/>
        <v>7587456</v>
      </c>
      <c r="BV29" s="119">
        <f t="shared" si="54"/>
        <v>4207858.3853080459</v>
      </c>
      <c r="BW29" s="119">
        <f t="shared" si="65"/>
        <v>0</v>
      </c>
      <c r="BX29" s="120">
        <f t="shared" si="55"/>
        <v>1.20493783076691E-2</v>
      </c>
      <c r="BY29" s="454">
        <f t="shared" si="56"/>
        <v>1.3257178793712713E-2</v>
      </c>
      <c r="BZ29" s="122">
        <f t="shared" si="57"/>
        <v>4211458.0018700873</v>
      </c>
      <c r="CA29" s="455">
        <f t="shared" si="27"/>
        <v>3.6518927967437928E-2</v>
      </c>
      <c r="CB29" s="456">
        <f t="shared" si="28"/>
        <v>272816.25787331787</v>
      </c>
      <c r="CC29" s="456">
        <f t="shared" si="29"/>
        <v>4386313.0847934559</v>
      </c>
      <c r="CD29" s="457">
        <f t="shared" si="30"/>
        <v>0.1734301886479522</v>
      </c>
      <c r="CE29" s="458">
        <f t="shared" si="31"/>
        <v>0</v>
      </c>
      <c r="CF29" s="17"/>
      <c r="CG29" s="459">
        <f t="shared" si="32"/>
        <v>25291520</v>
      </c>
      <c r="CH29" s="460">
        <f t="shared" si="58"/>
        <v>0.1734301886479522</v>
      </c>
      <c r="CI29" s="461">
        <f t="shared" si="33"/>
        <v>4386313.0847934559</v>
      </c>
      <c r="CJ29" s="462">
        <f t="shared" si="34"/>
        <v>0</v>
      </c>
      <c r="CL29" s="463">
        <f t="shared" si="35"/>
        <v>4386313.0847934559</v>
      </c>
      <c r="CM29" s="464">
        <f t="shared" si="36"/>
        <v>3.7711629558389116E-2</v>
      </c>
      <c r="CN29" s="465">
        <f t="shared" si="37"/>
        <v>5416.9664343740242</v>
      </c>
      <c r="CO29" s="466">
        <f t="shared" si="59"/>
        <v>4391730.0512278304</v>
      </c>
      <c r="CP29" s="467">
        <f t="shared" si="60"/>
        <v>0.17364436978195974</v>
      </c>
      <c r="CQ29" s="468">
        <f t="shared" si="38"/>
        <v>0</v>
      </c>
      <c r="CR29" s="469"/>
      <c r="CS29" s="470">
        <f t="shared" si="39"/>
        <v>7587456</v>
      </c>
      <c r="CT29" s="465">
        <f t="shared" si="40"/>
        <v>0</v>
      </c>
      <c r="CU29" s="471">
        <f t="shared" si="41"/>
        <v>4391730.0512278304</v>
      </c>
      <c r="CV29" s="472">
        <f t="shared" si="42"/>
        <v>0.17364436978195974</v>
      </c>
      <c r="CY29" s="473">
        <v>0</v>
      </c>
      <c r="CZ29" s="474">
        <f t="shared" si="61"/>
        <v>4391730.0512278304</v>
      </c>
      <c r="DA29" s="475">
        <f t="shared" si="62"/>
        <v>0.17364436978195974</v>
      </c>
      <c r="DB29" s="1">
        <f t="shared" si="63"/>
        <v>0</v>
      </c>
      <c r="DC29" s="293">
        <f t="shared" si="64"/>
        <v>0.16651660326742274</v>
      </c>
      <c r="DF29" s="476"/>
    </row>
    <row r="30" spans="1:110">
      <c r="A30" s="477" t="s">
        <v>104</v>
      </c>
      <c r="B30" s="428" t="s">
        <v>106</v>
      </c>
      <c r="C30" s="429"/>
      <c r="D30" s="91">
        <f>'Op Cost-26'!E21</f>
        <v>28281032</v>
      </c>
      <c r="E30" s="92">
        <f>'Ridership-26'!$E21</f>
        <v>2458738</v>
      </c>
      <c r="F30" s="92">
        <f>'Revenue Hours-26'!$E21</f>
        <v>230883</v>
      </c>
      <c r="G30" s="92">
        <f>'Revenue Miles-26'!$E21</f>
        <v>2329537</v>
      </c>
      <c r="H30" s="478">
        <f t="shared" si="0"/>
        <v>4.5927288204419138E-2</v>
      </c>
      <c r="I30" s="431">
        <f t="shared" si="1"/>
        <v>4.5927288204419145E-2</v>
      </c>
      <c r="J30" s="432"/>
      <c r="K30" s="433">
        <f>'Ridership-26'!B21/'Revenue Hours-26'!B21</f>
        <v>7.8216167510040826</v>
      </c>
      <c r="L30" s="539">
        <f>'Ridership-26'!C21/'Revenue Hours-26'!I21</f>
        <v>8.8817225863249529</v>
      </c>
      <c r="M30" s="539">
        <f>'Ridership-26'!D21/'Revenue Hours-26'!J21</f>
        <v>9.7390196531791915</v>
      </c>
      <c r="N30" s="539">
        <f>'Ridership-26'!E21/'Revenue Hours-26'!K21</f>
        <v>10.649281237683155</v>
      </c>
      <c r="O30" s="435">
        <f t="shared" si="2"/>
        <v>0.94314927205126431</v>
      </c>
      <c r="P30" s="436">
        <f t="shared" si="3"/>
        <v>4.3316288437286535E-2</v>
      </c>
      <c r="Q30" s="437">
        <f t="shared" si="4"/>
        <v>4.1328274941230134E-2</v>
      </c>
      <c r="R30" s="438">
        <f>'Ridership-26'!B21/'Revenue Miles-26'!B21</f>
        <v>0.78433143162528551</v>
      </c>
      <c r="S30" s="539">
        <f>'Ridership-26'!C21/'Revenue Miles-26'!I21</f>
        <v>0.87157122671755427</v>
      </c>
      <c r="T30" s="539">
        <f>'Ridership-26'!D21/'Revenue Miles-26'!J21</f>
        <v>0.95474957839955032</v>
      </c>
      <c r="U30" s="539">
        <f>'Ridership-26'!E21/'Revenue Miles-26'!K21</f>
        <v>1.0554620939697459</v>
      </c>
      <c r="V30" s="435">
        <f t="shared" si="5"/>
        <v>0.94426272197974803</v>
      </c>
      <c r="W30" s="436">
        <f t="shared" si="6"/>
        <v>4.3367426173053197E-2</v>
      </c>
      <c r="X30" s="437">
        <f t="shared" si="7"/>
        <v>4.1271944863167397E-2</v>
      </c>
      <c r="Y30" s="438">
        <f>'Op Cost-26'!B21/'Revenue Hours-26'!B21</f>
        <v>115.12446224595757</v>
      </c>
      <c r="Z30" s="434">
        <f>'Op Cost-26'!C21/'Revenue Hours-26'!C21</f>
        <v>128.33355179497212</v>
      </c>
      <c r="AA30" s="434">
        <f>'Op Cost-26'!D21/'Revenue Hours-26'!D21</f>
        <v>109.8271676300578</v>
      </c>
      <c r="AB30" s="434">
        <f>'Op Cost-26'!E21/'Revenue Hours-26'!E21</f>
        <v>122.49075072655847</v>
      </c>
      <c r="AC30" s="435">
        <f t="shared" si="8"/>
        <v>0.98733751771107381</v>
      </c>
      <c r="AD30" s="436">
        <f t="shared" si="9"/>
        <v>4.6516300029691482E-2</v>
      </c>
      <c r="AE30" s="437">
        <f t="shared" si="10"/>
        <v>4.6609632173047907E-2</v>
      </c>
      <c r="AF30" s="438">
        <f>'Op Cost-26'!B21/'Revenue Miles-26'!B21</f>
        <v>11.544382339734495</v>
      </c>
      <c r="AG30" s="434">
        <f>'Op Cost-26'!C21/'Revenue Miles-26'!C21</f>
        <v>12.593483986899244</v>
      </c>
      <c r="AH30" s="434">
        <f>'Op Cost-26'!D21/'Revenue Miles-26'!D21</f>
        <v>10.766734817850473</v>
      </c>
      <c r="AI30" s="434">
        <f>'Op Cost-26'!E21/'Revenue Miles-26'!E21</f>
        <v>12.140194381973757</v>
      </c>
      <c r="AJ30" s="435">
        <f t="shared" si="11"/>
        <v>0.98862782106337344</v>
      </c>
      <c r="AK30" s="436">
        <f t="shared" si="12"/>
        <v>4.6455589480598983E-2</v>
      </c>
      <c r="AL30" s="437">
        <f t="shared" si="13"/>
        <v>4.6540712827517622E-2</v>
      </c>
      <c r="AM30" s="438">
        <f>'Op Cost-26'!B21/'Ridership-26'!B21</f>
        <v>14.718755202519828</v>
      </c>
      <c r="AN30" s="434">
        <f>'Op Cost-26'!C21/'Ridership-26'!C21</f>
        <v>14.449173631313958</v>
      </c>
      <c r="AO30" s="434">
        <f>'Op Cost-26'!D21/'Ridership-26'!D21</f>
        <v>11.277024951295379</v>
      </c>
      <c r="AP30" s="434">
        <f>'Op Cost-26'!E21/'Ridership-26'!E21</f>
        <v>11.502255221987866</v>
      </c>
      <c r="AQ30" s="435">
        <f t="shared" si="14"/>
        <v>1.0492744422797424</v>
      </c>
      <c r="AR30" s="436">
        <f t="shared" si="15"/>
        <v>4.377052023170757E-2</v>
      </c>
      <c r="AS30" s="440">
        <f t="shared" si="16"/>
        <v>4.4011383970386078E-2</v>
      </c>
      <c r="AT30" s="432"/>
      <c r="AU30" s="441">
        <f t="shared" si="17"/>
        <v>0</v>
      </c>
      <c r="AV30" s="442">
        <f t="shared" si="18"/>
        <v>0</v>
      </c>
      <c r="AW30" s="442">
        <f t="shared" si="19"/>
        <v>0</v>
      </c>
      <c r="AX30" s="442">
        <f t="shared" si="20"/>
        <v>0</v>
      </c>
      <c r="AY30" s="443">
        <f t="shared" si="21"/>
        <v>0</v>
      </c>
      <c r="AZ30" s="444">
        <f t="shared" si="43"/>
        <v>-1</v>
      </c>
      <c r="BA30" s="445">
        <f t="shared" si="22"/>
        <v>0</v>
      </c>
      <c r="BB30" s="446">
        <f t="shared" si="22"/>
        <v>0</v>
      </c>
      <c r="BC30" s="446">
        <f t="shared" si="22"/>
        <v>0</v>
      </c>
      <c r="BD30" s="446">
        <f t="shared" si="22"/>
        <v>0</v>
      </c>
      <c r="BE30" s="446">
        <f t="shared" si="22"/>
        <v>0</v>
      </c>
      <c r="BF30" s="447">
        <f t="shared" si="44"/>
        <v>5528250.483692864</v>
      </c>
      <c r="BH30" s="448">
        <f>'Op Cost-26'!E21</f>
        <v>28281032</v>
      </c>
      <c r="BI30" s="449">
        <f t="shared" si="23"/>
        <v>0.1954755570338757</v>
      </c>
      <c r="BJ30" s="450">
        <f t="shared" si="24"/>
        <v>5528250.483692864</v>
      </c>
      <c r="BK30" s="451">
        <f t="shared" si="25"/>
        <v>0</v>
      </c>
      <c r="BL30" s="1">
        <f t="shared" si="45"/>
        <v>1.036507894270422</v>
      </c>
      <c r="BM30" s="112">
        <f t="shared" si="46"/>
        <v>0.95192291046529276</v>
      </c>
      <c r="BN30" s="112">
        <f t="shared" si="47"/>
        <v>1.3241992116992662</v>
      </c>
      <c r="BO30" s="113">
        <f t="shared" si="48"/>
        <v>0.93495472745856434</v>
      </c>
      <c r="BP30" s="452">
        <f t="shared" si="26"/>
        <v>5528250.483692864</v>
      </c>
      <c r="BQ30" s="115">
        <f t="shared" si="49"/>
        <v>4.7603996786313281E-2</v>
      </c>
      <c r="BR30" s="116">
        <f t="shared" si="50"/>
        <v>4.7603996786313281E-2</v>
      </c>
      <c r="BS30" s="453">
        <f t="shared" si="51"/>
        <v>4.9902425450570956E-2</v>
      </c>
      <c r="BT30" s="118">
        <f t="shared" si="52"/>
        <v>5901048.7482631188</v>
      </c>
      <c r="BU30" s="119">
        <f t="shared" si="53"/>
        <v>8484309.5999999996</v>
      </c>
      <c r="BV30" s="119">
        <f t="shared" si="54"/>
        <v>5901048.7482631188</v>
      </c>
      <c r="BW30" s="119">
        <f t="shared" si="65"/>
        <v>0</v>
      </c>
      <c r="BX30" s="120">
        <f t="shared" si="55"/>
        <v>4.7603996786313281E-2</v>
      </c>
      <c r="BY30" s="454">
        <f t="shared" si="56"/>
        <v>5.2375706080188884E-2</v>
      </c>
      <c r="BZ30" s="122">
        <f t="shared" si="57"/>
        <v>5915269.9081334444</v>
      </c>
      <c r="CA30" s="455">
        <f t="shared" si="27"/>
        <v>4.9078871260754012E-2</v>
      </c>
      <c r="CB30" s="456">
        <f t="shared" si="28"/>
        <v>366645.86676651589</v>
      </c>
      <c r="CC30" s="456">
        <f t="shared" si="29"/>
        <v>5894896.3504593801</v>
      </c>
      <c r="CD30" s="457">
        <f t="shared" si="30"/>
        <v>0.20843993070901304</v>
      </c>
      <c r="CE30" s="458">
        <f t="shared" si="31"/>
        <v>0</v>
      </c>
      <c r="CF30" s="17"/>
      <c r="CG30" s="459">
        <f t="shared" si="32"/>
        <v>28281032</v>
      </c>
      <c r="CH30" s="460">
        <f t="shared" si="58"/>
        <v>0.20843993070901304</v>
      </c>
      <c r="CI30" s="461">
        <f t="shared" si="33"/>
        <v>5894896.3504593801</v>
      </c>
      <c r="CJ30" s="462">
        <f t="shared" si="34"/>
        <v>0</v>
      </c>
      <c r="CL30" s="463">
        <f t="shared" si="35"/>
        <v>5894896.3504593801</v>
      </c>
      <c r="CM30" s="464">
        <f t="shared" si="36"/>
        <v>5.0681778330944671E-2</v>
      </c>
      <c r="CN30" s="465">
        <f t="shared" si="37"/>
        <v>7280.0219791096006</v>
      </c>
      <c r="CO30" s="466">
        <f t="shared" si="59"/>
        <v>5902176.3724384895</v>
      </c>
      <c r="CP30" s="467">
        <f t="shared" si="60"/>
        <v>0.20869734783506094</v>
      </c>
      <c r="CQ30" s="468">
        <f t="shared" si="38"/>
        <v>0</v>
      </c>
      <c r="CR30" s="469"/>
      <c r="CS30" s="470">
        <f t="shared" si="39"/>
        <v>8484309.5999999996</v>
      </c>
      <c r="CT30" s="465">
        <f t="shared" si="40"/>
        <v>0</v>
      </c>
      <c r="CU30" s="471">
        <f t="shared" si="41"/>
        <v>5902176.3724384895</v>
      </c>
      <c r="CV30" s="472">
        <f t="shared" si="42"/>
        <v>0.20869734783506094</v>
      </c>
      <c r="CY30" s="473">
        <v>0</v>
      </c>
      <c r="CZ30" s="474">
        <f t="shared" si="61"/>
        <v>5902176.3724384895</v>
      </c>
      <c r="DA30" s="475">
        <f t="shared" si="62"/>
        <v>0.20869734783506094</v>
      </c>
      <c r="DB30" s="1">
        <f t="shared" si="63"/>
        <v>0</v>
      </c>
      <c r="DC30" s="293">
        <f t="shared" si="64"/>
        <v>0.20916032725161671</v>
      </c>
      <c r="DF30" s="476"/>
    </row>
    <row r="31" spans="1:110">
      <c r="A31" s="477" t="s">
        <v>104</v>
      </c>
      <c r="B31" s="428" t="s">
        <v>107</v>
      </c>
      <c r="C31" s="429"/>
      <c r="D31" s="91">
        <f>'Op Cost-26'!E22</f>
        <v>36047232</v>
      </c>
      <c r="E31" s="92">
        <f>'Ridership-26'!$E22</f>
        <v>5351810</v>
      </c>
      <c r="F31" s="92">
        <f>'Revenue Hours-26'!$E22</f>
        <v>308856.31</v>
      </c>
      <c r="G31" s="92">
        <f>'Revenue Miles-26'!$E22</f>
        <v>2865159</v>
      </c>
      <c r="H31" s="478">
        <f t="shared" si="0"/>
        <v>7.3389773130286995E-2</v>
      </c>
      <c r="I31" s="431">
        <f t="shared" si="1"/>
        <v>7.3389773130287009E-2</v>
      </c>
      <c r="J31" s="432"/>
      <c r="K31" s="433">
        <f>'Ridership-26'!B22/'Revenue Hours-26'!B22</f>
        <v>7.2218469159098948</v>
      </c>
      <c r="L31" s="539">
        <f>'Ridership-26'!C22/'Revenue Hours-26'!I22</f>
        <v>11.021126607734487</v>
      </c>
      <c r="M31" s="539">
        <f>'Ridership-26'!D22/'Revenue Hours-26'!J22</f>
        <v>14.745469355165852</v>
      </c>
      <c r="N31" s="539">
        <f>'Ridership-26'!E22/'Revenue Hours-26'!K22</f>
        <v>17.327831184669662</v>
      </c>
      <c r="O31" s="435">
        <f t="shared" si="2"/>
        <v>1.1378339509151447</v>
      </c>
      <c r="P31" s="436">
        <f t="shared" si="3"/>
        <v>8.3505375517600594E-2</v>
      </c>
      <c r="Q31" s="437">
        <f t="shared" si="4"/>
        <v>7.9672872329738659E-2</v>
      </c>
      <c r="R31" s="438">
        <f>'Ridership-26'!B22/'Revenue Miles-26'!B22</f>
        <v>0.80452628182287345</v>
      </c>
      <c r="S31" s="539">
        <f>'Ridership-26'!C22/'Revenue Miles-26'!I22</f>
        <v>1.2173072182855937</v>
      </c>
      <c r="T31" s="539">
        <f>'Ridership-26'!D22/'Revenue Miles-26'!J22</f>
        <v>1.5082541507857004</v>
      </c>
      <c r="U31" s="539">
        <f>'Ridership-26'!E22/'Revenue Miles-26'!K22</f>
        <v>1.8678928464353985</v>
      </c>
      <c r="V31" s="435">
        <f t="shared" si="5"/>
        <v>1.1322299531663331</v>
      </c>
      <c r="W31" s="436">
        <f t="shared" si="6"/>
        <v>8.3094099394192669E-2</v>
      </c>
      <c r="X31" s="437">
        <f t="shared" si="7"/>
        <v>7.9079055209935398E-2</v>
      </c>
      <c r="Y31" s="438">
        <f>'Op Cost-26'!B22/'Revenue Hours-26'!B22</f>
        <v>113.69054841372804</v>
      </c>
      <c r="Z31" s="434">
        <f>'Op Cost-26'!C22/'Revenue Hours-26'!C22</f>
        <v>98.632543150219192</v>
      </c>
      <c r="AA31" s="434">
        <f>'Op Cost-26'!D22/'Revenue Hours-26'!D22</f>
        <v>103.11566062580688</v>
      </c>
      <c r="AB31" s="434">
        <f>'Op Cost-26'!E22/'Revenue Hours-26'!E22</f>
        <v>116.71198169789699</v>
      </c>
      <c r="AC31" s="435">
        <f t="shared" si="8"/>
        <v>0.96878639742207318</v>
      </c>
      <c r="AD31" s="436">
        <f t="shared" si="9"/>
        <v>7.5754338960142442E-2</v>
      </c>
      <c r="AE31" s="437">
        <f t="shared" si="10"/>
        <v>7.5906335460706464E-2</v>
      </c>
      <c r="AF31" s="438">
        <f>'Op Cost-26'!B22/'Revenue Miles-26'!B22</f>
        <v>12.665324432756394</v>
      </c>
      <c r="AG31" s="434">
        <f>'Op Cost-26'!C22/'Revenue Miles-26'!C22</f>
        <v>10.894177247756708</v>
      </c>
      <c r="AH31" s="434">
        <f>'Op Cost-26'!D22/'Revenue Miles-26'!D22</f>
        <v>10.547281975490128</v>
      </c>
      <c r="AI31" s="434">
        <f>'Op Cost-26'!E22/'Revenue Miles-26'!E22</f>
        <v>12.581232664574635</v>
      </c>
      <c r="AJ31" s="435">
        <f t="shared" si="11"/>
        <v>0.96628072093214301</v>
      </c>
      <c r="AK31" s="436">
        <f t="shared" si="12"/>
        <v>7.5950778630344634E-2</v>
      </c>
      <c r="AL31" s="437">
        <f t="shared" si="13"/>
        <v>7.6089947771246211E-2</v>
      </c>
      <c r="AM31" s="438">
        <f>'Op Cost-26'!B22/'Ridership-26'!B22</f>
        <v>15.742586313102974</v>
      </c>
      <c r="AN31" s="434">
        <f>'Op Cost-26'!C22/'Ridership-26'!C22</f>
        <v>8.9494065952386492</v>
      </c>
      <c r="AO31" s="434">
        <f>'Op Cost-26'!D22/'Ridership-26'!D22</f>
        <v>6.9930402445739626</v>
      </c>
      <c r="AP31" s="434">
        <f>'Op Cost-26'!E22/'Ridership-26'!E22</f>
        <v>6.7355216272625524</v>
      </c>
      <c r="AQ31" s="435">
        <f t="shared" si="14"/>
        <v>0.85513349272278338</v>
      </c>
      <c r="AR31" s="436">
        <f t="shared" si="15"/>
        <v>8.5822592326036354E-2</v>
      </c>
      <c r="AS31" s="440">
        <f t="shared" si="16"/>
        <v>8.6294863396640525E-2</v>
      </c>
      <c r="AT31" s="432"/>
      <c r="AU31" s="441">
        <f t="shared" si="17"/>
        <v>0</v>
      </c>
      <c r="AV31" s="442">
        <f t="shared" si="18"/>
        <v>0</v>
      </c>
      <c r="AW31" s="442">
        <f t="shared" si="19"/>
        <v>0</v>
      </c>
      <c r="AX31" s="442">
        <f t="shared" si="20"/>
        <v>0</v>
      </c>
      <c r="AY31" s="443">
        <f t="shared" si="21"/>
        <v>0</v>
      </c>
      <c r="AZ31" s="444">
        <f t="shared" si="43"/>
        <v>-1</v>
      </c>
      <c r="BA31" s="445">
        <f t="shared" si="22"/>
        <v>0</v>
      </c>
      <c r="BB31" s="446">
        <f t="shared" si="22"/>
        <v>0</v>
      </c>
      <c r="BC31" s="446">
        <f t="shared" si="22"/>
        <v>0</v>
      </c>
      <c r="BD31" s="446">
        <f t="shared" si="22"/>
        <v>0</v>
      </c>
      <c r="BE31" s="446">
        <f t="shared" si="22"/>
        <v>0</v>
      </c>
      <c r="BF31" s="447">
        <f t="shared" si="44"/>
        <v>8833899.5108920988</v>
      </c>
      <c r="BH31" s="448">
        <f>'Op Cost-26'!E22</f>
        <v>36047232</v>
      </c>
      <c r="BI31" s="449">
        <f t="shared" si="23"/>
        <v>0.24506457280526003</v>
      </c>
      <c r="BJ31" s="450">
        <f t="shared" si="24"/>
        <v>8833899.5108920988</v>
      </c>
      <c r="BK31" s="451">
        <f t="shared" si="25"/>
        <v>0</v>
      </c>
      <c r="BL31" s="1">
        <f t="shared" si="45"/>
        <v>1.6382940658662195</v>
      </c>
      <c r="BM31" s="112">
        <f t="shared" si="46"/>
        <v>1.3858952102342199</v>
      </c>
      <c r="BN31" s="112">
        <f t="shared" si="47"/>
        <v>2.0904183970613501</v>
      </c>
      <c r="BO31" s="113">
        <f t="shared" si="48"/>
        <v>1.538431328084654</v>
      </c>
      <c r="BP31" s="452">
        <f t="shared" si="26"/>
        <v>8833899.5108920988</v>
      </c>
      <c r="BQ31" s="115">
        <f t="shared" si="49"/>
        <v>0.12023402981461734</v>
      </c>
      <c r="BR31" s="116">
        <f t="shared" si="50"/>
        <v>0.12023402981461734</v>
      </c>
      <c r="BS31" s="453">
        <f t="shared" si="51"/>
        <v>0.12603920079186987</v>
      </c>
      <c r="BT31" s="118">
        <f t="shared" si="52"/>
        <v>9775480.9049582519</v>
      </c>
      <c r="BU31" s="119">
        <f t="shared" si="53"/>
        <v>10814169.6</v>
      </c>
      <c r="BV31" s="119">
        <f t="shared" si="54"/>
        <v>9775480.9049582519</v>
      </c>
      <c r="BW31" s="119">
        <f t="shared" si="65"/>
        <v>0</v>
      </c>
      <c r="BX31" s="120">
        <f t="shared" si="55"/>
        <v>0.12023402981461734</v>
      </c>
      <c r="BY31" s="454">
        <f t="shared" si="56"/>
        <v>0.13228599763744261</v>
      </c>
      <c r="BZ31" s="122">
        <f t="shared" si="57"/>
        <v>9811399.4722063448</v>
      </c>
      <c r="CA31" s="455">
        <f t="shared" si="27"/>
        <v>7.8425863318677833E-2</v>
      </c>
      <c r="CB31" s="456">
        <f t="shared" si="28"/>
        <v>585883.8619294517</v>
      </c>
      <c r="CC31" s="456">
        <f t="shared" si="29"/>
        <v>9419783.3728215508</v>
      </c>
      <c r="CD31" s="457">
        <f t="shared" si="30"/>
        <v>0.26131780029106122</v>
      </c>
      <c r="CE31" s="458">
        <f t="shared" si="31"/>
        <v>0</v>
      </c>
      <c r="CF31" s="17"/>
      <c r="CG31" s="459">
        <f t="shared" si="32"/>
        <v>36047232</v>
      </c>
      <c r="CH31" s="460">
        <f t="shared" si="58"/>
        <v>0.26131780029106122</v>
      </c>
      <c r="CI31" s="461">
        <f t="shared" si="33"/>
        <v>9419783.3728215508</v>
      </c>
      <c r="CJ31" s="462">
        <f t="shared" si="34"/>
        <v>0</v>
      </c>
      <c r="CL31" s="463">
        <f t="shared" si="35"/>
        <v>9419783.3728215508</v>
      </c>
      <c r="CM31" s="464">
        <f t="shared" si="36"/>
        <v>8.0987237848491822E-2</v>
      </c>
      <c r="CN31" s="465">
        <f t="shared" si="37"/>
        <v>11633.152801278349</v>
      </c>
      <c r="CO31" s="466">
        <f t="shared" si="59"/>
        <v>9431416.5256228298</v>
      </c>
      <c r="CP31" s="467">
        <f t="shared" si="60"/>
        <v>0.26164052001615073</v>
      </c>
      <c r="CQ31" s="468">
        <f t="shared" si="38"/>
        <v>0</v>
      </c>
      <c r="CR31" s="469"/>
      <c r="CS31" s="470">
        <f t="shared" si="39"/>
        <v>10814169.6</v>
      </c>
      <c r="CT31" s="465">
        <f t="shared" si="40"/>
        <v>0</v>
      </c>
      <c r="CU31" s="471">
        <f t="shared" si="41"/>
        <v>9431416.5256228298</v>
      </c>
      <c r="CV31" s="472">
        <f t="shared" si="42"/>
        <v>0.26164052001615073</v>
      </c>
      <c r="CY31" s="473">
        <v>170685.8</v>
      </c>
      <c r="CZ31" s="474">
        <f t="shared" si="61"/>
        <v>9602102.3256228305</v>
      </c>
      <c r="DA31" s="475">
        <f t="shared" si="62"/>
        <v>0.26637557983988425</v>
      </c>
      <c r="DB31" s="1">
        <f t="shared" si="63"/>
        <v>0</v>
      </c>
      <c r="DC31" s="293">
        <f t="shared" si="64"/>
        <v>0.27218177174342667</v>
      </c>
      <c r="DF31" s="476"/>
    </row>
    <row r="32" spans="1:110">
      <c r="A32" s="477" t="s">
        <v>104</v>
      </c>
      <c r="B32" s="428" t="s">
        <v>108</v>
      </c>
      <c r="C32" s="429"/>
      <c r="D32" s="91">
        <f>'Op Cost-26'!E23</f>
        <v>5453602</v>
      </c>
      <c r="E32" s="92">
        <f>'Ridership-26'!$E23</f>
        <v>1002134</v>
      </c>
      <c r="F32" s="92">
        <f>'Revenue Hours-26'!$E23</f>
        <v>34526</v>
      </c>
      <c r="G32" s="92">
        <f>'Revenue Miles-26'!$E23</f>
        <v>434414</v>
      </c>
      <c r="H32" s="478">
        <f t="shared" si="0"/>
        <v>1.1983080771151955E-2</v>
      </c>
      <c r="I32" s="431">
        <f t="shared" si="1"/>
        <v>1.1983080771151958E-2</v>
      </c>
      <c r="J32" s="432"/>
      <c r="K32" s="433">
        <f>'Ridership-26'!B23/'Revenue Hours-26'!B23</f>
        <v>9.5356184364060681</v>
      </c>
      <c r="L32" s="539">
        <f>'Ridership-26'!C23/'Revenue Hours-26'!I23</f>
        <v>13.465131541402728</v>
      </c>
      <c r="M32" s="539">
        <f>'Ridership-26'!D23/'Revenue Hours-26'!J23</f>
        <v>24.467665569605636</v>
      </c>
      <c r="N32" s="539">
        <f>'Ridership-26'!E23/'Revenue Hours-26'!K23</f>
        <v>29.025488038000347</v>
      </c>
      <c r="O32" s="435">
        <f t="shared" si="2"/>
        <v>1.2460987517963511</v>
      </c>
      <c r="P32" s="436">
        <f t="shared" si="3"/>
        <v>1.4932101991607312E-2</v>
      </c>
      <c r="Q32" s="437">
        <f t="shared" si="4"/>
        <v>1.4246788882964951E-2</v>
      </c>
      <c r="R32" s="438">
        <f>'Ridership-26'!B23/'Revenue Miles-26'!B23</f>
        <v>0.74451206457520036</v>
      </c>
      <c r="S32" s="539">
        <f>'Ridership-26'!C23/'Revenue Miles-26'!I23</f>
        <v>1.0865963144527517</v>
      </c>
      <c r="T32" s="539">
        <f>'Ridership-26'!D23/'Revenue Miles-26'!J23</f>
        <v>1.9292701193514095</v>
      </c>
      <c r="U32" s="539">
        <f>'Ridership-26'!E23/'Revenue Miles-26'!K23</f>
        <v>2.3068639592646645</v>
      </c>
      <c r="V32" s="435">
        <f t="shared" si="5"/>
        <v>1.2548259859674822</v>
      </c>
      <c r="W32" s="436">
        <f t="shared" si="6"/>
        <v>1.5036681143588733E-2</v>
      </c>
      <c r="X32" s="437">
        <f t="shared" si="7"/>
        <v>1.4310120056625242E-2</v>
      </c>
      <c r="Y32" s="438">
        <f>'Op Cost-26'!B23/'Revenue Hours-26'!B23</f>
        <v>133.20037922987166</v>
      </c>
      <c r="Z32" s="434">
        <f>'Op Cost-26'!C23/'Revenue Hours-26'!C23</f>
        <v>152.54685270786965</v>
      </c>
      <c r="AA32" s="434">
        <f>'Op Cost-26'!D23/'Revenue Hours-26'!D23</f>
        <v>153.82888734915412</v>
      </c>
      <c r="AB32" s="434">
        <f>'Op Cost-26'!E23/'Revenue Hours-26'!E23</f>
        <v>157.95638069860394</v>
      </c>
      <c r="AC32" s="435">
        <f t="shared" si="8"/>
        <v>1.0154239429893224</v>
      </c>
      <c r="AD32" s="436">
        <f t="shared" si="9"/>
        <v>1.1801061865721602E-2</v>
      </c>
      <c r="AE32" s="437">
        <f t="shared" si="10"/>
        <v>1.1824739982792532E-2</v>
      </c>
      <c r="AF32" s="438">
        <f>'Op Cost-26'!B23/'Revenue Miles-26'!B23</f>
        <v>10.399880196968939</v>
      </c>
      <c r="AG32" s="434">
        <f>'Op Cost-26'!C23/'Revenue Miles-26'!C23</f>
        <v>12.310080107577638</v>
      </c>
      <c r="AH32" s="434">
        <f>'Op Cost-26'!D23/'Revenue Miles-26'!D23</f>
        <v>12.129374378259513</v>
      </c>
      <c r="AI32" s="434">
        <f>'Op Cost-26'!E23/'Revenue Miles-26'!E23</f>
        <v>12.553927820005802</v>
      </c>
      <c r="AJ32" s="435">
        <f t="shared" si="11"/>
        <v>1.0297394729691056</v>
      </c>
      <c r="AK32" s="436">
        <f t="shared" si="12"/>
        <v>1.1637002451309815E-2</v>
      </c>
      <c r="AL32" s="437">
        <f t="shared" si="13"/>
        <v>1.1658325624857522E-2</v>
      </c>
      <c r="AM32" s="438">
        <f>'Op Cost-26'!B23/'Ridership-26'!B23</f>
        <v>13.968719503427852</v>
      </c>
      <c r="AN32" s="434">
        <f>'Op Cost-26'!C23/'Ridership-26'!C23</f>
        <v>11.329028033541075</v>
      </c>
      <c r="AO32" s="434">
        <f>'Op Cost-26'!D23/'Ridership-26'!D23</f>
        <v>6.2870275430053413</v>
      </c>
      <c r="AP32" s="434">
        <f>'Op Cost-26'!E23/'Ridership-26'!E23</f>
        <v>5.4419887959095288</v>
      </c>
      <c r="AQ32" s="439">
        <f t="shared" si="14"/>
        <v>0.84226751674459921</v>
      </c>
      <c r="AR32" s="436">
        <f t="shared" si="15"/>
        <v>1.4227167180169895E-2</v>
      </c>
      <c r="AS32" s="440">
        <f t="shared" si="16"/>
        <v>1.4305457514844452E-2</v>
      </c>
      <c r="AT32" s="432"/>
      <c r="AU32" s="441">
        <f t="shared" si="17"/>
        <v>0</v>
      </c>
      <c r="AV32" s="442">
        <f t="shared" si="18"/>
        <v>0</v>
      </c>
      <c r="AW32" s="442">
        <f t="shared" si="19"/>
        <v>0</v>
      </c>
      <c r="AX32" s="442">
        <f t="shared" si="20"/>
        <v>0</v>
      </c>
      <c r="AY32" s="443">
        <f t="shared" si="21"/>
        <v>0</v>
      </c>
      <c r="AZ32" s="444">
        <f t="shared" si="43"/>
        <v>-1</v>
      </c>
      <c r="BA32" s="445">
        <f t="shared" si="22"/>
        <v>0</v>
      </c>
      <c r="BB32" s="446">
        <f t="shared" si="22"/>
        <v>0</v>
      </c>
      <c r="BC32" s="446">
        <f t="shared" si="22"/>
        <v>0</v>
      </c>
      <c r="BD32" s="446">
        <f t="shared" si="22"/>
        <v>0</v>
      </c>
      <c r="BE32" s="446">
        <f t="shared" si="22"/>
        <v>0</v>
      </c>
      <c r="BF32" s="447">
        <f t="shared" si="44"/>
        <v>1442398.9453589665</v>
      </c>
      <c r="BH32" s="448">
        <f>'Op Cost-26'!E23</f>
        <v>5453602</v>
      </c>
      <c r="BI32" s="449">
        <f t="shared" si="23"/>
        <v>0.26448555383377198</v>
      </c>
      <c r="BJ32" s="450">
        <f t="shared" si="24"/>
        <v>1442398.9453589665</v>
      </c>
      <c r="BK32" s="451">
        <f t="shared" si="25"/>
        <v>0</v>
      </c>
      <c r="BL32" s="1">
        <f t="shared" si="45"/>
        <v>1.9452574254696615</v>
      </c>
      <c r="BM32" s="112">
        <f t="shared" si="46"/>
        <v>2.1272704524751544</v>
      </c>
      <c r="BN32" s="112">
        <f t="shared" si="47"/>
        <v>2.3903450629609542</v>
      </c>
      <c r="BO32" s="113">
        <f t="shared" si="48"/>
        <v>1.6317070932212687</v>
      </c>
      <c r="BP32" s="452">
        <f t="shared" si="26"/>
        <v>1442398.9453589665</v>
      </c>
      <c r="BQ32" s="115">
        <f t="shared" si="49"/>
        <v>2.3310176850086066E-2</v>
      </c>
      <c r="BR32" s="116">
        <f t="shared" si="50"/>
        <v>2.3310176850086066E-2</v>
      </c>
      <c r="BS32" s="453">
        <f t="shared" si="51"/>
        <v>2.4435644925417034E-2</v>
      </c>
      <c r="BT32" s="118">
        <f t="shared" si="52"/>
        <v>1624946.505714997</v>
      </c>
      <c r="BU32" s="119">
        <f t="shared" si="53"/>
        <v>1636080.5999999999</v>
      </c>
      <c r="BV32" s="119">
        <f t="shared" si="54"/>
        <v>1624946.505714997</v>
      </c>
      <c r="BW32" s="119">
        <f t="shared" si="65"/>
        <v>0</v>
      </c>
      <c r="BX32" s="120">
        <f t="shared" si="55"/>
        <v>2.3310176850086066E-2</v>
      </c>
      <c r="BY32" s="454">
        <f t="shared" si="56"/>
        <v>2.5646732497224909E-2</v>
      </c>
      <c r="BZ32" s="122">
        <f t="shared" si="57"/>
        <v>1631910.1594829499</v>
      </c>
      <c r="CA32" s="455">
        <f t="shared" si="27"/>
        <v>1.2805373482033609E-2</v>
      </c>
      <c r="CB32" s="456">
        <f t="shared" si="28"/>
        <v>95663.105914653817</v>
      </c>
      <c r="CC32" s="456">
        <f t="shared" si="29"/>
        <v>1538062.0512736202</v>
      </c>
      <c r="CD32" s="457">
        <f t="shared" si="30"/>
        <v>0.28202682397315026</v>
      </c>
      <c r="CE32" s="458">
        <f t="shared" si="31"/>
        <v>0</v>
      </c>
      <c r="CF32" s="17"/>
      <c r="CG32" s="459">
        <f t="shared" si="32"/>
        <v>5453602</v>
      </c>
      <c r="CH32" s="460">
        <f t="shared" si="58"/>
        <v>0.28202682397315026</v>
      </c>
      <c r="CI32" s="461">
        <f t="shared" si="33"/>
        <v>1538062.0512736202</v>
      </c>
      <c r="CJ32" s="462">
        <f t="shared" si="34"/>
        <v>0</v>
      </c>
      <c r="CL32" s="463">
        <f t="shared" si="35"/>
        <v>1538062.0512736202</v>
      </c>
      <c r="CM32" s="464">
        <f t="shared" si="36"/>
        <v>1.3223594666904199E-2</v>
      </c>
      <c r="CN32" s="465">
        <f t="shared" si="37"/>
        <v>1899.4609697647659</v>
      </c>
      <c r="CO32" s="466">
        <f t="shared" si="59"/>
        <v>1539961.512243385</v>
      </c>
      <c r="CP32" s="467">
        <f t="shared" si="60"/>
        <v>0.28237511872765653</v>
      </c>
      <c r="CQ32" s="468">
        <f t="shared" si="38"/>
        <v>0</v>
      </c>
      <c r="CR32" s="469"/>
      <c r="CS32" s="470">
        <f t="shared" si="39"/>
        <v>1636080.5999999999</v>
      </c>
      <c r="CT32" s="465">
        <f t="shared" si="40"/>
        <v>0</v>
      </c>
      <c r="CU32" s="471">
        <f t="shared" si="41"/>
        <v>1539961.512243385</v>
      </c>
      <c r="CV32" s="472">
        <f t="shared" si="42"/>
        <v>0.28237511872765653</v>
      </c>
      <c r="CY32" s="473">
        <v>0</v>
      </c>
      <c r="CZ32" s="474">
        <f t="shared" si="61"/>
        <v>1539961.512243385</v>
      </c>
      <c r="DA32" s="475">
        <f t="shared" si="62"/>
        <v>0.28237511872765653</v>
      </c>
      <c r="DB32" s="1">
        <f t="shared" si="63"/>
        <v>0</v>
      </c>
      <c r="DC32" s="293">
        <f t="shared" si="64"/>
        <v>0.29923528696867685</v>
      </c>
      <c r="DF32" s="476"/>
    </row>
    <row r="33" spans="1:110">
      <c r="A33" s="477" t="s">
        <v>104</v>
      </c>
      <c r="B33" s="428" t="s">
        <v>109</v>
      </c>
      <c r="C33" s="429"/>
      <c r="D33" s="91">
        <f>'Op Cost-26'!E24</f>
        <v>111168383</v>
      </c>
      <c r="E33" s="92">
        <f>'Ridership-26'!$E24</f>
        <v>8721363</v>
      </c>
      <c r="F33" s="92">
        <f>'Revenue Hours-26'!$E24</f>
        <v>819202.73699999996</v>
      </c>
      <c r="G33" s="92">
        <f>'Revenue Miles-26'!$E24</f>
        <v>10820543.213</v>
      </c>
      <c r="H33" s="478">
        <f t="shared" si="0"/>
        <v>0.17526213344901395</v>
      </c>
      <c r="I33" s="431">
        <f t="shared" si="1"/>
        <v>0.17526213344901398</v>
      </c>
      <c r="J33" s="432"/>
      <c r="K33" s="433">
        <f>'Ridership-26'!B24/'Revenue Hours-26'!B24</f>
        <v>5.8735316212753474</v>
      </c>
      <c r="L33" s="539">
        <f>'Ridership-26'!C24/'Revenue Hours-26'!I24</f>
        <v>6.1772085175648597</v>
      </c>
      <c r="M33" s="539">
        <f>'Ridership-26'!D24/'Revenue Hours-26'!J24</f>
        <v>9.8555669967058908</v>
      </c>
      <c r="N33" s="539">
        <f>'Ridership-26'!E24/'Revenue Hours-26'!K24</f>
        <v>10.646159498854312</v>
      </c>
      <c r="O33" s="435">
        <f t="shared" si="2"/>
        <v>1.0572086695013541</v>
      </c>
      <c r="P33" s="436">
        <f t="shared" si="3"/>
        <v>0.18528864691760083</v>
      </c>
      <c r="Q33" s="437">
        <f t="shared" si="4"/>
        <v>0.17678477126187547</v>
      </c>
      <c r="R33" s="438">
        <f>'Ridership-26'!B24/'Revenue Miles-26'!B24</f>
        <v>0.454872375587629</v>
      </c>
      <c r="S33" s="539">
        <f>'Ridership-26'!C24/'Revenue Miles-26'!I24</f>
        <v>0.47819886223375052</v>
      </c>
      <c r="T33" s="539">
        <f>'Ridership-26'!D24/'Revenue Miles-26'!J24</f>
        <v>0.7557807792342961</v>
      </c>
      <c r="U33" s="539">
        <f>'Ridership-26'!E24/'Revenue Miles-26'!K24</f>
        <v>0.80600047782462481</v>
      </c>
      <c r="V33" s="435">
        <f t="shared" si="5"/>
        <v>1.0519249776927457</v>
      </c>
      <c r="W33" s="436">
        <f t="shared" si="6"/>
        <v>0.18436261581873706</v>
      </c>
      <c r="X33" s="437">
        <f t="shared" si="7"/>
        <v>0.17545435333278234</v>
      </c>
      <c r="Y33" s="438">
        <f>'Op Cost-26'!B24/'Revenue Hours-26'!B24</f>
        <v>123.96447205256577</v>
      </c>
      <c r="Z33" s="434">
        <f>'Op Cost-26'!C24/'Revenue Hours-26'!C24</f>
        <v>123.17011468072208</v>
      </c>
      <c r="AA33" s="434">
        <f>'Op Cost-26'!D24/'Revenue Hours-26'!D24</f>
        <v>127.77476943594867</v>
      </c>
      <c r="AB33" s="434">
        <f>'Op Cost-26'!E24/'Revenue Hours-26'!E24</f>
        <v>135.70313913636252</v>
      </c>
      <c r="AC33" s="435">
        <f t="shared" si="8"/>
        <v>0.9854985928540646</v>
      </c>
      <c r="AD33" s="436">
        <f t="shared" si="9"/>
        <v>0.17784107934791063</v>
      </c>
      <c r="AE33" s="437">
        <f t="shared" si="10"/>
        <v>0.17819790672028904</v>
      </c>
      <c r="AF33" s="438">
        <f>'Op Cost-26'!B24/'Revenue Miles-26'!B24</f>
        <v>9.6003592943580749</v>
      </c>
      <c r="AG33" s="434">
        <f>'Op Cost-26'!C24/'Revenue Miles-26'!C24</f>
        <v>9.4889394391510358</v>
      </c>
      <c r="AH33" s="434">
        <f>'Op Cost-26'!D24/'Revenue Miles-26'!D24</f>
        <v>9.7984940737616739</v>
      </c>
      <c r="AI33" s="434">
        <f>'Op Cost-26'!E24/'Revenue Miles-26'!E24</f>
        <v>10.273826443984833</v>
      </c>
      <c r="AJ33" s="435">
        <f t="shared" si="11"/>
        <v>0.98269843075003915</v>
      </c>
      <c r="AK33" s="436">
        <f t="shared" si="12"/>
        <v>0.17834783079407801</v>
      </c>
      <c r="AL33" s="437">
        <f t="shared" si="13"/>
        <v>0.17867462815996249</v>
      </c>
      <c r="AM33" s="438">
        <f>'Op Cost-26'!B24/'Ridership-26'!B24</f>
        <v>21.10561073742015</v>
      </c>
      <c r="AN33" s="434">
        <f>'Op Cost-26'!C24/'Ridership-26'!C24</f>
        <v>19.999257439903197</v>
      </c>
      <c r="AO33" s="434">
        <f>'Op Cost-26'!D24/'Ridership-26'!D24</f>
        <v>12.964730439015423</v>
      </c>
      <c r="AP33" s="434">
        <f>'Op Cost-26'!E24/'Ridership-26'!E24</f>
        <v>12.746675376314458</v>
      </c>
      <c r="AQ33" s="435">
        <f t="shared" si="14"/>
        <v>0.97433760769024191</v>
      </c>
      <c r="AR33" s="436">
        <f t="shared" si="15"/>
        <v>0.1798782393963928</v>
      </c>
      <c r="AS33" s="440">
        <f t="shared" si="16"/>
        <v>0.18086808701571666</v>
      </c>
      <c r="AT33" s="432"/>
      <c r="AU33" s="441">
        <f t="shared" si="17"/>
        <v>0</v>
      </c>
      <c r="AV33" s="442">
        <f t="shared" si="18"/>
        <v>0</v>
      </c>
      <c r="AW33" s="442">
        <f t="shared" si="19"/>
        <v>0</v>
      </c>
      <c r="AX33" s="442">
        <f t="shared" si="20"/>
        <v>0</v>
      </c>
      <c r="AY33" s="443">
        <f t="shared" si="21"/>
        <v>0</v>
      </c>
      <c r="AZ33" s="444">
        <f t="shared" si="43"/>
        <v>-1</v>
      </c>
      <c r="BA33" s="445">
        <f t="shared" si="22"/>
        <v>0</v>
      </c>
      <c r="BB33" s="446">
        <f t="shared" si="22"/>
        <v>0</v>
      </c>
      <c r="BC33" s="446">
        <f t="shared" si="22"/>
        <v>0</v>
      </c>
      <c r="BD33" s="446">
        <f t="shared" si="22"/>
        <v>0</v>
      </c>
      <c r="BE33" s="446">
        <f t="shared" si="22"/>
        <v>0</v>
      </c>
      <c r="BF33" s="447">
        <f t="shared" si="44"/>
        <v>21096237.376351941</v>
      </c>
      <c r="BH33" s="448">
        <f>'Op Cost-26'!E24</f>
        <v>111168383</v>
      </c>
      <c r="BI33" s="449">
        <f t="shared" si="23"/>
        <v>0.18976832087547718</v>
      </c>
      <c r="BJ33" s="450">
        <f t="shared" si="24"/>
        <v>21096237.376351941</v>
      </c>
      <c r="BK33" s="451">
        <f t="shared" si="25"/>
        <v>0</v>
      </c>
      <c r="BL33" s="1">
        <f t="shared" si="45"/>
        <v>0.83543967978557321</v>
      </c>
      <c r="BM33" s="112">
        <f t="shared" si="46"/>
        <v>0.8543255437153614</v>
      </c>
      <c r="BN33" s="112">
        <f t="shared" si="47"/>
        <v>0.92376163345440787</v>
      </c>
      <c r="BO33" s="113">
        <f t="shared" si="48"/>
        <v>0.78183577098626167</v>
      </c>
      <c r="BP33" s="452">
        <f t="shared" si="26"/>
        <v>21096237.376351941</v>
      </c>
      <c r="BQ33" s="115">
        <f t="shared" si="49"/>
        <v>0.14642094064718064</v>
      </c>
      <c r="BR33" s="116">
        <f t="shared" si="50"/>
        <v>0.14642094064718064</v>
      </c>
      <c r="BS33" s="453">
        <f t="shared" si="51"/>
        <v>0.15349047492476908</v>
      </c>
      <c r="BT33" s="118">
        <f t="shared" si="52"/>
        <v>22242894.721428208</v>
      </c>
      <c r="BU33" s="119">
        <f t="shared" si="53"/>
        <v>33350514.899999999</v>
      </c>
      <c r="BV33" s="119">
        <f t="shared" si="54"/>
        <v>22242894.721428208</v>
      </c>
      <c r="BW33" s="119">
        <f t="shared" si="65"/>
        <v>0</v>
      </c>
      <c r="BX33" s="120">
        <f t="shared" si="55"/>
        <v>0.14642094064718064</v>
      </c>
      <c r="BY33" s="454">
        <f t="shared" si="56"/>
        <v>0.16109782096125205</v>
      </c>
      <c r="BZ33" s="122">
        <f t="shared" si="57"/>
        <v>22286636.334441375</v>
      </c>
      <c r="CA33" s="455">
        <f t="shared" si="27"/>
        <v>0.18728882154208248</v>
      </c>
      <c r="CB33" s="456">
        <f t="shared" si="28"/>
        <v>1399149.3802932494</v>
      </c>
      <c r="CC33" s="456">
        <f t="shared" si="29"/>
        <v>22495386.756645191</v>
      </c>
      <c r="CD33" s="457">
        <f t="shared" si="30"/>
        <v>0.20235417795584193</v>
      </c>
      <c r="CE33" s="458">
        <f t="shared" si="31"/>
        <v>0</v>
      </c>
      <c r="CF33" s="17"/>
      <c r="CG33" s="459">
        <f t="shared" si="32"/>
        <v>111168383</v>
      </c>
      <c r="CH33" s="460">
        <f t="shared" si="58"/>
        <v>0.20235417795584193</v>
      </c>
      <c r="CI33" s="461">
        <f t="shared" si="33"/>
        <v>22495386.756645191</v>
      </c>
      <c r="CJ33" s="462">
        <f t="shared" si="34"/>
        <v>0</v>
      </c>
      <c r="CL33" s="463">
        <f t="shared" si="35"/>
        <v>22495386.756645191</v>
      </c>
      <c r="CM33" s="464">
        <f t="shared" si="36"/>
        <v>0.19340564062340357</v>
      </c>
      <c r="CN33" s="465">
        <f t="shared" si="37"/>
        <v>27781.134778423362</v>
      </c>
      <c r="CO33" s="466">
        <f t="shared" si="59"/>
        <v>22523167.891423617</v>
      </c>
      <c r="CP33" s="467">
        <f t="shared" si="60"/>
        <v>0.20260407935791974</v>
      </c>
      <c r="CQ33" s="468">
        <f t="shared" si="38"/>
        <v>0</v>
      </c>
      <c r="CR33" s="469"/>
      <c r="CS33" s="470">
        <f t="shared" si="39"/>
        <v>33350514.899999999</v>
      </c>
      <c r="CT33" s="465">
        <f t="shared" si="40"/>
        <v>0</v>
      </c>
      <c r="CU33" s="471">
        <f t="shared" si="41"/>
        <v>22523167.891423617</v>
      </c>
      <c r="CV33" s="472">
        <f t="shared" si="42"/>
        <v>0.20260407935791974</v>
      </c>
      <c r="CY33" s="473">
        <v>0</v>
      </c>
      <c r="CZ33" s="474">
        <f t="shared" si="61"/>
        <v>22523167.891423617</v>
      </c>
      <c r="DA33" s="475">
        <f t="shared" si="62"/>
        <v>0.20260407935791974</v>
      </c>
      <c r="DB33" s="1">
        <f t="shared" si="63"/>
        <v>0</v>
      </c>
      <c r="DC33" s="293">
        <f t="shared" si="64"/>
        <v>0.20047639205511675</v>
      </c>
      <c r="DF33" s="476"/>
    </row>
    <row r="34" spans="1:110">
      <c r="A34" s="477" t="s">
        <v>104</v>
      </c>
      <c r="B34" s="428" t="s">
        <v>111</v>
      </c>
      <c r="C34" s="429"/>
      <c r="D34" s="91">
        <f>'Op Cost-26'!E25</f>
        <v>49463221</v>
      </c>
      <c r="E34" s="92">
        <f>'Ridership-26'!$E25</f>
        <v>1972474</v>
      </c>
      <c r="F34" s="92">
        <f>'Revenue Hours-26'!$E25</f>
        <v>236658.2</v>
      </c>
      <c r="G34" s="92">
        <f>'Revenue Miles-26'!$E25</f>
        <v>5670767.6500000004</v>
      </c>
      <c r="H34" s="478">
        <f t="shared" si="0"/>
        <v>6.3253623868236367E-2</v>
      </c>
      <c r="I34" s="431">
        <f t="shared" si="1"/>
        <v>6.3253623868236381E-2</v>
      </c>
      <c r="J34" s="432"/>
      <c r="K34" s="433">
        <f>'Ridership-26'!B25/'Revenue Hours-26'!B25</f>
        <v>3.1822121529637459</v>
      </c>
      <c r="L34" s="539">
        <f>'Ridership-26'!C25/'Revenue Hours-26'!I25</f>
        <v>8.2967296709273857</v>
      </c>
      <c r="M34" s="539">
        <f>'Ridership-26'!D25/'Revenue Hours-26'!J25</f>
        <v>11.126124922661567</v>
      </c>
      <c r="N34" s="539">
        <f>'Ridership-26'!E25/'Revenue Hours-26'!K25</f>
        <v>11.306413873510943</v>
      </c>
      <c r="O34" s="435">
        <f t="shared" si="2"/>
        <v>1.3703578469619639</v>
      </c>
      <c r="P34" s="436">
        <f t="shared" si="3"/>
        <v>8.6680099816618297E-2</v>
      </c>
      <c r="Q34" s="437">
        <f t="shared" si="4"/>
        <v>8.2701891745434172E-2</v>
      </c>
      <c r="R34" s="438">
        <f>'Ridership-26'!B25/'Revenue Miles-26'!B25</f>
        <v>0.14309026388335411</v>
      </c>
      <c r="S34" s="539">
        <f>'Ridership-26'!C25/'Revenue Miles-26'!I25</f>
        <v>0.37059725511859853</v>
      </c>
      <c r="T34" s="539">
        <f>'Ridership-26'!D25/'Revenue Miles-26'!J25</f>
        <v>0.50600882906492872</v>
      </c>
      <c r="U34" s="539">
        <f>'Ridership-26'!E25/'Revenue Miles-26'!K25</f>
        <v>0.52629907098117701</v>
      </c>
      <c r="V34" s="435">
        <f t="shared" si="5"/>
        <v>1.3914366353667951</v>
      </c>
      <c r="W34" s="436">
        <f t="shared" si="6"/>
        <v>8.8013409569975637E-2</v>
      </c>
      <c r="X34" s="437">
        <f t="shared" si="7"/>
        <v>8.3760668029879207E-2</v>
      </c>
      <c r="Y34" s="438">
        <f>'Op Cost-26'!B25/'Revenue Hours-26'!B25</f>
        <v>162.67460550900779</v>
      </c>
      <c r="Z34" s="434">
        <f>'Op Cost-26'!C25/'Revenue Hours-26'!C25</f>
        <v>182.03086120018324</v>
      </c>
      <c r="AA34" s="434">
        <f>'Op Cost-26'!D25/'Revenue Hours-26'!D25</f>
        <v>228.02756454118199</v>
      </c>
      <c r="AB34" s="434">
        <f>'Op Cost-26'!E25/'Revenue Hours-26'!E25</f>
        <v>209.00700250403324</v>
      </c>
      <c r="AC34" s="435">
        <f t="shared" si="8"/>
        <v>1.045677971525393</v>
      </c>
      <c r="AD34" s="436">
        <f t="shared" si="9"/>
        <v>6.0490538761148939E-2</v>
      </c>
      <c r="AE34" s="437">
        <f t="shared" si="10"/>
        <v>6.061190936955415E-2</v>
      </c>
      <c r="AF34" s="438">
        <f>'Op Cost-26'!B25/'Revenue Miles-26'!B25</f>
        <v>7.31477070368339</v>
      </c>
      <c r="AG34" s="434">
        <f>'Op Cost-26'!C25/'Revenue Miles-26'!C25</f>
        <v>7.6442946732585657</v>
      </c>
      <c r="AH34" s="434">
        <f>'Op Cost-26'!D25/'Revenue Miles-26'!D25</f>
        <v>9.2945820106638735</v>
      </c>
      <c r="AI34" s="434">
        <f>'Op Cost-26'!E25/'Revenue Miles-26'!E25</f>
        <v>8.722491213336875</v>
      </c>
      <c r="AJ34" s="435">
        <f t="shared" si="11"/>
        <v>1.0220822440114024</v>
      </c>
      <c r="AK34" s="436">
        <f t="shared" si="12"/>
        <v>6.1887019600284456E-2</v>
      </c>
      <c r="AL34" s="437">
        <f t="shared" si="13"/>
        <v>6.2000418876842892E-2</v>
      </c>
      <c r="AM34" s="438">
        <f>'Op Cost-26'!B25/'Ridership-26'!B25</f>
        <v>51.119974938660576</v>
      </c>
      <c r="AN34" s="434">
        <f>'Op Cost-26'!C25/'Ridership-26'!C25</f>
        <v>32.564033916722593</v>
      </c>
      <c r="AO34" s="434">
        <f>'Op Cost-26'!D25/'Ridership-26'!D25</f>
        <v>28.850658234391222</v>
      </c>
      <c r="AP34" s="434">
        <f>'Op Cost-26'!E25/'Ridership-26'!E25</f>
        <v>25.07674169596152</v>
      </c>
      <c r="AQ34" s="435">
        <f t="shared" si="14"/>
        <v>0.88959546780913978</v>
      </c>
      <c r="AR34" s="436">
        <f t="shared" si="15"/>
        <v>7.1103806344714054E-2</v>
      </c>
      <c r="AS34" s="440">
        <f t="shared" si="16"/>
        <v>7.149508176341593E-2</v>
      </c>
      <c r="AT34" s="432"/>
      <c r="AU34" s="441">
        <f t="shared" si="17"/>
        <v>0</v>
      </c>
      <c r="AV34" s="442">
        <f t="shared" si="18"/>
        <v>0</v>
      </c>
      <c r="AW34" s="442">
        <f t="shared" si="19"/>
        <v>0</v>
      </c>
      <c r="AX34" s="442">
        <f t="shared" si="20"/>
        <v>0</v>
      </c>
      <c r="AY34" s="443">
        <f t="shared" si="21"/>
        <v>0</v>
      </c>
      <c r="AZ34" s="444">
        <f t="shared" si="43"/>
        <v>-1</v>
      </c>
      <c r="BA34" s="445">
        <f t="shared" si="22"/>
        <v>0</v>
      </c>
      <c r="BB34" s="446">
        <f t="shared" si="22"/>
        <v>0</v>
      </c>
      <c r="BC34" s="446">
        <f t="shared" si="22"/>
        <v>0</v>
      </c>
      <c r="BD34" s="446">
        <f t="shared" si="22"/>
        <v>0</v>
      </c>
      <c r="BE34" s="446">
        <f t="shared" si="22"/>
        <v>0</v>
      </c>
      <c r="BF34" s="447">
        <f t="shared" si="44"/>
        <v>7613815.0197001556</v>
      </c>
      <c r="BH34" s="448">
        <f>'Op Cost-26'!E25</f>
        <v>49463221</v>
      </c>
      <c r="BI34" s="449">
        <f t="shared" si="23"/>
        <v>0.15392881550718573</v>
      </c>
      <c r="BJ34" s="450">
        <f t="shared" si="24"/>
        <v>7613815.0197001556</v>
      </c>
      <c r="BK34" s="451">
        <f t="shared" si="25"/>
        <v>0</v>
      </c>
      <c r="BL34" s="1">
        <f t="shared" si="45"/>
        <v>0.60914417858494796</v>
      </c>
      <c r="BM34" s="112">
        <f t="shared" si="46"/>
        <v>0.99302794584048348</v>
      </c>
      <c r="BN34" s="112">
        <f t="shared" si="47"/>
        <v>0.63968619018260597</v>
      </c>
      <c r="BO34" s="113">
        <f t="shared" si="48"/>
        <v>0.40193128915835125</v>
      </c>
      <c r="BP34" s="452">
        <f t="shared" si="26"/>
        <v>7613815.0197001556</v>
      </c>
      <c r="BQ34" s="115">
        <f t="shared" si="49"/>
        <v>3.8530576753738111E-2</v>
      </c>
      <c r="BR34" s="116">
        <f t="shared" si="50"/>
        <v>3.8530576753738111E-2</v>
      </c>
      <c r="BS34" s="453">
        <f t="shared" si="51"/>
        <v>4.0390920171092394E-2</v>
      </c>
      <c r="BT34" s="118">
        <f t="shared" si="52"/>
        <v>7915557.1656624544</v>
      </c>
      <c r="BU34" s="119">
        <f t="shared" si="53"/>
        <v>14838966.299999999</v>
      </c>
      <c r="BV34" s="119">
        <f t="shared" si="54"/>
        <v>7915557.1656624544</v>
      </c>
      <c r="BW34" s="119">
        <f t="shared" si="65"/>
        <v>0</v>
      </c>
      <c r="BX34" s="120">
        <f t="shared" si="55"/>
        <v>3.8530576753738111E-2</v>
      </c>
      <c r="BY34" s="454">
        <f t="shared" si="56"/>
        <v>4.2392788408349862E-2</v>
      </c>
      <c r="BZ34" s="122">
        <f t="shared" si="57"/>
        <v>7927067.743111874</v>
      </c>
      <c r="CA34" s="455">
        <f t="shared" si="27"/>
        <v>6.7594159898746689E-2</v>
      </c>
      <c r="CB34" s="456">
        <f t="shared" si="28"/>
        <v>504965.14503682777</v>
      </c>
      <c r="CC34" s="456">
        <f t="shared" si="29"/>
        <v>8118780.1647369834</v>
      </c>
      <c r="CD34" s="457">
        <f t="shared" si="30"/>
        <v>0.16413771688538001</v>
      </c>
      <c r="CE34" s="458">
        <f t="shared" si="31"/>
        <v>0</v>
      </c>
      <c r="CF34" s="17"/>
      <c r="CG34" s="459">
        <f t="shared" si="32"/>
        <v>49463221</v>
      </c>
      <c r="CH34" s="460">
        <f t="shared" si="58"/>
        <v>0.16413771688538001</v>
      </c>
      <c r="CI34" s="461">
        <f t="shared" si="33"/>
        <v>8118780.1647369834</v>
      </c>
      <c r="CJ34" s="462">
        <f t="shared" si="34"/>
        <v>0</v>
      </c>
      <c r="CL34" s="463">
        <f t="shared" si="35"/>
        <v>8118780.1647369834</v>
      </c>
      <c r="CM34" s="464">
        <f t="shared" si="36"/>
        <v>6.9801772951411559E-2</v>
      </c>
      <c r="CN34" s="465">
        <f t="shared" si="37"/>
        <v>10026.452464806842</v>
      </c>
      <c r="CO34" s="466">
        <f t="shared" si="59"/>
        <v>8128806.6172017902</v>
      </c>
      <c r="CP34" s="467">
        <f t="shared" si="60"/>
        <v>0.16434042209264516</v>
      </c>
      <c r="CQ34" s="468">
        <f t="shared" si="38"/>
        <v>0</v>
      </c>
      <c r="CR34" s="469"/>
      <c r="CS34" s="470">
        <f t="shared" si="39"/>
        <v>14838966.299999999</v>
      </c>
      <c r="CT34" s="465">
        <f t="shared" si="40"/>
        <v>0</v>
      </c>
      <c r="CU34" s="471">
        <f t="shared" si="41"/>
        <v>8128806.6172017902</v>
      </c>
      <c r="CV34" s="472">
        <f t="shared" si="42"/>
        <v>0.16434042209264516</v>
      </c>
      <c r="CY34" s="473">
        <v>0</v>
      </c>
      <c r="CZ34" s="474">
        <f t="shared" si="61"/>
        <v>8128806.6172017902</v>
      </c>
      <c r="DA34" s="475">
        <f t="shared" si="62"/>
        <v>0.16434042209264516</v>
      </c>
      <c r="DB34" s="1">
        <f t="shared" si="63"/>
        <v>0</v>
      </c>
      <c r="DC34" s="293">
        <f t="shared" si="64"/>
        <v>0.16026185886907515</v>
      </c>
      <c r="DF34" s="476"/>
    </row>
    <row r="35" spans="1:110">
      <c r="A35" s="477" t="s">
        <v>112</v>
      </c>
      <c r="B35" s="428" t="s">
        <v>113</v>
      </c>
      <c r="C35" s="429"/>
      <c r="D35" s="91">
        <f>'Op Cost-26'!E26</f>
        <v>3929042</v>
      </c>
      <c r="E35" s="92">
        <f>'Ridership-26'!$E26</f>
        <v>471466</v>
      </c>
      <c r="F35" s="92">
        <f>'Revenue Hours-26'!$E26</f>
        <v>41575</v>
      </c>
      <c r="G35" s="92">
        <f>'Revenue Miles-26'!$E26</f>
        <v>539337</v>
      </c>
      <c r="H35" s="430">
        <f t="shared" si="0"/>
        <v>8.0311956851178597E-3</v>
      </c>
      <c r="I35" s="431">
        <f t="shared" si="1"/>
        <v>8.0311956851178614E-3</v>
      </c>
      <c r="J35" s="432"/>
      <c r="K35" s="433">
        <f>'Ridership-26'!B26/'Revenue Hours-26'!B26</f>
        <v>7.0651748073074137</v>
      </c>
      <c r="L35" s="539">
        <f>'Ridership-26'!C26/'Revenue Hours-26'!I26</f>
        <v>8.5454680032144825</v>
      </c>
      <c r="M35" s="539">
        <f>'Ridership-26'!D26/'Revenue Hours-26'!J26</f>
        <v>10.854112978631212</v>
      </c>
      <c r="N35" s="539">
        <f>'Ridership-26'!E26/'Revenue Hours-26'!K26</f>
        <v>11.340132291040289</v>
      </c>
      <c r="O35" s="435">
        <f t="shared" si="2"/>
        <v>0.99594867084409577</v>
      </c>
      <c r="P35" s="436">
        <f t="shared" si="3"/>
        <v>7.9986586678819707E-3</v>
      </c>
      <c r="Q35" s="437">
        <f t="shared" si="4"/>
        <v>7.6315579315130175E-3</v>
      </c>
      <c r="R35" s="438">
        <f>'Ridership-26'!B26/'Revenue Miles-26'!B26</f>
        <v>0.60435953803758868</v>
      </c>
      <c r="S35" s="539">
        <f>'Ridership-26'!C26/'Revenue Miles-26'!I26</f>
        <v>0.7290038463481342</v>
      </c>
      <c r="T35" s="539">
        <f>'Ridership-26'!D26/'Revenue Miles-26'!J26</f>
        <v>0.86015998033680452</v>
      </c>
      <c r="U35" s="539">
        <f>'Ridership-26'!E26/'Revenue Miles-26'!K26</f>
        <v>0.8741584575135769</v>
      </c>
      <c r="V35" s="435">
        <f t="shared" si="5"/>
        <v>0.96537457981459074</v>
      </c>
      <c r="W35" s="436">
        <f t="shared" si="6"/>
        <v>7.7531121599294095E-3</v>
      </c>
      <c r="X35" s="437">
        <f t="shared" si="7"/>
        <v>7.3784876304553645E-3</v>
      </c>
      <c r="Y35" s="438">
        <f>'Op Cost-26'!B26/'Revenue Hours-26'!B26</f>
        <v>99.128071370778855</v>
      </c>
      <c r="Z35" s="434">
        <f>'Op Cost-26'!C26/'Revenue Hours-26'!C26</f>
        <v>86.295224802267057</v>
      </c>
      <c r="AA35" s="434">
        <f>'Op Cost-26'!D26/'Revenue Hours-26'!D26</f>
        <v>108.01972678966453</v>
      </c>
      <c r="AB35" s="434">
        <f>'Op Cost-26'!E26/'Revenue Hours-26'!E26</f>
        <v>94.504918821407102</v>
      </c>
      <c r="AC35" s="435">
        <f t="shared" si="8"/>
        <v>0.94994437862677639</v>
      </c>
      <c r="AD35" s="436">
        <f t="shared" si="9"/>
        <v>8.4543851890861478E-3</v>
      </c>
      <c r="AE35" s="437">
        <f t="shared" si="10"/>
        <v>8.4713484017654578E-3</v>
      </c>
      <c r="AF35" s="438">
        <f>'Op Cost-26'!B26/'Revenue Miles-26'!B26</f>
        <v>8.4794781522232086</v>
      </c>
      <c r="AG35" s="434">
        <f>'Op Cost-26'!C26/'Revenue Miles-26'!C26</f>
        <v>7.3617443513527165</v>
      </c>
      <c r="AH35" s="434">
        <f>'Op Cost-26'!D26/'Revenue Miles-26'!D26</f>
        <v>8.5602799836621983</v>
      </c>
      <c r="AI35" s="434">
        <f>'Op Cost-26'!E26/'Revenue Miles-26'!E26</f>
        <v>7.2849480009715633</v>
      </c>
      <c r="AJ35" s="435">
        <f t="shared" si="11"/>
        <v>0.91837200860332668</v>
      </c>
      <c r="AK35" s="436">
        <f t="shared" si="12"/>
        <v>8.7450353559140135E-3</v>
      </c>
      <c r="AL35" s="437">
        <f t="shared" si="13"/>
        <v>8.7610594056944623E-3</v>
      </c>
      <c r="AM35" s="438">
        <f>'Op Cost-26'!B26/'Ridership-26'!B26</f>
        <v>14.030519282870687</v>
      </c>
      <c r="AN35" s="434">
        <f>'Op Cost-26'!C26/'Ridership-26'!C26</f>
        <v>10.098361467131589</v>
      </c>
      <c r="AO35" s="434">
        <f>'Op Cost-26'!D26/'Ridership-26'!D26</f>
        <v>9.9519626341024754</v>
      </c>
      <c r="AP35" s="434">
        <f>'Op Cost-26'!E26/'Ridership-26'!E26</f>
        <v>8.3336698722707467</v>
      </c>
      <c r="AQ35" s="439">
        <f t="shared" si="14"/>
        <v>0.94966951764901175</v>
      </c>
      <c r="AR35" s="436">
        <f t="shared" si="15"/>
        <v>8.456832125137358E-3</v>
      </c>
      <c r="AS35" s="440">
        <f t="shared" si="16"/>
        <v>8.5033690223972978E-3</v>
      </c>
      <c r="AT35" s="432"/>
      <c r="AU35" s="441">
        <f t="shared" si="17"/>
        <v>0</v>
      </c>
      <c r="AV35" s="442">
        <f t="shared" si="18"/>
        <v>0</v>
      </c>
      <c r="AW35" s="442">
        <f t="shared" si="19"/>
        <v>0</v>
      </c>
      <c r="AX35" s="442">
        <f t="shared" si="20"/>
        <v>0</v>
      </c>
      <c r="AY35" s="443">
        <f t="shared" si="21"/>
        <v>0</v>
      </c>
      <c r="AZ35" s="444">
        <f t="shared" si="43"/>
        <v>-1</v>
      </c>
      <c r="BA35" s="445">
        <f t="shared" si="22"/>
        <v>0</v>
      </c>
      <c r="BB35" s="446">
        <f t="shared" si="22"/>
        <v>0</v>
      </c>
      <c r="BC35" s="446">
        <f t="shared" si="22"/>
        <v>0</v>
      </c>
      <c r="BD35" s="446">
        <f t="shared" si="22"/>
        <v>0</v>
      </c>
      <c r="BE35" s="446">
        <f t="shared" si="22"/>
        <v>0</v>
      </c>
      <c r="BF35" s="447">
        <f t="shared" si="44"/>
        <v>966712.01733641268</v>
      </c>
      <c r="BH35" s="448">
        <f>'Op Cost-26'!E26</f>
        <v>3929042</v>
      </c>
      <c r="BI35" s="449">
        <f t="shared" si="23"/>
        <v>0.24604267842807806</v>
      </c>
      <c r="BJ35" s="450">
        <f t="shared" si="24"/>
        <v>966712.01733641268</v>
      </c>
      <c r="BK35" s="451">
        <f t="shared" si="25"/>
        <v>0</v>
      </c>
      <c r="BL35" s="1">
        <f t="shared" si="45"/>
        <v>1.1426171688096205</v>
      </c>
      <c r="BM35" s="112">
        <f t="shared" si="46"/>
        <v>0.99475978628782669</v>
      </c>
      <c r="BN35" s="112">
        <f t="shared" si="47"/>
        <v>1.1314019486307303</v>
      </c>
      <c r="BO35" s="113">
        <f t="shared" si="48"/>
        <v>1.2221534701599628</v>
      </c>
      <c r="BP35" s="452">
        <f t="shared" si="26"/>
        <v>966712.01733641268</v>
      </c>
      <c r="BQ35" s="115">
        <f t="shared" si="49"/>
        <v>9.1765820758854116E-3</v>
      </c>
      <c r="BR35" s="116">
        <f t="shared" si="50"/>
        <v>9.1765820758854116E-3</v>
      </c>
      <c r="BS35" s="453">
        <f t="shared" si="51"/>
        <v>9.6196482196339202E-3</v>
      </c>
      <c r="BT35" s="118">
        <f t="shared" si="52"/>
        <v>1038576.0225360804</v>
      </c>
      <c r="BU35" s="119">
        <f t="shared" si="53"/>
        <v>1178712.5999999999</v>
      </c>
      <c r="BV35" s="119">
        <f t="shared" si="54"/>
        <v>1038576.0225360804</v>
      </c>
      <c r="BW35" s="119">
        <f t="shared" si="65"/>
        <v>0</v>
      </c>
      <c r="BX35" s="120">
        <f t="shared" si="55"/>
        <v>9.1765820758854116E-3</v>
      </c>
      <c r="BY35" s="454">
        <f t="shared" si="56"/>
        <v>1.0096420428410137E-2</v>
      </c>
      <c r="BZ35" s="122">
        <f t="shared" si="57"/>
        <v>1041317.4234598334</v>
      </c>
      <c r="CA35" s="455">
        <f t="shared" si="27"/>
        <v>8.5823055205313907E-3</v>
      </c>
      <c r="CB35" s="456">
        <f t="shared" si="28"/>
        <v>64114.490932608765</v>
      </c>
      <c r="CC35" s="456">
        <f t="shared" si="29"/>
        <v>1030826.5082690214</v>
      </c>
      <c r="CD35" s="457">
        <f t="shared" si="30"/>
        <v>0.26236077605406644</v>
      </c>
      <c r="CE35" s="458">
        <f t="shared" si="31"/>
        <v>0</v>
      </c>
      <c r="CF35" s="17"/>
      <c r="CG35" s="459">
        <f t="shared" si="32"/>
        <v>3929042</v>
      </c>
      <c r="CH35" s="460">
        <f t="shared" si="58"/>
        <v>0.26236077605406644</v>
      </c>
      <c r="CI35" s="461">
        <f t="shared" si="33"/>
        <v>1030826.5082690214</v>
      </c>
      <c r="CJ35" s="462">
        <f t="shared" si="34"/>
        <v>0</v>
      </c>
      <c r="CL35" s="463">
        <f t="shared" si="35"/>
        <v>1030826.5082690214</v>
      </c>
      <c r="CM35" s="464">
        <f t="shared" si="36"/>
        <v>8.8626020685980255E-3</v>
      </c>
      <c r="CN35" s="465">
        <f t="shared" si="37"/>
        <v>1273.0401334813073</v>
      </c>
      <c r="CO35" s="466">
        <f t="shared" si="59"/>
        <v>1032099.5484025027</v>
      </c>
      <c r="CP35" s="467">
        <f t="shared" si="60"/>
        <v>0.26268478382325838</v>
      </c>
      <c r="CQ35" s="468">
        <f t="shared" si="38"/>
        <v>0</v>
      </c>
      <c r="CR35" s="469"/>
      <c r="CS35" s="470">
        <f t="shared" si="39"/>
        <v>1178712.5999999999</v>
      </c>
      <c r="CT35" s="465">
        <f t="shared" si="40"/>
        <v>0</v>
      </c>
      <c r="CU35" s="471">
        <f t="shared" si="41"/>
        <v>1032099.5484025027</v>
      </c>
      <c r="CV35" s="472">
        <f t="shared" si="42"/>
        <v>0.26268478382325838</v>
      </c>
      <c r="CY35" s="473">
        <v>0</v>
      </c>
      <c r="CZ35" s="474">
        <f t="shared" si="61"/>
        <v>1032099.5484025027</v>
      </c>
      <c r="DA35" s="475">
        <f t="shared" si="62"/>
        <v>0.26268478382325838</v>
      </c>
      <c r="DB35" s="1">
        <f t="shared" si="63"/>
        <v>0</v>
      </c>
      <c r="DC35" s="293">
        <f t="shared" si="64"/>
        <v>0.26503087100108202</v>
      </c>
      <c r="DF35" s="476"/>
    </row>
    <row r="36" spans="1:110">
      <c r="A36" s="477" t="s">
        <v>112</v>
      </c>
      <c r="B36" s="428" t="s">
        <v>114</v>
      </c>
      <c r="C36" s="429"/>
      <c r="D36" s="91">
        <f>'Op Cost-26'!E27</f>
        <v>76532753</v>
      </c>
      <c r="E36" s="92">
        <f>'Ridership-26'!$E27</f>
        <v>10824111</v>
      </c>
      <c r="F36" s="92">
        <f>'Revenue Hours-26'!$E27</f>
        <v>633650.79</v>
      </c>
      <c r="G36" s="92">
        <f>'Revenue Miles-26'!$E27</f>
        <v>7725466.0599999996</v>
      </c>
      <c r="H36" s="478">
        <f t="shared" si="0"/>
        <v>0.15529039389891222</v>
      </c>
      <c r="I36" s="431">
        <f t="shared" si="1"/>
        <v>0.15529039389891225</v>
      </c>
      <c r="J36" s="432"/>
      <c r="K36" s="433">
        <f>'Ridership-26'!B27/'Revenue Hours-26'!B27</f>
        <v>12.685908078458269</v>
      </c>
      <c r="L36" s="539">
        <f>'Ridership-26'!C27/'Revenue Hours-26'!I27</f>
        <v>14.999735241854868</v>
      </c>
      <c r="M36" s="539">
        <f>'Ridership-26'!D27/'Revenue Hours-26'!J27</f>
        <v>16.535848596310085</v>
      </c>
      <c r="N36" s="539">
        <f>'Ridership-26'!E27/'Revenue Hours-26'!K27</f>
        <v>17.148627838667668</v>
      </c>
      <c r="O36" s="435">
        <f t="shared" si="2"/>
        <v>0.939431014707241</v>
      </c>
      <c r="P36" s="436">
        <f t="shared" si="3"/>
        <v>0.14588461231474228</v>
      </c>
      <c r="Q36" s="437">
        <f t="shared" si="4"/>
        <v>0.13918919614194261</v>
      </c>
      <c r="R36" s="438">
        <f>'Ridership-26'!B27/'Revenue Miles-26'!B27</f>
        <v>1.0554722157446399</v>
      </c>
      <c r="S36" s="539">
        <f>'Ridership-26'!C27/'Revenue Miles-26'!I27</f>
        <v>1.2009259173704827</v>
      </c>
      <c r="T36" s="539">
        <f>'Ridership-26'!D27/'Revenue Miles-26'!J27</f>
        <v>1.3773946096971872</v>
      </c>
      <c r="U36" s="539">
        <f>'Ridership-26'!E27/'Revenue Miles-26'!K27</f>
        <v>1.4121637665246516</v>
      </c>
      <c r="V36" s="435">
        <f t="shared" si="5"/>
        <v>0.9407983105399883</v>
      </c>
      <c r="W36" s="436">
        <f t="shared" si="6"/>
        <v>0.14609694022318595</v>
      </c>
      <c r="X36" s="437">
        <f t="shared" si="7"/>
        <v>0.13903764630872684</v>
      </c>
      <c r="Y36" s="438">
        <f>'Op Cost-26'!B27/'Revenue Hours-26'!B27</f>
        <v>106.94058914595765</v>
      </c>
      <c r="Z36" s="434">
        <f>'Op Cost-26'!C27/'Revenue Hours-26'!C27</f>
        <v>99.059409351732896</v>
      </c>
      <c r="AA36" s="434">
        <f>'Op Cost-26'!D27/'Revenue Hours-26'!D27</f>
        <v>117.86879438091567</v>
      </c>
      <c r="AB36" s="434">
        <f>'Op Cost-26'!E27/'Revenue Hours-26'!E27</f>
        <v>120.78064796541956</v>
      </c>
      <c r="AC36" s="435">
        <f t="shared" si="8"/>
        <v>0.99770100373043302</v>
      </c>
      <c r="AD36" s="436">
        <f t="shared" si="9"/>
        <v>0.15564822859581873</v>
      </c>
      <c r="AE36" s="437">
        <f t="shared" si="10"/>
        <v>0.15596052735507529</v>
      </c>
      <c r="AF36" s="438">
        <f>'Op Cost-26'!B27/'Revenue Miles-26'!B27</f>
        <v>8.897496330640184</v>
      </c>
      <c r="AG36" s="434">
        <f>'Op Cost-26'!C27/'Revenue Miles-26'!C27</f>
        <v>7.9310074565820816</v>
      </c>
      <c r="AH36" s="434">
        <f>'Op Cost-26'!D27/'Revenue Miles-26'!D27</f>
        <v>9.7977928004133119</v>
      </c>
      <c r="AI36" s="434">
        <f>'Op Cost-26'!E27/'Revenue Miles-26'!E27</f>
        <v>9.9065548156715355</v>
      </c>
      <c r="AJ36" s="435">
        <f t="shared" si="11"/>
        <v>0.99958570531382751</v>
      </c>
      <c r="AK36" s="436">
        <f t="shared" si="12"/>
        <v>0.15535475654902214</v>
      </c>
      <c r="AL36" s="437">
        <f t="shared" si="13"/>
        <v>0.15563942233380798</v>
      </c>
      <c r="AM36" s="438">
        <f>'Op Cost-26'!B27/'Ridership-26'!B27</f>
        <v>8.4298726180707302</v>
      </c>
      <c r="AN36" s="434">
        <f>'Op Cost-26'!C27/'Ridership-26'!C27</f>
        <v>6.6040771889973175</v>
      </c>
      <c r="AO36" s="434">
        <f>'Op Cost-26'!D27/'Ridership-26'!D27</f>
        <v>7.148306957943479</v>
      </c>
      <c r="AP36" s="434">
        <f>'Op Cost-26'!E27/'Ridership-26'!E27</f>
        <v>7.0705809465553333</v>
      </c>
      <c r="AQ36" s="435">
        <f t="shared" si="14"/>
        <v>1.0639513252329815</v>
      </c>
      <c r="AR36" s="436">
        <f t="shared" si="15"/>
        <v>0.14595629538306851</v>
      </c>
      <c r="AS36" s="440">
        <f t="shared" si="16"/>
        <v>0.14675947475593243</v>
      </c>
      <c r="AT36" s="432"/>
      <c r="AU36" s="441">
        <f t="shared" si="17"/>
        <v>0</v>
      </c>
      <c r="AV36" s="442">
        <f t="shared" si="18"/>
        <v>0</v>
      </c>
      <c r="AW36" s="442">
        <f t="shared" si="19"/>
        <v>0</v>
      </c>
      <c r="AX36" s="442">
        <f t="shared" si="20"/>
        <v>0</v>
      </c>
      <c r="AY36" s="443">
        <f t="shared" si="21"/>
        <v>0</v>
      </c>
      <c r="AZ36" s="444">
        <f t="shared" si="43"/>
        <v>-1</v>
      </c>
      <c r="BA36" s="445">
        <f t="shared" si="22"/>
        <v>0</v>
      </c>
      <c r="BB36" s="446">
        <f t="shared" si="22"/>
        <v>0</v>
      </c>
      <c r="BC36" s="446">
        <f t="shared" si="22"/>
        <v>0</v>
      </c>
      <c r="BD36" s="446">
        <f t="shared" si="22"/>
        <v>0</v>
      </c>
      <c r="BE36" s="446">
        <f t="shared" si="22"/>
        <v>0</v>
      </c>
      <c r="BF36" s="447">
        <f t="shared" si="44"/>
        <v>18692246.565124072</v>
      </c>
      <c r="BG36" s="301"/>
      <c r="BH36" s="448">
        <f>'Op Cost-26'!E27</f>
        <v>76532753</v>
      </c>
      <c r="BI36" s="449">
        <f t="shared" si="23"/>
        <v>0.2442385231473912</v>
      </c>
      <c r="BJ36" s="461">
        <f t="shared" si="24"/>
        <v>18692246.565124072</v>
      </c>
      <c r="BK36" s="451">
        <f t="shared" si="25"/>
        <v>0</v>
      </c>
      <c r="BL36" s="1">
        <f t="shared" si="45"/>
        <v>1.6868535405628076</v>
      </c>
      <c r="BM36" s="112">
        <f t="shared" si="46"/>
        <v>1.5858379738671688</v>
      </c>
      <c r="BN36" s="112">
        <f t="shared" si="47"/>
        <v>1.834648687285626</v>
      </c>
      <c r="BO36" s="113">
        <f t="shared" si="48"/>
        <v>1.6634637505492176</v>
      </c>
      <c r="BP36" s="452">
        <f t="shared" si="26"/>
        <v>18692246.565124072</v>
      </c>
      <c r="BQ36" s="115">
        <f t="shared" si="49"/>
        <v>0.26195215076377315</v>
      </c>
      <c r="BR36" s="116">
        <f t="shared" si="50"/>
        <v>0.26195215076377315</v>
      </c>
      <c r="BS36" s="453">
        <f t="shared" si="51"/>
        <v>0.27459979324392114</v>
      </c>
      <c r="BT36" s="118">
        <f t="shared" si="52"/>
        <v>20743656.40038516</v>
      </c>
      <c r="BU36" s="119">
        <f t="shared" si="53"/>
        <v>22959825.899999999</v>
      </c>
      <c r="BV36" s="119">
        <f t="shared" si="54"/>
        <v>20743656.40038516</v>
      </c>
      <c r="BW36" s="119">
        <f t="shared" si="65"/>
        <v>0</v>
      </c>
      <c r="BX36" s="120">
        <f t="shared" si="55"/>
        <v>0.26195215076377315</v>
      </c>
      <c r="BY36" s="454">
        <f t="shared" si="56"/>
        <v>0.2882095996490226</v>
      </c>
      <c r="BZ36" s="122">
        <f t="shared" si="57"/>
        <v>20821911.666032482</v>
      </c>
      <c r="CA36" s="455">
        <f t="shared" si="27"/>
        <v>0.16594659837684805</v>
      </c>
      <c r="CB36" s="456">
        <f t="shared" si="28"/>
        <v>1239711.3632783981</v>
      </c>
      <c r="CC36" s="456">
        <f t="shared" si="29"/>
        <v>19931957.928402469</v>
      </c>
      <c r="CD36" s="457">
        <f t="shared" si="30"/>
        <v>0.2604369651827691</v>
      </c>
      <c r="CE36" s="458">
        <f t="shared" si="31"/>
        <v>0</v>
      </c>
      <c r="CF36" s="17"/>
      <c r="CG36" s="459">
        <f t="shared" si="32"/>
        <v>76532753</v>
      </c>
      <c r="CH36" s="460">
        <f t="shared" si="58"/>
        <v>0.2604369651827691</v>
      </c>
      <c r="CI36" s="461">
        <f t="shared" si="33"/>
        <v>19931957.928402469</v>
      </c>
      <c r="CJ36" s="462">
        <f t="shared" si="34"/>
        <v>0</v>
      </c>
      <c r="CL36" s="463">
        <f t="shared" si="35"/>
        <v>19931957.928402469</v>
      </c>
      <c r="CM36" s="464">
        <f t="shared" si="36"/>
        <v>0.17136638430466836</v>
      </c>
      <c r="CN36" s="465">
        <f t="shared" si="37"/>
        <v>24615.376281238605</v>
      </c>
      <c r="CO36" s="466">
        <f t="shared" si="59"/>
        <v>19956573.304683708</v>
      </c>
      <c r="CP36" s="467">
        <f t="shared" si="60"/>
        <v>0.26075859710265104</v>
      </c>
      <c r="CQ36" s="468">
        <f t="shared" si="38"/>
        <v>0</v>
      </c>
      <c r="CR36" s="469"/>
      <c r="CS36" s="470">
        <f t="shared" si="39"/>
        <v>22959825.899999999</v>
      </c>
      <c r="CT36" s="465">
        <f t="shared" si="40"/>
        <v>0</v>
      </c>
      <c r="CU36" s="471">
        <f t="shared" si="41"/>
        <v>19956573.304683708</v>
      </c>
      <c r="CV36" s="472">
        <f t="shared" si="42"/>
        <v>0.26075859710265104</v>
      </c>
      <c r="CY36" s="473">
        <v>370745.59999999998</v>
      </c>
      <c r="CZ36" s="474">
        <f t="shared" si="61"/>
        <v>20327318.904683709</v>
      </c>
      <c r="DA36" s="475">
        <f t="shared" si="62"/>
        <v>0.26560287076937777</v>
      </c>
      <c r="DB36" s="1">
        <f t="shared" si="63"/>
        <v>0</v>
      </c>
      <c r="DC36" s="293">
        <f t="shared" si="64"/>
        <v>0.27206536874522835</v>
      </c>
      <c r="DF36" s="476"/>
    </row>
    <row r="37" spans="1:110">
      <c r="A37" s="477" t="s">
        <v>115</v>
      </c>
      <c r="B37" s="428" t="s">
        <v>116</v>
      </c>
      <c r="C37" s="429"/>
      <c r="D37" s="91">
        <f>'Op Cost-26'!E28</f>
        <v>12808994</v>
      </c>
      <c r="E37" s="92">
        <f>'Ridership-26'!$E28</f>
        <v>3791431</v>
      </c>
      <c r="F37" s="92">
        <f>'Revenue Hours-26'!$E28</f>
        <v>99331.900000000009</v>
      </c>
      <c r="G37" s="92">
        <f>'Revenue Miles-26'!$E28</f>
        <v>1022384</v>
      </c>
      <c r="H37" s="478">
        <f t="shared" si="0"/>
        <v>3.8211214285950368E-2</v>
      </c>
      <c r="I37" s="431">
        <f t="shared" si="1"/>
        <v>3.8211214285950375E-2</v>
      </c>
      <c r="J37" s="432"/>
      <c r="K37" s="433">
        <f>'Ridership-26'!B28/'Revenue Hours-26'!B28</f>
        <v>7.7359808402431227</v>
      </c>
      <c r="L37" s="539">
        <f>'Ridership-26'!C28/'Revenue Hours-26'!I28</f>
        <v>32.633977790205321</v>
      </c>
      <c r="M37" s="539">
        <f>'Ridership-26'!D28/'Revenue Hours-26'!J28</f>
        <v>37.897163158744682</v>
      </c>
      <c r="N37" s="539">
        <f>'Ridership-26'!E28/'Revenue Hours-26'!K28</f>
        <v>38.169319221720308</v>
      </c>
      <c r="O37" s="435">
        <f t="shared" si="2"/>
        <v>1.7360665328826819</v>
      </c>
      <c r="P37" s="436">
        <f t="shared" si="3"/>
        <v>6.6337210302647068E-2</v>
      </c>
      <c r="Q37" s="437">
        <f t="shared" si="4"/>
        <v>6.3292644987146193E-2</v>
      </c>
      <c r="R37" s="438">
        <f>'Ridership-26'!B28/'Revenue Miles-26'!B28</f>
        <v>0.74890286156611607</v>
      </c>
      <c r="S37" s="539">
        <f>'Ridership-26'!C28/'Revenue Miles-26'!I28</f>
        <v>3.1121743743196539</v>
      </c>
      <c r="T37" s="539">
        <f>'Ridership-26'!D28/'Revenue Miles-26'!J28</f>
        <v>3.6271477751754029</v>
      </c>
      <c r="U37" s="539">
        <f>'Ridership-26'!E28/'Revenue Miles-26'!K28</f>
        <v>3.7084216889153194</v>
      </c>
      <c r="V37" s="435">
        <f t="shared" si="5"/>
        <v>1.7450415348457822</v>
      </c>
      <c r="W37" s="436">
        <f t="shared" si="6"/>
        <v>6.6680156025875917E-2</v>
      </c>
      <c r="X37" s="437">
        <f t="shared" si="7"/>
        <v>6.3458221200070802E-2</v>
      </c>
      <c r="Y37" s="438">
        <f>'Op Cost-26'!B28/'Revenue Hours-26'!B28</f>
        <v>94.638769882541524</v>
      </c>
      <c r="Z37" s="434">
        <f>'Op Cost-26'!C28/'Revenue Hours-26'!C28</f>
        <v>99.879114404410004</v>
      </c>
      <c r="AA37" s="434">
        <f>'Op Cost-26'!D28/'Revenue Hours-26'!D28</f>
        <v>129.41512623136137</v>
      </c>
      <c r="AB37" s="434">
        <f>'Op Cost-26'!E28/'Revenue Hours-26'!E28</f>
        <v>128.95146473590054</v>
      </c>
      <c r="AC37" s="435">
        <f t="shared" si="8"/>
        <v>1.0634476998773559</v>
      </c>
      <c r="AD37" s="436">
        <f t="shared" si="9"/>
        <v>3.5931446643174984E-2</v>
      </c>
      <c r="AE37" s="437">
        <f t="shared" si="10"/>
        <v>3.600354091823478E-2</v>
      </c>
      <c r="AF37" s="438">
        <f>'Op Cost-26'!B28/'Revenue Miles-26'!B28</f>
        <v>9.1617659148578081</v>
      </c>
      <c r="AG37" s="434">
        <f>'Op Cost-26'!C28/'Revenue Miles-26'!C28</f>
        <v>9.5250791177666656</v>
      </c>
      <c r="AH37" s="434">
        <f>'Op Cost-26'!D28/'Revenue Miles-26'!D28</f>
        <v>12.386356868398249</v>
      </c>
      <c r="AI37" s="434">
        <f>'Op Cost-26'!E28/'Revenue Miles-26'!E28</f>
        <v>12.528554828714064</v>
      </c>
      <c r="AJ37" s="435">
        <f t="shared" si="11"/>
        <v>1.0693597112593702</v>
      </c>
      <c r="AK37" s="436">
        <f t="shared" si="12"/>
        <v>3.5732797751422254E-2</v>
      </c>
      <c r="AL37" s="437">
        <f t="shared" si="13"/>
        <v>3.5798273087617009E-2</v>
      </c>
      <c r="AM37" s="438">
        <f>'Op Cost-26'!B28/'Ridership-26'!B28</f>
        <v>12.233583799771571</v>
      </c>
      <c r="AN37" s="434">
        <f>'Op Cost-26'!C28/'Ridership-26'!C28</f>
        <v>3.0605865777841972</v>
      </c>
      <c r="AO37" s="434">
        <f>'Op Cost-26'!D28/'Ridership-26'!D28</f>
        <v>3.4149027379506931</v>
      </c>
      <c r="AP37" s="434">
        <f>'Op Cost-26'!E28/'Ridership-26'!E28</f>
        <v>3.3784062007194646</v>
      </c>
      <c r="AQ37" s="435">
        <f t="shared" si="14"/>
        <v>0.85035846976223872</v>
      </c>
      <c r="AR37" s="436">
        <f t="shared" si="15"/>
        <v>4.4935419172851043E-2</v>
      </c>
      <c r="AS37" s="440">
        <f t="shared" si="16"/>
        <v>4.5182693205779223E-2</v>
      </c>
      <c r="AT37" s="432"/>
      <c r="AU37" s="441">
        <f t="shared" si="17"/>
        <v>0</v>
      </c>
      <c r="AV37" s="442">
        <f t="shared" si="18"/>
        <v>0</v>
      </c>
      <c r="AW37" s="442">
        <f t="shared" si="19"/>
        <v>0</v>
      </c>
      <c r="AX37" s="442">
        <f t="shared" si="20"/>
        <v>0</v>
      </c>
      <c r="AY37" s="443">
        <f t="shared" si="21"/>
        <v>0</v>
      </c>
      <c r="AZ37" s="444">
        <f t="shared" si="43"/>
        <v>-1</v>
      </c>
      <c r="BA37" s="445">
        <f t="shared" si="22"/>
        <v>0</v>
      </c>
      <c r="BB37" s="446">
        <f t="shared" si="22"/>
        <v>0</v>
      </c>
      <c r="BC37" s="446">
        <f t="shared" si="22"/>
        <v>0</v>
      </c>
      <c r="BD37" s="446">
        <f t="shared" si="22"/>
        <v>0</v>
      </c>
      <c r="BE37" s="446">
        <f t="shared" si="22"/>
        <v>0</v>
      </c>
      <c r="BF37" s="447">
        <f t="shared" si="44"/>
        <v>4599469.5554106571</v>
      </c>
      <c r="BH37" s="448">
        <f>'Op Cost-26'!E28</f>
        <v>12808994</v>
      </c>
      <c r="BI37" s="449">
        <f t="shared" si="23"/>
        <v>0.35908124833305854</v>
      </c>
      <c r="BJ37" s="450">
        <f t="shared" si="24"/>
        <v>3842698.1999999997</v>
      </c>
      <c r="BK37" s="451">
        <f t="shared" si="25"/>
        <v>756771.35541065736</v>
      </c>
      <c r="BL37" s="1">
        <f t="shared" si="45"/>
        <v>3.8450078755817154</v>
      </c>
      <c r="BM37" s="112">
        <f t="shared" si="46"/>
        <v>3.5359790874063037</v>
      </c>
      <c r="BN37" s="112">
        <f t="shared" si="47"/>
        <v>4.8003402533524939</v>
      </c>
      <c r="BO37" s="113">
        <f t="shared" si="48"/>
        <v>3.521856080784032</v>
      </c>
      <c r="BP37" s="452">
        <f t="shared" si="26"/>
        <v>0</v>
      </c>
      <c r="BQ37" s="115">
        <f t="shared" si="49"/>
        <v>0.14692241986501975</v>
      </c>
      <c r="BR37" s="116">
        <f t="shared" si="50"/>
        <v>0</v>
      </c>
      <c r="BS37" s="453">
        <f t="shared" si="51"/>
        <v>0</v>
      </c>
      <c r="BT37" s="118">
        <f t="shared" si="52"/>
        <v>3842698.1999999997</v>
      </c>
      <c r="BU37" s="119">
        <f t="shared" si="53"/>
        <v>3842698.1999999997</v>
      </c>
      <c r="BV37" s="119">
        <f t="shared" si="54"/>
        <v>3842698.1999999997</v>
      </c>
      <c r="BW37" s="119">
        <f t="shared" si="65"/>
        <v>0</v>
      </c>
      <c r="BX37" s="120">
        <f t="shared" si="55"/>
        <v>0</v>
      </c>
      <c r="BY37" s="454">
        <f t="shared" si="56"/>
        <v>0</v>
      </c>
      <c r="BZ37" s="122">
        <f t="shared" si="57"/>
        <v>3842698.1999999997</v>
      </c>
      <c r="CA37" s="455">
        <f t="shared" si="27"/>
        <v>0</v>
      </c>
      <c r="CB37" s="456">
        <f t="shared" si="28"/>
        <v>0</v>
      </c>
      <c r="CC37" s="456">
        <f t="shared" si="29"/>
        <v>3842698.1999999997</v>
      </c>
      <c r="CD37" s="457">
        <f t="shared" si="30"/>
        <v>0.3</v>
      </c>
      <c r="CE37" s="458">
        <f t="shared" si="31"/>
        <v>0</v>
      </c>
      <c r="CF37" s="17"/>
      <c r="CG37" s="459">
        <f t="shared" si="32"/>
        <v>12808994</v>
      </c>
      <c r="CH37" s="460">
        <f t="shared" si="58"/>
        <v>0.3</v>
      </c>
      <c r="CI37" s="461">
        <f t="shared" si="33"/>
        <v>3842698.1999999997</v>
      </c>
      <c r="CJ37" s="462">
        <f t="shared" si="34"/>
        <v>0</v>
      </c>
      <c r="CL37" s="463">
        <f t="shared" si="35"/>
        <v>0</v>
      </c>
      <c r="CM37" s="464">
        <f t="shared" si="36"/>
        <v>0</v>
      </c>
      <c r="CN37" s="465">
        <f t="shared" si="37"/>
        <v>0</v>
      </c>
      <c r="CO37" s="466">
        <f t="shared" si="59"/>
        <v>3842698.1999999997</v>
      </c>
      <c r="CP37" s="467">
        <f t="shared" si="60"/>
        <v>0.3</v>
      </c>
      <c r="CQ37" s="468">
        <f t="shared" si="38"/>
        <v>0</v>
      </c>
      <c r="CR37" s="469"/>
      <c r="CS37" s="470">
        <f t="shared" si="39"/>
        <v>3842698.1999999997</v>
      </c>
      <c r="CT37" s="465">
        <f t="shared" si="40"/>
        <v>0</v>
      </c>
      <c r="CU37" s="471">
        <f t="shared" si="41"/>
        <v>3842698.1999999997</v>
      </c>
      <c r="CV37" s="472">
        <f t="shared" si="42"/>
        <v>0.3</v>
      </c>
      <c r="CY37" s="473">
        <v>0</v>
      </c>
      <c r="CZ37" s="474">
        <f t="shared" si="61"/>
        <v>3842698.1999999997</v>
      </c>
      <c r="DA37" s="475">
        <f t="shared" si="62"/>
        <v>0.3</v>
      </c>
      <c r="DB37" s="1">
        <f t="shared" si="63"/>
        <v>0</v>
      </c>
      <c r="DC37" s="293">
        <f t="shared" si="64"/>
        <v>0.3</v>
      </c>
      <c r="DF37" s="476"/>
    </row>
    <row r="38" spans="1:110">
      <c r="A38" s="477" t="s">
        <v>115</v>
      </c>
      <c r="B38" s="428" t="s">
        <v>117</v>
      </c>
      <c r="C38" s="429"/>
      <c r="D38" s="91">
        <f>'Op Cost-26'!E29</f>
        <v>2846110</v>
      </c>
      <c r="E38" s="92">
        <f>'Ridership-26'!$E29</f>
        <v>90833</v>
      </c>
      <c r="F38" s="92">
        <f>'Revenue Hours-26'!$E29</f>
        <v>36673.339999999997</v>
      </c>
      <c r="G38" s="92">
        <f>'Revenue Miles-26'!$E29</f>
        <v>438033</v>
      </c>
      <c r="H38" s="478">
        <f t="shared" si="0"/>
        <v>4.4827797169817709E-3</v>
      </c>
      <c r="I38" s="431">
        <f t="shared" si="1"/>
        <v>4.4827797169817718E-3</v>
      </c>
      <c r="J38" s="432"/>
      <c r="K38" s="433">
        <f>'Ridership-26'!B29/'Revenue Hours-26'!B29</f>
        <v>3.353975911522431</v>
      </c>
      <c r="L38" s="539">
        <f>'Ridership-26'!C29/'Revenue Hours-26'!I29</f>
        <v>4.039822296622992</v>
      </c>
      <c r="M38" s="539">
        <f>'Ridership-26'!D29/'Revenue Hours-26'!J29</f>
        <v>3.7461598379809939</v>
      </c>
      <c r="N38" s="539">
        <f>'Ridership-26'!E29/'Revenue Hours-26'!K29</f>
        <v>2.4768128564237677</v>
      </c>
      <c r="O38" s="435">
        <f t="shared" si="2"/>
        <v>0.77907852184148563</v>
      </c>
      <c r="P38" s="436">
        <f t="shared" si="3"/>
        <v>3.4924373956471519E-3</v>
      </c>
      <c r="Q38" s="437">
        <f t="shared" si="4"/>
        <v>3.3321509785241635E-3</v>
      </c>
      <c r="R38" s="438">
        <f>'Ridership-26'!B29/'Revenue Miles-26'!B29</f>
        <v>0.29134203947124609</v>
      </c>
      <c r="S38" s="539">
        <f>'Ridership-26'!C29/'Revenue Miles-26'!I29</f>
        <v>0.3358526722031458</v>
      </c>
      <c r="T38" s="539">
        <f>'Ridership-26'!D29/'Revenue Miles-26'!J29</f>
        <v>0.30962589842834592</v>
      </c>
      <c r="U38" s="539">
        <f>'Ridership-26'!E29/'Revenue Miles-26'!K29</f>
        <v>0.20736565509904506</v>
      </c>
      <c r="V38" s="435">
        <f t="shared" si="5"/>
        <v>0.77142009613882967</v>
      </c>
      <c r="W38" s="436">
        <f t="shared" si="6"/>
        <v>3.4581063602432739E-3</v>
      </c>
      <c r="X38" s="437">
        <f t="shared" si="7"/>
        <v>3.2910132702228746E-3</v>
      </c>
      <c r="Y38" s="438">
        <f>'Op Cost-26'!B29/'Revenue Hours-26'!B29</f>
        <v>54.975878704341831</v>
      </c>
      <c r="Z38" s="434">
        <f>'Op Cost-26'!C29/'Revenue Hours-26'!C29</f>
        <v>56.597366641985644</v>
      </c>
      <c r="AA38" s="434">
        <f>'Op Cost-26'!D29/'Revenue Hours-26'!D29</f>
        <v>81.316934101885025</v>
      </c>
      <c r="AB38" s="434">
        <f>'Op Cost-26'!E29/'Revenue Hours-26'!E29</f>
        <v>77.607057333747079</v>
      </c>
      <c r="AC38" s="435">
        <f t="shared" si="8"/>
        <v>1.084327821452679</v>
      </c>
      <c r="AD38" s="436">
        <f t="shared" si="9"/>
        <v>4.1341553986654796E-3</v>
      </c>
      <c r="AE38" s="437">
        <f t="shared" si="10"/>
        <v>4.1424503314971897E-3</v>
      </c>
      <c r="AF38" s="438">
        <f>'Op Cost-26'!B29/'Revenue Miles-26'!B29</f>
        <v>4.775462032515458</v>
      </c>
      <c r="AG38" s="434">
        <f>'Op Cost-26'!C29/'Revenue Miles-26'!C29</f>
        <v>4.7052507339893959</v>
      </c>
      <c r="AH38" s="434">
        <f>'Op Cost-26'!D29/'Revenue Miles-26'!D29</f>
        <v>6.7209702382331962</v>
      </c>
      <c r="AI38" s="434">
        <f>'Op Cost-26'!E29/'Revenue Miles-26'!E29</f>
        <v>6.4974785004782749</v>
      </c>
      <c r="AJ38" s="435">
        <f t="shared" si="11"/>
        <v>1.0755645694817073</v>
      </c>
      <c r="AK38" s="436">
        <f t="shared" si="12"/>
        <v>4.1678387743303335E-3</v>
      </c>
      <c r="AL38" s="437">
        <f t="shared" si="13"/>
        <v>4.1754757538597061E-3</v>
      </c>
      <c r="AM38" s="438">
        <f>'Op Cost-26'!B29/'Ridership-26'!B29</f>
        <v>16.391256274523233</v>
      </c>
      <c r="AN38" s="434">
        <f>'Op Cost-26'!C29/'Ridership-26'!C29</f>
        <v>14.009865406529656</v>
      </c>
      <c r="AO38" s="434">
        <f>'Op Cost-26'!D29/'Ridership-26'!D29</f>
        <v>21.706744404614373</v>
      </c>
      <c r="AP38" s="434">
        <f>'Op Cost-26'!E29/'Ridership-26'!E29</f>
        <v>31.333436086003985</v>
      </c>
      <c r="AQ38" s="439">
        <f t="shared" si="14"/>
        <v>1.4195954903170527</v>
      </c>
      <c r="AR38" s="436">
        <f t="shared" si="15"/>
        <v>3.1577866706103629E-3</v>
      </c>
      <c r="AS38" s="440">
        <f t="shared" si="16"/>
        <v>3.1751635786161623E-3</v>
      </c>
      <c r="AT38" s="432"/>
      <c r="AU38" s="441">
        <f t="shared" si="17"/>
        <v>0</v>
      </c>
      <c r="AV38" s="442">
        <f t="shared" si="18"/>
        <v>0</v>
      </c>
      <c r="AW38" s="442">
        <f t="shared" si="19"/>
        <v>0</v>
      </c>
      <c r="AX38" s="442">
        <f t="shared" si="20"/>
        <v>0</v>
      </c>
      <c r="AY38" s="443">
        <f t="shared" si="21"/>
        <v>0</v>
      </c>
      <c r="AZ38" s="444">
        <f t="shared" si="43"/>
        <v>-1</v>
      </c>
      <c r="BA38" s="445">
        <f t="shared" si="22"/>
        <v>0</v>
      </c>
      <c r="BB38" s="446">
        <f t="shared" si="22"/>
        <v>0</v>
      </c>
      <c r="BC38" s="446">
        <f t="shared" si="22"/>
        <v>0</v>
      </c>
      <c r="BD38" s="446">
        <f t="shared" si="22"/>
        <v>0</v>
      </c>
      <c r="BE38" s="446">
        <f t="shared" si="22"/>
        <v>0</v>
      </c>
      <c r="BF38" s="447">
        <f t="shared" si="44"/>
        <v>539590.51595623081</v>
      </c>
      <c r="BH38" s="448">
        <f>'Op Cost-26'!E29</f>
        <v>2846110</v>
      </c>
      <c r="BI38" s="449">
        <f t="shared" si="23"/>
        <v>0.1895887776495746</v>
      </c>
      <c r="BJ38" s="450">
        <f t="shared" si="24"/>
        <v>539590.51595623081</v>
      </c>
      <c r="BK38" s="451">
        <f t="shared" si="25"/>
        <v>0</v>
      </c>
      <c r="BL38" s="1">
        <f t="shared" si="45"/>
        <v>0.47707959159268243</v>
      </c>
      <c r="BM38" s="112">
        <f t="shared" si="46"/>
        <v>0.34188156419746241</v>
      </c>
      <c r="BN38" s="112">
        <f t="shared" si="47"/>
        <v>0.4017258712089124</v>
      </c>
      <c r="BO38" s="113">
        <f t="shared" si="48"/>
        <v>0.58235546548217743</v>
      </c>
      <c r="BP38" s="452">
        <f t="shared" si="26"/>
        <v>539590.51595623081</v>
      </c>
      <c r="BQ38" s="115">
        <f t="shared" si="49"/>
        <v>2.1386427165776241E-3</v>
      </c>
      <c r="BR38" s="116">
        <f t="shared" si="50"/>
        <v>2.1386427165776241E-3</v>
      </c>
      <c r="BS38" s="453">
        <f t="shared" si="51"/>
        <v>2.2419012254052103E-3</v>
      </c>
      <c r="BT38" s="118">
        <f t="shared" si="52"/>
        <v>556338.73768338584</v>
      </c>
      <c r="BU38" s="119">
        <f t="shared" si="53"/>
        <v>853833</v>
      </c>
      <c r="BV38" s="119">
        <f t="shared" si="54"/>
        <v>556338.73768338584</v>
      </c>
      <c r="BW38" s="119">
        <f t="shared" si="65"/>
        <v>0</v>
      </c>
      <c r="BX38" s="120">
        <f t="shared" si="55"/>
        <v>2.1386427165776241E-3</v>
      </c>
      <c r="BY38" s="454">
        <f t="shared" si="56"/>
        <v>2.3530150805785156E-3</v>
      </c>
      <c r="BZ38" s="122">
        <f t="shared" si="57"/>
        <v>556977.63319702272</v>
      </c>
      <c r="CA38" s="455">
        <f t="shared" si="27"/>
        <v>4.7903931893566107E-3</v>
      </c>
      <c r="CB38" s="456">
        <f t="shared" si="28"/>
        <v>35786.843053755372</v>
      </c>
      <c r="CC38" s="456">
        <f t="shared" si="29"/>
        <v>575377.35900998616</v>
      </c>
      <c r="CD38" s="457">
        <f t="shared" si="30"/>
        <v>0.20216272702389793</v>
      </c>
      <c r="CE38" s="458">
        <f t="shared" si="31"/>
        <v>0</v>
      </c>
      <c r="CF38" s="17"/>
      <c r="CG38" s="459">
        <f t="shared" si="32"/>
        <v>2846110</v>
      </c>
      <c r="CH38" s="460">
        <f t="shared" si="58"/>
        <v>0.20216272702389793</v>
      </c>
      <c r="CI38" s="461">
        <f t="shared" si="33"/>
        <v>575377.35900998616</v>
      </c>
      <c r="CJ38" s="462">
        <f t="shared" si="34"/>
        <v>0</v>
      </c>
      <c r="CL38" s="463">
        <f t="shared" si="35"/>
        <v>575377.35900998616</v>
      </c>
      <c r="CM38" s="464">
        <f t="shared" si="36"/>
        <v>4.9468465656255364E-3</v>
      </c>
      <c r="CN38" s="465">
        <f t="shared" si="37"/>
        <v>710.57395598623395</v>
      </c>
      <c r="CO38" s="466">
        <f t="shared" si="59"/>
        <v>576087.93296597234</v>
      </c>
      <c r="CP38" s="467">
        <f t="shared" si="60"/>
        <v>0.20241239198975877</v>
      </c>
      <c r="CQ38" s="468">
        <f t="shared" si="38"/>
        <v>0</v>
      </c>
      <c r="CR38" s="469"/>
      <c r="CS38" s="470">
        <f t="shared" si="39"/>
        <v>853833</v>
      </c>
      <c r="CT38" s="465">
        <f t="shared" si="40"/>
        <v>0</v>
      </c>
      <c r="CU38" s="471">
        <f t="shared" si="41"/>
        <v>576087.93296597234</v>
      </c>
      <c r="CV38" s="472">
        <f t="shared" si="42"/>
        <v>0.20241239198975877</v>
      </c>
      <c r="CY38" s="473">
        <v>0</v>
      </c>
      <c r="CZ38" s="474">
        <f t="shared" si="61"/>
        <v>576087.93296597234</v>
      </c>
      <c r="DA38" s="475">
        <f t="shared" si="62"/>
        <v>0.20241239198975877</v>
      </c>
      <c r="DB38" s="1">
        <f t="shared" si="63"/>
        <v>0</v>
      </c>
      <c r="DC38" s="293">
        <f t="shared" si="64"/>
        <v>0.19569785890110455</v>
      </c>
      <c r="DF38" s="476"/>
    </row>
    <row r="39" spans="1:110">
      <c r="A39" s="477" t="s">
        <v>115</v>
      </c>
      <c r="B39" s="428" t="s">
        <v>118</v>
      </c>
      <c r="C39" s="429"/>
      <c r="D39" s="91">
        <f>'Op Cost-26'!E30</f>
        <v>14322731</v>
      </c>
      <c r="E39" s="92">
        <f>'Ridership-26'!$E30</f>
        <v>1396636</v>
      </c>
      <c r="F39" s="92">
        <f>'Revenue Hours-26'!$E30</f>
        <v>143067</v>
      </c>
      <c r="G39" s="92">
        <f>'Revenue Miles-26'!$E30</f>
        <v>2359994</v>
      </c>
      <c r="H39" s="478">
        <f t="shared" si="0"/>
        <v>2.7776900926837194E-2</v>
      </c>
      <c r="I39" s="431">
        <f t="shared" si="1"/>
        <v>2.7776900926837201E-2</v>
      </c>
      <c r="J39" s="432"/>
      <c r="K39" s="433">
        <f>'Ridership-26'!B30/'Revenue Hours-26'!B30</f>
        <v>7.5369057433360815</v>
      </c>
      <c r="L39" s="539">
        <f>'Ridership-26'!C30/'Revenue Hours-26'!I30</f>
        <v>7.2816302952503209</v>
      </c>
      <c r="M39" s="539">
        <f>'Ridership-26'!D30/'Revenue Hours-26'!J30</f>
        <v>9.0953319765962863</v>
      </c>
      <c r="N39" s="539">
        <f>'Ridership-26'!E30/'Revenue Hours-26'!K30</f>
        <v>9.762111458267805</v>
      </c>
      <c r="O39" s="435">
        <f t="shared" si="2"/>
        <v>0.93562893210464482</v>
      </c>
      <c r="P39" s="436">
        <f t="shared" si="3"/>
        <v>2.5988872151353211E-2</v>
      </c>
      <c r="Q39" s="437">
        <f t="shared" si="4"/>
        <v>2.4796105401289271E-2</v>
      </c>
      <c r="R39" s="438">
        <f>'Ridership-26'!B30/'Revenue Miles-26'!B30</f>
        <v>0.4322966250764449</v>
      </c>
      <c r="S39" s="539">
        <f>'Ridership-26'!C30/'Revenue Miles-26'!I30</f>
        <v>0.43926607650153893</v>
      </c>
      <c r="T39" s="539">
        <f>'Ridership-26'!D30/'Revenue Miles-26'!J30</f>
        <v>0.56790094587284767</v>
      </c>
      <c r="U39" s="539">
        <f>'Ridership-26'!E30/'Revenue Miles-26'!K30</f>
        <v>0.59179641982140629</v>
      </c>
      <c r="V39" s="435">
        <f t="shared" si="5"/>
        <v>0.95458036924452949</v>
      </c>
      <c r="W39" s="436">
        <f t="shared" si="6"/>
        <v>2.6515284343208968E-2</v>
      </c>
      <c r="X39" s="437">
        <f t="shared" si="7"/>
        <v>2.523408581079465E-2</v>
      </c>
      <c r="Y39" s="438">
        <f>'Op Cost-26'!B30/'Revenue Hours-26'!B30</f>
        <v>71.568899422918378</v>
      </c>
      <c r="Z39" s="434">
        <f>'Op Cost-26'!C30/'Revenue Hours-26'!C30</f>
        <v>68.191964056482675</v>
      </c>
      <c r="AA39" s="434">
        <f>'Op Cost-26'!D30/'Revenue Hours-26'!D30</f>
        <v>90.06116622855366</v>
      </c>
      <c r="AB39" s="434">
        <f>'Op Cost-26'!E30/'Revenue Hours-26'!E30</f>
        <v>100.1120523950317</v>
      </c>
      <c r="AC39" s="435">
        <f t="shared" si="8"/>
        <v>1.0742332216255097</v>
      </c>
      <c r="AD39" s="436">
        <f t="shared" si="9"/>
        <v>2.5857421244900352E-2</v>
      </c>
      <c r="AE39" s="437">
        <f t="shared" si="10"/>
        <v>2.5909302597134216E-2</v>
      </c>
      <c r="AF39" s="438">
        <f>'Op Cost-26'!B30/'Revenue Miles-26'!B30</f>
        <v>4.104999416812201</v>
      </c>
      <c r="AG39" s="434">
        <f>'Op Cost-26'!C30/'Revenue Miles-26'!C30</f>
        <v>4.1136964231161048</v>
      </c>
      <c r="AH39" s="434">
        <f>'Op Cost-26'!D30/'Revenue Miles-26'!D30</f>
        <v>5.6233045279945362</v>
      </c>
      <c r="AI39" s="434">
        <f>'Op Cost-26'!E30/'Revenue Miles-26'!E30</f>
        <v>6.0689692431421438</v>
      </c>
      <c r="AJ39" s="435">
        <f t="shared" si="11"/>
        <v>1.0986857066039803</v>
      </c>
      <c r="AK39" s="436">
        <f t="shared" si="12"/>
        <v>2.528193527946691E-2</v>
      </c>
      <c r="AL39" s="437">
        <f t="shared" si="13"/>
        <v>2.5328260877131911E-2</v>
      </c>
      <c r="AM39" s="438">
        <f>'Op Cost-26'!B30/'Ridership-26'!B30</f>
        <v>9.4957933481120662</v>
      </c>
      <c r="AN39" s="434">
        <f>'Op Cost-26'!C30/'Ridership-26'!C30</f>
        <v>9.3649308316247648</v>
      </c>
      <c r="AO39" s="434">
        <f>'Op Cost-26'!D30/'Ridership-26'!D30</f>
        <v>9.9019108329740089</v>
      </c>
      <c r="AP39" s="434">
        <f>'Op Cost-26'!E30/'Ridership-26'!E30</f>
        <v>10.255163836532926</v>
      </c>
      <c r="AQ39" s="435">
        <f t="shared" si="14"/>
        <v>1.1567680100553506</v>
      </c>
      <c r="AR39" s="436">
        <f t="shared" si="15"/>
        <v>2.4012507854109914E-2</v>
      </c>
      <c r="AS39" s="440">
        <f t="shared" si="16"/>
        <v>2.4144645703652722E-2</v>
      </c>
      <c r="AT39" s="432"/>
      <c r="AU39" s="441">
        <f t="shared" si="17"/>
        <v>0</v>
      </c>
      <c r="AV39" s="442">
        <f t="shared" si="18"/>
        <v>0</v>
      </c>
      <c r="AW39" s="442">
        <f t="shared" si="19"/>
        <v>0</v>
      </c>
      <c r="AX39" s="442">
        <f t="shared" si="20"/>
        <v>0</v>
      </c>
      <c r="AY39" s="443">
        <f t="shared" si="21"/>
        <v>0</v>
      </c>
      <c r="AZ39" s="444">
        <f t="shared" si="43"/>
        <v>-1</v>
      </c>
      <c r="BA39" s="445">
        <f t="shared" si="22"/>
        <v>0</v>
      </c>
      <c r="BB39" s="446">
        <f t="shared" si="22"/>
        <v>0</v>
      </c>
      <c r="BC39" s="446">
        <f t="shared" si="22"/>
        <v>0</v>
      </c>
      <c r="BD39" s="446">
        <f t="shared" si="22"/>
        <v>0</v>
      </c>
      <c r="BE39" s="446">
        <f t="shared" si="22"/>
        <v>0</v>
      </c>
      <c r="BF39" s="447">
        <f t="shared" si="44"/>
        <v>3343495.1635028417</v>
      </c>
      <c r="BH39" s="448">
        <f>'Op Cost-26'!E30</f>
        <v>14322731</v>
      </c>
      <c r="BI39" s="449">
        <f t="shared" si="23"/>
        <v>0.23343977929229012</v>
      </c>
      <c r="BJ39" s="450">
        <f t="shared" si="24"/>
        <v>3343495.1635028417</v>
      </c>
      <c r="BK39" s="451">
        <f t="shared" si="25"/>
        <v>0</v>
      </c>
      <c r="BL39" s="1">
        <f t="shared" si="45"/>
        <v>0.98100485252800873</v>
      </c>
      <c r="BM39" s="112">
        <f t="shared" si="46"/>
        <v>0.84571985383176429</v>
      </c>
      <c r="BN39" s="112">
        <f t="shared" si="47"/>
        <v>0.73076746496732425</v>
      </c>
      <c r="BO39" s="113">
        <f t="shared" si="48"/>
        <v>1.1737660456564731</v>
      </c>
      <c r="BP39" s="452">
        <f t="shared" si="26"/>
        <v>3343495.1635028417</v>
      </c>
      <c r="BQ39" s="115">
        <f t="shared" si="49"/>
        <v>2.7249274597417036E-2</v>
      </c>
      <c r="BR39" s="116">
        <f t="shared" si="50"/>
        <v>2.7249274597417036E-2</v>
      </c>
      <c r="BS39" s="453">
        <f t="shared" si="51"/>
        <v>2.8564931223814823E-2</v>
      </c>
      <c r="BT39" s="118">
        <f t="shared" si="52"/>
        <v>3556890.7388011762</v>
      </c>
      <c r="BU39" s="119">
        <f t="shared" si="53"/>
        <v>4296819.3</v>
      </c>
      <c r="BV39" s="119">
        <f t="shared" si="54"/>
        <v>3556890.7388011762</v>
      </c>
      <c r="BW39" s="119">
        <f t="shared" si="65"/>
        <v>0</v>
      </c>
      <c r="BX39" s="120">
        <f t="shared" si="55"/>
        <v>2.7249274597417036E-2</v>
      </c>
      <c r="BY39" s="454">
        <f t="shared" si="56"/>
        <v>2.998067585835585E-2</v>
      </c>
      <c r="BZ39" s="122">
        <f t="shared" si="57"/>
        <v>3565031.1538201035</v>
      </c>
      <c r="CA39" s="455">
        <f t="shared" si="27"/>
        <v>2.9682983644564245E-2</v>
      </c>
      <c r="CB39" s="456">
        <f t="shared" si="28"/>
        <v>221748.03509143236</v>
      </c>
      <c r="CC39" s="456">
        <f t="shared" si="29"/>
        <v>3565243.198594274</v>
      </c>
      <c r="CD39" s="457">
        <f t="shared" si="30"/>
        <v>0.24892202461906698</v>
      </c>
      <c r="CE39" s="458">
        <f t="shared" si="31"/>
        <v>0</v>
      </c>
      <c r="CF39" s="17"/>
      <c r="CG39" s="459">
        <f t="shared" si="32"/>
        <v>14322731</v>
      </c>
      <c r="CH39" s="460">
        <f t="shared" si="58"/>
        <v>0.24892202461906698</v>
      </c>
      <c r="CI39" s="461">
        <f t="shared" si="33"/>
        <v>3565243.198594274</v>
      </c>
      <c r="CJ39" s="462">
        <f t="shared" si="34"/>
        <v>0</v>
      </c>
      <c r="CL39" s="463">
        <f t="shared" si="35"/>
        <v>3565243.198594274</v>
      </c>
      <c r="CM39" s="464">
        <f t="shared" si="36"/>
        <v>3.0652424528716617E-2</v>
      </c>
      <c r="CN39" s="465">
        <f t="shared" si="37"/>
        <v>4402.9695016799906</v>
      </c>
      <c r="CO39" s="466">
        <f t="shared" si="59"/>
        <v>3569646.1680959538</v>
      </c>
      <c r="CP39" s="467">
        <f t="shared" si="60"/>
        <v>0.24922943592922003</v>
      </c>
      <c r="CQ39" s="468">
        <f t="shared" si="38"/>
        <v>0</v>
      </c>
      <c r="CR39" s="469"/>
      <c r="CS39" s="470">
        <f t="shared" si="39"/>
        <v>4296819.3</v>
      </c>
      <c r="CT39" s="465">
        <f t="shared" si="40"/>
        <v>0</v>
      </c>
      <c r="CU39" s="471">
        <f t="shared" si="41"/>
        <v>3569646.1680959538</v>
      </c>
      <c r="CV39" s="472">
        <f t="shared" si="42"/>
        <v>0.24922943592922003</v>
      </c>
      <c r="CY39" s="473">
        <v>0</v>
      </c>
      <c r="CZ39" s="474">
        <f t="shared" si="61"/>
        <v>3569646.1680959538</v>
      </c>
      <c r="DA39" s="475">
        <f t="shared" si="62"/>
        <v>0.24922943592922003</v>
      </c>
      <c r="DB39" s="1">
        <f t="shared" si="63"/>
        <v>0</v>
      </c>
      <c r="DC39" s="293">
        <f t="shared" si="64"/>
        <v>0.24890721984655745</v>
      </c>
      <c r="DF39" s="476"/>
    </row>
    <row r="40" spans="1:110">
      <c r="A40" s="477" t="s">
        <v>115</v>
      </c>
      <c r="B40" s="428" t="s">
        <v>119</v>
      </c>
      <c r="C40" s="429"/>
      <c r="D40" s="91">
        <f>'Op Cost-26'!E31</f>
        <v>744369</v>
      </c>
      <c r="E40" s="92">
        <f>'Ridership-26'!$E31</f>
        <v>28456</v>
      </c>
      <c r="F40" s="92">
        <f>'Revenue Hours-26'!$E31</f>
        <v>18710.25</v>
      </c>
      <c r="G40" s="92">
        <f>'Revenue Miles-26'!$E31</f>
        <v>231250</v>
      </c>
      <c r="H40" s="478">
        <f t="shared" si="0"/>
        <v>1.7606906850235542E-3</v>
      </c>
      <c r="I40" s="431">
        <f t="shared" si="1"/>
        <v>1.7606906850235547E-3</v>
      </c>
      <c r="J40" s="432"/>
      <c r="K40" s="433">
        <f>'Ridership-26'!B31/'Revenue Hours-26'!B31</f>
        <v>2.0660778541053322</v>
      </c>
      <c r="L40" s="539">
        <f>'Ridership-26'!C31/'Revenue Hours-26'!I31</f>
        <v>1.5442640125720273</v>
      </c>
      <c r="M40" s="539">
        <f>'Ridership-26'!D31/'Revenue Hours-26'!J31</f>
        <v>1.4436910689691704</v>
      </c>
      <c r="N40" s="539">
        <f>'Ridership-26'!E31/'Revenue Hours-26'!K31</f>
        <v>1.5208775938322576</v>
      </c>
      <c r="O40" s="435">
        <f t="shared" si="2"/>
        <v>0.78444065442179911</v>
      </c>
      <c r="P40" s="436">
        <f t="shared" si="3"/>
        <v>1.381157353194243E-3</v>
      </c>
      <c r="Q40" s="437">
        <f t="shared" si="4"/>
        <v>1.3177687398714969E-3</v>
      </c>
      <c r="R40" s="438">
        <f>'Ridership-26'!B31/'Revenue Miles-26'!B31</f>
        <v>0.17929853281414856</v>
      </c>
      <c r="S40" s="539">
        <f>'Ridership-26'!C31/'Revenue Miles-26'!I31</f>
        <v>0.13392938268912755</v>
      </c>
      <c r="T40" s="539">
        <f>'Ridership-26'!D31/'Revenue Miles-26'!J31</f>
        <v>0.11958963737845332</v>
      </c>
      <c r="U40" s="539">
        <f>'Ridership-26'!E31/'Revenue Miles-26'!K31</f>
        <v>0.12305297297297298</v>
      </c>
      <c r="V40" s="435">
        <f t="shared" si="5"/>
        <v>0.76729798078618916</v>
      </c>
      <c r="W40" s="436">
        <f t="shared" si="6"/>
        <v>1.3509744074076257E-3</v>
      </c>
      <c r="X40" s="437">
        <f t="shared" si="7"/>
        <v>1.2856963434164598E-3</v>
      </c>
      <c r="Y40" s="438">
        <f>'Op Cost-26'!B31/'Revenue Hours-26'!B31</f>
        <v>43.551303020390364</v>
      </c>
      <c r="Z40" s="434">
        <f>'Op Cost-26'!C31/'Revenue Hours-26'!C31</f>
        <v>41.282399161864852</v>
      </c>
      <c r="AA40" s="434">
        <f>'Op Cost-26'!D31/'Revenue Hours-26'!D31</f>
        <v>39.012660239432144</v>
      </c>
      <c r="AB40" s="434">
        <f>'Op Cost-26'!E31/'Revenue Hours-26'!E31</f>
        <v>39.784022126909051</v>
      </c>
      <c r="AC40" s="435">
        <f t="shared" si="8"/>
        <v>0.92869241192469454</v>
      </c>
      <c r="AD40" s="436">
        <f t="shared" si="9"/>
        <v>1.895881416081092E-3</v>
      </c>
      <c r="AE40" s="437">
        <f t="shared" si="10"/>
        <v>1.8996853875061519E-3</v>
      </c>
      <c r="AF40" s="438">
        <f>'Op Cost-26'!B31/'Revenue Miles-26'!B31</f>
        <v>3.7794726458078038</v>
      </c>
      <c r="AG40" s="434">
        <f>'Op Cost-26'!C31/'Revenue Miles-26'!C31</f>
        <v>3.5802985698449907</v>
      </c>
      <c r="AH40" s="434">
        <f>'Op Cost-26'!D31/'Revenue Miles-26'!D31</f>
        <v>3.2316539123108785</v>
      </c>
      <c r="AI40" s="434">
        <f>'Op Cost-26'!E31/'Revenue Miles-26'!E31</f>
        <v>3.2188929729729732</v>
      </c>
      <c r="AJ40" s="435">
        <f t="shared" si="11"/>
        <v>0.91256401539541976</v>
      </c>
      <c r="AK40" s="436">
        <f t="shared" si="12"/>
        <v>1.929388684322202E-3</v>
      </c>
      <c r="AL40" s="437">
        <f t="shared" si="13"/>
        <v>1.9329240182648494E-3</v>
      </c>
      <c r="AM40" s="438">
        <f>'Op Cost-26'!B31/'Ridership-26'!B31</f>
        <v>21.079216803884314</v>
      </c>
      <c r="AN40" s="434">
        <f>'Op Cost-26'!C31/'Ridership-26'!C31</f>
        <v>26.732734056987788</v>
      </c>
      <c r="AO40" s="434">
        <f>'Op Cost-26'!D31/'Ridership-26'!D31</f>
        <v>27.022859029867174</v>
      </c>
      <c r="AP40" s="434">
        <f>'Op Cost-26'!E31/'Ridership-26'!E31</f>
        <v>26.158595726736014</v>
      </c>
      <c r="AQ40" s="439">
        <f t="shared" si="14"/>
        <v>1.2360109324116764</v>
      </c>
      <c r="AR40" s="436">
        <f t="shared" si="15"/>
        <v>1.4244944270744718E-3</v>
      </c>
      <c r="AS40" s="440">
        <f t="shared" si="16"/>
        <v>1.4323332430541662E-3</v>
      </c>
      <c r="AT40" s="432"/>
      <c r="AU40" s="441">
        <f t="shared" si="17"/>
        <v>0</v>
      </c>
      <c r="AV40" s="442">
        <f t="shared" si="18"/>
        <v>0</v>
      </c>
      <c r="AW40" s="442">
        <f t="shared" si="19"/>
        <v>0</v>
      </c>
      <c r="AX40" s="442">
        <f t="shared" si="20"/>
        <v>0</v>
      </c>
      <c r="AY40" s="443">
        <f t="shared" si="21"/>
        <v>0</v>
      </c>
      <c r="AZ40" s="444">
        <f t="shared" si="43"/>
        <v>-1</v>
      </c>
      <c r="BA40" s="445">
        <f t="shared" si="22"/>
        <v>0</v>
      </c>
      <c r="BB40" s="446">
        <f t="shared" si="22"/>
        <v>0</v>
      </c>
      <c r="BC40" s="446">
        <f t="shared" si="22"/>
        <v>0</v>
      </c>
      <c r="BD40" s="446">
        <f t="shared" si="22"/>
        <v>0</v>
      </c>
      <c r="BE40" s="446">
        <f t="shared" si="22"/>
        <v>0</v>
      </c>
      <c r="BF40" s="447">
        <f t="shared" si="44"/>
        <v>211933.67846565827</v>
      </c>
      <c r="BH40" s="448">
        <f>'Op Cost-26'!E31</f>
        <v>744369</v>
      </c>
      <c r="BI40" s="449">
        <f t="shared" si="23"/>
        <v>0.28471588481742022</v>
      </c>
      <c r="BJ40" s="450">
        <f t="shared" si="24"/>
        <v>211933.67846565827</v>
      </c>
      <c r="BK40" s="451">
        <f t="shared" si="25"/>
        <v>0</v>
      </c>
      <c r="BL40" s="1">
        <f t="shared" si="45"/>
        <v>0.29686815250012838</v>
      </c>
      <c r="BM40" s="112">
        <f t="shared" si="46"/>
        <v>0.14793012765882388</v>
      </c>
      <c r="BN40" s="112">
        <f t="shared" si="47"/>
        <v>0.17519837190333995</v>
      </c>
      <c r="BO40" s="113">
        <f t="shared" si="48"/>
        <v>0.43217205521917484</v>
      </c>
      <c r="BP40" s="452">
        <f t="shared" si="26"/>
        <v>211933.67846565827</v>
      </c>
      <c r="BQ40" s="115">
        <f t="shared" si="49"/>
        <v>5.2269299078712818E-4</v>
      </c>
      <c r="BR40" s="116">
        <f t="shared" si="50"/>
        <v>5.2269299078712818E-4</v>
      </c>
      <c r="BS40" s="453">
        <f t="shared" si="51"/>
        <v>5.4792979092440405E-4</v>
      </c>
      <c r="BT40" s="118">
        <f t="shared" si="52"/>
        <v>216027.0120725646</v>
      </c>
      <c r="BU40" s="119">
        <f t="shared" si="53"/>
        <v>223310.69999999998</v>
      </c>
      <c r="BV40" s="119">
        <f t="shared" si="54"/>
        <v>216027.0120725646</v>
      </c>
      <c r="BW40" s="119">
        <f t="shared" si="65"/>
        <v>0</v>
      </c>
      <c r="BX40" s="120">
        <f t="shared" si="55"/>
        <v>5.2269299078712818E-4</v>
      </c>
      <c r="BY40" s="454">
        <f t="shared" si="56"/>
        <v>5.7508646970400078E-4</v>
      </c>
      <c r="BZ40" s="122">
        <f t="shared" si="57"/>
        <v>216183.16073836779</v>
      </c>
      <c r="CA40" s="455">
        <f t="shared" si="27"/>
        <v>1.8815112940189917E-3</v>
      </c>
      <c r="CB40" s="456">
        <f t="shared" si="28"/>
        <v>14055.912890935213</v>
      </c>
      <c r="CC40" s="456">
        <f t="shared" si="29"/>
        <v>225989.59135659348</v>
      </c>
      <c r="CD40" s="457">
        <f t="shared" si="30"/>
        <v>0.30359887549937392</v>
      </c>
      <c r="CE40" s="458">
        <f t="shared" si="31"/>
        <v>1</v>
      </c>
      <c r="CF40" s="17"/>
      <c r="CG40" s="459">
        <f t="shared" si="32"/>
        <v>744369</v>
      </c>
      <c r="CH40" s="460">
        <f t="shared" si="58"/>
        <v>0.30359887549937392</v>
      </c>
      <c r="CI40" s="461">
        <f t="shared" si="33"/>
        <v>223310.69999999998</v>
      </c>
      <c r="CJ40" s="462">
        <f t="shared" si="34"/>
        <v>2678.8913565934927</v>
      </c>
      <c r="CL40" s="463">
        <f t="shared" si="35"/>
        <v>0</v>
      </c>
      <c r="CM40" s="464">
        <f t="shared" si="36"/>
        <v>0</v>
      </c>
      <c r="CN40" s="465">
        <f t="shared" si="37"/>
        <v>0</v>
      </c>
      <c r="CO40" s="466">
        <f t="shared" si="59"/>
        <v>223310.69999999998</v>
      </c>
      <c r="CP40" s="467">
        <f t="shared" si="60"/>
        <v>0.3</v>
      </c>
      <c r="CQ40" s="468">
        <f t="shared" si="38"/>
        <v>0</v>
      </c>
      <c r="CR40" s="469"/>
      <c r="CS40" s="470">
        <f t="shared" si="39"/>
        <v>223310.69999999998</v>
      </c>
      <c r="CT40" s="465">
        <f t="shared" si="40"/>
        <v>0</v>
      </c>
      <c r="CU40" s="471">
        <f t="shared" si="41"/>
        <v>223310.69999999998</v>
      </c>
      <c r="CV40" s="472">
        <f t="shared" si="42"/>
        <v>0.3</v>
      </c>
      <c r="CY40" s="473">
        <v>0</v>
      </c>
      <c r="CZ40" s="474">
        <f t="shared" si="61"/>
        <v>223310.69999999998</v>
      </c>
      <c r="DA40" s="475">
        <f t="shared" si="62"/>
        <v>0.3</v>
      </c>
      <c r="DB40" s="1">
        <f t="shared" si="63"/>
        <v>0</v>
      </c>
      <c r="DC40" s="293">
        <f t="shared" si="64"/>
        <v>0.29042472313915246</v>
      </c>
      <c r="DF40" s="476"/>
    </row>
    <row r="41" spans="1:110">
      <c r="A41" s="477" t="s">
        <v>120</v>
      </c>
      <c r="B41" s="428" t="s">
        <v>121</v>
      </c>
      <c r="C41" s="429"/>
      <c r="D41" s="91">
        <f>'Op Cost-26'!E32</f>
        <v>3366722</v>
      </c>
      <c r="E41" s="92">
        <f>'Ridership-26'!$E32</f>
        <v>212642</v>
      </c>
      <c r="F41" s="92">
        <f>'Revenue Hours-26'!$E32</f>
        <v>36534.629999999997</v>
      </c>
      <c r="G41" s="92">
        <f>'Revenue Miles-26'!$E32</f>
        <v>705618.94</v>
      </c>
      <c r="H41" s="478">
        <f t="shared" si="0"/>
        <v>6.2027986751302961E-3</v>
      </c>
      <c r="I41" s="431">
        <f t="shared" si="1"/>
        <v>6.2027986751302978E-3</v>
      </c>
      <c r="J41" s="432"/>
      <c r="K41" s="433">
        <f>'Ridership-26'!B32/'Revenue Hours-26'!B32</f>
        <v>4.4820247253569612</v>
      </c>
      <c r="L41" s="539">
        <f>'Ridership-26'!C32/'Revenue Hours-26'!I32</f>
        <v>4.4056907707718551</v>
      </c>
      <c r="M41" s="539">
        <f>'Ridership-26'!D32/'Revenue Hours-26'!J32</f>
        <v>5.2133876816389186</v>
      </c>
      <c r="N41" s="539">
        <f>'Ridership-26'!E32/'Revenue Hours-26'!K32</f>
        <v>5.8202861230563991</v>
      </c>
      <c r="O41" s="435">
        <f t="shared" si="2"/>
        <v>0.93497400249378815</v>
      </c>
      <c r="P41" s="436">
        <f t="shared" si="3"/>
        <v>5.7994555039497407E-3</v>
      </c>
      <c r="Q41" s="437">
        <f t="shared" si="4"/>
        <v>5.5332878282883568E-3</v>
      </c>
      <c r="R41" s="438">
        <f>'Ridership-26'!B32/'Revenue Miles-26'!B32</f>
        <v>0.24753017027607868</v>
      </c>
      <c r="S41" s="539">
        <f>'Ridership-26'!C32/'Revenue Miles-26'!I32</f>
        <v>0.22914428374898088</v>
      </c>
      <c r="T41" s="539">
        <f>'Ridership-26'!D32/'Revenue Miles-26'!J32</f>
        <v>0.26595741807949275</v>
      </c>
      <c r="U41" s="539">
        <f>'Ridership-26'!E32/'Revenue Miles-26'!K32</f>
        <v>0.30135528958448876</v>
      </c>
      <c r="V41" s="435">
        <f t="shared" si="5"/>
        <v>0.92190780884659318</v>
      </c>
      <c r="W41" s="436">
        <f t="shared" si="6"/>
        <v>5.7184085353059241E-3</v>
      </c>
      <c r="X41" s="437">
        <f t="shared" si="7"/>
        <v>5.4420993496925368E-3</v>
      </c>
      <c r="Y41" s="438">
        <f>'Op Cost-26'!B32/'Revenue Hours-26'!B32</f>
        <v>68.510851019247468</v>
      </c>
      <c r="Z41" s="434">
        <f>'Op Cost-26'!C32/'Revenue Hours-26'!C32</f>
        <v>68.297046322116032</v>
      </c>
      <c r="AA41" s="434">
        <f>'Op Cost-26'!D32/'Revenue Hours-26'!D32</f>
        <v>80.659776077922771</v>
      </c>
      <c r="AB41" s="434">
        <f>'Op Cost-26'!E32/'Revenue Hours-26'!E32</f>
        <v>92.151528563447897</v>
      </c>
      <c r="AC41" s="435">
        <f t="shared" si="8"/>
        <v>1.0561797921469089</v>
      </c>
      <c r="AD41" s="436">
        <f t="shared" si="9"/>
        <v>5.872862481606277E-3</v>
      </c>
      <c r="AE41" s="437">
        <f t="shared" si="10"/>
        <v>5.8846460250673001E-3</v>
      </c>
      <c r="AF41" s="438">
        <f>'Op Cost-26'!B32/'Revenue Miles-26'!B32</f>
        <v>3.7836700281038187</v>
      </c>
      <c r="AG41" s="434">
        <f>'Op Cost-26'!C32/'Revenue Miles-26'!C32</f>
        <v>3.5521961426517614</v>
      </c>
      <c r="AH41" s="434">
        <f>'Op Cost-26'!D32/'Revenue Miles-26'!D32</f>
        <v>4.1148034826005002</v>
      </c>
      <c r="AI41" s="434">
        <f>'Op Cost-26'!E32/'Revenue Miles-26'!E32</f>
        <v>4.7713033326458048</v>
      </c>
      <c r="AJ41" s="435">
        <f t="shared" si="11"/>
        <v>1.0398241904816219</v>
      </c>
      <c r="AK41" s="436">
        <f t="shared" si="12"/>
        <v>5.9652379045512577E-3</v>
      </c>
      <c r="AL41" s="437">
        <f t="shared" si="13"/>
        <v>5.9761683656922877E-3</v>
      </c>
      <c r="AM41" s="438">
        <f>'Op Cost-26'!B32/'Ridership-26'!B32</f>
        <v>15.285692341599267</v>
      </c>
      <c r="AN41" s="434">
        <f>'Op Cost-26'!C32/'Ridership-26'!C32</f>
        <v>15.502006353966314</v>
      </c>
      <c r="AO41" s="434">
        <f>'Op Cost-26'!D32/'Ridership-26'!D32</f>
        <v>15.471662765844025</v>
      </c>
      <c r="AP41" s="434">
        <f>'Op Cost-26'!E32/'Ridership-26'!E32</f>
        <v>15.832817599533488</v>
      </c>
      <c r="AQ41" s="439">
        <f t="shared" si="14"/>
        <v>1.1428923483074012</v>
      </c>
      <c r="AR41" s="436">
        <f t="shared" si="15"/>
        <v>5.4272816545814732E-3</v>
      </c>
      <c r="AS41" s="440">
        <f t="shared" si="16"/>
        <v>5.4571473117238523E-3</v>
      </c>
      <c r="AT41" s="432"/>
      <c r="AU41" s="441">
        <f t="shared" si="17"/>
        <v>0</v>
      </c>
      <c r="AV41" s="442">
        <f t="shared" si="18"/>
        <v>0</v>
      </c>
      <c r="AW41" s="442">
        <f t="shared" si="19"/>
        <v>0</v>
      </c>
      <c r="AX41" s="442">
        <f t="shared" si="20"/>
        <v>0</v>
      </c>
      <c r="AY41" s="443">
        <f t="shared" si="21"/>
        <v>0</v>
      </c>
      <c r="AZ41" s="444">
        <f t="shared" si="43"/>
        <v>-1</v>
      </c>
      <c r="BA41" s="445">
        <f t="shared" si="22"/>
        <v>0</v>
      </c>
      <c r="BB41" s="446">
        <f t="shared" si="22"/>
        <v>0</v>
      </c>
      <c r="BC41" s="446">
        <f t="shared" si="22"/>
        <v>0</v>
      </c>
      <c r="BD41" s="446">
        <f t="shared" si="22"/>
        <v>0</v>
      </c>
      <c r="BE41" s="446">
        <f t="shared" si="22"/>
        <v>0</v>
      </c>
      <c r="BF41" s="447">
        <f t="shared" si="44"/>
        <v>746628.55388747004</v>
      </c>
      <c r="BH41" s="448">
        <f>'Op Cost-26'!E32</f>
        <v>3366722</v>
      </c>
      <c r="BI41" s="449">
        <f t="shared" si="23"/>
        <v>0.22176721270347538</v>
      </c>
      <c r="BJ41" s="450">
        <f t="shared" si="24"/>
        <v>746628.55388747004</v>
      </c>
      <c r="BK41" s="451">
        <f t="shared" si="25"/>
        <v>0</v>
      </c>
      <c r="BL41" s="1">
        <f t="shared" si="45"/>
        <v>0.58531688501073886</v>
      </c>
      <c r="BM41" s="112">
        <f t="shared" si="46"/>
        <v>0.50004173978274979</v>
      </c>
      <c r="BN41" s="112">
        <f t="shared" si="47"/>
        <v>0.36468308671238714</v>
      </c>
      <c r="BO41" s="113">
        <f t="shared" si="48"/>
        <v>0.7382713567739092</v>
      </c>
      <c r="BP41" s="452">
        <f t="shared" si="26"/>
        <v>746628.55388747004</v>
      </c>
      <c r="BQ41" s="115">
        <f t="shared" si="49"/>
        <v>3.6306027988760041E-3</v>
      </c>
      <c r="BR41" s="116">
        <f t="shared" si="50"/>
        <v>3.6306027988760041E-3</v>
      </c>
      <c r="BS41" s="453">
        <f t="shared" si="51"/>
        <v>3.8058965158915877E-3</v>
      </c>
      <c r="BT41" s="118">
        <f t="shared" si="52"/>
        <v>775060.67123342422</v>
      </c>
      <c r="BU41" s="119">
        <f t="shared" si="53"/>
        <v>1010016.6</v>
      </c>
      <c r="BV41" s="119">
        <f t="shared" si="54"/>
        <v>775060.67123342422</v>
      </c>
      <c r="BW41" s="119">
        <f t="shared" si="65"/>
        <v>0</v>
      </c>
      <c r="BX41" s="120">
        <f t="shared" si="55"/>
        <v>3.6306027988760041E-3</v>
      </c>
      <c r="BY41" s="454">
        <f t="shared" si="56"/>
        <v>3.9945256265228697E-3</v>
      </c>
      <c r="BZ41" s="122">
        <f t="shared" si="57"/>
        <v>776145.27308020263</v>
      </c>
      <c r="CA41" s="455">
        <f t="shared" si="27"/>
        <v>6.6284418160749018E-3</v>
      </c>
      <c r="CB41" s="456">
        <f t="shared" si="28"/>
        <v>49518.066176668297</v>
      </c>
      <c r="CC41" s="456">
        <f t="shared" si="29"/>
        <v>796146.62006413832</v>
      </c>
      <c r="CD41" s="457">
        <f t="shared" si="30"/>
        <v>0.23647530745459183</v>
      </c>
      <c r="CE41" s="458">
        <f t="shared" si="31"/>
        <v>0</v>
      </c>
      <c r="CF41" s="17"/>
      <c r="CG41" s="459">
        <f t="shared" si="32"/>
        <v>3366722</v>
      </c>
      <c r="CH41" s="460">
        <f t="shared" si="58"/>
        <v>0.23647530745459183</v>
      </c>
      <c r="CI41" s="461">
        <f t="shared" si="33"/>
        <v>796146.62006413832</v>
      </c>
      <c r="CJ41" s="462">
        <f t="shared" si="34"/>
        <v>0</v>
      </c>
      <c r="CL41" s="463">
        <f t="shared" si="35"/>
        <v>796146.62006413832</v>
      </c>
      <c r="CM41" s="464">
        <f t="shared" si="36"/>
        <v>6.8449255284831374E-3</v>
      </c>
      <c r="CN41" s="465">
        <f t="shared" si="37"/>
        <v>983.2174389646525</v>
      </c>
      <c r="CO41" s="466">
        <f t="shared" si="59"/>
        <v>797129.83750310296</v>
      </c>
      <c r="CP41" s="467">
        <f t="shared" si="60"/>
        <v>0.23676734743857764</v>
      </c>
      <c r="CQ41" s="468">
        <f t="shared" si="38"/>
        <v>0</v>
      </c>
      <c r="CR41" s="469"/>
      <c r="CS41" s="470">
        <f t="shared" si="39"/>
        <v>1010016.6</v>
      </c>
      <c r="CT41" s="465">
        <f t="shared" si="40"/>
        <v>0</v>
      </c>
      <c r="CU41" s="471">
        <f t="shared" si="41"/>
        <v>797129.83750310296</v>
      </c>
      <c r="CV41" s="472">
        <f t="shared" si="42"/>
        <v>0.23676734743857764</v>
      </c>
      <c r="CY41" s="473">
        <v>0</v>
      </c>
      <c r="CZ41" s="474">
        <f t="shared" si="61"/>
        <v>797129.83750310296</v>
      </c>
      <c r="DA41" s="475">
        <f t="shared" si="62"/>
        <v>0.23676734743857764</v>
      </c>
      <c r="DB41" s="1">
        <f t="shared" si="63"/>
        <v>0</v>
      </c>
      <c r="DC41" s="293">
        <f t="shared" si="64"/>
        <v>0.23053441094340507</v>
      </c>
      <c r="DF41" s="476"/>
    </row>
    <row r="42" spans="1:110">
      <c r="A42" s="477" t="s">
        <v>120</v>
      </c>
      <c r="B42" s="428" t="s">
        <v>122</v>
      </c>
      <c r="C42" s="429"/>
      <c r="D42" s="91">
        <f>'Op Cost-26'!E33</f>
        <v>7435602</v>
      </c>
      <c r="E42" s="92">
        <f>'Ridership-26'!$E33</f>
        <v>1877126</v>
      </c>
      <c r="F42" s="92">
        <f>'Revenue Hours-26'!$E33</f>
        <v>76614</v>
      </c>
      <c r="G42" s="92">
        <f>'Revenue Miles-26'!$E33</f>
        <v>768657</v>
      </c>
      <c r="H42" s="478">
        <f t="shared" si="0"/>
        <v>2.105232033920133E-2</v>
      </c>
      <c r="I42" s="431">
        <f t="shared" si="1"/>
        <v>2.1052320339201333E-2</v>
      </c>
      <c r="J42" s="432"/>
      <c r="K42" s="433">
        <f>'Ridership-26'!B33/'Revenue Hours-26'!B33</f>
        <v>6.5232631919715116</v>
      </c>
      <c r="L42" s="539">
        <f>'Ridership-26'!C33/'Revenue Hours-26'!I33</f>
        <v>18.24961092626382</v>
      </c>
      <c r="M42" s="539">
        <f>'Ridership-26'!D33/'Revenue Hours-26'!J33</f>
        <v>21.145138445302301</v>
      </c>
      <c r="N42" s="539">
        <f>'Ridership-26'!E33/'Revenue Hours-26'!K33</f>
        <v>24.501083352912001</v>
      </c>
      <c r="O42" s="435">
        <f t="shared" si="2"/>
        <v>1.4130477342171865</v>
      </c>
      <c r="P42" s="436">
        <f t="shared" si="3"/>
        <v>2.9747933555322837E-2</v>
      </c>
      <c r="Q42" s="437">
        <f t="shared" si="4"/>
        <v>2.8382643602713142E-2</v>
      </c>
      <c r="R42" s="438">
        <f>'Ridership-26'!B33/'Revenue Miles-26'!B33</f>
        <v>0.66929775146545356</v>
      </c>
      <c r="S42" s="539">
        <f>'Ridership-26'!C33/'Revenue Miles-26'!I33</f>
        <v>1.8049204125068334</v>
      </c>
      <c r="T42" s="539">
        <f>'Ridership-26'!D33/'Revenue Miles-26'!J33</f>
        <v>2.1042721223804488</v>
      </c>
      <c r="U42" s="539">
        <f>'Ridership-26'!E33/'Revenue Miles-26'!K33</f>
        <v>2.4420853514636569</v>
      </c>
      <c r="V42" s="435">
        <f t="shared" si="5"/>
        <v>1.4013283640407588</v>
      </c>
      <c r="W42" s="436">
        <f t="shared" si="6"/>
        <v>2.9501213620194994E-2</v>
      </c>
      <c r="X42" s="437">
        <f t="shared" si="7"/>
        <v>2.8075737238143085E-2</v>
      </c>
      <c r="Y42" s="438">
        <f>'Op Cost-26'!B33/'Revenue Hours-26'!B33</f>
        <v>76.682473292327614</v>
      </c>
      <c r="Z42" s="434">
        <f>'Op Cost-26'!C33/'Revenue Hours-26'!C33</f>
        <v>79.970349898035849</v>
      </c>
      <c r="AA42" s="434">
        <f>'Op Cost-26'!D33/'Revenue Hours-26'!D33</f>
        <v>91.352487016413477</v>
      </c>
      <c r="AB42" s="434">
        <f>'Op Cost-26'!E33/'Revenue Hours-26'!E33</f>
        <v>97.052784086459397</v>
      </c>
      <c r="AC42" s="435">
        <f t="shared" si="8"/>
        <v>1.0338380562910368</v>
      </c>
      <c r="AD42" s="436">
        <f t="shared" si="9"/>
        <v>2.0363266965358135E-2</v>
      </c>
      <c r="AE42" s="437">
        <f t="shared" si="10"/>
        <v>2.0404124629239458E-2</v>
      </c>
      <c r="AF42" s="438">
        <f>'Op Cost-26'!B33/'Revenue Miles-26'!B33</f>
        <v>7.8677504557122129</v>
      </c>
      <c r="AG42" s="434">
        <f>'Op Cost-26'!C33/'Revenue Miles-26'!C33</f>
        <v>7.9092161202490328</v>
      </c>
      <c r="AH42" s="434">
        <f>'Op Cost-26'!D33/'Revenue Miles-26'!D33</f>
        <v>9.0910018033704372</v>
      </c>
      <c r="AI42" s="434">
        <f>'Op Cost-26'!E33/'Revenue Miles-26'!E33</f>
        <v>9.6734980622045992</v>
      </c>
      <c r="AJ42" s="435">
        <f t="shared" si="11"/>
        <v>1.0288308715377539</v>
      </c>
      <c r="AK42" s="436">
        <f t="shared" si="12"/>
        <v>2.0462372311724316E-2</v>
      </c>
      <c r="AL42" s="437">
        <f t="shared" si="13"/>
        <v>2.0499866736755704E-2</v>
      </c>
      <c r="AM42" s="438">
        <f>'Op Cost-26'!B33/'Ridership-26'!B33</f>
        <v>11.755232164586637</v>
      </c>
      <c r="AN42" s="434">
        <f>'Op Cost-26'!C33/'Ridership-26'!C33</f>
        <v>4.3820304016973317</v>
      </c>
      <c r="AO42" s="434">
        <f>'Op Cost-26'!D33/'Ridership-26'!D33</f>
        <v>4.3202595836731801</v>
      </c>
      <c r="AP42" s="434">
        <f>'Op Cost-26'!E33/'Ridership-26'!E33</f>
        <v>3.9611629693478223</v>
      </c>
      <c r="AQ42" s="439">
        <f t="shared" si="14"/>
        <v>0.83032174110192136</v>
      </c>
      <c r="AR42" s="436">
        <f t="shared" si="15"/>
        <v>2.5354412990876003E-2</v>
      </c>
      <c r="AS42" s="440">
        <f t="shared" si="16"/>
        <v>2.5493935177787488E-2</v>
      </c>
      <c r="AT42" s="432"/>
      <c r="AU42" s="441">
        <f t="shared" si="17"/>
        <v>0</v>
      </c>
      <c r="AV42" s="442">
        <f t="shared" si="18"/>
        <v>0</v>
      </c>
      <c r="AW42" s="442">
        <f t="shared" si="19"/>
        <v>0</v>
      </c>
      <c r="AX42" s="442">
        <f t="shared" si="20"/>
        <v>0</v>
      </c>
      <c r="AY42" s="443">
        <f t="shared" si="21"/>
        <v>0</v>
      </c>
      <c r="AZ42" s="444">
        <f t="shared" si="43"/>
        <v>-1</v>
      </c>
      <c r="BA42" s="445">
        <f t="shared" si="22"/>
        <v>0</v>
      </c>
      <c r="BB42" s="446">
        <f t="shared" si="22"/>
        <v>0</v>
      </c>
      <c r="BC42" s="446">
        <f t="shared" si="22"/>
        <v>0</v>
      </c>
      <c r="BD42" s="446">
        <f t="shared" si="22"/>
        <v>0</v>
      </c>
      <c r="BE42" s="446">
        <f t="shared" si="22"/>
        <v>0</v>
      </c>
      <c r="BF42" s="447">
        <f t="shared" si="44"/>
        <v>2534059.9161883132</v>
      </c>
      <c r="BH42" s="448">
        <f>'Op Cost-26'!E33</f>
        <v>7435602</v>
      </c>
      <c r="BI42" s="449">
        <f t="shared" si="23"/>
        <v>0.34080090841176186</v>
      </c>
      <c r="BJ42" s="450">
        <f t="shared" si="24"/>
        <v>2230680.6</v>
      </c>
      <c r="BK42" s="451">
        <f t="shared" si="25"/>
        <v>303379.31618831307</v>
      </c>
      <c r="BL42" s="1">
        <f t="shared" si="45"/>
        <v>2.6075386374638807</v>
      </c>
      <c r="BM42" s="112">
        <f t="shared" si="46"/>
        <v>2.0686563016726853</v>
      </c>
      <c r="BN42" s="112">
        <f t="shared" si="47"/>
        <v>2.9050413069956806</v>
      </c>
      <c r="BO42" s="113">
        <f t="shared" si="48"/>
        <v>2.728228470593578</v>
      </c>
      <c r="BP42" s="452">
        <f t="shared" si="26"/>
        <v>0</v>
      </c>
      <c r="BQ42" s="115">
        <f t="shared" si="49"/>
        <v>5.4894738692734188E-2</v>
      </c>
      <c r="BR42" s="116">
        <f t="shared" si="50"/>
        <v>0</v>
      </c>
      <c r="BS42" s="453">
        <f t="shared" si="51"/>
        <v>0</v>
      </c>
      <c r="BT42" s="118">
        <f t="shared" si="52"/>
        <v>2230680.6</v>
      </c>
      <c r="BU42" s="119">
        <f t="shared" si="53"/>
        <v>2230680.6</v>
      </c>
      <c r="BV42" s="119">
        <f t="shared" si="54"/>
        <v>2230680.6</v>
      </c>
      <c r="BW42" s="119">
        <f t="shared" si="65"/>
        <v>0</v>
      </c>
      <c r="BX42" s="120">
        <f t="shared" si="55"/>
        <v>0</v>
      </c>
      <c r="BY42" s="454">
        <f t="shared" si="56"/>
        <v>0</v>
      </c>
      <c r="BZ42" s="122">
        <f t="shared" si="57"/>
        <v>2230680.6</v>
      </c>
      <c r="CA42" s="455">
        <f t="shared" si="27"/>
        <v>0</v>
      </c>
      <c r="CB42" s="456">
        <f t="shared" si="28"/>
        <v>0</v>
      </c>
      <c r="CC42" s="456">
        <f t="shared" si="29"/>
        <v>2230680.6</v>
      </c>
      <c r="CD42" s="457">
        <f t="shared" si="30"/>
        <v>0.3</v>
      </c>
      <c r="CE42" s="458">
        <f t="shared" si="31"/>
        <v>0</v>
      </c>
      <c r="CF42" s="17"/>
      <c r="CG42" s="459">
        <f t="shared" si="32"/>
        <v>7435602</v>
      </c>
      <c r="CH42" s="460">
        <f t="shared" si="58"/>
        <v>0.3</v>
      </c>
      <c r="CI42" s="461">
        <f t="shared" si="33"/>
        <v>2230680.6</v>
      </c>
      <c r="CJ42" s="462">
        <f t="shared" si="34"/>
        <v>0</v>
      </c>
      <c r="CL42" s="463">
        <f t="shared" si="35"/>
        <v>0</v>
      </c>
      <c r="CM42" s="464">
        <f t="shared" si="36"/>
        <v>0</v>
      </c>
      <c r="CN42" s="465">
        <f t="shared" si="37"/>
        <v>0</v>
      </c>
      <c r="CO42" s="466">
        <f t="shared" si="59"/>
        <v>2230680.6</v>
      </c>
      <c r="CP42" s="467">
        <f t="shared" si="60"/>
        <v>0.3</v>
      </c>
      <c r="CQ42" s="468">
        <f t="shared" si="38"/>
        <v>0</v>
      </c>
      <c r="CR42" s="469"/>
      <c r="CS42" s="470">
        <f t="shared" si="39"/>
        <v>2230680.6</v>
      </c>
      <c r="CT42" s="465">
        <f t="shared" si="40"/>
        <v>0</v>
      </c>
      <c r="CU42" s="471">
        <f t="shared" si="41"/>
        <v>2230680.6</v>
      </c>
      <c r="CV42" s="472">
        <f t="shared" si="42"/>
        <v>0.3</v>
      </c>
      <c r="CY42" s="473">
        <v>0</v>
      </c>
      <c r="CZ42" s="474">
        <f t="shared" si="61"/>
        <v>2230680.6</v>
      </c>
      <c r="DA42" s="475">
        <f t="shared" si="62"/>
        <v>0.3</v>
      </c>
      <c r="DB42" s="1">
        <f t="shared" si="63"/>
        <v>0</v>
      </c>
      <c r="DC42" s="293">
        <f t="shared" si="64"/>
        <v>0.3</v>
      </c>
      <c r="DF42" s="476"/>
    </row>
    <row r="43" spans="1:110">
      <c r="A43" s="477" t="s">
        <v>120</v>
      </c>
      <c r="B43" s="428" t="s">
        <v>123</v>
      </c>
      <c r="C43" s="429"/>
      <c r="D43" s="91">
        <f>'Op Cost-26'!E34</f>
        <v>2380653</v>
      </c>
      <c r="E43" s="92">
        <f>'Ridership-26'!$E34</f>
        <v>181306</v>
      </c>
      <c r="F43" s="92">
        <f>'Revenue Hours-26'!$E34</f>
        <v>25268</v>
      </c>
      <c r="G43" s="92">
        <f>'Revenue Miles-26'!$E34</f>
        <v>331246</v>
      </c>
      <c r="H43" s="430">
        <f t="shared" si="0"/>
        <v>4.1908526558596349E-3</v>
      </c>
      <c r="I43" s="431">
        <f t="shared" si="1"/>
        <v>4.1908526558596358E-3</v>
      </c>
      <c r="J43" s="432"/>
      <c r="K43" s="433">
        <f>'Ridership-26'!B34/'Revenue Hours-26'!B34</f>
        <v>5.1692512721104915</v>
      </c>
      <c r="L43" s="539">
        <f>'Ridership-26'!C34/'Revenue Hours-26'!I34</f>
        <v>7.7540727902946278</v>
      </c>
      <c r="M43" s="539">
        <f>'Ridership-26'!D34/'Revenue Hours-26'!J34</f>
        <v>8.9334289529650324</v>
      </c>
      <c r="N43" s="539">
        <f>'Ridership-26'!E34/'Revenue Hours-26'!K34</f>
        <v>7.1753205635586514</v>
      </c>
      <c r="O43" s="435">
        <f t="shared" si="2"/>
        <v>0.9631888761247418</v>
      </c>
      <c r="P43" s="436">
        <f t="shared" si="3"/>
        <v>4.0365826596018319E-3</v>
      </c>
      <c r="Q43" s="437">
        <f t="shared" si="4"/>
        <v>3.8513225393388972E-3</v>
      </c>
      <c r="R43" s="438">
        <f>'Ridership-26'!B34/'Revenue Miles-26'!B34</f>
        <v>0.48672727894958989</v>
      </c>
      <c r="S43" s="539">
        <f>'Ridership-26'!C34/'Revenue Miles-26'!I34</f>
        <v>0.72460145651246777</v>
      </c>
      <c r="T43" s="539">
        <f>'Ridership-26'!D34/'Revenue Miles-26'!J34</f>
        <v>0.79643813026090104</v>
      </c>
      <c r="U43" s="539">
        <f>'Ridership-26'!E34/'Revenue Miles-26'!K34</f>
        <v>0.54734547737934947</v>
      </c>
      <c r="V43" s="435">
        <f t="shared" si="5"/>
        <v>0.91548196708866847</v>
      </c>
      <c r="W43" s="436">
        <f t="shared" si="6"/>
        <v>3.8366500331651499E-3</v>
      </c>
      <c r="X43" s="437">
        <f t="shared" si="7"/>
        <v>3.6512659984984622E-3</v>
      </c>
      <c r="Y43" s="438">
        <f>'Op Cost-26'!B34/'Revenue Hours-26'!B34</f>
        <v>76.918100314998782</v>
      </c>
      <c r="Z43" s="434">
        <f>'Op Cost-26'!C34/'Revenue Hours-26'!C34</f>
        <v>82.248006932409012</v>
      </c>
      <c r="AA43" s="434">
        <f>'Op Cost-26'!D34/'Revenue Hours-26'!D34</f>
        <v>95.121865571986746</v>
      </c>
      <c r="AB43" s="434">
        <f>'Op Cost-26'!E34/'Revenue Hours-26'!E34</f>
        <v>94.216123159727715</v>
      </c>
      <c r="AC43" s="435">
        <f t="shared" si="8"/>
        <v>1.0237533675916397</v>
      </c>
      <c r="AD43" s="436">
        <f t="shared" si="9"/>
        <v>4.0936155020603613E-3</v>
      </c>
      <c r="AE43" s="437">
        <f t="shared" si="10"/>
        <v>4.1018290940408181E-3</v>
      </c>
      <c r="AF43" s="438">
        <f>'Op Cost-26'!B34/'Revenue Miles-26'!B34</f>
        <v>7.2424681443287211</v>
      </c>
      <c r="AG43" s="434">
        <f>'Op Cost-26'!C34/'Revenue Miles-26'!C34</f>
        <v>7.6858996852680619</v>
      </c>
      <c r="AH43" s="434">
        <f>'Op Cost-26'!D34/'Revenue Miles-26'!D34</f>
        <v>8.480358568020776</v>
      </c>
      <c r="AI43" s="434">
        <f>'Op Cost-26'!E34/'Revenue Miles-26'!E34</f>
        <v>7.1869637671096402</v>
      </c>
      <c r="AJ43" s="435">
        <f t="shared" si="11"/>
        <v>0.96417599187899372</v>
      </c>
      <c r="AK43" s="436">
        <f t="shared" si="12"/>
        <v>4.3465639998901753E-3</v>
      </c>
      <c r="AL43" s="437">
        <f t="shared" si="13"/>
        <v>4.3545284683083668E-3</v>
      </c>
      <c r="AM43" s="438">
        <f>'Op Cost-26'!B34/'Ridership-26'!B34</f>
        <v>14.879930625541988</v>
      </c>
      <c r="AN43" s="434">
        <f>'Op Cost-26'!C34/'Ridership-26'!C34</f>
        <v>10.607071813325586</v>
      </c>
      <c r="AO43" s="434">
        <f>'Op Cost-26'!D34/'Ridership-26'!D34</f>
        <v>10.647856055363322</v>
      </c>
      <c r="AP43" s="434">
        <f>'Op Cost-26'!E34/'Ridership-26'!E34</f>
        <v>13.13058034483139</v>
      </c>
      <c r="AQ43" s="439">
        <f t="shared" si="14"/>
        <v>1.0897265159750711</v>
      </c>
      <c r="AR43" s="436">
        <f t="shared" si="15"/>
        <v>3.8457838681751478E-3</v>
      </c>
      <c r="AS43" s="440">
        <f t="shared" si="16"/>
        <v>3.8669467393435634E-3</v>
      </c>
      <c r="AT43" s="432"/>
      <c r="AU43" s="441">
        <f t="shared" si="17"/>
        <v>0</v>
      </c>
      <c r="AV43" s="442">
        <f t="shared" si="18"/>
        <v>0</v>
      </c>
      <c r="AW43" s="442">
        <f t="shared" si="19"/>
        <v>0</v>
      </c>
      <c r="AX43" s="442">
        <f t="shared" si="20"/>
        <v>0</v>
      </c>
      <c r="AY43" s="443">
        <f t="shared" si="21"/>
        <v>0</v>
      </c>
      <c r="AZ43" s="444">
        <f t="shared" si="43"/>
        <v>-1</v>
      </c>
      <c r="BA43" s="445">
        <f t="shared" si="22"/>
        <v>0</v>
      </c>
      <c r="BB43" s="446">
        <f t="shared" si="22"/>
        <v>0</v>
      </c>
      <c r="BC43" s="446">
        <f t="shared" si="22"/>
        <v>0</v>
      </c>
      <c r="BD43" s="446">
        <f t="shared" si="22"/>
        <v>0</v>
      </c>
      <c r="BE43" s="446">
        <f t="shared" si="22"/>
        <v>0</v>
      </c>
      <c r="BF43" s="447">
        <f t="shared" si="44"/>
        <v>504451.36492104735</v>
      </c>
      <c r="BH43" s="448">
        <f>'Op Cost-26'!E34</f>
        <v>2380653</v>
      </c>
      <c r="BI43" s="449">
        <f t="shared" si="23"/>
        <v>0.21189621709717768</v>
      </c>
      <c r="BJ43" s="450">
        <f t="shared" si="24"/>
        <v>504451.36492104735</v>
      </c>
      <c r="BK43" s="451">
        <f t="shared" si="25"/>
        <v>0</v>
      </c>
      <c r="BL43" s="1">
        <f t="shared" si="45"/>
        <v>0.94587385418705061</v>
      </c>
      <c r="BM43" s="112">
        <f t="shared" si="46"/>
        <v>0.78226134835311656</v>
      </c>
      <c r="BN43" s="112">
        <f t="shared" si="47"/>
        <v>0.9652772495023324</v>
      </c>
      <c r="BO43" s="113">
        <f t="shared" si="48"/>
        <v>1.0179784094463769</v>
      </c>
      <c r="BP43" s="452">
        <f t="shared" si="26"/>
        <v>504451.36492104735</v>
      </c>
      <c r="BQ43" s="115">
        <f t="shared" si="49"/>
        <v>3.9640179539279907E-3</v>
      </c>
      <c r="BR43" s="116">
        <f t="shared" si="50"/>
        <v>3.9640179539279907E-3</v>
      </c>
      <c r="BS43" s="453">
        <f t="shared" si="51"/>
        <v>4.1554097089488568E-3</v>
      </c>
      <c r="BT43" s="118">
        <f t="shared" si="52"/>
        <v>535494.53595105978</v>
      </c>
      <c r="BU43" s="119">
        <f t="shared" si="53"/>
        <v>714195.9</v>
      </c>
      <c r="BV43" s="119">
        <f t="shared" si="54"/>
        <v>535494.53595105978</v>
      </c>
      <c r="BW43" s="119">
        <f t="shared" si="65"/>
        <v>0</v>
      </c>
      <c r="BX43" s="120">
        <f t="shared" si="55"/>
        <v>3.9640179539279907E-3</v>
      </c>
      <c r="BY43" s="454">
        <f t="shared" si="56"/>
        <v>4.3613615088558466E-3</v>
      </c>
      <c r="BZ43" s="122">
        <f t="shared" si="57"/>
        <v>536678.74183412245</v>
      </c>
      <c r="CA43" s="455">
        <f t="shared" si="27"/>
        <v>4.4784337593425181E-3</v>
      </c>
      <c r="CB43" s="456">
        <f t="shared" si="28"/>
        <v>33456.336408526789</v>
      </c>
      <c r="CC43" s="456">
        <f t="shared" si="29"/>
        <v>537907.70132957411</v>
      </c>
      <c r="CD43" s="457">
        <f t="shared" si="30"/>
        <v>0.22594964546684213</v>
      </c>
      <c r="CE43" s="458">
        <f t="shared" si="31"/>
        <v>0</v>
      </c>
      <c r="CF43" s="17"/>
      <c r="CG43" s="459">
        <f t="shared" si="32"/>
        <v>2380653</v>
      </c>
      <c r="CH43" s="460">
        <f t="shared" si="58"/>
        <v>0.22594964546684213</v>
      </c>
      <c r="CI43" s="461">
        <f t="shared" si="33"/>
        <v>537907.70132957411</v>
      </c>
      <c r="CJ43" s="462">
        <f t="shared" si="34"/>
        <v>0</v>
      </c>
      <c r="CL43" s="463">
        <f t="shared" si="35"/>
        <v>537907.70132957411</v>
      </c>
      <c r="CM43" s="464">
        <f t="shared" si="36"/>
        <v>4.6246985969768534E-3</v>
      </c>
      <c r="CN43" s="465">
        <f t="shared" si="37"/>
        <v>664.30004118841816</v>
      </c>
      <c r="CO43" s="466">
        <f t="shared" si="59"/>
        <v>538572.00137076247</v>
      </c>
      <c r="CP43" s="467">
        <f t="shared" si="60"/>
        <v>0.22622868657076964</v>
      </c>
      <c r="CQ43" s="468">
        <f t="shared" si="38"/>
        <v>0</v>
      </c>
      <c r="CR43" s="469"/>
      <c r="CS43" s="470">
        <f t="shared" si="39"/>
        <v>714195.9</v>
      </c>
      <c r="CT43" s="465">
        <f t="shared" si="40"/>
        <v>0</v>
      </c>
      <c r="CU43" s="471">
        <f t="shared" si="41"/>
        <v>538572.00137076247</v>
      </c>
      <c r="CV43" s="472">
        <f t="shared" si="42"/>
        <v>0.22622868657076964</v>
      </c>
      <c r="CY43" s="473">
        <v>0</v>
      </c>
      <c r="CZ43" s="474">
        <f t="shared" si="61"/>
        <v>538572.00137076247</v>
      </c>
      <c r="DA43" s="475">
        <f t="shared" si="62"/>
        <v>0.22622868657076964</v>
      </c>
      <c r="DB43" s="1">
        <f t="shared" si="63"/>
        <v>0</v>
      </c>
      <c r="DC43" s="293">
        <f t="shared" si="64"/>
        <v>0.22543341756825647</v>
      </c>
      <c r="DF43" s="476"/>
    </row>
    <row r="44" spans="1:110">
      <c r="A44" s="477" t="s">
        <v>124</v>
      </c>
      <c r="B44" s="428" t="s">
        <v>125</v>
      </c>
      <c r="C44" s="429"/>
      <c r="D44" s="91">
        <f>'Op Cost-26'!E35</f>
        <v>5803873</v>
      </c>
      <c r="E44" s="92">
        <f>'Ridership-26'!$E35</f>
        <v>131277</v>
      </c>
      <c r="F44" s="92">
        <f>'Revenue Hours-26'!$E35</f>
        <v>61710.71</v>
      </c>
      <c r="G44" s="92">
        <f>'Revenue Miles-26'!$E35</f>
        <v>1392527</v>
      </c>
      <c r="H44" s="478">
        <f t="shared" si="0"/>
        <v>9.5013673637281033E-3</v>
      </c>
      <c r="I44" s="431">
        <f t="shared" si="1"/>
        <v>9.5013673637281051E-3</v>
      </c>
      <c r="J44" s="432"/>
      <c r="K44" s="433">
        <f>'Ridership-26'!B35/'Revenue Hours-26'!B35</f>
        <v>1.944317205840252</v>
      </c>
      <c r="L44" s="539">
        <f>'Ridership-26'!C35/'Revenue Hours-26'!I35</f>
        <v>2.0984220777077214</v>
      </c>
      <c r="M44" s="539">
        <f>'Ridership-26'!D35/'Revenue Hours-26'!J35</f>
        <v>2.1059981833517161</v>
      </c>
      <c r="N44" s="539">
        <f>'Ridership-26'!E35/'Revenue Hours-26'!K35</f>
        <v>2.1272968662976006</v>
      </c>
      <c r="O44" s="435">
        <f t="shared" si="2"/>
        <v>0.87651228790853652</v>
      </c>
      <c r="P44" s="436">
        <f t="shared" si="3"/>
        <v>8.328065246240822E-3</v>
      </c>
      <c r="Q44" s="437">
        <f t="shared" si="4"/>
        <v>7.945846300369333E-3</v>
      </c>
      <c r="R44" s="438">
        <f>'Ridership-26'!B35/'Revenue Miles-26'!B35</f>
        <v>8.4847547858705061E-2</v>
      </c>
      <c r="S44" s="539">
        <f>'Ridership-26'!C35/'Revenue Miles-26'!I35</f>
        <v>9.06701755136681E-2</v>
      </c>
      <c r="T44" s="539">
        <f>'Ridership-26'!D35/'Revenue Miles-26'!J35</f>
        <v>9.3205239748349655E-2</v>
      </c>
      <c r="U44" s="539">
        <f>'Ridership-26'!E35/'Revenue Miles-26'!K35</f>
        <v>9.4272498845623817E-2</v>
      </c>
      <c r="V44" s="435">
        <f t="shared" si="5"/>
        <v>0.8848941187265198</v>
      </c>
      <c r="W44" s="436">
        <f t="shared" si="6"/>
        <v>8.4077041000230977E-3</v>
      </c>
      <c r="X44" s="437">
        <f t="shared" si="7"/>
        <v>8.0014501819246353E-3</v>
      </c>
      <c r="Y44" s="438">
        <f>'Op Cost-26'!B35/'Revenue Hours-26'!B35</f>
        <v>69.859111079301456</v>
      </c>
      <c r="Z44" s="434">
        <f>'Op Cost-26'!C35/'Revenue Hours-26'!C35</f>
        <v>76.546396857359781</v>
      </c>
      <c r="AA44" s="434">
        <f>'Op Cost-26'!D35/'Revenue Hours-26'!D35</f>
        <v>81.113410757153048</v>
      </c>
      <c r="AB44" s="434">
        <f>'Op Cost-26'!E35/'Revenue Hours-26'!E35</f>
        <v>94.049687647411616</v>
      </c>
      <c r="AC44" s="435">
        <f t="shared" si="8"/>
        <v>1.0573411582619359</v>
      </c>
      <c r="AD44" s="436">
        <f t="shared" si="9"/>
        <v>8.9860943078641838E-3</v>
      </c>
      <c r="AE44" s="437">
        <f t="shared" si="10"/>
        <v>9.0041243627400139E-3</v>
      </c>
      <c r="AF44" s="438">
        <f>'Op Cost-26'!B35/'Revenue Miles-26'!B35</f>
        <v>3.0485633994613872</v>
      </c>
      <c r="AG44" s="434">
        <f>'Op Cost-26'!C35/'Revenue Miles-26'!C35</f>
        <v>3.3074734162048824</v>
      </c>
      <c r="AH44" s="434">
        <f>'Op Cost-26'!D35/'Revenue Miles-26'!D35</f>
        <v>3.5898392297730726</v>
      </c>
      <c r="AI44" s="434">
        <f>'Op Cost-26'!E35/'Revenue Miles-26'!E35</f>
        <v>4.1678710717996852</v>
      </c>
      <c r="AJ44" s="435">
        <f t="shared" si="11"/>
        <v>1.0673150531526312</v>
      </c>
      <c r="AK44" s="436">
        <f t="shared" si="12"/>
        <v>8.9021206396958444E-3</v>
      </c>
      <c r="AL44" s="437">
        <f t="shared" si="13"/>
        <v>8.9184325262093248E-3</v>
      </c>
      <c r="AM44" s="438">
        <f>'Op Cost-26'!B35/'Ridership-26'!B35</f>
        <v>35.929893985128473</v>
      </c>
      <c r="AN44" s="434">
        <f>'Op Cost-26'!C35/'Ridership-26'!C35</f>
        <v>36.47807448774924</v>
      </c>
      <c r="AO44" s="434">
        <f>'Op Cost-26'!D35/'Ridership-26'!D35</f>
        <v>38.515422946880371</v>
      </c>
      <c r="AP44" s="434">
        <f>'Op Cost-26'!E35/'Ridership-26'!E35</f>
        <v>44.210889950257851</v>
      </c>
      <c r="AQ44" s="439">
        <f t="shared" si="14"/>
        <v>1.2071736239215365</v>
      </c>
      <c r="AR44" s="436">
        <f t="shared" si="15"/>
        <v>7.8707546084900801E-3</v>
      </c>
      <c r="AS44" s="440">
        <f t="shared" si="16"/>
        <v>7.9140663939380549E-3</v>
      </c>
      <c r="AT44" s="432"/>
      <c r="AU44" s="441">
        <f t="shared" si="17"/>
        <v>0</v>
      </c>
      <c r="AV44" s="442">
        <f t="shared" si="18"/>
        <v>0</v>
      </c>
      <c r="AW44" s="442">
        <f t="shared" si="19"/>
        <v>0</v>
      </c>
      <c r="AX44" s="442">
        <f t="shared" si="20"/>
        <v>0</v>
      </c>
      <c r="AY44" s="443">
        <f t="shared" si="21"/>
        <v>0</v>
      </c>
      <c r="AZ44" s="444">
        <f t="shared" si="43"/>
        <v>-1</v>
      </c>
      <c r="BA44" s="445">
        <f t="shared" si="22"/>
        <v>0</v>
      </c>
      <c r="BB44" s="446">
        <f t="shared" si="22"/>
        <v>0</v>
      </c>
      <c r="BC44" s="446">
        <f t="shared" si="22"/>
        <v>0</v>
      </c>
      <c r="BD44" s="446">
        <f t="shared" si="22"/>
        <v>0</v>
      </c>
      <c r="BE44" s="446">
        <f t="shared" si="22"/>
        <v>0</v>
      </c>
      <c r="BF44" s="447">
        <f t="shared" si="44"/>
        <v>1143676.0317849426</v>
      </c>
      <c r="BH44" s="448">
        <f>'Op Cost-26'!E35</f>
        <v>5803873</v>
      </c>
      <c r="BI44" s="449">
        <f t="shared" si="23"/>
        <v>0.19705393825553086</v>
      </c>
      <c r="BJ44" s="450">
        <f t="shared" si="24"/>
        <v>1143676.0317849426</v>
      </c>
      <c r="BK44" s="451">
        <f t="shared" si="25"/>
        <v>0</v>
      </c>
      <c r="BL44" s="1">
        <f t="shared" si="45"/>
        <v>0.23031623159647788</v>
      </c>
      <c r="BM44" s="112">
        <f t="shared" si="46"/>
        <v>0.20733905770550351</v>
      </c>
      <c r="BN44" s="112">
        <f t="shared" si="47"/>
        <v>0.12860033261752671</v>
      </c>
      <c r="BO44" s="113">
        <f t="shared" si="48"/>
        <v>0.29266276803144065</v>
      </c>
      <c r="BP44" s="452">
        <f t="shared" si="26"/>
        <v>1143676.0317849426</v>
      </c>
      <c r="BQ44" s="115">
        <f t="shared" si="49"/>
        <v>2.1883191262276188E-3</v>
      </c>
      <c r="BR44" s="116">
        <f t="shared" si="50"/>
        <v>2.1883191262276188E-3</v>
      </c>
      <c r="BS44" s="453">
        <f t="shared" si="51"/>
        <v>2.2939761245011538E-3</v>
      </c>
      <c r="BT44" s="118">
        <f t="shared" si="52"/>
        <v>1160813.2813366044</v>
      </c>
      <c r="BU44" s="119">
        <f t="shared" si="53"/>
        <v>1741161.9</v>
      </c>
      <c r="BV44" s="119">
        <f t="shared" si="54"/>
        <v>1160813.2813366044</v>
      </c>
      <c r="BW44" s="119">
        <f t="shared" si="65"/>
        <v>0</v>
      </c>
      <c r="BX44" s="120">
        <f t="shared" si="55"/>
        <v>2.1883191262276188E-3</v>
      </c>
      <c r="BY44" s="454">
        <f t="shared" si="56"/>
        <v>2.4076709331664068E-3</v>
      </c>
      <c r="BZ44" s="122">
        <f t="shared" si="57"/>
        <v>1161467.0171201997</v>
      </c>
      <c r="CA44" s="455">
        <f t="shared" si="27"/>
        <v>1.0153362061570016E-2</v>
      </c>
      <c r="CB44" s="456">
        <f t="shared" si="28"/>
        <v>75851.137934287617</v>
      </c>
      <c r="CC44" s="456">
        <f t="shared" si="29"/>
        <v>1219527.1697192302</v>
      </c>
      <c r="CD44" s="457">
        <f t="shared" si="30"/>
        <v>0.21012299368356788</v>
      </c>
      <c r="CE44" s="458">
        <f t="shared" si="31"/>
        <v>0</v>
      </c>
      <c r="CF44" s="17"/>
      <c r="CG44" s="459">
        <f t="shared" si="32"/>
        <v>5803873</v>
      </c>
      <c r="CH44" s="460">
        <f t="shared" si="58"/>
        <v>0.21012299368356788</v>
      </c>
      <c r="CI44" s="461">
        <f t="shared" si="33"/>
        <v>1219527.1697192302</v>
      </c>
      <c r="CJ44" s="462">
        <f t="shared" si="34"/>
        <v>0</v>
      </c>
      <c r="CL44" s="463">
        <f t="shared" si="35"/>
        <v>1219527.1697192302</v>
      </c>
      <c r="CM44" s="464">
        <f t="shared" si="36"/>
        <v>1.0484969032484817E-2</v>
      </c>
      <c r="CN44" s="465">
        <f t="shared" si="37"/>
        <v>1506.0798480342164</v>
      </c>
      <c r="CO44" s="466">
        <f t="shared" si="59"/>
        <v>1221033.2495672645</v>
      </c>
      <c r="CP44" s="467">
        <f t="shared" si="60"/>
        <v>0.2103824893424209</v>
      </c>
      <c r="CQ44" s="468">
        <f t="shared" si="38"/>
        <v>0</v>
      </c>
      <c r="CR44" s="469"/>
      <c r="CS44" s="470">
        <f t="shared" si="39"/>
        <v>1741161.9</v>
      </c>
      <c r="CT44" s="465">
        <f t="shared" si="40"/>
        <v>0</v>
      </c>
      <c r="CU44" s="471">
        <f t="shared" si="41"/>
        <v>1221033.2495672645</v>
      </c>
      <c r="CV44" s="472">
        <f t="shared" si="42"/>
        <v>0.2103824893424209</v>
      </c>
      <c r="CY44" s="473">
        <v>0</v>
      </c>
      <c r="CZ44" s="474">
        <f t="shared" si="61"/>
        <v>1221033.2495672645</v>
      </c>
      <c r="DA44" s="475">
        <f t="shared" si="62"/>
        <v>0.2103824893424209</v>
      </c>
      <c r="DB44" s="1">
        <f t="shared" si="63"/>
        <v>0</v>
      </c>
      <c r="DC44" s="293">
        <f t="shared" si="64"/>
        <v>0.20011930259676594</v>
      </c>
      <c r="DF44" s="476"/>
    </row>
    <row r="45" spans="1:110">
      <c r="A45" s="477" t="s">
        <v>124</v>
      </c>
      <c r="B45" s="428" t="s">
        <v>126</v>
      </c>
      <c r="C45" s="429"/>
      <c r="D45" s="91">
        <f>'Op Cost-26'!E36</f>
        <v>604843</v>
      </c>
      <c r="E45" s="92">
        <f>'Ridership-26'!$E36</f>
        <v>28882</v>
      </c>
      <c r="F45" s="92">
        <f>'Revenue Hours-26'!$E36</f>
        <v>15534</v>
      </c>
      <c r="G45" s="92">
        <f>'Revenue Miles-26'!$E36</f>
        <v>413556</v>
      </c>
      <c r="H45" s="478">
        <f t="shared" si="0"/>
        <v>1.9919703222606392E-3</v>
      </c>
      <c r="I45" s="431">
        <f t="shared" si="1"/>
        <v>1.9919703222606396E-3</v>
      </c>
      <c r="J45" s="432"/>
      <c r="K45" s="433">
        <f>'Ridership-26'!B36/'Revenue Hours-26'!B36</f>
        <v>1.3983089137029627</v>
      </c>
      <c r="L45" s="539">
        <f>'Ridership-26'!C36/'Revenue Hours-26'!I36</f>
        <v>1.5445728965960179</v>
      </c>
      <c r="M45" s="539">
        <f>'Ridership-26'!D36/'Revenue Hours-26'!J36</f>
        <v>1.8291929463251384</v>
      </c>
      <c r="N45" s="539">
        <f>'Ridership-26'!E36/'Revenue Hours-26'!K36</f>
        <v>1.8592764259044676</v>
      </c>
      <c r="O45" s="435">
        <f t="shared" si="2"/>
        <v>0.93575618620058609</v>
      </c>
      <c r="P45" s="436">
        <f t="shared" si="3"/>
        <v>1.8639985517833685E-3</v>
      </c>
      <c r="Q45" s="437">
        <f t="shared" si="4"/>
        <v>1.7784498030040271E-3</v>
      </c>
      <c r="R45" s="438">
        <f>'Ridership-26'!B36/'Revenue Miles-26'!B36</f>
        <v>5.2832581392513109E-2</v>
      </c>
      <c r="S45" s="539">
        <f>'Ridership-26'!C36/'Revenue Miles-26'!I36</f>
        <v>5.8014121779238044E-2</v>
      </c>
      <c r="T45" s="539">
        <f>'Ridership-26'!D36/'Revenue Miles-26'!J36</f>
        <v>6.7953110393320887E-2</v>
      </c>
      <c r="U45" s="539">
        <f>'Ridership-26'!E36/'Revenue Miles-26'!K36</f>
        <v>6.9838183946067764E-2</v>
      </c>
      <c r="V45" s="435">
        <f t="shared" si="5"/>
        <v>0.93786015683866342</v>
      </c>
      <c r="W45" s="436">
        <f t="shared" si="6"/>
        <v>1.8681895988533264E-3</v>
      </c>
      <c r="X45" s="437">
        <f t="shared" si="7"/>
        <v>1.7779200870750905E-3</v>
      </c>
      <c r="Y45" s="438">
        <f>'Op Cost-26'!B36/'Revenue Hours-26'!B36</f>
        <v>37.360937197444009</v>
      </c>
      <c r="Z45" s="434">
        <f>'Op Cost-26'!C36/'Revenue Hours-26'!C36</f>
        <v>36.826011560693644</v>
      </c>
      <c r="AA45" s="434">
        <f>'Op Cost-26'!D36/'Revenue Hours-26'!D36</f>
        <v>46.109795340455655</v>
      </c>
      <c r="AB45" s="434">
        <f>'Op Cost-26'!E36/'Revenue Hours-26'!E36</f>
        <v>38.936719454100682</v>
      </c>
      <c r="AC45" s="435">
        <f t="shared" si="8"/>
        <v>0.97827769072150195</v>
      </c>
      <c r="AD45" s="436">
        <f t="shared" si="9"/>
        <v>2.0362013170222831E-3</v>
      </c>
      <c r="AE45" s="437">
        <f t="shared" si="10"/>
        <v>2.0402868318440026E-3</v>
      </c>
      <c r="AF45" s="438">
        <f>'Op Cost-26'!B36/'Revenue Miles-26'!B36</f>
        <v>1.4116156566272406</v>
      </c>
      <c r="AG45" s="434">
        <f>'Op Cost-26'!C36/'Revenue Miles-26'!C36</f>
        <v>1.3831841307289821</v>
      </c>
      <c r="AH45" s="434">
        <f>'Op Cost-26'!D36/'Revenue Miles-26'!D36</f>
        <v>1.712943415443541</v>
      </c>
      <c r="AI45" s="434">
        <f>'Op Cost-26'!E36/'Revenue Miles-26'!E36</f>
        <v>1.4625419532058537</v>
      </c>
      <c r="AJ45" s="435">
        <f t="shared" si="11"/>
        <v>0.97981392718326255</v>
      </c>
      <c r="AK45" s="436">
        <f t="shared" si="12"/>
        <v>2.0330087856447313E-3</v>
      </c>
      <c r="AL45" s="437">
        <f t="shared" si="13"/>
        <v>2.0367339888782703E-3</v>
      </c>
      <c r="AM45" s="438">
        <f>'Op Cost-26'!B36/'Ridership-26'!B36</f>
        <v>26.718657680945348</v>
      </c>
      <c r="AN45" s="434">
        <f>'Op Cost-26'!C36/'Ridership-26'!C36</f>
        <v>23.842197180755957</v>
      </c>
      <c r="AO45" s="434">
        <f>'Op Cost-26'!D36/'Ridership-26'!D36</f>
        <v>25.207726409119697</v>
      </c>
      <c r="AP45" s="434">
        <f>'Op Cost-26'!E36/'Ridership-26'!E36</f>
        <v>20.941866906723909</v>
      </c>
      <c r="AQ45" s="439">
        <f t="shared" si="14"/>
        <v>1.0464177737850957</v>
      </c>
      <c r="AR45" s="436">
        <f t="shared" si="15"/>
        <v>1.9036090289782611E-3</v>
      </c>
      <c r="AS45" s="440">
        <f t="shared" si="16"/>
        <v>1.9140843531296455E-3</v>
      </c>
      <c r="AT45" s="432"/>
      <c r="AU45" s="441">
        <f t="shared" si="17"/>
        <v>0</v>
      </c>
      <c r="AV45" s="442">
        <f t="shared" si="18"/>
        <v>0</v>
      </c>
      <c r="AW45" s="442">
        <f t="shared" si="19"/>
        <v>0</v>
      </c>
      <c r="AX45" s="442">
        <f t="shared" si="20"/>
        <v>0</v>
      </c>
      <c r="AY45" s="443">
        <f t="shared" si="21"/>
        <v>0</v>
      </c>
      <c r="AZ45" s="444">
        <f t="shared" si="43"/>
        <v>-1</v>
      </c>
      <c r="BA45" s="445">
        <f t="shared" si="22"/>
        <v>0</v>
      </c>
      <c r="BB45" s="446">
        <f t="shared" si="22"/>
        <v>0</v>
      </c>
      <c r="BC45" s="446">
        <f t="shared" si="22"/>
        <v>0</v>
      </c>
      <c r="BD45" s="446">
        <f t="shared" si="22"/>
        <v>0</v>
      </c>
      <c r="BE45" s="446">
        <f t="shared" si="22"/>
        <v>0</v>
      </c>
      <c r="BF45" s="447">
        <f t="shared" si="44"/>
        <v>239772.72179722603</v>
      </c>
      <c r="BH45" s="448">
        <f>'Op Cost-26'!E36</f>
        <v>604843</v>
      </c>
      <c r="BI45" s="449">
        <f t="shared" si="23"/>
        <v>0.39642142142213105</v>
      </c>
      <c r="BJ45" s="450">
        <f t="shared" si="24"/>
        <v>181452.9</v>
      </c>
      <c r="BK45" s="451">
        <f t="shared" si="25"/>
        <v>58319.821797226032</v>
      </c>
      <c r="BL45" s="1">
        <f t="shared" si="45"/>
        <v>0.31275587526287396</v>
      </c>
      <c r="BM45" s="112">
        <f t="shared" si="46"/>
        <v>0.17002622229982969</v>
      </c>
      <c r="BN45" s="112">
        <f t="shared" si="47"/>
        <v>8.992823383672148E-2</v>
      </c>
      <c r="BO45" s="113">
        <f t="shared" si="48"/>
        <v>0.49553452245747237</v>
      </c>
      <c r="BP45" s="452">
        <f t="shared" si="26"/>
        <v>0</v>
      </c>
      <c r="BQ45" s="115">
        <f t="shared" si="49"/>
        <v>6.230004216362955E-4</v>
      </c>
      <c r="BR45" s="116">
        <f t="shared" si="50"/>
        <v>0</v>
      </c>
      <c r="BS45" s="453">
        <f t="shared" si="51"/>
        <v>0</v>
      </c>
      <c r="BT45" s="118">
        <f t="shared" si="52"/>
        <v>181452.9</v>
      </c>
      <c r="BU45" s="119">
        <f t="shared" si="53"/>
        <v>181452.9</v>
      </c>
      <c r="BV45" s="119">
        <f t="shared" si="54"/>
        <v>181452.9</v>
      </c>
      <c r="BW45" s="119">
        <f t="shared" si="65"/>
        <v>0</v>
      </c>
      <c r="BX45" s="120">
        <f t="shared" si="55"/>
        <v>0</v>
      </c>
      <c r="BY45" s="454">
        <f t="shared" si="56"/>
        <v>0</v>
      </c>
      <c r="BZ45" s="122">
        <f t="shared" si="57"/>
        <v>181452.9</v>
      </c>
      <c r="CA45" s="455">
        <f t="shared" si="27"/>
        <v>0</v>
      </c>
      <c r="CB45" s="456">
        <f t="shared" si="28"/>
        <v>0</v>
      </c>
      <c r="CC45" s="456">
        <f t="shared" si="29"/>
        <v>181452.9</v>
      </c>
      <c r="CD45" s="457">
        <f t="shared" si="30"/>
        <v>0.3</v>
      </c>
      <c r="CE45" s="458">
        <f t="shared" si="31"/>
        <v>0</v>
      </c>
      <c r="CF45" s="17"/>
      <c r="CG45" s="459">
        <f t="shared" si="32"/>
        <v>604843</v>
      </c>
      <c r="CH45" s="460">
        <f t="shared" si="58"/>
        <v>0.3</v>
      </c>
      <c r="CI45" s="461">
        <f t="shared" si="33"/>
        <v>181452.9</v>
      </c>
      <c r="CJ45" s="462">
        <f t="shared" si="34"/>
        <v>0</v>
      </c>
      <c r="CL45" s="463">
        <f t="shared" si="35"/>
        <v>0</v>
      </c>
      <c r="CM45" s="464">
        <f t="shared" si="36"/>
        <v>0</v>
      </c>
      <c r="CN45" s="465">
        <f t="shared" si="37"/>
        <v>0</v>
      </c>
      <c r="CO45" s="466">
        <f t="shared" si="59"/>
        <v>181452.9</v>
      </c>
      <c r="CP45" s="467">
        <f t="shared" si="60"/>
        <v>0.3</v>
      </c>
      <c r="CQ45" s="468">
        <f t="shared" si="38"/>
        <v>0</v>
      </c>
      <c r="CR45" s="469"/>
      <c r="CS45" s="470">
        <f t="shared" si="39"/>
        <v>181452.9</v>
      </c>
      <c r="CT45" s="465">
        <f t="shared" si="40"/>
        <v>0</v>
      </c>
      <c r="CU45" s="471">
        <f t="shared" si="41"/>
        <v>181452.9</v>
      </c>
      <c r="CV45" s="472">
        <f t="shared" si="42"/>
        <v>0.3</v>
      </c>
      <c r="CY45" s="473">
        <v>0</v>
      </c>
      <c r="CZ45" s="474">
        <f t="shared" si="61"/>
        <v>181452.9</v>
      </c>
      <c r="DA45" s="475">
        <f t="shared" si="62"/>
        <v>0.3</v>
      </c>
      <c r="DB45" s="1">
        <f t="shared" si="63"/>
        <v>0</v>
      </c>
      <c r="DC45" s="293">
        <f t="shared" si="64"/>
        <v>0.3</v>
      </c>
      <c r="DF45" s="476"/>
    </row>
    <row r="46" spans="1:110">
      <c r="A46" s="477" t="s">
        <v>124</v>
      </c>
      <c r="B46" s="428" t="s">
        <v>127</v>
      </c>
      <c r="C46" s="429"/>
      <c r="D46" s="91">
        <f>'Op Cost-26'!E37</f>
        <v>5022923</v>
      </c>
      <c r="E46" s="92">
        <f>'Ridership-26'!$E37</f>
        <v>125848</v>
      </c>
      <c r="F46" s="92">
        <f>'Revenue Hours-26'!$E37</f>
        <v>46101.396664300002</v>
      </c>
      <c r="G46" s="92">
        <f>'Revenue Miles-26'!$E37</f>
        <v>906466.02099999995</v>
      </c>
      <c r="H46" s="478">
        <f t="shared" si="0"/>
        <v>7.3907945050697655E-3</v>
      </c>
      <c r="I46" s="431">
        <f t="shared" si="1"/>
        <v>7.3907945050697673E-3</v>
      </c>
      <c r="J46" s="432"/>
      <c r="K46" s="433">
        <f>'Ridership-26'!B37/'Revenue Hours-26'!B37</f>
        <v>2.0644874296866029</v>
      </c>
      <c r="L46" s="539">
        <f>'Ridership-26'!C37/'Revenue Hours-26'!I37</f>
        <v>2.271031556749429</v>
      </c>
      <c r="M46" s="539">
        <f>'Ridership-26'!D37/'Revenue Hours-26'!J37</f>
        <v>2.6724711742855303</v>
      </c>
      <c r="N46" s="539">
        <f>'Ridership-26'!E37/'Revenue Hours-26'!K37</f>
        <v>2.7298088367343145</v>
      </c>
      <c r="O46" s="435">
        <f t="shared" si="2"/>
        <v>0.93402485678415115</v>
      </c>
      <c r="P46" s="436">
        <f t="shared" si="3"/>
        <v>6.9031857791188806E-3</v>
      </c>
      <c r="Q46" s="437">
        <f t="shared" si="4"/>
        <v>6.5863620855436088E-3</v>
      </c>
      <c r="R46" s="438">
        <f>'Ridership-26'!B37/'Revenue Miles-26'!B37</f>
        <v>9.9364322496519109E-2</v>
      </c>
      <c r="S46" s="539">
        <f>'Ridership-26'!C37/'Revenue Miles-26'!I37</f>
        <v>0.11118198611423494</v>
      </c>
      <c r="T46" s="539">
        <f>'Ridership-26'!D37/'Revenue Miles-26'!J37</f>
        <v>0.13217419191779745</v>
      </c>
      <c r="U46" s="539">
        <f>'Ridership-26'!E37/'Revenue Miles-26'!K37</f>
        <v>0.13883366511760292</v>
      </c>
      <c r="V46" s="435">
        <f t="shared" si="5"/>
        <v>0.95531263932332255</v>
      </c>
      <c r="W46" s="436">
        <f t="shared" si="6"/>
        <v>7.0605194053345085E-3</v>
      </c>
      <c r="X46" s="437">
        <f t="shared" si="7"/>
        <v>6.7193604351681478E-3</v>
      </c>
      <c r="Y46" s="438">
        <f>'Op Cost-26'!B37/'Revenue Hours-26'!B37</f>
        <v>134.38379634944323</v>
      </c>
      <c r="Z46" s="434">
        <f>'Op Cost-26'!C37/'Revenue Hours-26'!C37</f>
        <v>98.371300178244169</v>
      </c>
      <c r="AA46" s="434">
        <f>'Op Cost-26'!D37/'Revenue Hours-26'!D37</f>
        <v>93.44738367723788</v>
      </c>
      <c r="AB46" s="434">
        <f>'Op Cost-26'!E37/'Revenue Hours-26'!E37</f>
        <v>108.95381405851531</v>
      </c>
      <c r="AC46" s="435">
        <f t="shared" si="8"/>
        <v>0.90591383740562093</v>
      </c>
      <c r="AD46" s="436">
        <f t="shared" si="9"/>
        <v>8.1583857094353618E-3</v>
      </c>
      <c r="AE46" s="437">
        <f t="shared" si="10"/>
        <v>8.1747550170566466E-3</v>
      </c>
      <c r="AF46" s="438">
        <f>'Op Cost-26'!B37/'Revenue Miles-26'!B37</f>
        <v>6.4679274316529272</v>
      </c>
      <c r="AG46" s="434">
        <f>'Op Cost-26'!C37/'Revenue Miles-26'!C37</f>
        <v>4.8159245070602568</v>
      </c>
      <c r="AH46" s="434">
        <f>'Op Cost-26'!D37/'Revenue Miles-26'!D37</f>
        <v>4.6216896717972462</v>
      </c>
      <c r="AI46" s="434">
        <f>'Op Cost-26'!E37/'Revenue Miles-26'!E37</f>
        <v>5.5412148758304092</v>
      </c>
      <c r="AJ46" s="435">
        <f t="shared" si="11"/>
        <v>0.92676229872522475</v>
      </c>
      <c r="AK46" s="436">
        <f t="shared" si="12"/>
        <v>7.9748545179663798E-3</v>
      </c>
      <c r="AL46" s="437">
        <f t="shared" si="13"/>
        <v>7.9894673194688126E-3</v>
      </c>
      <c r="AM46" s="438">
        <f>'Op Cost-26'!B37/'Ridership-26'!B37</f>
        <v>65.093056231319935</v>
      </c>
      <c r="AN46" s="434">
        <f>'Op Cost-26'!C37/'Ridership-26'!C37</f>
        <v>43.315690566204594</v>
      </c>
      <c r="AO46" s="434">
        <f>'Op Cost-26'!D37/'Ridership-26'!D37</f>
        <v>34.966657293214958</v>
      </c>
      <c r="AP46" s="434">
        <f>'Op Cost-26'!E37/'Ridership-26'!E37</f>
        <v>39.912616807577393</v>
      </c>
      <c r="AQ46" s="439">
        <f t="shared" si="14"/>
        <v>0.96694396142407157</v>
      </c>
      <c r="AR46" s="436">
        <f t="shared" si="15"/>
        <v>7.6434569115928263E-3</v>
      </c>
      <c r="AS46" s="440">
        <f t="shared" si="16"/>
        <v>7.6855179060340267E-3</v>
      </c>
      <c r="AT46" s="432"/>
      <c r="AU46" s="441">
        <f t="shared" si="17"/>
        <v>0</v>
      </c>
      <c r="AV46" s="442">
        <f t="shared" si="18"/>
        <v>0</v>
      </c>
      <c r="AW46" s="442">
        <f t="shared" si="19"/>
        <v>0</v>
      </c>
      <c r="AX46" s="442">
        <f t="shared" si="20"/>
        <v>0</v>
      </c>
      <c r="AY46" s="443">
        <f t="shared" si="21"/>
        <v>0</v>
      </c>
      <c r="AZ46" s="444">
        <f t="shared" si="43"/>
        <v>-1</v>
      </c>
      <c r="BA46" s="445">
        <f t="shared" si="22"/>
        <v>0</v>
      </c>
      <c r="BB46" s="446">
        <f t="shared" si="22"/>
        <v>0</v>
      </c>
      <c r="BC46" s="446">
        <f t="shared" si="22"/>
        <v>0</v>
      </c>
      <c r="BD46" s="446">
        <f t="shared" si="22"/>
        <v>0</v>
      </c>
      <c r="BE46" s="446">
        <f t="shared" si="22"/>
        <v>0</v>
      </c>
      <c r="BF46" s="447">
        <f t="shared" si="44"/>
        <v>889627.16709224542</v>
      </c>
      <c r="BH46" s="448">
        <f>'Op Cost-26'!E37</f>
        <v>5022923</v>
      </c>
      <c r="BI46" s="449">
        <f t="shared" si="23"/>
        <v>0.17711343914534333</v>
      </c>
      <c r="BJ46" s="450">
        <f t="shared" si="24"/>
        <v>889627.16709224542</v>
      </c>
      <c r="BK46" s="451">
        <f t="shared" si="25"/>
        <v>0</v>
      </c>
      <c r="BL46" s="1">
        <f t="shared" si="45"/>
        <v>0.25304361872766934</v>
      </c>
      <c r="BM46" s="112">
        <f t="shared" si="46"/>
        <v>0.24934209306320124</v>
      </c>
      <c r="BN46" s="112">
        <f t="shared" si="47"/>
        <v>0.17527784395424714</v>
      </c>
      <c r="BO46" s="113">
        <f t="shared" si="48"/>
        <v>0.29377726894661449</v>
      </c>
      <c r="BP46" s="452">
        <f t="shared" si="26"/>
        <v>889627.16709224542</v>
      </c>
      <c r="BQ46" s="115">
        <f t="shared" si="49"/>
        <v>1.8701933868354279E-3</v>
      </c>
      <c r="BR46" s="116">
        <f t="shared" si="50"/>
        <v>1.8701933868354279E-3</v>
      </c>
      <c r="BS46" s="453">
        <f t="shared" si="51"/>
        <v>1.9604905546825521E-3</v>
      </c>
      <c r="BT46" s="118">
        <f t="shared" si="52"/>
        <v>904273.09802431939</v>
      </c>
      <c r="BU46" s="119">
        <f t="shared" si="53"/>
        <v>1506876.9</v>
      </c>
      <c r="BV46" s="119">
        <f t="shared" si="54"/>
        <v>904273.09802431939</v>
      </c>
      <c r="BW46" s="119">
        <f t="shared" si="65"/>
        <v>0</v>
      </c>
      <c r="BX46" s="120">
        <f t="shared" si="55"/>
        <v>1.8701933868354279E-3</v>
      </c>
      <c r="BY46" s="454">
        <f t="shared" si="56"/>
        <v>2.0576570404728695E-3</v>
      </c>
      <c r="BZ46" s="122">
        <f t="shared" si="57"/>
        <v>904831.7973129946</v>
      </c>
      <c r="CA46" s="455">
        <f t="shared" si="27"/>
        <v>7.8979592789043679E-3</v>
      </c>
      <c r="CB46" s="456">
        <f t="shared" si="28"/>
        <v>59002.052229675719</v>
      </c>
      <c r="CC46" s="456">
        <f t="shared" si="29"/>
        <v>948629.21932192112</v>
      </c>
      <c r="CD46" s="457">
        <f t="shared" si="30"/>
        <v>0.18885999632523157</v>
      </c>
      <c r="CE46" s="458">
        <f t="shared" si="31"/>
        <v>0</v>
      </c>
      <c r="CF46" s="17"/>
      <c r="CG46" s="459">
        <f t="shared" si="32"/>
        <v>5022923</v>
      </c>
      <c r="CH46" s="460">
        <f t="shared" si="58"/>
        <v>0.18885999632523157</v>
      </c>
      <c r="CI46" s="461">
        <f t="shared" si="33"/>
        <v>948629.21932192112</v>
      </c>
      <c r="CJ46" s="462">
        <f t="shared" si="34"/>
        <v>0</v>
      </c>
      <c r="CL46" s="463">
        <f t="shared" si="35"/>
        <v>948629.21932192112</v>
      </c>
      <c r="CM46" s="464">
        <f t="shared" si="36"/>
        <v>8.1559052023338872E-3</v>
      </c>
      <c r="CN46" s="465">
        <f t="shared" si="37"/>
        <v>1171.5289219887625</v>
      </c>
      <c r="CO46" s="466">
        <f t="shared" si="59"/>
        <v>949800.74824390991</v>
      </c>
      <c r="CP46" s="467">
        <f t="shared" si="60"/>
        <v>0.18909323281362464</v>
      </c>
      <c r="CQ46" s="468">
        <f t="shared" si="38"/>
        <v>0</v>
      </c>
      <c r="CR46" s="469"/>
      <c r="CS46" s="470">
        <f t="shared" si="39"/>
        <v>1506876.9</v>
      </c>
      <c r="CT46" s="465">
        <f t="shared" si="40"/>
        <v>0</v>
      </c>
      <c r="CU46" s="471">
        <f t="shared" si="41"/>
        <v>949800.74824390991</v>
      </c>
      <c r="CV46" s="472">
        <f t="shared" si="42"/>
        <v>0.18909323281362464</v>
      </c>
      <c r="CY46" s="473">
        <v>0</v>
      </c>
      <c r="CZ46" s="474">
        <f t="shared" si="61"/>
        <v>949800.74824390991</v>
      </c>
      <c r="DA46" s="475">
        <f t="shared" si="62"/>
        <v>0.18909323281362464</v>
      </c>
      <c r="DB46" s="1">
        <f t="shared" si="63"/>
        <v>0</v>
      </c>
      <c r="DC46" s="293">
        <f t="shared" si="64"/>
        <v>0.1801404873841376</v>
      </c>
      <c r="DF46" s="476"/>
    </row>
    <row r="47" spans="1:110" ht="16.5" customHeight="1">
      <c r="A47" s="477" t="s">
        <v>124</v>
      </c>
      <c r="B47" s="428" t="s">
        <v>128</v>
      </c>
      <c r="C47" s="429"/>
      <c r="D47" s="91">
        <f>'Op Cost-26'!E38</f>
        <v>457239</v>
      </c>
      <c r="E47" s="92">
        <f>'Ridership-26'!$E38</f>
        <v>12090</v>
      </c>
      <c r="F47" s="92">
        <f>'Revenue Hours-26'!$E38</f>
        <v>5064</v>
      </c>
      <c r="G47" s="92">
        <f>'Revenue Miles-26'!$E38</f>
        <v>59926</v>
      </c>
      <c r="H47" s="430">
        <f t="shared" si="0"/>
        <v>6.5342511455468303E-4</v>
      </c>
      <c r="I47" s="431">
        <f t="shared" si="1"/>
        <v>6.5342511455468313E-4</v>
      </c>
      <c r="J47" s="432"/>
      <c r="K47" s="433">
        <f>'Ridership-26'!B38/'Revenue Hours-26'!B38</f>
        <v>2.06749490079733</v>
      </c>
      <c r="L47" s="539">
        <f>'Ridership-26'!C38/'Revenue Hours-26'!I38</f>
        <v>2.1966604823747682</v>
      </c>
      <c r="M47" s="539">
        <f>'Ridership-26'!D38/'Revenue Hours-26'!J38</f>
        <v>2.1937241638481773</v>
      </c>
      <c r="N47" s="539">
        <f>'Ridership-26'!E38/'Revenue Hours-26'!K38</f>
        <v>2.3874407582938391</v>
      </c>
      <c r="O47" s="435">
        <f t="shared" si="2"/>
        <v>0.89509204736198367</v>
      </c>
      <c r="P47" s="436">
        <f t="shared" si="3"/>
        <v>5.8487562358449003E-4</v>
      </c>
      <c r="Q47" s="437">
        <f t="shared" si="4"/>
        <v>5.5803258889365343E-4</v>
      </c>
      <c r="R47" s="438">
        <f>'Ridership-26'!B38/'Revenue Miles-26'!B38</f>
        <v>0.21433239783168659</v>
      </c>
      <c r="S47" s="539">
        <f>'Ridership-26'!C38/'Revenue Miles-26'!I38</f>
        <v>0.21260549470281917</v>
      </c>
      <c r="T47" s="539">
        <f>'Ridership-26'!D38/'Revenue Miles-26'!J38</f>
        <v>0.19288275041715541</v>
      </c>
      <c r="U47" s="539">
        <f>'Ridership-26'!E38/'Revenue Miles-26'!K38</f>
        <v>0.20174882354904383</v>
      </c>
      <c r="V47" s="435">
        <f t="shared" si="5"/>
        <v>0.84151676129837449</v>
      </c>
      <c r="W47" s="436">
        <f t="shared" si="6"/>
        <v>5.4986818615107634E-4</v>
      </c>
      <c r="X47" s="437">
        <f t="shared" si="7"/>
        <v>5.2329897029808792E-4</v>
      </c>
      <c r="Y47" s="438">
        <f>'Op Cost-26'!B38/'Revenue Hours-26'!B38</f>
        <v>27.145188206934915</v>
      </c>
      <c r="Z47" s="434">
        <f>'Op Cost-26'!C38/'Revenue Hours-26'!C38</f>
        <v>30.05751391465677</v>
      </c>
      <c r="AA47" s="434">
        <f>'Op Cost-26'!D38/'Revenue Hours-26'!D38</f>
        <v>32.056181886508831</v>
      </c>
      <c r="AB47" s="434">
        <f>'Op Cost-26'!E38/'Revenue Hours-26'!E38</f>
        <v>90.292061611374407</v>
      </c>
      <c r="AC47" s="435">
        <f t="shared" si="8"/>
        <v>1.5961923046443367</v>
      </c>
      <c r="AD47" s="436">
        <f t="shared" si="9"/>
        <v>4.0936490713146197E-4</v>
      </c>
      <c r="AE47" s="437">
        <f t="shared" si="10"/>
        <v>4.1018627306497552E-4</v>
      </c>
      <c r="AF47" s="438">
        <f>'Op Cost-26'!B38/'Revenue Miles-26'!B38</f>
        <v>2.8140786590288722</v>
      </c>
      <c r="AG47" s="434">
        <f>'Op Cost-26'!C38/'Revenue Miles-26'!C38</f>
        <v>2.9091398814868019</v>
      </c>
      <c r="AH47" s="434">
        <f>'Op Cost-26'!D38/'Revenue Miles-26'!D38</f>
        <v>2.8185332650465065</v>
      </c>
      <c r="AI47" s="434">
        <f>'Op Cost-26'!E38/'Revenue Miles-26'!E38</f>
        <v>7.6300604078363312</v>
      </c>
      <c r="AJ47" s="435">
        <f t="shared" si="11"/>
        <v>1.5109100097087511</v>
      </c>
      <c r="AK47" s="436">
        <f t="shared" si="12"/>
        <v>4.3247123280402375E-4</v>
      </c>
      <c r="AL47" s="437">
        <f t="shared" si="13"/>
        <v>4.3326367563370049E-4</v>
      </c>
      <c r="AM47" s="438">
        <f>'Op Cost-26'!B38/'Ridership-26'!B38</f>
        <v>13.129506726457398</v>
      </c>
      <c r="AN47" s="434">
        <f>'Op Cost-26'!C38/'Ridership-26'!C38</f>
        <v>13.683277027027026</v>
      </c>
      <c r="AO47" s="434">
        <f>'Op Cost-26'!D38/'Ridership-26'!D38</f>
        <v>14.612676659528908</v>
      </c>
      <c r="AP47" s="434">
        <f>'Op Cost-26'!E38/'Ridership-26'!E38</f>
        <v>37.819602977667493</v>
      </c>
      <c r="AQ47" s="439">
        <f t="shared" si="14"/>
        <v>1.7190933112114191</v>
      </c>
      <c r="AR47" s="436">
        <f t="shared" si="15"/>
        <v>3.8009868940402334E-4</v>
      </c>
      <c r="AS47" s="440">
        <f t="shared" si="16"/>
        <v>3.8219032530215763E-4</v>
      </c>
      <c r="AT47" s="432"/>
      <c r="AU47" s="441">
        <f t="shared" si="17"/>
        <v>0</v>
      </c>
      <c r="AV47" s="442">
        <f t="shared" si="18"/>
        <v>0</v>
      </c>
      <c r="AW47" s="442">
        <f t="shared" si="19"/>
        <v>0</v>
      </c>
      <c r="AX47" s="442">
        <f t="shared" si="20"/>
        <v>0</v>
      </c>
      <c r="AY47" s="443">
        <f t="shared" si="21"/>
        <v>0</v>
      </c>
      <c r="AZ47" s="444">
        <f t="shared" si="43"/>
        <v>-1</v>
      </c>
      <c r="BA47" s="445">
        <f t="shared" si="22"/>
        <v>0</v>
      </c>
      <c r="BB47" s="446">
        <f t="shared" si="22"/>
        <v>0</v>
      </c>
      <c r="BC47" s="446">
        <f t="shared" si="22"/>
        <v>0</v>
      </c>
      <c r="BD47" s="446">
        <f t="shared" si="22"/>
        <v>0</v>
      </c>
      <c r="BE47" s="446">
        <f t="shared" si="22"/>
        <v>0</v>
      </c>
      <c r="BF47" s="447">
        <f t="shared" si="44"/>
        <v>78652.536363913066</v>
      </c>
      <c r="BH47" s="448">
        <f>'Op Cost-26'!E38</f>
        <v>457239</v>
      </c>
      <c r="BI47" s="449">
        <f t="shared" si="23"/>
        <v>0.17201624612929575</v>
      </c>
      <c r="BJ47" s="450">
        <f t="shared" si="24"/>
        <v>78652.536363913066</v>
      </c>
      <c r="BK47" s="451">
        <f t="shared" si="25"/>
        <v>0</v>
      </c>
      <c r="BL47" s="1">
        <f t="shared" si="45"/>
        <v>0.45273787987855313</v>
      </c>
      <c r="BM47" s="112">
        <f t="shared" si="46"/>
        <v>0.22142278769203516</v>
      </c>
      <c r="BN47" s="112">
        <f t="shared" si="47"/>
        <v>0.28212661572565917</v>
      </c>
      <c r="BO47" s="113">
        <f t="shared" si="48"/>
        <v>0.65370105804825906</v>
      </c>
      <c r="BP47" s="452">
        <f t="shared" si="26"/>
        <v>78652.536363913066</v>
      </c>
      <c r="BQ47" s="115">
        <f t="shared" si="49"/>
        <v>2.9583030102288795E-4</v>
      </c>
      <c r="BR47" s="116">
        <f t="shared" si="50"/>
        <v>2.9583030102288795E-4</v>
      </c>
      <c r="BS47" s="453">
        <f t="shared" si="51"/>
        <v>3.1011365724356723E-4</v>
      </c>
      <c r="BT47" s="118">
        <f t="shared" si="52"/>
        <v>80969.254082462634</v>
      </c>
      <c r="BU47" s="119">
        <f t="shared" si="53"/>
        <v>137171.69999999998</v>
      </c>
      <c r="BV47" s="119">
        <f t="shared" si="54"/>
        <v>80969.254082462634</v>
      </c>
      <c r="BW47" s="119">
        <f t="shared" si="65"/>
        <v>0</v>
      </c>
      <c r="BX47" s="120">
        <f t="shared" si="55"/>
        <v>2.9583030102288795E-4</v>
      </c>
      <c r="BY47" s="454">
        <f t="shared" si="56"/>
        <v>3.2548361360370864E-4</v>
      </c>
      <c r="BZ47" s="122">
        <f t="shared" si="57"/>
        <v>81057.630065349484</v>
      </c>
      <c r="CA47" s="455">
        <f t="shared" si="27"/>
        <v>6.9826389341853215E-4</v>
      </c>
      <c r="CB47" s="456">
        <f t="shared" si="28"/>
        <v>5216.4111328885228</v>
      </c>
      <c r="CC47" s="456">
        <f t="shared" si="29"/>
        <v>83868.947496801586</v>
      </c>
      <c r="CD47" s="457">
        <f t="shared" si="30"/>
        <v>0.18342474613233251</v>
      </c>
      <c r="CE47" s="458">
        <f t="shared" si="31"/>
        <v>0</v>
      </c>
      <c r="CF47" s="17"/>
      <c r="CG47" s="459">
        <f t="shared" si="32"/>
        <v>457239</v>
      </c>
      <c r="CH47" s="460">
        <f t="shared" si="58"/>
        <v>0.18342474613233251</v>
      </c>
      <c r="CI47" s="461">
        <f t="shared" si="33"/>
        <v>83868.947496801586</v>
      </c>
      <c r="CJ47" s="462">
        <f t="shared" si="34"/>
        <v>0</v>
      </c>
      <c r="CL47" s="463">
        <f t="shared" si="35"/>
        <v>83868.947496801586</v>
      </c>
      <c r="CM47" s="464">
        <f t="shared" si="36"/>
        <v>7.210690660491919E-4</v>
      </c>
      <c r="CN47" s="465">
        <f t="shared" si="37"/>
        <v>103.57566017151838</v>
      </c>
      <c r="CO47" s="466">
        <f t="shared" si="59"/>
        <v>83972.523156973097</v>
      </c>
      <c r="CP47" s="467">
        <f t="shared" si="60"/>
        <v>0.1836512702481046</v>
      </c>
      <c r="CQ47" s="468">
        <f t="shared" si="38"/>
        <v>0</v>
      </c>
      <c r="CR47" s="469"/>
      <c r="CS47" s="470">
        <f t="shared" si="39"/>
        <v>137171.69999999998</v>
      </c>
      <c r="CT47" s="465">
        <f t="shared" si="40"/>
        <v>0</v>
      </c>
      <c r="CU47" s="471">
        <f t="shared" si="41"/>
        <v>83972.523156973097</v>
      </c>
      <c r="CV47" s="472">
        <f t="shared" si="42"/>
        <v>0.1836512702481046</v>
      </c>
      <c r="CY47" s="473">
        <v>0</v>
      </c>
      <c r="CZ47" s="474">
        <f t="shared" si="61"/>
        <v>83972.523156973097</v>
      </c>
      <c r="DA47" s="475">
        <f t="shared" si="62"/>
        <v>0.1836512702481046</v>
      </c>
      <c r="DB47" s="1">
        <f t="shared" si="63"/>
        <v>0</v>
      </c>
      <c r="DC47" s="293">
        <f t="shared" si="64"/>
        <v>0.17727628234982029</v>
      </c>
      <c r="DF47" s="476"/>
    </row>
    <row r="48" spans="1:110">
      <c r="A48" s="477" t="s">
        <v>124</v>
      </c>
      <c r="B48" s="428" t="s">
        <v>129</v>
      </c>
      <c r="C48" s="429"/>
      <c r="D48" s="91">
        <f>'Op Cost-26'!E39</f>
        <v>1220651</v>
      </c>
      <c r="E48" s="92">
        <f>'Ridership-26'!$E39</f>
        <v>62326</v>
      </c>
      <c r="F48" s="92">
        <f>'Revenue Hours-26'!$E39</f>
        <v>18443</v>
      </c>
      <c r="G48" s="92">
        <f>'Revenue Miles-26'!$E39</f>
        <v>310461</v>
      </c>
      <c r="H48" s="478">
        <f t="shared" si="0"/>
        <v>2.4421731550352899E-3</v>
      </c>
      <c r="I48" s="431">
        <f t="shared" si="1"/>
        <v>2.4421731550352903E-3</v>
      </c>
      <c r="J48" s="432"/>
      <c r="K48" s="433">
        <f>'Ridership-26'!B39/'Revenue Hours-26'!B39</f>
        <v>1.8714498597475455</v>
      </c>
      <c r="L48" s="539">
        <f>'Ridership-26'!C39/'Revenue Hours-26'!I39</f>
        <v>2.7255388346838654</v>
      </c>
      <c r="M48" s="539">
        <f>'Ridership-26'!D39/'Revenue Hours-26'!J39</f>
        <v>3.379350030141941</v>
      </c>
      <c r="N48" s="539">
        <f>'Ridership-26'!E39/'Revenue Hours-26'!K39</f>
        <v>3.379385132570623</v>
      </c>
      <c r="O48" s="435">
        <f t="shared" si="2"/>
        <v>1.0377100683979792</v>
      </c>
      <c r="P48" s="436">
        <f t="shared" si="3"/>
        <v>2.53426767175138E-3</v>
      </c>
      <c r="Q48" s="437">
        <f t="shared" si="4"/>
        <v>2.4179567292440265E-3</v>
      </c>
      <c r="R48" s="438">
        <f>'Ridership-26'!B39/'Revenue Miles-26'!B39</f>
        <v>0.12054951539089166</v>
      </c>
      <c r="S48" s="539">
        <f>'Ridership-26'!C39/'Revenue Miles-26'!I39</f>
        <v>0.1590504069225078</v>
      </c>
      <c r="T48" s="539">
        <f>'Ridership-26'!D39/'Revenue Miles-26'!J39</f>
        <v>0.19664325941233121</v>
      </c>
      <c r="U48" s="539">
        <f>'Ridership-26'!E39/'Revenue Miles-26'!K39</f>
        <v>0.20075307365498404</v>
      </c>
      <c r="V48" s="435">
        <f t="shared" si="5"/>
        <v>1.0125894313685293</v>
      </c>
      <c r="W48" s="436">
        <f t="shared" si="6"/>
        <v>2.4729187263606719E-3</v>
      </c>
      <c r="X48" s="437">
        <f t="shared" si="7"/>
        <v>2.3534291594383152E-3</v>
      </c>
      <c r="Y48" s="438">
        <f>'Op Cost-26'!B39/'Revenue Hours-26'!B39</f>
        <v>53.352691093969142</v>
      </c>
      <c r="Z48" s="434">
        <f>'Op Cost-26'!C39/'Revenue Hours-26'!C39</f>
        <v>79.509949837384923</v>
      </c>
      <c r="AA48" s="434">
        <f>'Op Cost-26'!D39/'Revenue Hours-26'!D39</f>
        <v>73.872855811914292</v>
      </c>
      <c r="AB48" s="434">
        <f>'Op Cost-26'!E39/'Revenue Hours-26'!E39</f>
        <v>66.185056661063825</v>
      </c>
      <c r="AC48" s="435">
        <f t="shared" si="8"/>
        <v>1.0631089096658457</v>
      </c>
      <c r="AD48" s="436">
        <f t="shared" si="9"/>
        <v>2.29719940528286E-3</v>
      </c>
      <c r="AE48" s="437">
        <f t="shared" si="10"/>
        <v>2.3018085969871722E-3</v>
      </c>
      <c r="AF48" s="438">
        <f>'Op Cost-26'!B39/'Revenue Miles-26'!B39</f>
        <v>3.4367156686984583</v>
      </c>
      <c r="AG48" s="434">
        <f>'Op Cost-26'!C39/'Revenue Miles-26'!C39</f>
        <v>4.639849454756007</v>
      </c>
      <c r="AH48" s="434">
        <f>'Op Cost-26'!D39/'Revenue Miles-26'!D39</f>
        <v>4.2986370217298404</v>
      </c>
      <c r="AI48" s="434">
        <f>'Op Cost-26'!E39/'Revenue Miles-26'!E39</f>
        <v>3.9317369975616905</v>
      </c>
      <c r="AJ48" s="435">
        <f t="shared" si="11"/>
        <v>1.0292620787887317</v>
      </c>
      <c r="AK48" s="436">
        <f t="shared" si="12"/>
        <v>2.3727417976083577E-3</v>
      </c>
      <c r="AL48" s="437">
        <f t="shared" si="13"/>
        <v>2.3770895138992146E-3</v>
      </c>
      <c r="AM48" s="438">
        <f>'Op Cost-26'!B39/'Ridership-26'!B39</f>
        <v>28.508747277453804</v>
      </c>
      <c r="AN48" s="434">
        <f>'Op Cost-26'!C39/'Ridership-26'!C39</f>
        <v>29.17219480624545</v>
      </c>
      <c r="AO48" s="434">
        <f>'Op Cost-26'!D39/'Ridership-26'!D39</f>
        <v>21.860078166809917</v>
      </c>
      <c r="AP48" s="434">
        <f>'Op Cost-26'!E39/'Ridership-26'!E39</f>
        <v>19.584940474280398</v>
      </c>
      <c r="AQ48" s="439">
        <f t="shared" si="14"/>
        <v>1.01288844997681</v>
      </c>
      <c r="AR48" s="436">
        <f t="shared" si="15"/>
        <v>2.4110978411208102E-3</v>
      </c>
      <c r="AS48" s="440">
        <f t="shared" si="16"/>
        <v>2.42436581320014E-3</v>
      </c>
      <c r="AT48" s="432"/>
      <c r="AU48" s="441">
        <f t="shared" si="17"/>
        <v>0</v>
      </c>
      <c r="AV48" s="442">
        <f t="shared" si="18"/>
        <v>0</v>
      </c>
      <c r="AW48" s="442">
        <f t="shared" si="19"/>
        <v>0</v>
      </c>
      <c r="AX48" s="442">
        <f t="shared" si="20"/>
        <v>0</v>
      </c>
      <c r="AY48" s="443">
        <f t="shared" si="21"/>
        <v>0</v>
      </c>
      <c r="AZ48" s="444">
        <f t="shared" si="43"/>
        <v>-1</v>
      </c>
      <c r="BA48" s="445">
        <f t="shared" si="22"/>
        <v>0</v>
      </c>
      <c r="BB48" s="446">
        <f t="shared" si="22"/>
        <v>0</v>
      </c>
      <c r="BC48" s="446">
        <f t="shared" si="22"/>
        <v>0</v>
      </c>
      <c r="BD48" s="446">
        <f t="shared" si="22"/>
        <v>0</v>
      </c>
      <c r="BE48" s="446">
        <f t="shared" si="22"/>
        <v>0</v>
      </c>
      <c r="BF48" s="447">
        <f t="shared" si="44"/>
        <v>293963.46819986001</v>
      </c>
      <c r="BH48" s="448">
        <f>'Op Cost-26'!E39</f>
        <v>1220651</v>
      </c>
      <c r="BI48" s="449">
        <f t="shared" si="23"/>
        <v>0.24082515657617126</v>
      </c>
      <c r="BJ48" s="450">
        <f t="shared" si="24"/>
        <v>293963.46819986001</v>
      </c>
      <c r="BK48" s="451">
        <f t="shared" si="25"/>
        <v>0</v>
      </c>
      <c r="BL48" s="1">
        <f t="shared" si="45"/>
        <v>0.39024928664800418</v>
      </c>
      <c r="BM48" s="112">
        <f t="shared" si="46"/>
        <v>0.30769502269297994</v>
      </c>
      <c r="BN48" s="112">
        <f t="shared" si="47"/>
        <v>0.25499580448950343</v>
      </c>
      <c r="BO48" s="113">
        <f t="shared" si="48"/>
        <v>0.49915315970476676</v>
      </c>
      <c r="BP48" s="452">
        <f t="shared" si="26"/>
        <v>293963.46819986001</v>
      </c>
      <c r="BQ48" s="115">
        <f t="shared" si="49"/>
        <v>9.5305633162342781E-4</v>
      </c>
      <c r="BR48" s="116">
        <f t="shared" si="50"/>
        <v>9.5305633162342781E-4</v>
      </c>
      <c r="BS48" s="453">
        <f t="shared" si="51"/>
        <v>9.9907204751149706E-4</v>
      </c>
      <c r="BT48" s="118">
        <f t="shared" si="52"/>
        <v>301427.07988065609</v>
      </c>
      <c r="BU48" s="119">
        <f t="shared" si="53"/>
        <v>366195.3</v>
      </c>
      <c r="BV48" s="119">
        <f t="shared" si="54"/>
        <v>301427.07988065609</v>
      </c>
      <c r="BW48" s="119">
        <f t="shared" si="65"/>
        <v>0</v>
      </c>
      <c r="BX48" s="120">
        <f t="shared" si="55"/>
        <v>9.5305633162342781E-4</v>
      </c>
      <c r="BY48" s="454">
        <f t="shared" si="56"/>
        <v>1.0485883890598744E-3</v>
      </c>
      <c r="BZ48" s="122">
        <f t="shared" si="57"/>
        <v>301711.79476538062</v>
      </c>
      <c r="CA48" s="455">
        <f t="shared" si="27"/>
        <v>2.6097578707230005E-3</v>
      </c>
      <c r="CB48" s="456">
        <f t="shared" si="28"/>
        <v>19496.310978266596</v>
      </c>
      <c r="CC48" s="456">
        <f t="shared" si="29"/>
        <v>313459.7791781266</v>
      </c>
      <c r="CD48" s="457">
        <f t="shared" si="30"/>
        <v>0.25679721654930576</v>
      </c>
      <c r="CE48" s="458">
        <f t="shared" si="31"/>
        <v>0</v>
      </c>
      <c r="CF48" s="17"/>
      <c r="CG48" s="459">
        <f t="shared" si="32"/>
        <v>1220651</v>
      </c>
      <c r="CH48" s="460">
        <f t="shared" si="58"/>
        <v>0.25679721654930576</v>
      </c>
      <c r="CI48" s="461">
        <f t="shared" si="33"/>
        <v>313459.7791781266</v>
      </c>
      <c r="CJ48" s="462">
        <f t="shared" si="34"/>
        <v>0</v>
      </c>
      <c r="CL48" s="463">
        <f t="shared" si="35"/>
        <v>313459.7791781266</v>
      </c>
      <c r="CM48" s="464">
        <f t="shared" si="36"/>
        <v>2.6949920913765775E-3</v>
      </c>
      <c r="CN48" s="465">
        <f t="shared" si="37"/>
        <v>387.11352097069039</v>
      </c>
      <c r="CO48" s="466">
        <f t="shared" si="59"/>
        <v>313846.89269909728</v>
      </c>
      <c r="CP48" s="467">
        <f t="shared" si="60"/>
        <v>0.25711435348768591</v>
      </c>
      <c r="CQ48" s="468">
        <f t="shared" si="38"/>
        <v>0</v>
      </c>
      <c r="CR48" s="469"/>
      <c r="CS48" s="470">
        <f t="shared" si="39"/>
        <v>366195.3</v>
      </c>
      <c r="CT48" s="465">
        <f t="shared" si="40"/>
        <v>0</v>
      </c>
      <c r="CU48" s="471">
        <f t="shared" si="41"/>
        <v>313846.89269909728</v>
      </c>
      <c r="CV48" s="472">
        <f t="shared" si="42"/>
        <v>0.25711435348768591</v>
      </c>
      <c r="CY48" s="473">
        <v>0</v>
      </c>
      <c r="CZ48" s="474">
        <f t="shared" si="61"/>
        <v>313846.89269909728</v>
      </c>
      <c r="DA48" s="475">
        <f t="shared" si="62"/>
        <v>0.25711435348768591</v>
      </c>
      <c r="DB48" s="1">
        <f t="shared" si="63"/>
        <v>0</v>
      </c>
      <c r="DC48" s="293">
        <f t="shared" si="64"/>
        <v>0.24717285675052134</v>
      </c>
      <c r="DF48" s="476"/>
    </row>
    <row r="49" spans="1:110">
      <c r="A49" s="477" t="s">
        <v>124</v>
      </c>
      <c r="B49" s="428" t="s">
        <v>130</v>
      </c>
      <c r="C49" s="429"/>
      <c r="D49" s="91">
        <f>'Op Cost-26'!E40</f>
        <v>4896193</v>
      </c>
      <c r="E49" s="92">
        <f>'Ridership-26'!$E40</f>
        <v>192152</v>
      </c>
      <c r="F49" s="92">
        <f>'Revenue Hours-26'!$E40</f>
        <v>63064.05</v>
      </c>
      <c r="G49" s="92">
        <f>'Revenue Miles-26'!$E40</f>
        <v>985112</v>
      </c>
      <c r="H49" s="478">
        <f t="shared" si="0"/>
        <v>8.4737104493032411E-3</v>
      </c>
      <c r="I49" s="431">
        <f t="shared" si="1"/>
        <v>8.4737104493032428E-3</v>
      </c>
      <c r="J49" s="432"/>
      <c r="K49" s="433">
        <f>'Ridership-26'!B40/'Revenue Hours-26'!B40</f>
        <v>2.6052602436323364</v>
      </c>
      <c r="L49" s="539">
        <f>'Ridership-26'!C40/'Revenue Hours-26'!I40</f>
        <v>2.7993357457988401</v>
      </c>
      <c r="M49" s="539">
        <f>'Ridership-26'!D40/'Revenue Hours-26'!J40</f>
        <v>2.9370912341787041</v>
      </c>
      <c r="N49" s="539">
        <f>'Ridership-26'!E40/'Revenue Hours-26'!K40</f>
        <v>3.0469340297681482</v>
      </c>
      <c r="O49" s="435">
        <f t="shared" si="2"/>
        <v>0.89655682269168502</v>
      </c>
      <c r="P49" s="436">
        <f t="shared" si="3"/>
        <v>7.5971629168366459E-3</v>
      </c>
      <c r="Q49" s="437">
        <f t="shared" si="4"/>
        <v>7.2484889432510051E-3</v>
      </c>
      <c r="R49" s="438">
        <f>'Ridership-26'!B40/'Revenue Miles-26'!B40</f>
        <v>0.16890249812434263</v>
      </c>
      <c r="S49" s="539">
        <f>'Ridership-26'!C40/'Revenue Miles-26'!I40</f>
        <v>0.1810610173694088</v>
      </c>
      <c r="T49" s="539">
        <f>'Ridership-26'!D40/'Revenue Miles-26'!J40</f>
        <v>0.18826739427012279</v>
      </c>
      <c r="U49" s="539">
        <f>'Ridership-26'!E40/'Revenue Miles-26'!K40</f>
        <v>0.19505599363321124</v>
      </c>
      <c r="V49" s="435">
        <f t="shared" si="5"/>
        <v>0.89673887950738995</v>
      </c>
      <c r="W49" s="436">
        <f t="shared" si="6"/>
        <v>7.5987056135782514E-3</v>
      </c>
      <c r="X49" s="437">
        <f t="shared" si="7"/>
        <v>7.2315418919167741E-3</v>
      </c>
      <c r="Y49" s="438">
        <f>'Op Cost-26'!B40/'Revenue Hours-26'!B40</f>
        <v>61.375230712440015</v>
      </c>
      <c r="Z49" s="434">
        <f>'Op Cost-26'!C40/'Revenue Hours-26'!C40</f>
        <v>66.464250896412693</v>
      </c>
      <c r="AA49" s="434">
        <f>'Op Cost-26'!D40/'Revenue Hours-26'!D40</f>
        <v>73.070531219122003</v>
      </c>
      <c r="AB49" s="434">
        <f>'Op Cost-26'!E40/'Revenue Hours-26'!E40</f>
        <v>77.638416815919683</v>
      </c>
      <c r="AC49" s="435">
        <f t="shared" si="8"/>
        <v>1.0340237832501058</v>
      </c>
      <c r="AD49" s="436">
        <f t="shared" si="9"/>
        <v>8.1948893116065326E-3</v>
      </c>
      <c r="AE49" s="437">
        <f t="shared" si="10"/>
        <v>8.2113318614983489E-3</v>
      </c>
      <c r="AF49" s="438">
        <f>'Op Cost-26'!B40/'Revenue Miles-26'!B40</f>
        <v>3.9790381078535897</v>
      </c>
      <c r="AG49" s="434">
        <f>'Op Cost-26'!C40/'Revenue Miles-26'!C40</f>
        <v>4.2989073047277451</v>
      </c>
      <c r="AH49" s="434">
        <f>'Op Cost-26'!D40/'Revenue Miles-26'!D40</f>
        <v>4.6838172238134641</v>
      </c>
      <c r="AI49" s="434">
        <f>'Op Cost-26'!E40/'Revenue Miles-26'!E40</f>
        <v>4.9701891764591233</v>
      </c>
      <c r="AJ49" s="435">
        <f t="shared" si="11"/>
        <v>1.0349971909494167</v>
      </c>
      <c r="AK49" s="436">
        <f t="shared" si="12"/>
        <v>8.1871820748906539E-3</v>
      </c>
      <c r="AL49" s="437">
        <f t="shared" si="13"/>
        <v>8.202183936837493E-3</v>
      </c>
      <c r="AM49" s="438">
        <f>'Op Cost-26'!B40/'Ridership-26'!B40</f>
        <v>23.558195716704567</v>
      </c>
      <c r="AN49" s="434">
        <f>'Op Cost-26'!C40/'Ridership-26'!C40</f>
        <v>23.742865069386646</v>
      </c>
      <c r="AO49" s="434">
        <f>'Op Cost-26'!D40/'Ridership-26'!D40</f>
        <v>24.878536413443978</v>
      </c>
      <c r="AP49" s="434">
        <f>'Op Cost-26'!E40/'Ridership-26'!E40</f>
        <v>25.48083288230151</v>
      </c>
      <c r="AQ49" s="439">
        <f t="shared" si="14"/>
        <v>1.1585307516945786</v>
      </c>
      <c r="AR49" s="436">
        <f t="shared" si="15"/>
        <v>7.3141869017363395E-3</v>
      </c>
      <c r="AS49" s="440">
        <f t="shared" si="16"/>
        <v>7.3544359641925213E-3</v>
      </c>
      <c r="AT49" s="432"/>
      <c r="AU49" s="441">
        <f t="shared" si="17"/>
        <v>0</v>
      </c>
      <c r="AV49" s="442">
        <f t="shared" si="18"/>
        <v>0</v>
      </c>
      <c r="AW49" s="442">
        <f t="shared" si="19"/>
        <v>0</v>
      </c>
      <c r="AX49" s="442">
        <f t="shared" si="20"/>
        <v>0</v>
      </c>
      <c r="AY49" s="443">
        <f t="shared" si="21"/>
        <v>0</v>
      </c>
      <c r="AZ49" s="444">
        <f t="shared" si="43"/>
        <v>-1</v>
      </c>
      <c r="BA49" s="445">
        <f t="shared" si="22"/>
        <v>0</v>
      </c>
      <c r="BB49" s="446">
        <f t="shared" si="22"/>
        <v>0</v>
      </c>
      <c r="BC49" s="446">
        <f t="shared" si="22"/>
        <v>0</v>
      </c>
      <c r="BD49" s="446">
        <f t="shared" si="22"/>
        <v>0</v>
      </c>
      <c r="BE49" s="446">
        <f t="shared" si="22"/>
        <v>0</v>
      </c>
      <c r="BF49" s="447">
        <f t="shared" si="44"/>
        <v>1019977.3538017536</v>
      </c>
      <c r="BH49" s="448">
        <f>'Op Cost-26'!E40</f>
        <v>4896193</v>
      </c>
      <c r="BI49" s="449">
        <f t="shared" si="23"/>
        <v>0.20832049590401228</v>
      </c>
      <c r="BJ49" s="450">
        <f t="shared" si="24"/>
        <v>1019977.3538017536</v>
      </c>
      <c r="BK49" s="451">
        <f t="shared" si="25"/>
        <v>0</v>
      </c>
      <c r="BL49" s="1">
        <f t="shared" si="45"/>
        <v>0.3704301011210811</v>
      </c>
      <c r="BM49" s="112">
        <f t="shared" si="46"/>
        <v>0.28675899757386536</v>
      </c>
      <c r="BN49" s="112">
        <f t="shared" si="47"/>
        <v>0.26057705247318308</v>
      </c>
      <c r="BO49" s="113">
        <f t="shared" si="48"/>
        <v>0.46719217721863798</v>
      </c>
      <c r="BP49" s="452">
        <f t="shared" si="26"/>
        <v>1019977.3538017536</v>
      </c>
      <c r="BQ49" s="115">
        <f t="shared" si="49"/>
        <v>3.1389174186061616E-3</v>
      </c>
      <c r="BR49" s="116">
        <f t="shared" si="50"/>
        <v>3.1389174186061616E-3</v>
      </c>
      <c r="BS49" s="453">
        <f t="shared" si="51"/>
        <v>3.2904714530719481E-3</v>
      </c>
      <c r="BT49" s="118">
        <f t="shared" si="52"/>
        <v>1044558.9655420132</v>
      </c>
      <c r="BU49" s="119">
        <f t="shared" si="53"/>
        <v>1468857.9</v>
      </c>
      <c r="BV49" s="119">
        <f t="shared" si="54"/>
        <v>1044558.9655420132</v>
      </c>
      <c r="BW49" s="119">
        <f t="shared" si="65"/>
        <v>0</v>
      </c>
      <c r="BX49" s="120">
        <f t="shared" si="55"/>
        <v>3.1389174186061616E-3</v>
      </c>
      <c r="BY49" s="454">
        <f t="shared" si="56"/>
        <v>3.4535548950832924E-3</v>
      </c>
      <c r="BZ49" s="122">
        <f t="shared" si="57"/>
        <v>1045496.6818986906</v>
      </c>
      <c r="CA49" s="455">
        <f t="shared" si="27"/>
        <v>9.0551861540617527E-3</v>
      </c>
      <c r="CB49" s="456">
        <f t="shared" si="28"/>
        <v>67647.166507739239</v>
      </c>
      <c r="CC49" s="456">
        <f t="shared" si="29"/>
        <v>1087624.5203094929</v>
      </c>
      <c r="CD49" s="457">
        <f t="shared" si="30"/>
        <v>0.22213677449183333</v>
      </c>
      <c r="CE49" s="458">
        <f t="shared" si="31"/>
        <v>0</v>
      </c>
      <c r="CF49" s="17"/>
      <c r="CG49" s="459">
        <f t="shared" si="32"/>
        <v>4896193</v>
      </c>
      <c r="CH49" s="460">
        <f t="shared" si="58"/>
        <v>0.22213677449183333</v>
      </c>
      <c r="CI49" s="461">
        <f t="shared" si="33"/>
        <v>1087624.5203094929</v>
      </c>
      <c r="CJ49" s="462">
        <f t="shared" si="34"/>
        <v>0</v>
      </c>
      <c r="CL49" s="463">
        <f t="shared" si="35"/>
        <v>1087624.5203094929</v>
      </c>
      <c r="CM49" s="464">
        <f t="shared" si="36"/>
        <v>9.3509268982023969E-3</v>
      </c>
      <c r="CN49" s="465">
        <f t="shared" si="37"/>
        <v>1343.183992073858</v>
      </c>
      <c r="CO49" s="466">
        <f t="shared" si="59"/>
        <v>1088967.7043015668</v>
      </c>
      <c r="CP49" s="467">
        <f t="shared" si="60"/>
        <v>0.22241110681330717</v>
      </c>
      <c r="CQ49" s="468">
        <f t="shared" si="38"/>
        <v>0</v>
      </c>
      <c r="CR49" s="469"/>
      <c r="CS49" s="470">
        <f t="shared" si="39"/>
        <v>1468857.9</v>
      </c>
      <c r="CT49" s="465">
        <f t="shared" si="40"/>
        <v>0</v>
      </c>
      <c r="CU49" s="471">
        <f t="shared" si="41"/>
        <v>1088967.7043015668</v>
      </c>
      <c r="CV49" s="472">
        <f t="shared" si="42"/>
        <v>0.22241110681330717</v>
      </c>
      <c r="CY49" s="473">
        <v>4766</v>
      </c>
      <c r="CZ49" s="474">
        <f t="shared" si="61"/>
        <v>1093733.7043015668</v>
      </c>
      <c r="DA49" s="475">
        <f t="shared" si="62"/>
        <v>0.22338451615399288</v>
      </c>
      <c r="DB49" s="1">
        <f t="shared" si="63"/>
        <v>0</v>
      </c>
      <c r="DC49" s="293">
        <f t="shared" si="64"/>
        <v>0.21353257150988342</v>
      </c>
      <c r="DF49" s="476"/>
    </row>
    <row r="50" spans="1:110" s="171" customFormat="1" ht="15" thickBot="1">
      <c r="A50" s="479"/>
      <c r="B50" s="480" t="s">
        <v>131</v>
      </c>
      <c r="C50" s="429"/>
      <c r="D50" s="481">
        <f t="shared" ref="D50:I50" si="66">SUM(D12:D49)</f>
        <v>581261868</v>
      </c>
      <c r="E50" s="482">
        <f t="shared" si="66"/>
        <v>53095068</v>
      </c>
      <c r="F50" s="482">
        <f t="shared" si="66"/>
        <v>4681948.6436643004</v>
      </c>
      <c r="G50" s="482">
        <f t="shared" si="66"/>
        <v>66013685.590599991</v>
      </c>
      <c r="H50" s="483">
        <f t="shared" si="66"/>
        <v>0.99999999999999978</v>
      </c>
      <c r="I50" s="484">
        <f t="shared" si="66"/>
        <v>0.99999999999999989</v>
      </c>
      <c r="J50" s="485"/>
      <c r="K50" s="486">
        <f>'Ridership-26'!B41/'Revenue Hours-26'!B41</f>
        <v>6.9503910166537581</v>
      </c>
      <c r="L50" s="487">
        <f>'Ridership-26'!C41/'Revenue Hours-26'!C41</f>
        <v>8.9103336909540651</v>
      </c>
      <c r="M50" s="487">
        <f>'Ridership-26'!D41/'Revenue Hours-26'!D41</f>
        <v>10.58680012169124</v>
      </c>
      <c r="N50" s="487">
        <f>'Ridership-26'!E41/'Revenue Hours-26'!E41</f>
        <v>11.340378129061545</v>
      </c>
      <c r="O50" s="488"/>
      <c r="P50" s="489">
        <f>SUM(P12:P49)</f>
        <v>1.0481029875765056</v>
      </c>
      <c r="Q50" s="490">
        <f>SUM(Q12:Q49)</f>
        <v>1</v>
      </c>
      <c r="R50" s="491">
        <f>'Ridership-26'!B41/'Revenue Miles-26'!B41</f>
        <v>0.50001375435483453</v>
      </c>
      <c r="S50" s="487">
        <f>'Ridership-26'!C41/'Revenue Miles-26'!C41</f>
        <v>0.62877909337252769</v>
      </c>
      <c r="T50" s="487">
        <f>'Ridership-26'!D41/'Revenue Miles-26'!D41</f>
        <v>0.74929493676777836</v>
      </c>
      <c r="U50" s="487">
        <f>'Ridership-26'!E41/'Revenue Miles-26'!E41</f>
        <v>0.80430394887026979</v>
      </c>
      <c r="V50" s="488"/>
      <c r="W50" s="489">
        <f>SUM(W12:W49)</f>
        <v>1.0507725360855453</v>
      </c>
      <c r="X50" s="490">
        <f>SUM(X12:X49)</f>
        <v>1.0000000000000002</v>
      </c>
      <c r="Y50" s="492">
        <f>'Op Cost-26'!B41/'Revenue Hours-26'!B41</f>
        <v>108.38174623012041</v>
      </c>
      <c r="Z50" s="493">
        <f>'Op Cost-26'!C41/'Revenue Hours-26'!C41</f>
        <v>109.41026264200019</v>
      </c>
      <c r="AA50" s="493">
        <f>'Op Cost-26'!D41/'Revenue Hours-26'!D41</f>
        <v>119.77918538846754</v>
      </c>
      <c r="AB50" s="493">
        <f>'Op Cost-26'!E41/'Revenue Hours-26'!E41</f>
        <v>124.14956084291406</v>
      </c>
      <c r="AC50" s="488"/>
      <c r="AD50" s="489">
        <f>SUM(AD12:AD49)</f>
        <v>0.99799757820422375</v>
      </c>
      <c r="AE50" s="490">
        <f>SUM(AE12:AE49)</f>
        <v>1</v>
      </c>
      <c r="AF50" s="492">
        <f>'Op Cost-26'!B41/'Revenue Miles-26'!B41</f>
        <v>7.7970237510674849</v>
      </c>
      <c r="AG50" s="493">
        <f>'Op Cost-26'!C41/'Revenue Miles-26'!C41</f>
        <v>7.7207979112531833</v>
      </c>
      <c r="AH50" s="493">
        <f>'Op Cost-26'!D41/'Revenue Miles-26'!D41</f>
        <v>8.4775320314076392</v>
      </c>
      <c r="AI50" s="493">
        <f>'Op Cost-26'!E41/'Revenue Miles-26'!E41</f>
        <v>8.8051721820962641</v>
      </c>
      <c r="AJ50" s="488"/>
      <c r="AK50" s="489">
        <f>SUM(AK12:AK49)</f>
        <v>0.99817099176727031</v>
      </c>
      <c r="AL50" s="490">
        <f>SUM(AL12:AL49)</f>
        <v>1.0000000000000002</v>
      </c>
      <c r="AM50" s="492">
        <f>'Op Cost-26'!B41/'Ridership-26'!B41</f>
        <v>15.593618541809814</v>
      </c>
      <c r="AN50" s="493">
        <f>'Op Cost-26'!C41/'Ridership-26'!C41</f>
        <v>12.279030891185982</v>
      </c>
      <c r="AO50" s="493">
        <f>'Op Cost-26'!D41/'Ridership-26'!D41</f>
        <v>11.314012167194182</v>
      </c>
      <c r="AP50" s="493">
        <f>'Op Cost-26'!E41/'Ridership-26'!E41</f>
        <v>10.947568011401737</v>
      </c>
      <c r="AQ50" s="494"/>
      <c r="AR50" s="489">
        <f>SUM(AR12:AR49)</f>
        <v>0.99452724006951077</v>
      </c>
      <c r="AS50" s="495">
        <f>SUM(AS12:AS49)</f>
        <v>0.99999999999999989</v>
      </c>
      <c r="AT50" s="485"/>
      <c r="AU50" s="496">
        <f>SUM(AU12:AU49)</f>
        <v>0</v>
      </c>
      <c r="AV50" s="497">
        <f>SUM(AV12:AV49)</f>
        <v>0</v>
      </c>
      <c r="AW50" s="497">
        <f>SUM(AW12:AW49)</f>
        <v>0</v>
      </c>
      <c r="AX50" s="497">
        <f>SUM(AX12:AX49)</f>
        <v>0</v>
      </c>
      <c r="AY50" s="498">
        <f>SUM(AY12:AY49)</f>
        <v>0</v>
      </c>
      <c r="AZ50" s="485"/>
      <c r="BA50" s="499">
        <f t="shared" si="22"/>
        <v>0</v>
      </c>
      <c r="BB50" s="500">
        <f t="shared" si="22"/>
        <v>0</v>
      </c>
      <c r="BC50" s="500">
        <f t="shared" si="22"/>
        <v>0</v>
      </c>
      <c r="BD50" s="500">
        <f t="shared" si="22"/>
        <v>0</v>
      </c>
      <c r="BE50" s="500">
        <f t="shared" si="22"/>
        <v>0</v>
      </c>
      <c r="BF50" s="501">
        <f t="shared" ref="BF50" si="67">SUM(BA50:BE50)</f>
        <v>0</v>
      </c>
      <c r="BH50" s="502">
        <f>'Op Cost-26'!E41</f>
        <v>581261868</v>
      </c>
      <c r="BI50" s="503"/>
      <c r="BJ50" s="504">
        <f>SUM(BJ12:BJ49)</f>
        <v>119234325.00931734</v>
      </c>
      <c r="BK50" s="505">
        <f>SUM(BK12:BK49)</f>
        <v>1135300.5406827019</v>
      </c>
      <c r="BP50" s="481">
        <f>SUM(BP12:BP49)</f>
        <v>112640130.90931733</v>
      </c>
      <c r="BQ50" s="506">
        <f>SUM(BQ12:BQ49)</f>
        <v>1.1593552593785843</v>
      </c>
      <c r="BR50" s="507">
        <f>SUM(BR12:BR49)</f>
        <v>0.95394154405311815</v>
      </c>
      <c r="BS50" s="508">
        <f>SUM(BS12:BS49)</f>
        <v>1</v>
      </c>
      <c r="BT50" s="509">
        <f>SUM(BT12:BT49)</f>
        <v>126704869.00000003</v>
      </c>
      <c r="BU50" s="509"/>
      <c r="BV50" s="509">
        <f t="shared" ref="BV50" si="68">SUM(BV12:BV49)</f>
        <v>126433346.93500766</v>
      </c>
      <c r="BW50" s="510">
        <f>SUM(BW12:BW49)</f>
        <v>271522.06499235495</v>
      </c>
      <c r="BX50" s="511">
        <f>SUM(BX12:BX49)</f>
        <v>0.90889460685131451</v>
      </c>
      <c r="BY50" s="512">
        <f>SUM(BY12:BY49)</f>
        <v>1</v>
      </c>
      <c r="BZ50" s="513">
        <f>SUM(BZ12:BZ49)</f>
        <v>126704868.99999997</v>
      </c>
      <c r="CA50" s="514"/>
      <c r="CB50" s="515">
        <f>SUM(CB12:CB49)</f>
        <v>7470543.9906827025</v>
      </c>
      <c r="CC50" s="515">
        <f>SUM(CC12:CC49)</f>
        <v>126704869.00000003</v>
      </c>
      <c r="CD50" s="516"/>
      <c r="CE50" s="517">
        <f>SUM(CE12:CE49)</f>
        <v>5</v>
      </c>
      <c r="CG50" s="518">
        <f>SUM(CG12:CG49)</f>
        <v>581261868</v>
      </c>
      <c r="CH50" s="519"/>
      <c r="CI50" s="520">
        <f>SUM(CI12:CI49)</f>
        <v>126561227.19778125</v>
      </c>
      <c r="CJ50" s="521">
        <f t="shared" si="34"/>
        <v>143641.80221877992</v>
      </c>
      <c r="CK50" s="1"/>
      <c r="CL50" s="522">
        <f>SUM(CL12:CL49)</f>
        <v>116311947.69778125</v>
      </c>
      <c r="CM50" s="523">
        <f t="shared" si="36"/>
        <v>1</v>
      </c>
      <c r="CN50" s="524">
        <f t="shared" si="37"/>
        <v>143641.80221877992</v>
      </c>
      <c r="CO50" s="525">
        <f>(CN50+CI50)</f>
        <v>126704869.00000003</v>
      </c>
      <c r="CP50" s="526">
        <f>CO50/CG50</f>
        <v>0.21798242061872194</v>
      </c>
      <c r="CQ50" s="527">
        <f>SUM(CQ12:CQ49)</f>
        <v>0</v>
      </c>
      <c r="CR50" s="528"/>
      <c r="CS50" s="529">
        <f>SUM(CS12:CS49)</f>
        <v>174378560.39999998</v>
      </c>
      <c r="CT50" s="520">
        <f>SUM(CT12:CT49)</f>
        <v>0</v>
      </c>
      <c r="CU50" s="530">
        <f>SUM(CU12:CU49)</f>
        <v>126704869.00000003</v>
      </c>
      <c r="CV50" s="531">
        <f>AVERAGE(CV12:CV49)</f>
        <v>0.24667019160175094</v>
      </c>
      <c r="CY50" s="532">
        <f>SUM(CY12:CY49)</f>
        <v>547448.79999999993</v>
      </c>
      <c r="CZ50" s="533">
        <f>SUM(CZ12:CZ49)</f>
        <v>127252317.80000004</v>
      </c>
      <c r="DA50" s="534">
        <f>AVERAGE(DA12:DA49)</f>
        <v>0.24706102670582197</v>
      </c>
      <c r="DB50" s="1">
        <f>SUM(DB12:DB49)</f>
        <v>0</v>
      </c>
    </row>
    <row r="51" spans="1:110">
      <c r="BL51" s="1">
        <f>MEDIAN(BL12:BL49)</f>
        <v>0.64847120474527964</v>
      </c>
      <c r="BS51" s="535"/>
    </row>
    <row r="52" spans="1:110">
      <c r="BS52" s="535"/>
      <c r="CU52" s="301"/>
    </row>
    <row r="53" spans="1:110">
      <c r="BS53" s="535"/>
    </row>
    <row r="54" spans="1:110">
      <c r="BS54" s="535">
        <v>0.03</v>
      </c>
    </row>
    <row r="55" spans="1:110">
      <c r="BS55" s="535"/>
    </row>
    <row r="56" spans="1:110">
      <c r="BS56" s="535"/>
    </row>
    <row r="57" spans="1:110">
      <c r="BS57" s="535"/>
    </row>
    <row r="58" spans="1:110">
      <c r="BS58" s="535"/>
    </row>
    <row r="59" spans="1:110">
      <c r="BS59" s="535"/>
    </row>
    <row r="60" spans="1:110">
      <c r="BS60" s="535"/>
    </row>
    <row r="61" spans="1:110">
      <c r="BS61" s="535"/>
    </row>
    <row r="62" spans="1:110">
      <c r="BS62" s="535"/>
    </row>
    <row r="63" spans="1:110">
      <c r="BS63" s="535"/>
    </row>
    <row r="64" spans="1:110">
      <c r="BS64" s="535"/>
    </row>
    <row r="65" spans="71:71">
      <c r="BS65" s="535"/>
    </row>
    <row r="66" spans="71:71">
      <c r="BS66" s="535"/>
    </row>
    <row r="67" spans="71:71">
      <c r="BS67" s="535"/>
    </row>
    <row r="68" spans="71:71">
      <c r="BS68" s="535"/>
    </row>
    <row r="69" spans="71:71">
      <c r="BS69" s="535"/>
    </row>
    <row r="70" spans="71:71">
      <c r="BS70" s="535"/>
    </row>
    <row r="71" spans="71:71">
      <c r="BS71" s="535"/>
    </row>
    <row r="72" spans="71:71">
      <c r="BS72" s="535"/>
    </row>
    <row r="73" spans="71:71">
      <c r="BS73" s="535"/>
    </row>
    <row r="74" spans="71:71">
      <c r="BS74" s="535"/>
    </row>
    <row r="75" spans="71:71">
      <c r="BS75" s="535"/>
    </row>
    <row r="76" spans="71:71">
      <c r="BS76" s="535"/>
    </row>
    <row r="77" spans="71:71">
      <c r="BS77" s="535"/>
    </row>
    <row r="78" spans="71:71">
      <c r="BS78" s="535"/>
    </row>
    <row r="79" spans="71:71">
      <c r="BS79" s="535"/>
    </row>
    <row r="80" spans="71:71">
      <c r="BS80" s="535"/>
    </row>
    <row r="81" spans="71:71">
      <c r="BS81" s="535"/>
    </row>
    <row r="82" spans="71:71">
      <c r="BS82" s="535"/>
    </row>
    <row r="83" spans="71:71">
      <c r="BS83" s="535"/>
    </row>
    <row r="84" spans="71:71">
      <c r="BS84" s="535"/>
    </row>
    <row r="85" spans="71:71">
      <c r="BS85" s="535"/>
    </row>
    <row r="86" spans="71:71">
      <c r="BS86" s="535"/>
    </row>
    <row r="87" spans="71:71">
      <c r="BS87" s="538"/>
    </row>
  </sheetData>
  <autoFilter ref="A11:CO11" xr:uid="{00000000-0001-0000-0F00-000000000000}"/>
  <mergeCells count="11">
    <mergeCell ref="CS3:CV3"/>
    <mergeCell ref="CY3:CZ3"/>
    <mergeCell ref="AU5:AY5"/>
    <mergeCell ref="A9:A11"/>
    <mergeCell ref="B9:B11"/>
    <mergeCell ref="D3:I3"/>
    <mergeCell ref="K3:AS3"/>
    <mergeCell ref="AU3:AY3"/>
    <mergeCell ref="BA3:BF3"/>
    <mergeCell ref="BH3:CE3"/>
    <mergeCell ref="CG3:CQ3"/>
  </mergeCells>
  <conditionalFormatting sqref="BI12:BI49">
    <cfRule type="cellIs" dxfId="34" priority="5" operator="greaterThan">
      <formula>$BJ$6</formula>
    </cfRule>
  </conditionalFormatting>
  <conditionalFormatting sqref="BL12:BL49">
    <cfRule type="cellIs" dxfId="33" priority="1" operator="greaterThan">
      <formula>$BL$51</formula>
    </cfRule>
  </conditionalFormatting>
  <conditionalFormatting sqref="BS51:BS86">
    <cfRule type="cellIs" dxfId="32" priority="2" operator="greaterThan">
      <formula>0.04</formula>
    </cfRule>
  </conditionalFormatting>
  <conditionalFormatting sqref="CD12:CD49">
    <cfRule type="cellIs" dxfId="31" priority="7" operator="greaterThan">
      <formula>$BJ$6</formula>
    </cfRule>
  </conditionalFormatting>
  <conditionalFormatting sqref="CE12:CE49 CQ12:CR49">
    <cfRule type="cellIs" dxfId="30" priority="8" operator="greaterThan">
      <formula>0</formula>
    </cfRule>
  </conditionalFormatting>
  <conditionalFormatting sqref="CP12:CP49">
    <cfRule type="cellIs" dxfId="29" priority="6" operator="greaterThan">
      <formula>$BJ$6</formula>
    </cfRule>
  </conditionalFormatting>
  <conditionalFormatting sqref="CV12:CV49">
    <cfRule type="cellIs" dxfId="28" priority="3" operator="equal">
      <formula>$BJ$6</formula>
    </cfRule>
    <cfRule type="cellIs" dxfId="27" priority="4" operator="greaterThan">
      <formula>$BJ$6</formula>
    </cfRule>
  </conditionalFormatting>
  <printOptions horizontalCentered="1"/>
  <pageMargins left="0.25" right="0.25" top="0.75" bottom="0.75" header="0.3" footer="0.3"/>
  <pageSetup paperSize="17" scale="18" orientation="landscape" r:id="rId1"/>
  <headerFooter alignWithMargins="0">
    <oddFooter>&amp;L&amp;F&amp;R&amp;D</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00D50-83EB-4D14-AC96-EF4A4AA72AC5}">
  <sheetPr>
    <tabColor theme="6" tint="0.39997558519241921"/>
    <pageSetUpPr fitToPage="1"/>
  </sheetPr>
  <dimension ref="A1:CR58"/>
  <sheetViews>
    <sheetView zoomScale="80" zoomScaleNormal="80" workbookViewId="0">
      <pane xSplit="2" topLeftCell="C1" activePane="topRight" state="frozen"/>
      <selection pane="topRight" activeCell="A2" sqref="A2"/>
    </sheetView>
  </sheetViews>
  <sheetFormatPr defaultColWidth="9.42578125" defaultRowHeight="14.25"/>
  <cols>
    <col min="1" max="1" width="13.42578125" style="10" customWidth="1"/>
    <col min="2" max="2" width="40.140625" style="1" customWidth="1"/>
    <col min="3" max="3" width="21.42578125" style="1" customWidth="1"/>
    <col min="4" max="4" width="17.42578125" style="1" customWidth="1"/>
    <col min="5" max="5" width="14.42578125" style="1" customWidth="1"/>
    <col min="6" max="6" width="17.85546875" style="1" customWidth="1"/>
    <col min="7" max="7" width="14.5703125" style="1" customWidth="1"/>
    <col min="8" max="8" width="17.42578125" style="4" customWidth="1"/>
    <col min="9" max="9" width="9.42578125" style="1" customWidth="1"/>
    <col min="10" max="10" width="8.5703125" style="1" customWidth="1"/>
    <col min="11" max="11" width="11.5703125" style="1" customWidth="1"/>
    <col min="12" max="13" width="8.5703125" style="1" customWidth="1"/>
    <col min="14" max="16" width="15.5703125" style="1" customWidth="1"/>
    <col min="17" max="20" width="8.5703125" style="1" customWidth="1"/>
    <col min="21" max="22" width="15.5703125" style="1" customWidth="1"/>
    <col min="23" max="23" width="15.5703125" style="5" customWidth="1"/>
    <col min="24" max="27" width="10.5703125" style="1" customWidth="1"/>
    <col min="28" max="29" width="15.5703125" style="1" customWidth="1"/>
    <col min="30" max="30" width="15.5703125" style="5" customWidth="1"/>
    <col min="31" max="34" width="8.5703125" style="1" customWidth="1"/>
    <col min="35" max="36" width="15.5703125" style="1" customWidth="1"/>
    <col min="37" max="37" width="15.5703125" style="5" customWidth="1"/>
    <col min="38" max="40" width="8.5703125" style="1" customWidth="1"/>
    <col min="41" max="41" width="9.42578125" style="1" customWidth="1"/>
    <col min="42" max="43" width="15.5703125" style="1" customWidth="1"/>
    <col min="44" max="44" width="15.5703125" style="5" customWidth="1"/>
    <col min="45" max="45" width="9.42578125" style="1" customWidth="1"/>
    <col min="46" max="50" width="17.5703125" style="1" customWidth="1"/>
    <col min="51" max="51" width="9.42578125" style="1" customWidth="1"/>
    <col min="52" max="52" width="20.42578125" style="1" customWidth="1"/>
    <col min="53" max="57" width="17.5703125" style="1" customWidth="1"/>
    <col min="58" max="58" width="14.42578125" style="1" bestFit="1" customWidth="1"/>
    <col min="59" max="59" width="14.5703125" style="6" customWidth="1"/>
    <col min="60" max="60" width="18.5703125" style="1" customWidth="1"/>
    <col min="61" max="61" width="23.5703125" style="1" customWidth="1"/>
    <col min="62" max="62" width="15" style="1" customWidth="1"/>
    <col min="63" max="66" width="9.42578125" style="1" customWidth="1"/>
    <col min="67" max="79" width="21.5703125" style="1" customWidth="1"/>
    <col min="80" max="80" width="18.42578125" style="1" customWidth="1"/>
    <col min="81" max="81" width="18.42578125" style="8" customWidth="1"/>
    <col min="82" max="82" width="10" style="1" customWidth="1"/>
    <col min="83" max="83" width="23.5703125" style="1" customWidth="1"/>
    <col min="84" max="84" width="12.42578125" style="1" customWidth="1"/>
    <col min="85" max="85" width="14.85546875" style="1" customWidth="1"/>
    <col min="86" max="86" width="15.140625" style="1" customWidth="1"/>
    <col min="87" max="87" width="18.42578125" style="1" customWidth="1"/>
    <col min="88" max="88" width="15.85546875" style="1" customWidth="1"/>
    <col min="89" max="89" width="9.42578125" style="1" customWidth="1"/>
    <col min="90" max="91" width="21.5703125" style="1" customWidth="1"/>
    <col min="92" max="92" width="18.42578125" style="1" customWidth="1"/>
    <col min="93" max="93" width="18.42578125" style="8" customWidth="1"/>
    <col min="94" max="94" width="9.42578125" style="1"/>
    <col min="95" max="95" width="9.42578125" style="9"/>
    <col min="96" max="96" width="18.42578125" style="1" customWidth="1"/>
    <col min="97" max="16384" width="9.42578125" style="1"/>
  </cols>
  <sheetData>
    <row r="1" spans="1:96" ht="20.25">
      <c r="A1" s="370" t="s">
        <v>156</v>
      </c>
    </row>
    <row r="2" spans="1:96" ht="17.25">
      <c r="A2" s="1149" t="str" cm="1">
        <f t="array" aca="1" ref="A2" ca="1">"Scenario "&amp;MID(CELL("filename",A1),FIND("]",CELL("filename",A1))+1,500)</f>
        <v>Scenario S6C-25</v>
      </c>
      <c r="B2" s="11"/>
    </row>
    <row r="3" spans="1:96" ht="15" customHeight="1">
      <c r="A3" s="11"/>
      <c r="B3" s="11"/>
      <c r="C3" s="2" t="s">
        <v>0</v>
      </c>
      <c r="F3" s="3"/>
      <c r="BO3" s="7" t="s">
        <v>1</v>
      </c>
      <c r="BP3" s="7"/>
      <c r="BQ3" s="7"/>
      <c r="BR3" s="7"/>
      <c r="BS3" s="7"/>
      <c r="BT3" s="7"/>
      <c r="BU3" s="7"/>
      <c r="BV3" s="7"/>
      <c r="BW3" s="7"/>
      <c r="BX3" s="7"/>
      <c r="BY3" s="7"/>
      <c r="BZ3" s="7"/>
      <c r="CL3" s="1166" t="s">
        <v>2</v>
      </c>
      <c r="CM3" s="1166"/>
      <c r="CN3" s="1166"/>
      <c r="CO3" s="1166"/>
    </row>
    <row r="4" spans="1:96" ht="15" customHeight="1">
      <c r="A4" s="11"/>
      <c r="B4" s="11"/>
      <c r="C4" s="12">
        <v>0</v>
      </c>
      <c r="D4" s="13"/>
      <c r="E4" s="10"/>
      <c r="F4" s="14"/>
      <c r="H4" s="15"/>
      <c r="L4" s="16"/>
      <c r="N4" s="17"/>
      <c r="O4" s="17"/>
      <c r="R4" s="16"/>
      <c r="Y4" s="16"/>
      <c r="AF4" s="16"/>
      <c r="AM4" s="16"/>
    </row>
    <row r="5" spans="1:96" ht="15" customHeight="1">
      <c r="A5" s="11"/>
      <c r="B5" s="11"/>
      <c r="C5" s="18" t="s">
        <v>3</v>
      </c>
      <c r="D5" s="19"/>
      <c r="E5" s="20"/>
      <c r="F5" s="21"/>
      <c r="H5" s="15"/>
      <c r="L5" s="16"/>
      <c r="N5" s="17"/>
      <c r="O5" s="17"/>
      <c r="R5" s="16"/>
      <c r="Y5" s="16"/>
      <c r="AF5" s="16"/>
      <c r="AM5" s="16"/>
      <c r="AT5" s="22" t="s">
        <v>4</v>
      </c>
      <c r="AU5" s="23"/>
      <c r="AV5" s="23"/>
      <c r="AW5" s="23"/>
      <c r="AX5" s="24"/>
      <c r="AZ5" s="25" t="s">
        <v>5</v>
      </c>
      <c r="BI5" s="25" t="s">
        <v>6</v>
      </c>
      <c r="BO5" s="25" t="s">
        <v>7</v>
      </c>
      <c r="BP5" s="7"/>
      <c r="BQ5" s="7"/>
      <c r="BR5" s="7"/>
      <c r="BS5" s="7"/>
      <c r="BT5" s="7"/>
      <c r="BU5" s="283" t="s">
        <v>142</v>
      </c>
      <c r="BV5" s="7"/>
      <c r="BW5" s="7"/>
      <c r="BX5" s="7"/>
      <c r="BY5" s="7"/>
      <c r="BZ5" s="7"/>
      <c r="CM5" s="25" t="s">
        <v>7</v>
      </c>
    </row>
    <row r="6" spans="1:96">
      <c r="B6" s="26"/>
      <c r="C6" s="27">
        <v>0.35</v>
      </c>
      <c r="D6" s="27">
        <v>0.35</v>
      </c>
      <c r="E6" s="27">
        <v>0.15</v>
      </c>
      <c r="F6" s="27">
        <v>0.15</v>
      </c>
      <c r="H6" s="15"/>
      <c r="L6" s="16"/>
      <c r="N6" s="17"/>
      <c r="O6" s="17"/>
      <c r="R6" s="16"/>
      <c r="Y6" s="16"/>
      <c r="AF6" s="16"/>
      <c r="AM6" s="16"/>
      <c r="AT6" s="28">
        <v>0</v>
      </c>
      <c r="AU6" s="28">
        <v>0</v>
      </c>
      <c r="AV6" s="28">
        <v>0</v>
      </c>
      <c r="AW6" s="28">
        <v>0</v>
      </c>
      <c r="AX6" s="28">
        <v>0</v>
      </c>
      <c r="AY6" s="29"/>
      <c r="AZ6" s="30">
        <f>128674211*(1-AY8)</f>
        <v>122240500.44999999</v>
      </c>
      <c r="BA6" s="1" t="s">
        <v>8</v>
      </c>
      <c r="BI6" s="284">
        <v>0.3</v>
      </c>
      <c r="BO6" s="31">
        <f>$BJ$51+AZ8</f>
        <v>8594614.505890118</v>
      </c>
      <c r="BP6" s="32"/>
      <c r="BQ6" s="32"/>
      <c r="BR6" s="32"/>
      <c r="BS6" s="32"/>
      <c r="BT6" s="32"/>
      <c r="BU6" s="285">
        <v>0.3</v>
      </c>
      <c r="BV6" s="32"/>
      <c r="BW6" s="32"/>
      <c r="BX6" s="32"/>
      <c r="BY6" s="32"/>
      <c r="BZ6" s="32"/>
      <c r="CM6" s="31">
        <f>CJ51</f>
        <v>894313.9328084311</v>
      </c>
    </row>
    <row r="7" spans="1:96" ht="15" customHeight="1" thickBot="1">
      <c r="A7" s="34" t="s">
        <v>143</v>
      </c>
      <c r="G7" s="35"/>
      <c r="BO7" s="286" t="s">
        <v>144</v>
      </c>
      <c r="BP7" s="286" t="s">
        <v>145</v>
      </c>
      <c r="BQ7" s="286" t="s">
        <v>146</v>
      </c>
    </row>
    <row r="8" spans="1:96" s="29" customFormat="1">
      <c r="A8" s="36"/>
      <c r="B8" s="37"/>
      <c r="C8" s="38" t="s">
        <v>10</v>
      </c>
      <c r="D8" s="39"/>
      <c r="E8" s="39"/>
      <c r="F8" s="39"/>
      <c r="G8" s="40"/>
      <c r="H8" s="41"/>
      <c r="J8" s="42" t="s">
        <v>11</v>
      </c>
      <c r="K8" s="43"/>
      <c r="L8" s="43"/>
      <c r="M8" s="43"/>
      <c r="N8" s="43"/>
      <c r="O8" s="43"/>
      <c r="P8" s="44"/>
      <c r="Q8" s="42" t="s">
        <v>12</v>
      </c>
      <c r="R8" s="43"/>
      <c r="S8" s="43"/>
      <c r="T8" s="43"/>
      <c r="U8" s="43"/>
      <c r="V8" s="43"/>
      <c r="W8" s="44"/>
      <c r="X8" s="42" t="s">
        <v>13</v>
      </c>
      <c r="Y8" s="43"/>
      <c r="Z8" s="43"/>
      <c r="AA8" s="43"/>
      <c r="AB8" s="43"/>
      <c r="AC8" s="43"/>
      <c r="AD8" s="44"/>
      <c r="AE8" s="42" t="s">
        <v>14</v>
      </c>
      <c r="AF8" s="43"/>
      <c r="AG8" s="43"/>
      <c r="AH8" s="43"/>
      <c r="AI8" s="43"/>
      <c r="AJ8" s="43"/>
      <c r="AK8" s="44"/>
      <c r="AL8" s="42" t="s">
        <v>15</v>
      </c>
      <c r="AM8" s="43"/>
      <c r="AN8" s="43"/>
      <c r="AO8" s="43"/>
      <c r="AP8" s="43"/>
      <c r="AQ8" s="43"/>
      <c r="AR8" s="44"/>
      <c r="AX8" s="287" t="s">
        <v>16</v>
      </c>
      <c r="AY8" s="288">
        <v>0.05</v>
      </c>
      <c r="AZ8" s="46">
        <f>128674211*AY8</f>
        <v>6433710.5500000007</v>
      </c>
      <c r="BA8" s="46"/>
      <c r="BB8" s="46"/>
      <c r="BC8" s="46"/>
      <c r="BD8" s="46"/>
      <c r="BG8" s="47"/>
      <c r="BO8" s="289">
        <v>0.25</v>
      </c>
      <c r="BP8" s="289">
        <v>0.25</v>
      </c>
      <c r="BQ8" s="289">
        <v>0.5</v>
      </c>
      <c r="BR8" s="48"/>
      <c r="BS8" s="48"/>
      <c r="BT8" s="48"/>
      <c r="BU8" s="48"/>
      <c r="BV8" s="48"/>
      <c r="BW8" s="48"/>
      <c r="BX8" s="48"/>
      <c r="BY8" s="48"/>
      <c r="BZ8" s="48"/>
      <c r="CA8" s="48"/>
      <c r="CB8" s="48"/>
      <c r="CC8" s="49" t="s">
        <v>18</v>
      </c>
      <c r="CD8" s="50">
        <f>AZ6-CC51</f>
        <v>-6433708.5500000119</v>
      </c>
      <c r="CL8" s="48" t="s">
        <v>17</v>
      </c>
      <c r="CM8" s="48"/>
      <c r="CN8" s="48"/>
      <c r="CO8" s="49" t="s">
        <v>18</v>
      </c>
      <c r="CQ8" s="51"/>
    </row>
    <row r="9" spans="1:96" s="29" customFormat="1" ht="15" thickBot="1">
      <c r="A9" s="52"/>
      <c r="B9" s="53" t="s">
        <v>19</v>
      </c>
      <c r="C9" s="54">
        <f>C$6</f>
        <v>0.35</v>
      </c>
      <c r="D9" s="54">
        <f>D$6</f>
        <v>0.35</v>
      </c>
      <c r="E9" s="54">
        <f>E$6</f>
        <v>0.15</v>
      </c>
      <c r="F9" s="54">
        <f>F$6</f>
        <v>0.15</v>
      </c>
      <c r="G9" s="54"/>
      <c r="H9" s="55"/>
      <c r="J9" s="56" t="s">
        <v>20</v>
      </c>
      <c r="K9" s="57"/>
      <c r="L9" s="57"/>
      <c r="M9" s="57"/>
      <c r="N9" s="57"/>
      <c r="O9" s="57"/>
      <c r="P9" s="58"/>
      <c r="Q9" s="56" t="s">
        <v>21</v>
      </c>
      <c r="R9" s="57"/>
      <c r="S9" s="57"/>
      <c r="T9" s="57"/>
      <c r="U9" s="57"/>
      <c r="V9" s="57"/>
      <c r="W9" s="58"/>
      <c r="X9" s="56" t="s">
        <v>22</v>
      </c>
      <c r="Y9" s="57"/>
      <c r="Z9" s="57"/>
      <c r="AA9" s="57"/>
      <c r="AB9" s="57"/>
      <c r="AC9" s="57"/>
      <c r="AD9" s="58"/>
      <c r="AE9" s="56" t="s">
        <v>23</v>
      </c>
      <c r="AF9" s="57"/>
      <c r="AG9" s="57"/>
      <c r="AH9" s="57"/>
      <c r="AI9" s="57"/>
      <c r="AJ9" s="57"/>
      <c r="AK9" s="58"/>
      <c r="AL9" s="56" t="s">
        <v>24</v>
      </c>
      <c r="AM9" s="57"/>
      <c r="AN9" s="57"/>
      <c r="AO9" s="57"/>
      <c r="AP9" s="57"/>
      <c r="AQ9" s="57"/>
      <c r="AR9" s="58"/>
      <c r="BG9" s="59" t="s">
        <v>25</v>
      </c>
      <c r="BO9" s="59" t="s">
        <v>26</v>
      </c>
      <c r="BP9" s="59"/>
      <c r="BQ9" s="59"/>
      <c r="BR9" s="59"/>
      <c r="BS9" s="59"/>
      <c r="BT9" s="59"/>
      <c r="BU9" s="59"/>
      <c r="BV9" s="59"/>
      <c r="BW9" s="59"/>
      <c r="BX9" s="59"/>
      <c r="BY9" s="59"/>
      <c r="BZ9" s="59"/>
      <c r="CC9" s="60"/>
      <c r="CG9" s="59" t="s">
        <v>27</v>
      </c>
      <c r="CL9" s="59" t="s">
        <v>28</v>
      </c>
      <c r="CO9" s="60"/>
      <c r="CQ9" s="51"/>
    </row>
    <row r="10" spans="1:96" s="45" customFormat="1" ht="101.25" customHeight="1">
      <c r="A10" s="61" t="s">
        <v>29</v>
      </c>
      <c r="B10" s="62" t="s">
        <v>30</v>
      </c>
      <c r="C10" s="63" t="s">
        <v>147</v>
      </c>
      <c r="D10" s="64" t="s">
        <v>148</v>
      </c>
      <c r="E10" s="64" t="s">
        <v>149</v>
      </c>
      <c r="F10" s="64" t="s">
        <v>150</v>
      </c>
      <c r="G10" s="64" t="s">
        <v>35</v>
      </c>
      <c r="H10" s="65" t="s">
        <v>36</v>
      </c>
      <c r="J10" s="66">
        <v>2019</v>
      </c>
      <c r="K10" s="66">
        <v>2021</v>
      </c>
      <c r="L10" s="66">
        <v>2022</v>
      </c>
      <c r="M10" s="66">
        <v>2023</v>
      </c>
      <c r="N10" s="67" t="s">
        <v>37</v>
      </c>
      <c r="O10" s="67" t="s">
        <v>38</v>
      </c>
      <c r="P10" s="68" t="s">
        <v>39</v>
      </c>
      <c r="Q10" s="66">
        <v>2019</v>
      </c>
      <c r="R10" s="66">
        <v>2021</v>
      </c>
      <c r="S10" s="66">
        <v>2022</v>
      </c>
      <c r="T10" s="66">
        <v>2023</v>
      </c>
      <c r="U10" s="67" t="s">
        <v>40</v>
      </c>
      <c r="V10" s="67" t="s">
        <v>41</v>
      </c>
      <c r="W10" s="68" t="s">
        <v>39</v>
      </c>
      <c r="X10" s="66">
        <v>2019</v>
      </c>
      <c r="Y10" s="66">
        <v>2021</v>
      </c>
      <c r="Z10" s="66">
        <v>2022</v>
      </c>
      <c r="AA10" s="66">
        <v>2023</v>
      </c>
      <c r="AB10" s="67" t="s">
        <v>42</v>
      </c>
      <c r="AC10" s="67" t="s">
        <v>43</v>
      </c>
      <c r="AD10" s="68" t="s">
        <v>39</v>
      </c>
      <c r="AE10" s="66">
        <v>2019</v>
      </c>
      <c r="AF10" s="66">
        <v>2021</v>
      </c>
      <c r="AG10" s="66">
        <v>2022</v>
      </c>
      <c r="AH10" s="66">
        <v>2023</v>
      </c>
      <c r="AI10" s="67" t="s">
        <v>44</v>
      </c>
      <c r="AJ10" s="67" t="s">
        <v>45</v>
      </c>
      <c r="AK10" s="68" t="s">
        <v>39</v>
      </c>
      <c r="AL10" s="66">
        <v>2019</v>
      </c>
      <c r="AM10" s="66">
        <v>2021</v>
      </c>
      <c r="AN10" s="66">
        <v>2022</v>
      </c>
      <c r="AO10" s="66">
        <v>2023</v>
      </c>
      <c r="AP10" s="67" t="s">
        <v>46</v>
      </c>
      <c r="AQ10" s="67" t="s">
        <v>47</v>
      </c>
      <c r="AR10" s="68" t="s">
        <v>39</v>
      </c>
      <c r="AT10" s="69" t="s">
        <v>48</v>
      </c>
      <c r="AU10" s="70" t="s">
        <v>49</v>
      </c>
      <c r="AV10" s="70" t="s">
        <v>50</v>
      </c>
      <c r="AW10" s="70" t="s">
        <v>51</v>
      </c>
      <c r="AX10" s="71" t="s">
        <v>52</v>
      </c>
      <c r="AZ10" s="72" t="s">
        <v>53</v>
      </c>
      <c r="BA10" s="73" t="s">
        <v>54</v>
      </c>
      <c r="BB10" s="73" t="s">
        <v>55</v>
      </c>
      <c r="BC10" s="73" t="s">
        <v>56</v>
      </c>
      <c r="BD10" s="73" t="s">
        <v>57</v>
      </c>
      <c r="BE10" s="74" t="s">
        <v>58</v>
      </c>
      <c r="BG10" s="75" t="s">
        <v>59</v>
      </c>
      <c r="BH10" s="76" t="s">
        <v>60</v>
      </c>
      <c r="BI10" s="76" t="s">
        <v>61</v>
      </c>
      <c r="BJ10" s="77" t="s">
        <v>62</v>
      </c>
      <c r="BL10" s="290" t="s">
        <v>63</v>
      </c>
      <c r="BM10" s="290" t="s">
        <v>64</v>
      </c>
      <c r="BN10" s="290" t="s">
        <v>65</v>
      </c>
      <c r="BO10" s="75" t="s">
        <v>66</v>
      </c>
      <c r="BP10" s="291" t="s">
        <v>151</v>
      </c>
      <c r="BQ10" s="291" t="s">
        <v>152</v>
      </c>
      <c r="BR10" s="291" t="s">
        <v>153</v>
      </c>
      <c r="BS10" s="291" t="s">
        <v>154</v>
      </c>
      <c r="BT10" s="291" t="s">
        <v>76</v>
      </c>
      <c r="BU10" s="291" t="s">
        <v>71</v>
      </c>
      <c r="BV10" s="292" t="s">
        <v>72</v>
      </c>
      <c r="BW10" s="292" t="s">
        <v>73</v>
      </c>
      <c r="BX10" s="291" t="s">
        <v>74</v>
      </c>
      <c r="BY10" s="291" t="s">
        <v>75</v>
      </c>
      <c r="BZ10" s="291" t="s">
        <v>76</v>
      </c>
      <c r="CA10" s="76" t="s">
        <v>80</v>
      </c>
      <c r="CB10" s="76" t="s">
        <v>77</v>
      </c>
      <c r="CC10" s="81" t="s">
        <v>78</v>
      </c>
      <c r="CE10" s="82" t="s">
        <v>79</v>
      </c>
      <c r="CG10" s="83" t="s">
        <v>59</v>
      </c>
      <c r="CH10" s="84" t="s">
        <v>60</v>
      </c>
      <c r="CI10" s="84" t="s">
        <v>61</v>
      </c>
      <c r="CJ10" s="85" t="s">
        <v>62</v>
      </c>
      <c r="CL10" s="86" t="s">
        <v>66</v>
      </c>
      <c r="CM10" s="87" t="s">
        <v>80</v>
      </c>
      <c r="CN10" s="87" t="s">
        <v>77</v>
      </c>
      <c r="CO10" s="88" t="s">
        <v>78</v>
      </c>
      <c r="CQ10" s="51" t="s">
        <v>81</v>
      </c>
    </row>
    <row r="11" spans="1:96">
      <c r="A11" s="89" t="s">
        <v>82</v>
      </c>
      <c r="B11" s="90" t="s">
        <v>83</v>
      </c>
      <c r="C11" s="91">
        <f>'Sizing - Reimb Exp-25'!B4</f>
        <v>2496704</v>
      </c>
      <c r="D11" s="92">
        <f>'Ridership-25'!$E3</f>
        <v>121717</v>
      </c>
      <c r="E11" s="92">
        <f>'Revenue Hours-25'!$E3</f>
        <v>32940</v>
      </c>
      <c r="F11" s="92">
        <f>'Revenue Miles-25'!$E3</f>
        <v>692104</v>
      </c>
      <c r="G11" s="93">
        <f t="shared" ref="G11:G33" si="0">IFERROR($C$9*(C11/C$51),0) + IFERROR($D$9*(D11/D$51),0) + IFERROR($E$9*(E11/E$51),0) + IFERROR($F$9*(F11/F$51),0)</f>
        <v>5.3033180765238389E-3</v>
      </c>
      <c r="H11" s="94">
        <f t="shared" ref="H11:H33" si="1">G11/(SUM($G$11:$G$50)-$G$34)*(1-$G$34)</f>
        <v>5.3033180765238398E-3</v>
      </c>
      <c r="J11" s="95">
        <f>'Ridership-25'!B3/'Revenue Hours-25'!B3</f>
        <v>4.5693508022964817</v>
      </c>
      <c r="K11" s="96">
        <f>'Ridership-25'!C3/'Revenue Hours-25'!C3</f>
        <v>3.0233116215289679</v>
      </c>
      <c r="L11" s="96">
        <f>'Ridership-25'!D3/'Revenue Hours-25'!D3</f>
        <v>3.1691372472531043</v>
      </c>
      <c r="M11" s="96">
        <f>'Ridership-25'!E3/'Revenue Hours-25'!E3</f>
        <v>3.6951123254401943</v>
      </c>
      <c r="N11" s="97">
        <f t="shared" ref="N11:N50" si="2">IF(J11=0,IF(K11=0,1,AVERAGE(1,(L11/K11)/($L$51/$K$51),(M11/L11)/($M$51/$L$51))), AVERAGE((K11/J11)/($K$51/$J$51),(L11/K11)/($L$51/$K$51),(M11/L11)/($M$51/$L$51)))</f>
        <v>1.0255640826158483</v>
      </c>
      <c r="O11" s="98">
        <f t="shared" ref="O11:O50" si="3">$H11*N11</f>
        <v>5.4388925379702168E-3</v>
      </c>
      <c r="P11" s="99">
        <f t="shared" ref="P11:P50" si="4">O11/SUM($O$11:$O$50)</f>
        <v>5.1378596170449219E-3</v>
      </c>
      <c r="Q11" s="95">
        <f>'Ridership-25'!B3/'Revenue Miles-25'!B3</f>
        <v>0.21529352848722441</v>
      </c>
      <c r="R11" s="96">
        <f>'Ridership-25'!C3/'Revenue Miles-25'!C3</f>
        <v>0.1472857600940598</v>
      </c>
      <c r="S11" s="96">
        <f>'Ridership-25'!D3/'Revenue Miles-25'!D3</f>
        <v>0.15372497942218116</v>
      </c>
      <c r="T11" s="96">
        <f>'Ridership-25'!E3/'Revenue Miles-25'!E3</f>
        <v>0.17586518789083722</v>
      </c>
      <c r="U11" s="97">
        <f t="shared" ref="U11:U50" si="5">IF(Q11=0,IF(R11=0,1,AVERAGE(1,(S11/R11)/($S$51/$R$51),(T11/S11)/($T$51/$S$51))), AVERAGE((R11/Q11)/($R$51/$Q$51),(S11/R11)/($S$51/$R$51),(T11/S11)/($T$51/$S$51)))</f>
        <v>1.0325415201368429</v>
      </c>
      <c r="V11" s="98">
        <f t="shared" ref="V11:V50" si="6">$H11*U11</f>
        <v>5.4758961085031232E-3</v>
      </c>
      <c r="W11" s="99">
        <f t="shared" ref="W11:W50" si="7">V11/SUM($V$11:$V$50)</f>
        <v>5.1919663924141386E-3</v>
      </c>
      <c r="X11" s="95">
        <f>'Op Cost-25'!B4/'Revenue Hours-25'!B3</f>
        <v>50.181245399676136</v>
      </c>
      <c r="Y11" s="96">
        <f>'Op Cost-25'!C4/'Revenue Hours-25'!C3</f>
        <v>64.628076791223862</v>
      </c>
      <c r="Z11" s="96">
        <f>'Op Cost-25'!D4/'Revenue Hours-25'!D3</f>
        <v>74.945094597230351</v>
      </c>
      <c r="AA11" s="96">
        <f>'Op Cost-25'!E4/'Revenue Hours-25'!E3</f>
        <v>75.894444444444446</v>
      </c>
      <c r="AB11" s="97">
        <f t="shared" ref="AB11:AB50" si="8">IF(X11=0,IF(Y11=0,1,AVERAGE(1,(Z11/Y11)/($Z$51/$Z$51),(AA11/Z11)/($AA$51/$Z$51))), AVERAGE((Y11/X11)/($Y$51/$X$51),(Z11/Y11)/($Z$51/$Y$51),(AA11/Z11)/($AA$51/$Z$51)))</f>
        <v>1.0999423299281934</v>
      </c>
      <c r="AC11" s="98">
        <f t="shared" ref="AC11:AC50" si="9">$H11*(1/AB11)</f>
        <v>4.8214510272279925E-3</v>
      </c>
      <c r="AD11" s="99">
        <f t="shared" ref="AD11:AD50" si="10">AC11/SUM($AC$11:$AC$50)</f>
        <v>5.1433267888498797E-3</v>
      </c>
      <c r="AE11" s="95">
        <f>'Op Cost-25'!B4/'Revenue Miles-25'!B3</f>
        <v>2.3643834438252824</v>
      </c>
      <c r="AF11" s="96">
        <f>'Op Cost-25'!C4/'Revenue Miles-25'!C3</f>
        <v>3.148466517916789</v>
      </c>
      <c r="AG11" s="96">
        <f>'Op Cost-25'!D4/'Revenue Miles-25'!D3</f>
        <v>3.6353531658304137</v>
      </c>
      <c r="AH11" s="96">
        <f>'Op Cost-25'!E4/'Revenue Miles-25'!E3</f>
        <v>3.61212043276733</v>
      </c>
      <c r="AI11" s="97">
        <f t="shared" ref="AI11:AI50" si="11">IF(AE11=0,IF(AF11=0,1,AVERAGE(1,(AG11/AF11)/($AG$51/$AF$51),(AH11/AG11)/($AH$51/$AG$51))), AVERAGE((AF11/AE11)/($AF$51/$AE$51),(AG11/AF11)/($AG$51/$AF$51),(AH11/AG11)/($AH$51/$AG$51)))</f>
        <v>1.1070146946084785</v>
      </c>
      <c r="AJ11" s="98">
        <f t="shared" ref="AJ11:AJ50" si="12">$H11*(1/AI11)</f>
        <v>4.7906483105894827E-3</v>
      </c>
      <c r="AK11" s="99">
        <f t="shared" ref="AK11:AK50" si="13">AJ11/SUM($AJ$11:$AJ$50)</f>
        <v>5.0984526209211112E-3</v>
      </c>
      <c r="AL11" s="95">
        <f>'Op Cost-25'!B4/'Ridership-25'!B3</f>
        <v>10.982138945089499</v>
      </c>
      <c r="AM11" s="96">
        <f>'Op Cost-25'!C4/'Ridership-25'!C3</f>
        <v>21.37658464678535</v>
      </c>
      <c r="AN11" s="96">
        <f>'Op Cost-25'!D4/'Ridership-25'!D3</f>
        <v>23.64842187323698</v>
      </c>
      <c r="AO11" s="96">
        <f>'Op Cost-25'!E4/'Ridership-25'!E3</f>
        <v>20.53914408012028</v>
      </c>
      <c r="AP11" s="100">
        <f t="shared" ref="AP11:AP50" si="14">IF(AL11=0,IF(AM11=0,1,AVERAGE(1,(AN11/AM11)/($AN$51/$AM$51),(AO11/AN11)/($AO$51/$AN$51))), AVERAGE((AM11/AL11)/($AM$51/$AL$51),(AN11/AM11)/($AN$51/$AM$51),(AO11/AN11)/($AO$51/$AN$51)))</f>
        <v>1.1189482347230808</v>
      </c>
      <c r="AQ11" s="98">
        <f t="shared" ref="AQ11:AQ50" si="15">$H11*(1/AP11)</f>
        <v>4.7395562296376594E-3</v>
      </c>
      <c r="AR11" s="99">
        <f t="shared" ref="AR11:AR50" si="16">AQ11/SUM($AQ$11:$AQ$50)</f>
        <v>5.1458746085332636E-3</v>
      </c>
      <c r="AT11" s="101">
        <f>P11*AT$6</f>
        <v>0</v>
      </c>
      <c r="AU11" s="102">
        <f t="shared" ref="AU11:AU50" si="17">W11*AU$6</f>
        <v>0</v>
      </c>
      <c r="AV11" s="102">
        <f t="shared" ref="AV11:AV50" si="18">AD11*AV$6</f>
        <v>0</v>
      </c>
      <c r="AW11" s="102">
        <f t="shared" ref="AW11:AW50" si="19">AK11*AW$6</f>
        <v>0</v>
      </c>
      <c r="AX11" s="103">
        <f t="shared" ref="AX11:AX50" si="20">AR11*AX$6</f>
        <v>0</v>
      </c>
      <c r="AY11" s="293">
        <f>(SUM(AT11:AX11)-H11)/H11</f>
        <v>-1</v>
      </c>
      <c r="AZ11" s="105">
        <f t="shared" ref="AZ11:BD51" si="21">AT11*$AZ$6</f>
        <v>0</v>
      </c>
      <c r="BA11" s="106">
        <f t="shared" si="21"/>
        <v>0</v>
      </c>
      <c r="BB11" s="106">
        <f t="shared" si="21"/>
        <v>0</v>
      </c>
      <c r="BC11" s="106">
        <f t="shared" si="21"/>
        <v>0</v>
      </c>
      <c r="BD11" s="106">
        <f t="shared" si="21"/>
        <v>0</v>
      </c>
      <c r="BE11" s="107">
        <f>$AZ$6*H11</f>
        <v>648280.25571980549</v>
      </c>
      <c r="BG11" s="108">
        <f>'Op Cost-25'!E4</f>
        <v>2499963</v>
      </c>
      <c r="BH11" s="109">
        <f t="shared" ref="BH11:BH50" si="22">BE11/BG11</f>
        <v>0.25931594016383663</v>
      </c>
      <c r="BI11" s="110">
        <f t="shared" ref="BI11:BI50" si="23">IF(BE11&gt;BG11*$BI$6,BG11*$BI$6,BE11)</f>
        <v>648280.25571980549</v>
      </c>
      <c r="BJ11" s="111">
        <f t="shared" ref="BJ11:BJ50" si="24">BE11-BI11</f>
        <v>0</v>
      </c>
      <c r="BK11" s="1">
        <f>BL11*$BO$8+BM11*$BP$8+BN11*$BQ$8</f>
        <v>0.41276343015048933</v>
      </c>
      <c r="BL11" s="294">
        <f>M11/$M$51</f>
        <v>0.34517483234349511</v>
      </c>
      <c r="BM11" s="294">
        <f>T11/$T$51</f>
        <v>0.2370362312234541</v>
      </c>
      <c r="BN11" s="295">
        <f>(1/AO11)/(1/$AO$51)</f>
        <v>0.53442132851750412</v>
      </c>
      <c r="BO11" s="114">
        <f t="shared" ref="BO11:BO50" si="25">IF(OR(BJ11&gt;0,BH11&gt;=0.294),0,BI11)</f>
        <v>648280.25571980549</v>
      </c>
      <c r="BP11" s="296">
        <f>BL11*$BO$8+BM11*$BP$8+BN11*$BQ$8</f>
        <v>0.41276343015048933</v>
      </c>
      <c r="BQ11" s="116">
        <f>BP11*H11</f>
        <v>2.1890157604450753E-3</v>
      </c>
      <c r="BR11" s="297">
        <f>IF(BO11=0,0,BQ11)</f>
        <v>2.1890157604450753E-3</v>
      </c>
      <c r="BS11" s="117">
        <f>BR11/$BR$51</f>
        <v>2.4703689027630671E-3</v>
      </c>
      <c r="BT11" s="298">
        <f>$BO$6*BS11+BI11</f>
        <v>669512.12412639277</v>
      </c>
      <c r="BU11" s="119">
        <f>BG11*$BU$6</f>
        <v>749988.9</v>
      </c>
      <c r="BV11" s="119">
        <f>IF(BT11&lt;BU11,BT11, BU11)</f>
        <v>669512.12412639277</v>
      </c>
      <c r="BW11" s="119">
        <f>BT11-BV11</f>
        <v>0</v>
      </c>
      <c r="BX11" s="120">
        <f>IF(AND(BW11=0, BJ11=0),BQ11,0)</f>
        <v>2.1890157604450753E-3</v>
      </c>
      <c r="BY11" s="121">
        <f>IF($BX$51=0,1, BX11/$BX$51)</f>
        <v>4.4065357690345518E-3</v>
      </c>
      <c r="BZ11" s="299">
        <f>$BW$51*BY11+BV11</f>
        <v>673452.9504600591</v>
      </c>
      <c r="CA11" s="109">
        <f t="shared" ref="CA11:CA50" si="26">BO11/$BO$51</f>
        <v>5.8881410448085852E-3</v>
      </c>
      <c r="CB11" s="123">
        <f t="shared" ref="CB11:CB16" si="27">CA11*$BO$6</f>
        <v>50606.302436438862</v>
      </c>
      <c r="CC11" s="111">
        <f>ROUND((CB11+BI11),0)</f>
        <v>698887</v>
      </c>
      <c r="CE11" s="124">
        <f t="shared" ref="CE11:CE50" si="28">IF(CC11&gt;($BI$6*BG11),1,0)</f>
        <v>0</v>
      </c>
      <c r="CF11" s="17"/>
      <c r="CG11" s="108">
        <f>BG11</f>
        <v>2499963</v>
      </c>
      <c r="CH11" s="125">
        <f>CC11/BG11</f>
        <v>0.27955893747227462</v>
      </c>
      <c r="CI11" s="110">
        <f>IF(BT11&gt;BG11*$BI$6,BG11*$BI$6,BT11)</f>
        <v>669512.12412639277</v>
      </c>
      <c r="CJ11" s="300">
        <f>BT11-CI11</f>
        <v>0</v>
      </c>
      <c r="CL11" s="127">
        <f>IF(OR(CJ11&gt;0,CH11&gt;=0.294),0,CI11)</f>
        <v>669512.12412639277</v>
      </c>
      <c r="CM11" s="128">
        <f>CL11/$CL$51</f>
        <v>7.7944845686475465E-3</v>
      </c>
      <c r="CN11" s="129">
        <f>CM11*$CM$6</f>
        <v>6970.7161488018146</v>
      </c>
      <c r="CO11" s="130">
        <f>ROUND((CN11+CI11),0)</f>
        <v>676483</v>
      </c>
      <c r="CQ11" s="131">
        <f>BZ11/CG11</f>
        <v>0.2693851670844965</v>
      </c>
      <c r="CR11" s="301"/>
    </row>
    <row r="12" spans="1:96">
      <c r="A12" s="133" t="s">
        <v>82</v>
      </c>
      <c r="B12" s="90" t="s">
        <v>84</v>
      </c>
      <c r="C12" s="91">
        <f>'Sizing - Reimb Exp-25'!B5</f>
        <v>397573</v>
      </c>
      <c r="D12" s="92">
        <f>'Ridership-25'!$E4</f>
        <v>43762</v>
      </c>
      <c r="E12" s="92">
        <f>'Revenue Hours-25'!$E4</f>
        <v>7886</v>
      </c>
      <c r="F12" s="92">
        <f>'Revenue Miles-25'!$E4</f>
        <v>94333</v>
      </c>
      <c r="G12" s="134">
        <f t="shared" si="0"/>
        <v>1.0755177539715083E-3</v>
      </c>
      <c r="H12" s="94">
        <f t="shared" si="1"/>
        <v>1.0755177539715085E-3</v>
      </c>
      <c r="J12" s="95">
        <f>'Ridership-25'!B4/'Revenue Hours-25'!B4</f>
        <v>7.0756269072575293</v>
      </c>
      <c r="K12" s="96">
        <f>'Ridership-25'!C4/'Revenue Hours-25'!C4</f>
        <v>3.8435006435006436</v>
      </c>
      <c r="L12" s="96">
        <f>'Ridership-25'!D4/'Revenue Hours-25'!D4</f>
        <v>4.8354101054361225</v>
      </c>
      <c r="M12" s="96">
        <f>'Ridership-25'!E4/'Revenue Hours-25'!E4</f>
        <v>5.5493279229013446</v>
      </c>
      <c r="N12" s="97">
        <f t="shared" si="2"/>
        <v>0.99788982541066573</v>
      </c>
      <c r="O12" s="98">
        <f t="shared" si="3"/>
        <v>1.0732482237366999E-3</v>
      </c>
      <c r="P12" s="99">
        <f t="shared" si="4"/>
        <v>1.0138458646325582E-3</v>
      </c>
      <c r="Q12" s="95">
        <f>'Ridership-25'!B4/'Revenue Miles-25'!B4</f>
        <v>0.61203433791631279</v>
      </c>
      <c r="R12" s="96">
        <f>'Ridership-25'!C4/'Revenue Miles-25'!C4</f>
        <v>0.31931227680003421</v>
      </c>
      <c r="S12" s="96">
        <f>'Ridership-25'!D4/'Revenue Miles-25'!D4</f>
        <v>0.41985803797543603</v>
      </c>
      <c r="T12" s="96">
        <f>'Ridership-25'!E4/'Revenue Miles-25'!E4</f>
        <v>0.46390976646560589</v>
      </c>
      <c r="U12" s="97">
        <f t="shared" si="5"/>
        <v>0.98970909906924531</v>
      </c>
      <c r="V12" s="98">
        <f t="shared" si="6"/>
        <v>1.0644497073161198E-3</v>
      </c>
      <c r="W12" s="99">
        <f t="shared" si="7"/>
        <v>1.0092571146882285E-3</v>
      </c>
      <c r="X12" s="95">
        <f>'Op Cost-25'!B5/'Revenue Hours-25'!B4</f>
        <v>54.185219583388616</v>
      </c>
      <c r="Y12" s="96">
        <f>'Op Cost-25'!C5/'Revenue Hours-25'!C4</f>
        <v>108.14491634491634</v>
      </c>
      <c r="Z12" s="96">
        <f>'Op Cost-25'!D5/'Revenue Hours-25'!D4</f>
        <v>62.039983568396551</v>
      </c>
      <c r="AA12" s="96">
        <f>'Op Cost-25'!E5/'Revenue Hours-25'!E4</f>
        <v>50.572406796855184</v>
      </c>
      <c r="AB12" s="97">
        <f t="shared" si="8"/>
        <v>1.0275887811661744</v>
      </c>
      <c r="AC12" s="98">
        <f t="shared" si="9"/>
        <v>1.0466421721254501E-3</v>
      </c>
      <c r="AD12" s="99">
        <f t="shared" si="10"/>
        <v>1.1165150681469937E-3</v>
      </c>
      <c r="AE12" s="95">
        <f>'Op Cost-25'!B5/'Revenue Miles-25'!B4</f>
        <v>4.6869649046296509</v>
      </c>
      <c r="AF12" s="96">
        <f>'Op Cost-25'!C5/'Revenue Miles-25'!C4</f>
        <v>8.9845176742296253</v>
      </c>
      <c r="AG12" s="96">
        <f>'Op Cost-25'!D5/'Revenue Miles-25'!D4</f>
        <v>5.3869237994459436</v>
      </c>
      <c r="AH12" s="96">
        <f>'Op Cost-25'!E5/'Revenue Miles-25'!E4</f>
        <v>4.2277251863080787</v>
      </c>
      <c r="AI12" s="97">
        <f t="shared" si="11"/>
        <v>1.0006231580562883</v>
      </c>
      <c r="AJ12" s="98">
        <f t="shared" si="12"/>
        <v>1.0748479538098068E-3</v>
      </c>
      <c r="AK12" s="99">
        <f t="shared" si="13"/>
        <v>1.1439080917461438E-3</v>
      </c>
      <c r="AL12" s="95">
        <f>'Op Cost-25'!B5/'Ridership-25'!B4</f>
        <v>7.6580097132892044</v>
      </c>
      <c r="AM12" s="96">
        <f>'Op Cost-25'!C5/'Ridership-25'!C4</f>
        <v>28.137088132869007</v>
      </c>
      <c r="AN12" s="96">
        <f>'Op Cost-25'!D5/'Ridership-25'!D4</f>
        <v>12.830345765015716</v>
      </c>
      <c r="AO12" s="96">
        <f>'Op Cost-25'!E5/'Ridership-25'!E4</f>
        <v>9.1132489374343031</v>
      </c>
      <c r="AP12" s="100">
        <f t="shared" si="14"/>
        <v>1.0148372723489094</v>
      </c>
      <c r="AQ12" s="98">
        <f t="shared" si="15"/>
        <v>1.0597933119682824E-3</v>
      </c>
      <c r="AR12" s="99">
        <f t="shared" si="16"/>
        <v>1.1506485481168945E-3</v>
      </c>
      <c r="AT12" s="101">
        <f t="shared" ref="AT12:AT50" si="29">P12*AT$6</f>
        <v>0</v>
      </c>
      <c r="AU12" s="102">
        <f t="shared" si="17"/>
        <v>0</v>
      </c>
      <c r="AV12" s="102">
        <f t="shared" si="18"/>
        <v>0</v>
      </c>
      <c r="AW12" s="102">
        <f t="shared" si="19"/>
        <v>0</v>
      </c>
      <c r="AX12" s="103">
        <f t="shared" si="20"/>
        <v>0</v>
      </c>
      <c r="AY12" s="293">
        <f t="shared" ref="AY12:AY50" si="30">(SUM(AT12:AX12)-H12)/H12</f>
        <v>-1</v>
      </c>
      <c r="AZ12" s="105">
        <f t="shared" si="21"/>
        <v>0</v>
      </c>
      <c r="BA12" s="106">
        <f t="shared" si="21"/>
        <v>0</v>
      </c>
      <c r="BB12" s="106">
        <f t="shared" si="21"/>
        <v>0</v>
      </c>
      <c r="BC12" s="106">
        <f t="shared" si="21"/>
        <v>0</v>
      </c>
      <c r="BD12" s="106">
        <f t="shared" si="21"/>
        <v>0</v>
      </c>
      <c r="BE12" s="107">
        <f t="shared" ref="BE12:BE49" si="31">$AZ$6*H12</f>
        <v>131471.82848833717</v>
      </c>
      <c r="BG12" s="108">
        <f>'Op Cost-25'!E5</f>
        <v>398814</v>
      </c>
      <c r="BH12" s="109">
        <f t="shared" si="22"/>
        <v>0.32965700423840982</v>
      </c>
      <c r="BI12" s="110">
        <f t="shared" si="23"/>
        <v>119644.2</v>
      </c>
      <c r="BJ12" s="111">
        <f t="shared" si="24"/>
        <v>11827.62848833717</v>
      </c>
      <c r="BK12" s="1">
        <f t="shared" ref="BK12:BK50" si="32">BL12*$BO$8+BM12*$BP$8+BN12*$BQ$8</f>
        <v>0.88814456764939964</v>
      </c>
      <c r="BL12" s="294">
        <f t="shared" ref="BL12:BL50" si="33">M12/$M$51</f>
        <v>0.51838433224850822</v>
      </c>
      <c r="BM12" s="294">
        <f t="shared" ref="BM12:BM50" si="34">T12/$T$51</f>
        <v>0.62527111811927383</v>
      </c>
      <c r="BN12" s="295">
        <f t="shared" ref="BN12:BN50" si="35">(1/AO12)/(1/$AO$51)</f>
        <v>1.2044614101149083</v>
      </c>
      <c r="BO12" s="114">
        <f t="shared" si="25"/>
        <v>0</v>
      </c>
      <c r="BP12" s="296">
        <f t="shared" ref="BP12:BP50" si="36">BL12*$BO$8+BM12*$BP$8+BN12*$BQ$8</f>
        <v>0.88814456764939964</v>
      </c>
      <c r="BQ12" s="116">
        <f t="shared" ref="BQ12:BQ50" si="37">BP12*H12</f>
        <v>9.5521525060027874E-4</v>
      </c>
      <c r="BR12" s="297">
        <f t="shared" ref="BR12:BR50" si="38">IF(BO12=0,0,BQ12)</f>
        <v>0</v>
      </c>
      <c r="BS12" s="117">
        <f t="shared" ref="BS12:BS50" si="39">BR12/$BR$51</f>
        <v>0</v>
      </c>
      <c r="BT12" s="298">
        <f t="shared" ref="BT12:BT50" si="40">$BO$6*BS12+BI12</f>
        <v>119644.2</v>
      </c>
      <c r="BU12" s="119">
        <f t="shared" ref="BU12:BU50" si="41">BG12*$BU$6</f>
        <v>119644.2</v>
      </c>
      <c r="BV12" s="119">
        <f t="shared" ref="BV12:BV50" si="42">IF(BT12&lt;BU12,BT12, BU12)</f>
        <v>119644.2</v>
      </c>
      <c r="BW12" s="119">
        <f t="shared" ref="BW12:BW50" si="43">BT12-BV12</f>
        <v>0</v>
      </c>
      <c r="BX12" s="120">
        <f t="shared" ref="BX12:BX50" si="44">IF(AND(BW12=0, BJ12=0),BQ12,0)</f>
        <v>0</v>
      </c>
      <c r="BY12" s="121">
        <f t="shared" ref="BY12:BY50" si="45">IF($BX$51=0,1, BX12/$BX$51)</f>
        <v>0</v>
      </c>
      <c r="BZ12" s="299">
        <f t="shared" ref="BZ12:BZ50" si="46">$BW$51*BY12+BV12</f>
        <v>119644.2</v>
      </c>
      <c r="CA12" s="109">
        <f t="shared" si="26"/>
        <v>0</v>
      </c>
      <c r="CB12" s="123">
        <f t="shared" si="27"/>
        <v>0</v>
      </c>
      <c r="CC12" s="135">
        <f>ROUND((CB12+BI12),0)</f>
        <v>119644</v>
      </c>
      <c r="CE12" s="124">
        <f t="shared" si="28"/>
        <v>0</v>
      </c>
      <c r="CF12" s="17"/>
      <c r="CG12" s="108">
        <f t="shared" ref="CG12:CG50" si="47">BG12</f>
        <v>398814</v>
      </c>
      <c r="CH12" s="125">
        <f t="shared" ref="CH12:CH50" si="48">CC12/BG12</f>
        <v>0.29999949851309132</v>
      </c>
      <c r="CI12" s="110">
        <f t="shared" ref="CI12:CI50" si="49">IF(BT12&gt;BG12*$BI$6,BG12*$BI$6,BT12)</f>
        <v>119644.2</v>
      </c>
      <c r="CJ12" s="300">
        <f t="shared" ref="CJ12:CJ50" si="50">BT12-CI12</f>
        <v>0</v>
      </c>
      <c r="CL12" s="127">
        <f t="shared" ref="CL12:CL50" si="51">IF(OR(CJ12&gt;0,CH12&gt;=0.294),0,CI12)</f>
        <v>0</v>
      </c>
      <c r="CM12" s="128">
        <f t="shared" ref="CM12:CM51" si="52">CL12/$CL$51</f>
        <v>0</v>
      </c>
      <c r="CN12" s="129">
        <f t="shared" ref="CN12:CN51" si="53">CM12*$CM$6</f>
        <v>0</v>
      </c>
      <c r="CO12" s="130">
        <f>ROUND((CN12+CI12),0)</f>
        <v>119644</v>
      </c>
      <c r="CQ12" s="131">
        <f t="shared" ref="CQ12:CQ51" si="54">BZ12/CG12</f>
        <v>0.3</v>
      </c>
      <c r="CR12" s="301"/>
    </row>
    <row r="13" spans="1:96">
      <c r="A13" s="133" t="s">
        <v>82</v>
      </c>
      <c r="B13" s="90" t="s">
        <v>85</v>
      </c>
      <c r="C13" s="91">
        <f>'Sizing - Reimb Exp-25'!B6</f>
        <v>2696243</v>
      </c>
      <c r="D13" s="92">
        <f>'Ridership-25'!$E5</f>
        <v>162649</v>
      </c>
      <c r="E13" s="92">
        <f>'Revenue Hours-25'!$E5</f>
        <v>46711</v>
      </c>
      <c r="F13" s="92">
        <f>'Revenue Miles-25'!$E5</f>
        <v>490148</v>
      </c>
      <c r="G13" s="93">
        <f t="shared" si="0"/>
        <v>5.7217969398773178E-3</v>
      </c>
      <c r="H13" s="94">
        <f t="shared" si="1"/>
        <v>5.7217969398773187E-3</v>
      </c>
      <c r="J13" s="95">
        <f>'Ridership-25'!B5/'Revenue Hours-25'!B5</f>
        <v>3.5903165735567972</v>
      </c>
      <c r="K13" s="96">
        <f>'Ridership-25'!C5/'Revenue Hours-25'!C5</f>
        <v>3.0037184124655352</v>
      </c>
      <c r="L13" s="96">
        <f>'Ridership-25'!D5/'Revenue Hours-25'!D5</f>
        <v>3.0190503841343577</v>
      </c>
      <c r="M13" s="96">
        <f>'Ridership-25'!E5/'Revenue Hours-25'!E5</f>
        <v>3.4820277878872212</v>
      </c>
      <c r="N13" s="97">
        <f t="shared" si="2"/>
        <v>1.1244143405144138</v>
      </c>
      <c r="O13" s="98">
        <f t="shared" si="3"/>
        <v>6.4336705327095465E-3</v>
      </c>
      <c r="P13" s="99">
        <f t="shared" si="4"/>
        <v>6.0775784387379047E-3</v>
      </c>
      <c r="Q13" s="95">
        <f>'Ridership-25'!B5/'Revenue Miles-25'!B5</f>
        <v>0.34236028901498144</v>
      </c>
      <c r="R13" s="96">
        <f>'Ridership-25'!C5/'Revenue Miles-25'!C5</f>
        <v>0.30898734605406614</v>
      </c>
      <c r="S13" s="96">
        <f>'Ridership-25'!D5/'Revenue Miles-25'!D5</f>
        <v>0.30702858129224508</v>
      </c>
      <c r="T13" s="96">
        <f>'Ridership-25'!E5/'Revenue Miles-25'!E5</f>
        <v>0.33183650652455993</v>
      </c>
      <c r="U13" s="97">
        <f t="shared" si="5"/>
        <v>1.1412874554012273</v>
      </c>
      <c r="V13" s="98">
        <f t="shared" si="6"/>
        <v>6.5302150698351141E-3</v>
      </c>
      <c r="W13" s="99">
        <f t="shared" si="7"/>
        <v>6.1916180486280897E-3</v>
      </c>
      <c r="X13" s="95">
        <f>'Op Cost-25'!B6/'Revenue Hours-25'!B5</f>
        <v>45.864958582161435</v>
      </c>
      <c r="Y13" s="96">
        <f>'Op Cost-25'!C6/'Revenue Hours-25'!C5</f>
        <v>61.145979308425872</v>
      </c>
      <c r="Z13" s="96">
        <f>'Op Cost-25'!D6/'Revenue Hours-25'!D5</f>
        <v>58.62645167053779</v>
      </c>
      <c r="AA13" s="96">
        <f>'Op Cost-25'!E6/'Revenue Hours-25'!E5</f>
        <v>57.842499625355913</v>
      </c>
      <c r="AB13" s="97">
        <f t="shared" si="8"/>
        <v>1.0361763312133343</v>
      </c>
      <c r="AC13" s="98">
        <f t="shared" si="9"/>
        <v>5.5220301482637128E-3</v>
      </c>
      <c r="AD13" s="99">
        <f t="shared" si="10"/>
        <v>5.8906759458947416E-3</v>
      </c>
      <c r="AE13" s="95">
        <f>'Op Cost-25'!B6/'Revenue Miles-25'!B5</f>
        <v>4.3735253296321996</v>
      </c>
      <c r="AF13" s="96">
        <f>'Op Cost-25'!C6/'Revenue Miles-25'!C5</f>
        <v>6.2899817073329398</v>
      </c>
      <c r="AG13" s="96">
        <f>'Op Cost-25'!D6/'Revenue Miles-25'!D5</f>
        <v>5.9621384184897162</v>
      </c>
      <c r="AH13" s="96">
        <f>'Op Cost-25'!E6/'Revenue Miles-25'!E5</f>
        <v>5.5123778940238459</v>
      </c>
      <c r="AI13" s="97">
        <f t="shared" si="11"/>
        <v>1.0405282730301624</v>
      </c>
      <c r="AJ13" s="98">
        <f t="shared" si="12"/>
        <v>5.4989346163700622E-3</v>
      </c>
      <c r="AK13" s="99">
        <f t="shared" si="13"/>
        <v>5.8522470842064314E-3</v>
      </c>
      <c r="AL13" s="95">
        <f>'Op Cost-25'!B6/'Ridership-25'!B5</f>
        <v>12.774627986836457</v>
      </c>
      <c r="AM13" s="96">
        <f>'Op Cost-25'!C6/'Ridership-25'!C5</f>
        <v>20.356761490913378</v>
      </c>
      <c r="AN13" s="96">
        <f>'Op Cost-25'!D6/'Ridership-25'!D5</f>
        <v>19.418838446231348</v>
      </c>
      <c r="AO13" s="96">
        <f>'Op Cost-25'!E6/'Ridership-25'!E5</f>
        <v>16.611728322953109</v>
      </c>
      <c r="AP13" s="100">
        <f t="shared" si="14"/>
        <v>0.99855496234877406</v>
      </c>
      <c r="AQ13" s="98">
        <f t="shared" si="15"/>
        <v>5.7300771170558928E-3</v>
      </c>
      <c r="AR13" s="99">
        <f t="shared" si="16"/>
        <v>6.2213120623425197E-3</v>
      </c>
      <c r="AT13" s="101">
        <f t="shared" si="29"/>
        <v>0</v>
      </c>
      <c r="AU13" s="102">
        <f t="shared" si="17"/>
        <v>0</v>
      </c>
      <c r="AV13" s="102">
        <f t="shared" si="18"/>
        <v>0</v>
      </c>
      <c r="AW13" s="102">
        <f t="shared" si="19"/>
        <v>0</v>
      </c>
      <c r="AX13" s="103">
        <f t="shared" si="20"/>
        <v>0</v>
      </c>
      <c r="AY13" s="293">
        <f t="shared" si="30"/>
        <v>-1</v>
      </c>
      <c r="AZ13" s="105">
        <f t="shared" si="21"/>
        <v>0</v>
      </c>
      <c r="BA13" s="106">
        <f t="shared" si="21"/>
        <v>0</v>
      </c>
      <c r="BB13" s="106">
        <f t="shared" si="21"/>
        <v>0</v>
      </c>
      <c r="BC13" s="106">
        <f t="shared" si="21"/>
        <v>0</v>
      </c>
      <c r="BD13" s="106">
        <f t="shared" si="21"/>
        <v>0</v>
      </c>
      <c r="BE13" s="107">
        <f t="shared" si="31"/>
        <v>699435.32140388188</v>
      </c>
      <c r="BG13" s="108">
        <f>'Op Cost-25'!E6</f>
        <v>2701881</v>
      </c>
      <c r="BH13" s="109">
        <f t="shared" si="22"/>
        <v>0.25886977309655085</v>
      </c>
      <c r="BI13" s="110">
        <f t="shared" si="23"/>
        <v>699435.32140388188</v>
      </c>
      <c r="BJ13" s="111">
        <f t="shared" si="24"/>
        <v>0</v>
      </c>
      <c r="BK13" s="1">
        <f t="shared" si="32"/>
        <v>0.5235179259612881</v>
      </c>
      <c r="BL13" s="294">
        <f t="shared" si="33"/>
        <v>0.32526977586701122</v>
      </c>
      <c r="BM13" s="294">
        <f t="shared" si="34"/>
        <v>0.44725892504526166</v>
      </c>
      <c r="BN13" s="295">
        <f t="shared" si="35"/>
        <v>0.66077150146643981</v>
      </c>
      <c r="BO13" s="114">
        <f t="shared" si="25"/>
        <v>699435.32140388188</v>
      </c>
      <c r="BP13" s="296">
        <f t="shared" si="36"/>
        <v>0.5235179259612881</v>
      </c>
      <c r="BQ13" s="116">
        <f t="shared" si="37"/>
        <v>2.9954632667362189E-3</v>
      </c>
      <c r="BR13" s="297">
        <f t="shared" si="38"/>
        <v>2.9954632667362189E-3</v>
      </c>
      <c r="BS13" s="117">
        <f t="shared" si="39"/>
        <v>3.3804687189687766E-3</v>
      </c>
      <c r="BT13" s="298">
        <f t="shared" si="40"/>
        <v>728489.14689263876</v>
      </c>
      <c r="BU13" s="119">
        <f t="shared" si="41"/>
        <v>810564.29999999993</v>
      </c>
      <c r="BV13" s="119">
        <f t="shared" si="42"/>
        <v>728489.14689263876</v>
      </c>
      <c r="BW13" s="119">
        <f t="shared" si="43"/>
        <v>0</v>
      </c>
      <c r="BX13" s="120">
        <f t="shared" si="44"/>
        <v>2.9954632667362189E-3</v>
      </c>
      <c r="BY13" s="121">
        <f t="shared" si="45"/>
        <v>6.029931930238118E-3</v>
      </c>
      <c r="BZ13" s="299">
        <f t="shared" si="46"/>
        <v>733881.79903173714</v>
      </c>
      <c r="CA13" s="109">
        <f t="shared" si="26"/>
        <v>6.35276763068208E-3</v>
      </c>
      <c r="CB13" s="123">
        <f t="shared" si="27"/>
        <v>54599.588831209403</v>
      </c>
      <c r="CC13" s="111">
        <f>ROUND((CB13+BI13),0)</f>
        <v>754035</v>
      </c>
      <c r="CE13" s="124">
        <f t="shared" si="28"/>
        <v>0</v>
      </c>
      <c r="CF13" s="17"/>
      <c r="CG13" s="108">
        <f t="shared" si="47"/>
        <v>2701881</v>
      </c>
      <c r="CH13" s="125">
        <f t="shared" si="48"/>
        <v>0.27907779802293292</v>
      </c>
      <c r="CI13" s="110">
        <f t="shared" si="49"/>
        <v>728489.14689263876</v>
      </c>
      <c r="CJ13" s="300">
        <f t="shared" si="50"/>
        <v>0</v>
      </c>
      <c r="CL13" s="127">
        <f t="shared" si="51"/>
        <v>728489.14689263876</v>
      </c>
      <c r="CM13" s="128">
        <f t="shared" si="52"/>
        <v>8.4810972188009842E-3</v>
      </c>
      <c r="CN13" s="129">
        <f t="shared" si="53"/>
        <v>7584.7634082765553</v>
      </c>
      <c r="CO13" s="130">
        <f t="shared" ref="CO13:CO50" si="55">ROUND((CN13+CI13),0)</f>
        <v>736074</v>
      </c>
      <c r="CQ13" s="131">
        <f t="shared" si="54"/>
        <v>0.27161884591946767</v>
      </c>
      <c r="CR13" s="301"/>
    </row>
    <row r="14" spans="1:96">
      <c r="A14" s="133" t="s">
        <v>82</v>
      </c>
      <c r="B14" s="90" t="s">
        <v>86</v>
      </c>
      <c r="C14" s="91">
        <f>'Sizing - Reimb Exp-25'!B7</f>
        <v>2111050</v>
      </c>
      <c r="D14" s="92">
        <f>'Ridership-25'!$E6</f>
        <v>131743</v>
      </c>
      <c r="E14" s="92">
        <f>'Revenue Hours-25'!$E6</f>
        <v>47343</v>
      </c>
      <c r="F14" s="92">
        <f>'Revenue Miles-25'!$E6</f>
        <v>800372</v>
      </c>
      <c r="G14" s="93">
        <f t="shared" si="0"/>
        <v>5.8588613671572021E-3</v>
      </c>
      <c r="H14" s="94">
        <f t="shared" si="1"/>
        <v>5.858861367157203E-3</v>
      </c>
      <c r="J14" s="95">
        <f>'Ridership-25'!B6/'Revenue Hours-25'!B6</f>
        <v>1.8670980965213595</v>
      </c>
      <c r="K14" s="96">
        <f>'Ridership-25'!C6/'Revenue Hours-25'!C6</f>
        <v>1.3455313359222201</v>
      </c>
      <c r="L14" s="96">
        <f>'Ridership-25'!D6/'Revenue Hours-25'!D6</f>
        <v>2.5156324194636741</v>
      </c>
      <c r="M14" s="96">
        <f>'Ridership-25'!E6/'Revenue Hours-25'!E6</f>
        <v>2.7827345119658662</v>
      </c>
      <c r="N14" s="97">
        <f t="shared" si="2"/>
        <v>1.2596800836704516</v>
      </c>
      <c r="O14" s="98">
        <f t="shared" si="3"/>
        <v>7.3802909771941618E-3</v>
      </c>
      <c r="P14" s="99">
        <f t="shared" si="4"/>
        <v>6.9718051439784734E-3</v>
      </c>
      <c r="Q14" s="95">
        <f>'Ridership-25'!B6/'Revenue Miles-25'!B6</f>
        <v>0.11380730389718556</v>
      </c>
      <c r="R14" s="96">
        <f>'Ridership-25'!C6/'Revenue Miles-25'!C6</f>
        <v>8.6154544217069737E-2</v>
      </c>
      <c r="S14" s="96">
        <f>'Ridership-25'!D6/'Revenue Miles-25'!D6</f>
        <v>0.15736959607772016</v>
      </c>
      <c r="T14" s="96">
        <f>'Ridership-25'!E6/'Revenue Miles-25'!E6</f>
        <v>0.16460220997236286</v>
      </c>
      <c r="U14" s="97">
        <f t="shared" si="5"/>
        <v>1.2593362033437594</v>
      </c>
      <c r="V14" s="98">
        <f t="shared" si="6"/>
        <v>7.3782762300331796E-3</v>
      </c>
      <c r="W14" s="99">
        <f t="shared" si="7"/>
        <v>6.9957065403039699E-3</v>
      </c>
      <c r="X14" s="95">
        <f>'Op Cost-25'!B7/'Revenue Hours-25'!B6</f>
        <v>28.535460118042245</v>
      </c>
      <c r="Y14" s="96">
        <f>'Op Cost-25'!C7/'Revenue Hours-25'!C6</f>
        <v>42.25856741971144</v>
      </c>
      <c r="Z14" s="96">
        <f>'Op Cost-25'!D7/'Revenue Hours-25'!D6</f>
        <v>54.154224876915002</v>
      </c>
      <c r="AA14" s="96">
        <f>'Op Cost-25'!E7/'Revenue Hours-25'!E6</f>
        <v>45.459899034704179</v>
      </c>
      <c r="AB14" s="97">
        <f t="shared" si="8"/>
        <v>1.131145514490173</v>
      </c>
      <c r="AC14" s="98">
        <f t="shared" si="9"/>
        <v>5.1795823721211449E-3</v>
      </c>
      <c r="AD14" s="99">
        <f t="shared" si="10"/>
        <v>5.5253666622642542E-3</v>
      </c>
      <c r="AE14" s="95">
        <f>'Op Cost-25'!B7/'Revenue Miles-25'!B6</f>
        <v>1.7393535923745185</v>
      </c>
      <c r="AF14" s="96">
        <f>'Op Cost-25'!C7/'Revenue Miles-25'!C6</f>
        <v>2.7058214982530968</v>
      </c>
      <c r="AG14" s="96">
        <f>'Op Cost-25'!D7/'Revenue Miles-25'!D6</f>
        <v>3.3877081678725758</v>
      </c>
      <c r="AH14" s="96">
        <f>'Op Cost-25'!E7/'Revenue Miles-25'!E6</f>
        <v>2.689009610531103</v>
      </c>
      <c r="AI14" s="97">
        <f t="shared" si="11"/>
        <v>1.1289699957487576</v>
      </c>
      <c r="AJ14" s="98">
        <f t="shared" si="12"/>
        <v>5.1895633978044546E-3</v>
      </c>
      <c r="AK14" s="99">
        <f t="shared" si="13"/>
        <v>5.5229984318587305E-3</v>
      </c>
      <c r="AL14" s="95">
        <f>'Op Cost-25'!B7/'Ridership-25'!B6</f>
        <v>15.283321305510098</v>
      </c>
      <c r="AM14" s="96">
        <f>'Op Cost-25'!C7/'Ridership-25'!C6</f>
        <v>31.406602203543365</v>
      </c>
      <c r="AN14" s="96">
        <f>'Op Cost-25'!D7/'Ridership-25'!D6</f>
        <v>21.527081801744522</v>
      </c>
      <c r="AO14" s="96">
        <f>'Op Cost-25'!E7/'Ridership-25'!E6</f>
        <v>16.33641256081917</v>
      </c>
      <c r="AP14" s="100">
        <f t="shared" si="14"/>
        <v>0.9068629018501454</v>
      </c>
      <c r="AQ14" s="98">
        <f t="shared" si="15"/>
        <v>6.4605811476069743E-3</v>
      </c>
      <c r="AR14" s="99">
        <f t="shared" si="16"/>
        <v>7.0144416213374127E-3</v>
      </c>
      <c r="AT14" s="101">
        <f t="shared" si="29"/>
        <v>0</v>
      </c>
      <c r="AU14" s="102">
        <f t="shared" si="17"/>
        <v>0</v>
      </c>
      <c r="AV14" s="102">
        <f t="shared" si="18"/>
        <v>0</v>
      </c>
      <c r="AW14" s="102">
        <f t="shared" si="19"/>
        <v>0</v>
      </c>
      <c r="AX14" s="103">
        <f t="shared" si="20"/>
        <v>0</v>
      </c>
      <c r="AY14" s="293">
        <f t="shared" si="30"/>
        <v>-1</v>
      </c>
      <c r="AZ14" s="105">
        <f t="shared" si="21"/>
        <v>0</v>
      </c>
      <c r="BA14" s="106">
        <f t="shared" si="21"/>
        <v>0</v>
      </c>
      <c r="BB14" s="106">
        <f t="shared" si="21"/>
        <v>0</v>
      </c>
      <c r="BC14" s="106">
        <f t="shared" si="21"/>
        <v>0</v>
      </c>
      <c r="BD14" s="106">
        <f t="shared" si="21"/>
        <v>0</v>
      </c>
      <c r="BE14" s="107">
        <f t="shared" si="31"/>
        <v>716190.1455884676</v>
      </c>
      <c r="BG14" s="108">
        <f>'Op Cost-25'!E7</f>
        <v>2152208</v>
      </c>
      <c r="BH14" s="109">
        <f t="shared" si="22"/>
        <v>0.33276994862414211</v>
      </c>
      <c r="BI14" s="110">
        <f t="shared" si="23"/>
        <v>645662.4</v>
      </c>
      <c r="BJ14" s="111">
        <f t="shared" si="24"/>
        <v>70527.745588467573</v>
      </c>
      <c r="BK14" s="1">
        <f t="shared" si="32"/>
        <v>0.45640413757688625</v>
      </c>
      <c r="BL14" s="294">
        <f t="shared" si="33"/>
        <v>0.2599460676773469</v>
      </c>
      <c r="BM14" s="294">
        <f t="shared" si="34"/>
        <v>0.22185566098003959</v>
      </c>
      <c r="BN14" s="295">
        <f t="shared" si="35"/>
        <v>0.67190741082507921</v>
      </c>
      <c r="BO14" s="114">
        <f t="shared" si="25"/>
        <v>0</v>
      </c>
      <c r="BP14" s="296">
        <f t="shared" si="36"/>
        <v>0.45640413757688625</v>
      </c>
      <c r="BQ14" s="116">
        <f t="shared" si="37"/>
        <v>2.67400856945992E-3</v>
      </c>
      <c r="BR14" s="297">
        <f t="shared" si="38"/>
        <v>0</v>
      </c>
      <c r="BS14" s="117">
        <f t="shared" si="39"/>
        <v>0</v>
      </c>
      <c r="BT14" s="298">
        <f t="shared" si="40"/>
        <v>645662.4</v>
      </c>
      <c r="BU14" s="119">
        <f t="shared" si="41"/>
        <v>645662.4</v>
      </c>
      <c r="BV14" s="119">
        <f t="shared" si="42"/>
        <v>645662.4</v>
      </c>
      <c r="BW14" s="119">
        <f t="shared" si="43"/>
        <v>0</v>
      </c>
      <c r="BX14" s="120">
        <f t="shared" si="44"/>
        <v>0</v>
      </c>
      <c r="BY14" s="121">
        <f t="shared" si="45"/>
        <v>0</v>
      </c>
      <c r="BZ14" s="299">
        <f t="shared" si="46"/>
        <v>645662.4</v>
      </c>
      <c r="CA14" s="109">
        <f t="shared" si="26"/>
        <v>0</v>
      </c>
      <c r="CB14" s="123">
        <f t="shared" si="27"/>
        <v>0</v>
      </c>
      <c r="CC14" s="111">
        <f t="shared" ref="CC14:CC50" si="56">ROUND((CB14+BI14),0)</f>
        <v>645662</v>
      </c>
      <c r="CE14" s="124">
        <f t="shared" si="28"/>
        <v>0</v>
      </c>
      <c r="CF14" s="17"/>
      <c r="CG14" s="108">
        <f t="shared" si="47"/>
        <v>2152208</v>
      </c>
      <c r="CH14" s="125">
        <f t="shared" si="48"/>
        <v>0.29999981414435778</v>
      </c>
      <c r="CI14" s="110">
        <f t="shared" si="49"/>
        <v>645662.4</v>
      </c>
      <c r="CJ14" s="300">
        <f t="shared" si="50"/>
        <v>0</v>
      </c>
      <c r="CL14" s="127">
        <f t="shared" si="51"/>
        <v>0</v>
      </c>
      <c r="CM14" s="128">
        <f t="shared" si="52"/>
        <v>0</v>
      </c>
      <c r="CN14" s="129">
        <f t="shared" si="53"/>
        <v>0</v>
      </c>
      <c r="CO14" s="130">
        <f t="shared" si="55"/>
        <v>645662</v>
      </c>
      <c r="CQ14" s="131">
        <f t="shared" si="54"/>
        <v>0.3</v>
      </c>
      <c r="CR14" s="301"/>
    </row>
    <row r="15" spans="1:96">
      <c r="A15" s="133" t="s">
        <v>82</v>
      </c>
      <c r="B15" s="90" t="s">
        <v>87</v>
      </c>
      <c r="C15" s="91">
        <f>'Sizing - Reimb Exp-25'!B8</f>
        <v>450961</v>
      </c>
      <c r="D15" s="92">
        <f>'Ridership-25'!$E7</f>
        <v>31171</v>
      </c>
      <c r="E15" s="92">
        <f>'Revenue Hours-25'!$E7</f>
        <v>8170</v>
      </c>
      <c r="F15" s="92">
        <f>'Revenue Miles-25'!$E7</f>
        <v>132943</v>
      </c>
      <c r="G15" s="93">
        <f t="shared" si="0"/>
        <v>1.118893298237163E-3</v>
      </c>
      <c r="H15" s="94">
        <f t="shared" si="1"/>
        <v>1.1188932982371632E-3</v>
      </c>
      <c r="J15" s="95">
        <f>'Ridership-25'!B7/'Revenue Hours-25'!B7</f>
        <v>5.5566235366605055</v>
      </c>
      <c r="K15" s="96">
        <f>'Ridership-25'!C7/'Revenue Hours-25'!C7</f>
        <v>3.8071505958829901</v>
      </c>
      <c r="L15" s="96">
        <f>'Ridership-25'!D7/'Revenue Hours-25'!D7</f>
        <v>3.650582779796967</v>
      </c>
      <c r="M15" s="96">
        <f>'Ridership-25'!E7/'Revenue Hours-25'!E7</f>
        <v>3.815299877600979</v>
      </c>
      <c r="N15" s="97">
        <f t="shared" si="2"/>
        <v>0.98400547632215163</v>
      </c>
      <c r="O15" s="98">
        <f t="shared" si="3"/>
        <v>1.1009971328855229E-3</v>
      </c>
      <c r="P15" s="99">
        <f t="shared" si="4"/>
        <v>1.0400589215623416E-3</v>
      </c>
      <c r="Q15" s="95">
        <f>'Ridership-25'!B7/'Revenue Miles-25'!B7</f>
        <v>0.3373331737387037</v>
      </c>
      <c r="R15" s="96">
        <f>'Ridership-25'!C7/'Revenue Miles-25'!C7</f>
        <v>0.2437813629741542</v>
      </c>
      <c r="S15" s="96">
        <f>'Ridership-25'!D7/'Revenue Miles-25'!D7</f>
        <v>0.22496138399752857</v>
      </c>
      <c r="T15" s="96">
        <f>'Ridership-25'!E7/'Revenue Miles-25'!E7</f>
        <v>0.23446890772737189</v>
      </c>
      <c r="U15" s="97">
        <f t="shared" si="5"/>
        <v>0.9968029568907818</v>
      </c>
      <c r="V15" s="98">
        <f t="shared" si="6"/>
        <v>1.1153161481280837E-3</v>
      </c>
      <c r="W15" s="99">
        <f t="shared" si="7"/>
        <v>1.0574860887163043E-3</v>
      </c>
      <c r="X15" s="95">
        <f>'Op Cost-25'!B8/'Revenue Hours-25'!B7</f>
        <v>38.559704251386322</v>
      </c>
      <c r="Y15" s="96">
        <f>'Op Cost-25'!C8/'Revenue Hours-25'!C7</f>
        <v>43.683519922956542</v>
      </c>
      <c r="Z15" s="96">
        <f>'Op Cost-25'!D8/'Revenue Hours-25'!D7</f>
        <v>59.664118310565236</v>
      </c>
      <c r="AA15" s="96">
        <f>'Op Cost-25'!E8/'Revenue Hours-25'!E7</f>
        <v>55.822399020807836</v>
      </c>
      <c r="AB15" s="97">
        <f t="shared" si="8"/>
        <v>1.0986125400469504</v>
      </c>
      <c r="AC15" s="98">
        <f t="shared" si="9"/>
        <v>1.0184603374264651E-3</v>
      </c>
      <c r="AD15" s="99">
        <f t="shared" si="10"/>
        <v>1.0864518393497568E-3</v>
      </c>
      <c r="AE15" s="95">
        <f>'Op Cost-25'!B8/'Revenue Miles-25'!B7</f>
        <v>2.340894128912562</v>
      </c>
      <c r="AF15" s="96">
        <f>'Op Cost-25'!C8/'Revenue Miles-25'!C7</f>
        <v>2.7971649027603269</v>
      </c>
      <c r="AG15" s="96">
        <f>'Op Cost-25'!D8/'Revenue Miles-25'!D7</f>
        <v>3.6767068273092369</v>
      </c>
      <c r="AH15" s="96">
        <f>'Op Cost-25'!E8/'Revenue Miles-25'!E7</f>
        <v>3.4305604657635227</v>
      </c>
      <c r="AI15" s="97">
        <f t="shared" si="11"/>
        <v>1.1030365413985617</v>
      </c>
      <c r="AJ15" s="98">
        <f t="shared" si="12"/>
        <v>1.0143755498965578E-3</v>
      </c>
      <c r="AK15" s="99">
        <f t="shared" si="13"/>
        <v>1.0795502707924771E-3</v>
      </c>
      <c r="AL15" s="95">
        <f>'Op Cost-25'!B8/'Ridership-25'!B7</f>
        <v>6.9394127561429961</v>
      </c>
      <c r="AM15" s="96">
        <f>'Op Cost-25'!C8/'Ridership-25'!C7</f>
        <v>11.474071966103839</v>
      </c>
      <c r="AN15" s="96">
        <f>'Op Cost-25'!D8/'Ridership-25'!D7</f>
        <v>16.343724251579236</v>
      </c>
      <c r="AO15" s="96">
        <f>'Op Cost-25'!E8/'Ridership-25'!E7</f>
        <v>14.631195662635141</v>
      </c>
      <c r="AP15" s="100">
        <f t="shared" si="14"/>
        <v>1.2256175688486206</v>
      </c>
      <c r="AQ15" s="98">
        <f t="shared" si="15"/>
        <v>9.1292204573102101E-4</v>
      </c>
      <c r="AR15" s="99">
        <f t="shared" si="16"/>
        <v>9.9118612525811315E-4</v>
      </c>
      <c r="AT15" s="101">
        <f t="shared" si="29"/>
        <v>0</v>
      </c>
      <c r="AU15" s="102">
        <f t="shared" si="17"/>
        <v>0</v>
      </c>
      <c r="AV15" s="102">
        <f t="shared" si="18"/>
        <v>0</v>
      </c>
      <c r="AW15" s="102">
        <f t="shared" si="19"/>
        <v>0</v>
      </c>
      <c r="AX15" s="103">
        <f t="shared" si="20"/>
        <v>0</v>
      </c>
      <c r="AY15" s="293">
        <f t="shared" si="30"/>
        <v>-1</v>
      </c>
      <c r="AZ15" s="105">
        <f t="shared" si="21"/>
        <v>0</v>
      </c>
      <c r="BA15" s="106">
        <f t="shared" si="21"/>
        <v>0</v>
      </c>
      <c r="BB15" s="106">
        <f t="shared" si="21"/>
        <v>0</v>
      </c>
      <c r="BC15" s="106">
        <f t="shared" si="21"/>
        <v>0</v>
      </c>
      <c r="BD15" s="106">
        <f t="shared" si="21"/>
        <v>0</v>
      </c>
      <c r="BE15" s="107">
        <f t="shared" si="31"/>
        <v>136774.07672666191</v>
      </c>
      <c r="BG15" s="108">
        <f>'Op Cost-25'!E8</f>
        <v>456069</v>
      </c>
      <c r="BH15" s="109">
        <f t="shared" si="22"/>
        <v>0.29989777144831575</v>
      </c>
      <c r="BI15" s="110">
        <f t="shared" si="23"/>
        <v>136774.07672666191</v>
      </c>
      <c r="BJ15" s="111">
        <f t="shared" si="24"/>
        <v>0</v>
      </c>
      <c r="BK15" s="1">
        <f t="shared" si="32"/>
        <v>0.54321449923597986</v>
      </c>
      <c r="BL15" s="294">
        <f t="shared" si="33"/>
        <v>0.35640201964203866</v>
      </c>
      <c r="BM15" s="294">
        <f t="shared" si="34"/>
        <v>0.31602403462175876</v>
      </c>
      <c r="BN15" s="295">
        <f t="shared" si="35"/>
        <v>0.75021597134006102</v>
      </c>
      <c r="BO15" s="114">
        <f t="shared" si="25"/>
        <v>0</v>
      </c>
      <c r="BP15" s="296">
        <f t="shared" si="36"/>
        <v>0.54321449923597986</v>
      </c>
      <c r="BQ15" s="116">
        <f t="shared" si="37"/>
        <v>6.0779906270039448E-4</v>
      </c>
      <c r="BR15" s="297">
        <f t="shared" si="38"/>
        <v>0</v>
      </c>
      <c r="BS15" s="117">
        <f t="shared" si="39"/>
        <v>0</v>
      </c>
      <c r="BT15" s="298">
        <f t="shared" si="40"/>
        <v>136774.07672666191</v>
      </c>
      <c r="BU15" s="119">
        <f t="shared" si="41"/>
        <v>136820.69999999998</v>
      </c>
      <c r="BV15" s="119">
        <f t="shared" si="42"/>
        <v>136774.07672666191</v>
      </c>
      <c r="BW15" s="119">
        <f t="shared" si="43"/>
        <v>0</v>
      </c>
      <c r="BX15" s="120">
        <f t="shared" si="44"/>
        <v>6.0779906270039448E-4</v>
      </c>
      <c r="BY15" s="121">
        <f t="shared" si="45"/>
        <v>1.223512575181463E-3</v>
      </c>
      <c r="BZ15" s="299">
        <f t="shared" si="46"/>
        <v>137868.281069613</v>
      </c>
      <c r="CA15" s="109">
        <f t="shared" si="26"/>
        <v>0</v>
      </c>
      <c r="CB15" s="123">
        <f t="shared" si="27"/>
        <v>0</v>
      </c>
      <c r="CC15" s="111">
        <f t="shared" si="56"/>
        <v>136774</v>
      </c>
      <c r="CE15" s="124">
        <f t="shared" si="28"/>
        <v>0</v>
      </c>
      <c r="CF15" s="17"/>
      <c r="CG15" s="108">
        <f t="shared" si="47"/>
        <v>456069</v>
      </c>
      <c r="CH15" s="125">
        <f t="shared" si="48"/>
        <v>0.2998976032135488</v>
      </c>
      <c r="CI15" s="110">
        <f t="shared" si="49"/>
        <v>136774.07672666191</v>
      </c>
      <c r="CJ15" s="300">
        <f t="shared" si="50"/>
        <v>0</v>
      </c>
      <c r="CL15" s="127">
        <f t="shared" si="51"/>
        <v>0</v>
      </c>
      <c r="CM15" s="128">
        <f t="shared" si="52"/>
        <v>0</v>
      </c>
      <c r="CN15" s="129">
        <f t="shared" si="53"/>
        <v>0</v>
      </c>
      <c r="CO15" s="130">
        <f>ROUND((CN15+CI15),0)</f>
        <v>136774</v>
      </c>
      <c r="CQ15" s="131">
        <f t="shared" si="54"/>
        <v>0.30229697933780414</v>
      </c>
      <c r="CR15" s="301"/>
    </row>
    <row r="16" spans="1:96">
      <c r="A16" s="133" t="s">
        <v>88</v>
      </c>
      <c r="B16" s="90" t="s">
        <v>89</v>
      </c>
      <c r="C16" s="91">
        <f>'Sizing - Reimb Exp-25'!B9</f>
        <v>10488989</v>
      </c>
      <c r="D16" s="92">
        <f>'Ridership-25'!$E8</f>
        <v>1147018</v>
      </c>
      <c r="E16" s="92">
        <f>'Revenue Hours-25'!$E8</f>
        <v>73719</v>
      </c>
      <c r="F16" s="92">
        <f>'Revenue Miles-25'!$E8</f>
        <v>782454</v>
      </c>
      <c r="G16" s="93">
        <f t="shared" si="0"/>
        <v>1.9784629132311826E-2</v>
      </c>
      <c r="H16" s="94">
        <f t="shared" si="1"/>
        <v>1.978462913231183E-2</v>
      </c>
      <c r="J16" s="95">
        <f>'Ridership-25'!B8/'Revenue Hours-25'!B8</f>
        <v>17.327594346172003</v>
      </c>
      <c r="K16" s="96">
        <f>'Ridership-25'!C8/'Revenue Hours-25'!C8</f>
        <v>8.228226225879153</v>
      </c>
      <c r="L16" s="96">
        <f>'Ridership-25'!D8/'Revenue Hours-25'!D8</f>
        <v>19.647103879082909</v>
      </c>
      <c r="M16" s="96">
        <f>'Ridership-25'!E8/'Revenue Hours-25'!E8</f>
        <v>15.559326632211507</v>
      </c>
      <c r="N16" s="97">
        <f t="shared" si="2"/>
        <v>1.146642827024652</v>
      </c>
      <c r="O16" s="98">
        <f t="shared" si="3"/>
        <v>2.2685903079908323E-2</v>
      </c>
      <c r="P16" s="99">
        <f t="shared" si="4"/>
        <v>2.1430279141708291E-2</v>
      </c>
      <c r="Q16" s="95">
        <f>'Ridership-25'!B8/'Revenue Miles-25'!B8</f>
        <v>1.9171644901717197</v>
      </c>
      <c r="R16" s="96">
        <f>'Ridership-25'!C8/'Revenue Miles-25'!C8</f>
        <v>0.84464065708418889</v>
      </c>
      <c r="S16" s="96">
        <f>'Ridership-25'!D8/'Revenue Miles-25'!D8</f>
        <v>1.4289408659654961</v>
      </c>
      <c r="T16" s="96">
        <f>'Ridership-25'!E8/'Revenue Miles-25'!E8</f>
        <v>1.465923875397148</v>
      </c>
      <c r="U16" s="97">
        <f t="shared" si="5"/>
        <v>1.0157118214755225</v>
      </c>
      <c r="V16" s="98">
        <f t="shared" si="6"/>
        <v>2.0095481693198136E-2</v>
      </c>
      <c r="W16" s="99">
        <f t="shared" si="7"/>
        <v>1.9053514442767441E-2</v>
      </c>
      <c r="X16" s="95">
        <f>'Op Cost-25'!B9/'Revenue Hours-25'!B8</f>
        <v>81.344653948330603</v>
      </c>
      <c r="Y16" s="96">
        <f>'Op Cost-25'!C9/'Revenue Hours-25'!C8</f>
        <v>121.31553469268006</v>
      </c>
      <c r="Z16" s="96">
        <f>'Op Cost-25'!D9/'Revenue Hours-25'!D8</f>
        <v>156.54829705026299</v>
      </c>
      <c r="AA16" s="96">
        <f>'Op Cost-25'!E9/'Revenue Hours-25'!E8</f>
        <v>142.28338691517791</v>
      </c>
      <c r="AB16" s="97">
        <f t="shared" si="8"/>
        <v>1.1618312176531347</v>
      </c>
      <c r="AC16" s="98">
        <f t="shared" si="9"/>
        <v>1.7028832442870838E-2</v>
      </c>
      <c r="AD16" s="99">
        <f t="shared" si="10"/>
        <v>1.8165662078000796E-2</v>
      </c>
      <c r="AE16" s="95">
        <f>'Op Cost-25'!B9/'Revenue Miles-25'!B8</f>
        <v>9.0001577194989437</v>
      </c>
      <c r="AF16" s="96">
        <f>'Op Cost-25'!C9/'Revenue Miles-25'!C8</f>
        <v>12.453234770704997</v>
      </c>
      <c r="AG16" s="96">
        <f>'Op Cost-25'!D9/'Revenue Miles-25'!D8</f>
        <v>11.385813427218888</v>
      </c>
      <c r="AH16" s="96">
        <f>'Op Cost-25'!E9/'Revenue Miles-25'!E8</f>
        <v>13.405246826011497</v>
      </c>
      <c r="AI16" s="97">
        <f t="shared" si="11"/>
        <v>1.1048323787932597</v>
      </c>
      <c r="AJ16" s="98">
        <f t="shared" si="12"/>
        <v>1.7907358176741127E-2</v>
      </c>
      <c r="AK16" s="99">
        <f t="shared" si="13"/>
        <v>1.905792521403947E-2</v>
      </c>
      <c r="AL16" s="95">
        <f>'Op Cost-25'!B9/'Ridership-25'!B8</f>
        <v>4.6945151371402689</v>
      </c>
      <c r="AM16" s="96">
        <f>'Op Cost-25'!C9/'Ridership-25'!C8</f>
        <v>14.743825869921071</v>
      </c>
      <c r="AN16" s="96">
        <f>'Op Cost-25'!D9/'Ridership-25'!D8</f>
        <v>7.9680088227624495</v>
      </c>
      <c r="AO16" s="96">
        <f>'Op Cost-25'!E9/'Ridership-25'!E8</f>
        <v>9.1445722734952728</v>
      </c>
      <c r="AP16" s="97">
        <f t="shared" si="14"/>
        <v>1.1634437228193528</v>
      </c>
      <c r="AQ16" s="98">
        <f t="shared" si="15"/>
        <v>1.7005230888493761E-2</v>
      </c>
      <c r="AR16" s="99">
        <f t="shared" si="16"/>
        <v>1.8463075782104502E-2</v>
      </c>
      <c r="AT16" s="101">
        <f t="shared" si="29"/>
        <v>0</v>
      </c>
      <c r="AU16" s="102">
        <f t="shared" si="17"/>
        <v>0</v>
      </c>
      <c r="AV16" s="102">
        <f t="shared" si="18"/>
        <v>0</v>
      </c>
      <c r="AW16" s="102">
        <f t="shared" si="19"/>
        <v>0</v>
      </c>
      <c r="AX16" s="103">
        <f t="shared" si="20"/>
        <v>0</v>
      </c>
      <c r="AY16" s="293">
        <f t="shared" si="30"/>
        <v>-1</v>
      </c>
      <c r="AZ16" s="105">
        <f t="shared" si="21"/>
        <v>0</v>
      </c>
      <c r="BA16" s="106">
        <f t="shared" si="21"/>
        <v>0</v>
      </c>
      <c r="BB16" s="106">
        <f t="shared" si="21"/>
        <v>0</v>
      </c>
      <c r="BC16" s="106">
        <f t="shared" si="21"/>
        <v>0</v>
      </c>
      <c r="BD16" s="106">
        <f t="shared" si="21"/>
        <v>0</v>
      </c>
      <c r="BE16" s="107">
        <f t="shared" si="31"/>
        <v>2418482.9663514472</v>
      </c>
      <c r="BG16" s="108">
        <f>'Op Cost-25'!E9</f>
        <v>10488989</v>
      </c>
      <c r="BH16" s="109">
        <f t="shared" si="22"/>
        <v>0.23057350583087152</v>
      </c>
      <c r="BI16" s="110">
        <f t="shared" si="23"/>
        <v>2418482.9663514472</v>
      </c>
      <c r="BJ16" s="111">
        <f t="shared" si="24"/>
        <v>0</v>
      </c>
      <c r="BK16" s="1">
        <f t="shared" si="32"/>
        <v>1.4574859213783635</v>
      </c>
      <c r="BL16" s="294">
        <f t="shared" si="33"/>
        <v>1.4534572940246089</v>
      </c>
      <c r="BM16" s="294">
        <f t="shared" si="34"/>
        <v>1.9758149685673196</v>
      </c>
      <c r="BN16" s="295">
        <f t="shared" si="35"/>
        <v>1.2003357114607625</v>
      </c>
      <c r="BO16" s="114">
        <f t="shared" si="25"/>
        <v>2418482.9663514472</v>
      </c>
      <c r="BP16" s="296">
        <f t="shared" si="36"/>
        <v>1.4574859213783635</v>
      </c>
      <c r="BQ16" s="116">
        <f t="shared" si="37"/>
        <v>2.883581842003672E-2</v>
      </c>
      <c r="BR16" s="297">
        <f t="shared" si="38"/>
        <v>2.883581842003672E-2</v>
      </c>
      <c r="BS16" s="302">
        <f t="shared" si="39"/>
        <v>3.2542072285535982E-2</v>
      </c>
      <c r="BT16" s="298">
        <f t="shared" si="40"/>
        <v>2698169.5328684393</v>
      </c>
      <c r="BU16" s="119">
        <f t="shared" si="41"/>
        <v>3146696.6999999997</v>
      </c>
      <c r="BV16" s="119">
        <f t="shared" si="42"/>
        <v>2698169.5328684393</v>
      </c>
      <c r="BW16" s="119">
        <f t="shared" si="43"/>
        <v>0</v>
      </c>
      <c r="BX16" s="120">
        <f t="shared" si="44"/>
        <v>2.883581842003672E-2</v>
      </c>
      <c r="BY16" s="121">
        <f t="shared" si="45"/>
        <v>5.8047122178527331E-2</v>
      </c>
      <c r="BZ16" s="299">
        <f t="shared" si="46"/>
        <v>2750081.8829921298</v>
      </c>
      <c r="CA16" s="109">
        <f t="shared" si="26"/>
        <v>2.1966377495999563E-2</v>
      </c>
      <c r="CB16" s="123">
        <f t="shared" si="27"/>
        <v>188792.54666897608</v>
      </c>
      <c r="CC16" s="111">
        <f>ROUND((CB16+BI16),0)</f>
        <v>2607276</v>
      </c>
      <c r="CE16" s="124">
        <f t="shared" si="28"/>
        <v>0</v>
      </c>
      <c r="CF16" s="17"/>
      <c r="CG16" s="108">
        <f t="shared" si="47"/>
        <v>10488989</v>
      </c>
      <c r="CH16" s="125">
        <f t="shared" si="48"/>
        <v>0.24857266987314031</v>
      </c>
      <c r="CI16" s="110">
        <f t="shared" si="49"/>
        <v>2698169.5328684393</v>
      </c>
      <c r="CJ16" s="300">
        <f t="shared" si="50"/>
        <v>0</v>
      </c>
      <c r="CL16" s="127">
        <f t="shared" si="51"/>
        <v>2698169.5328684393</v>
      </c>
      <c r="CM16" s="128">
        <f t="shared" si="52"/>
        <v>3.1412188113814854E-2</v>
      </c>
      <c r="CN16" s="129">
        <f t="shared" si="53"/>
        <v>28092.357490184015</v>
      </c>
      <c r="CO16" s="130">
        <f>ROUND((CN16+CI16),0)</f>
        <v>2726262</v>
      </c>
      <c r="CQ16" s="131">
        <f t="shared" si="54"/>
        <v>0.26218750758458509</v>
      </c>
      <c r="CR16" s="301"/>
    </row>
    <row r="17" spans="1:96">
      <c r="A17" s="136"/>
      <c r="B17" s="137"/>
      <c r="C17" s="138"/>
      <c r="D17" s="139"/>
      <c r="E17" s="139"/>
      <c r="F17" s="139"/>
      <c r="G17" s="140"/>
      <c r="H17" s="141"/>
      <c r="J17" s="142"/>
      <c r="K17" s="143"/>
      <c r="L17" s="143"/>
      <c r="M17" s="143"/>
      <c r="N17" s="144"/>
      <c r="O17" s="145"/>
      <c r="P17" s="146"/>
      <c r="Q17" s="142"/>
      <c r="R17" s="143"/>
      <c r="S17" s="143"/>
      <c r="T17" s="143"/>
      <c r="U17" s="144"/>
      <c r="V17" s="145"/>
      <c r="W17" s="146"/>
      <c r="X17" s="142"/>
      <c r="Y17" s="143"/>
      <c r="Z17" s="143"/>
      <c r="AA17" s="143"/>
      <c r="AB17" s="144"/>
      <c r="AC17" s="145"/>
      <c r="AD17" s="146"/>
      <c r="AE17" s="142"/>
      <c r="AF17" s="143"/>
      <c r="AG17" s="143"/>
      <c r="AH17" s="143"/>
      <c r="AI17" s="144"/>
      <c r="AJ17" s="145"/>
      <c r="AK17" s="146"/>
      <c r="AL17" s="142"/>
      <c r="AM17" s="143"/>
      <c r="AN17" s="143"/>
      <c r="AO17" s="143"/>
      <c r="AP17" s="147"/>
      <c r="AQ17" s="145"/>
      <c r="AR17" s="146"/>
      <c r="AT17" s="148"/>
      <c r="AU17" s="149"/>
      <c r="AV17" s="149"/>
      <c r="AW17" s="149"/>
      <c r="AX17" s="150"/>
      <c r="AY17" s="293" t="e">
        <f t="shared" si="30"/>
        <v>#DIV/0!</v>
      </c>
      <c r="AZ17" s="151"/>
      <c r="BA17" s="152"/>
      <c r="BB17" s="152"/>
      <c r="BC17" s="152"/>
      <c r="BD17" s="152"/>
      <c r="BE17" s="107">
        <f t="shared" si="31"/>
        <v>0</v>
      </c>
      <c r="BG17" s="153"/>
      <c r="BH17" s="154"/>
      <c r="BI17" s="155"/>
      <c r="BJ17" s="156"/>
      <c r="BK17" s="1">
        <f t="shared" si="32"/>
        <v>0</v>
      </c>
      <c r="BL17" s="294">
        <f t="shared" si="33"/>
        <v>0</v>
      </c>
      <c r="BM17" s="294">
        <f t="shared" si="34"/>
        <v>0</v>
      </c>
      <c r="BN17" s="295">
        <v>0</v>
      </c>
      <c r="BO17" s="157"/>
      <c r="BP17" s="296">
        <f t="shared" si="36"/>
        <v>0</v>
      </c>
      <c r="BQ17" s="116">
        <f t="shared" si="37"/>
        <v>0</v>
      </c>
      <c r="BR17" s="297">
        <f t="shared" si="38"/>
        <v>0</v>
      </c>
      <c r="BS17" s="117">
        <f t="shared" si="39"/>
        <v>0</v>
      </c>
      <c r="BT17" s="298">
        <f t="shared" si="40"/>
        <v>0</v>
      </c>
      <c r="BU17" s="119">
        <f t="shared" si="41"/>
        <v>0</v>
      </c>
      <c r="BV17" s="119">
        <f t="shared" si="42"/>
        <v>0</v>
      </c>
      <c r="BW17" s="119">
        <f t="shared" si="43"/>
        <v>0</v>
      </c>
      <c r="BX17" s="120">
        <f t="shared" si="44"/>
        <v>0</v>
      </c>
      <c r="BY17" s="121">
        <f t="shared" si="45"/>
        <v>0</v>
      </c>
      <c r="BZ17" s="299">
        <f t="shared" si="46"/>
        <v>0</v>
      </c>
      <c r="CA17" s="154"/>
      <c r="CB17" s="158"/>
      <c r="CC17" s="156"/>
      <c r="CE17" s="159"/>
      <c r="CF17" s="17"/>
      <c r="CG17" s="153"/>
      <c r="CH17" s="160"/>
      <c r="CI17" s="110">
        <f t="shared" si="49"/>
        <v>0</v>
      </c>
      <c r="CJ17" s="300">
        <f t="shared" si="50"/>
        <v>0</v>
      </c>
      <c r="CL17" s="127"/>
      <c r="CM17" s="128">
        <f t="shared" si="52"/>
        <v>0</v>
      </c>
      <c r="CN17" s="129">
        <f t="shared" si="53"/>
        <v>0</v>
      </c>
      <c r="CO17" s="162"/>
      <c r="CQ17" s="131" t="e">
        <f t="shared" si="54"/>
        <v>#DIV/0!</v>
      </c>
      <c r="CR17" s="301"/>
    </row>
    <row r="18" spans="1:96">
      <c r="A18" s="133" t="s">
        <v>90</v>
      </c>
      <c r="B18" s="90" t="s">
        <v>91</v>
      </c>
      <c r="C18" s="91">
        <f>'Sizing - Reimb Exp-25'!B11</f>
        <v>4150901</v>
      </c>
      <c r="D18" s="92">
        <f>'Ridership-25'!$E10</f>
        <v>288349</v>
      </c>
      <c r="E18" s="92">
        <f>'Revenue Hours-25'!$E10</f>
        <v>37181</v>
      </c>
      <c r="F18" s="92">
        <f>'Revenue Miles-25'!$E10</f>
        <v>548622</v>
      </c>
      <c r="G18" s="134">
        <f t="shared" si="0"/>
        <v>7.4393007947873352E-3</v>
      </c>
      <c r="H18" s="94">
        <f t="shared" si="1"/>
        <v>7.439300794787336E-3</v>
      </c>
      <c r="J18" s="95">
        <f>'Ridership-25'!B10/'Revenue Hours-25'!B10</f>
        <v>5.5934530095036958</v>
      </c>
      <c r="K18" s="96">
        <f>'Ridership-25'!C10/'Revenue Hours-25'!C10</f>
        <v>3.4815432129025932</v>
      </c>
      <c r="L18" s="96">
        <f>'Ridership-25'!D10/'Revenue Hours-25'!D10</f>
        <v>4.4669216251117509</v>
      </c>
      <c r="M18" s="96">
        <f>'Ridership-25'!E10/'Revenue Hours-25'!E10</f>
        <v>7.7552782335063606</v>
      </c>
      <c r="N18" s="97">
        <f t="shared" si="2"/>
        <v>1.2198287632498523</v>
      </c>
      <c r="O18" s="98">
        <f t="shared" si="3"/>
        <v>9.0746730879490804E-3</v>
      </c>
      <c r="P18" s="99">
        <f t="shared" si="4"/>
        <v>8.5724062520010826E-3</v>
      </c>
      <c r="Q18" s="95">
        <f>'Ridership-25'!B10/'Revenue Miles-25'!B10</f>
        <v>0.3427235145820865</v>
      </c>
      <c r="R18" s="96">
        <f>'Ridership-25'!C10/'Revenue Miles-25'!C10</f>
        <v>0.23255357049300571</v>
      </c>
      <c r="S18" s="96">
        <f>'Ridership-25'!D10/'Revenue Miles-25'!D10</f>
        <v>0.30066694525699961</v>
      </c>
      <c r="T18" s="96">
        <f>'Ridership-25'!E10/'Revenue Miles-25'!E10</f>
        <v>0.52558774529639718</v>
      </c>
      <c r="U18" s="97">
        <f t="shared" si="5"/>
        <v>1.2632311762484385</v>
      </c>
      <c r="V18" s="98">
        <f t="shared" si="6"/>
        <v>9.3975566934651495E-3</v>
      </c>
      <c r="W18" s="99">
        <f t="shared" si="7"/>
        <v>8.9102856512402306E-3</v>
      </c>
      <c r="X18" s="95">
        <f>'Op Cost-25'!B11/'Revenue Hours-25'!B10</f>
        <v>71.54291748378337</v>
      </c>
      <c r="Y18" s="96">
        <f>'Op Cost-25'!C11/'Revenue Hours-25'!C10</f>
        <v>97.854576204715912</v>
      </c>
      <c r="Z18" s="96">
        <f>'Op Cost-25'!D11/'Revenue Hours-25'!D10</f>
        <v>112.67122777391477</v>
      </c>
      <c r="AA18" s="96">
        <f>'Op Cost-25'!E11/'Revenue Hours-25'!E10</f>
        <v>122.86288695839272</v>
      </c>
      <c r="AB18" s="97">
        <f t="shared" si="8"/>
        <v>1.1468704387138906</v>
      </c>
      <c r="AC18" s="98">
        <f t="shared" si="9"/>
        <v>6.4866095974448739E-3</v>
      </c>
      <c r="AD18" s="99">
        <f t="shared" si="10"/>
        <v>6.9196498570535678E-3</v>
      </c>
      <c r="AE18" s="95">
        <f>'Op Cost-25'!B11/'Revenue Miles-25'!B10</f>
        <v>4.38359633697433</v>
      </c>
      <c r="AF18" s="96">
        <f>'Op Cost-25'!C11/'Revenue Miles-25'!C10</f>
        <v>6.5363057971394145</v>
      </c>
      <c r="AG18" s="96">
        <f>'Op Cost-25'!D11/'Revenue Miles-25'!D10</f>
        <v>7.5838612620142083</v>
      </c>
      <c r="AH18" s="96">
        <f>'Op Cost-25'!E11/'Revenue Miles-25'!E10</f>
        <v>8.3266165046243135</v>
      </c>
      <c r="AI18" s="97">
        <f t="shared" si="11"/>
        <v>1.1891379558716986</v>
      </c>
      <c r="AJ18" s="98">
        <f t="shared" si="12"/>
        <v>6.2560451948015993E-3</v>
      </c>
      <c r="AK18" s="99">
        <f t="shared" si="13"/>
        <v>6.6580028322121522E-3</v>
      </c>
      <c r="AL18" s="95">
        <f>'Op Cost-25'!B11/'Ridership-25'!B10</f>
        <v>12.790474392513282</v>
      </c>
      <c r="AM18" s="96">
        <f>'Op Cost-25'!C11/'Ridership-25'!C10</f>
        <v>28.106667136018022</v>
      </c>
      <c r="AN18" s="96">
        <f>'Op Cost-25'!D11/'Ridership-25'!D10</f>
        <v>25.223461978940815</v>
      </c>
      <c r="AO18" s="96">
        <f>'Op Cost-25'!E11/'Ridership-25'!E10</f>
        <v>15.842486015210735</v>
      </c>
      <c r="AP18" s="100">
        <f t="shared" si="14"/>
        <v>0.96170318816631051</v>
      </c>
      <c r="AQ18" s="98">
        <f t="shared" si="15"/>
        <v>7.7355476058802814E-3</v>
      </c>
      <c r="AR18" s="99">
        <f t="shared" si="16"/>
        <v>8.3987099381333443E-3</v>
      </c>
      <c r="AT18" s="101">
        <f t="shared" si="29"/>
        <v>0</v>
      </c>
      <c r="AU18" s="102">
        <f t="shared" si="17"/>
        <v>0</v>
      </c>
      <c r="AV18" s="102">
        <f t="shared" si="18"/>
        <v>0</v>
      </c>
      <c r="AW18" s="102">
        <f t="shared" si="19"/>
        <v>0</v>
      </c>
      <c r="AX18" s="103">
        <f t="shared" si="20"/>
        <v>0</v>
      </c>
      <c r="AY18" s="293">
        <f t="shared" si="30"/>
        <v>-1</v>
      </c>
      <c r="AZ18" s="105">
        <f t="shared" si="21"/>
        <v>0</v>
      </c>
      <c r="BA18" s="106">
        <f t="shared" si="21"/>
        <v>0</v>
      </c>
      <c r="BB18" s="106">
        <f t="shared" si="21"/>
        <v>0</v>
      </c>
      <c r="BC18" s="106">
        <f t="shared" si="21"/>
        <v>0</v>
      </c>
      <c r="BD18" s="106">
        <f t="shared" si="21"/>
        <v>0</v>
      </c>
      <c r="BE18" s="107">
        <f t="shared" si="31"/>
        <v>909383.85215288657</v>
      </c>
      <c r="BG18" s="108">
        <f>'Op Cost-25'!E11</f>
        <v>4568165</v>
      </c>
      <c r="BH18" s="109">
        <f t="shared" si="22"/>
        <v>0.19906983485773533</v>
      </c>
      <c r="BI18" s="110">
        <f t="shared" si="23"/>
        <v>909383.85215288657</v>
      </c>
      <c r="BJ18" s="111">
        <f t="shared" si="24"/>
        <v>0</v>
      </c>
      <c r="BK18" s="1">
        <f t="shared" si="32"/>
        <v>0.70464115747244649</v>
      </c>
      <c r="BL18" s="294">
        <f t="shared" si="33"/>
        <v>0.72445074148289001</v>
      </c>
      <c r="BM18" s="294">
        <f t="shared" si="34"/>
        <v>0.70840249748359463</v>
      </c>
      <c r="BN18" s="295">
        <f t="shared" si="35"/>
        <v>0.69285569546165071</v>
      </c>
      <c r="BO18" s="114">
        <f t="shared" si="25"/>
        <v>909383.85215288657</v>
      </c>
      <c r="BP18" s="296">
        <f t="shared" si="36"/>
        <v>0.70464115747244649</v>
      </c>
      <c r="BQ18" s="116">
        <f t="shared" si="37"/>
        <v>5.2420375228246392E-3</v>
      </c>
      <c r="BR18" s="297">
        <f t="shared" si="38"/>
        <v>5.2420375228246392E-3</v>
      </c>
      <c r="BS18" s="117">
        <f t="shared" si="39"/>
        <v>5.9157940831226158E-3</v>
      </c>
      <c r="BT18" s="298">
        <f t="shared" si="40"/>
        <v>960227.82179355109</v>
      </c>
      <c r="BU18" s="119">
        <f t="shared" si="41"/>
        <v>1370449.5</v>
      </c>
      <c r="BV18" s="119">
        <f t="shared" si="42"/>
        <v>960227.82179355109</v>
      </c>
      <c r="BW18" s="119">
        <f t="shared" si="43"/>
        <v>0</v>
      </c>
      <c r="BX18" s="120">
        <f t="shared" si="44"/>
        <v>5.2420375228246392E-3</v>
      </c>
      <c r="BY18" s="121">
        <f t="shared" si="45"/>
        <v>1.0552334187969237E-2</v>
      </c>
      <c r="BZ18" s="299">
        <f t="shared" si="46"/>
        <v>969664.9212815027</v>
      </c>
      <c r="CA18" s="109">
        <f t="shared" si="26"/>
        <v>8.2596690830915379E-3</v>
      </c>
      <c r="CB18" s="123">
        <f t="shared" ref="CB18:CB50" si="57">CA18*$BO$6</f>
        <v>70988.671715390665</v>
      </c>
      <c r="CC18" s="111">
        <f t="shared" si="56"/>
        <v>980373</v>
      </c>
      <c r="CE18" s="124">
        <f t="shared" si="28"/>
        <v>0</v>
      </c>
      <c r="CF18" s="17"/>
      <c r="CG18" s="108">
        <f t="shared" si="47"/>
        <v>4568165</v>
      </c>
      <c r="CH18" s="125">
        <f t="shared" si="48"/>
        <v>0.21460980503112301</v>
      </c>
      <c r="CI18" s="110">
        <f t="shared" si="49"/>
        <v>960227.82179355109</v>
      </c>
      <c r="CJ18" s="300">
        <f t="shared" si="50"/>
        <v>0</v>
      </c>
      <c r="CL18" s="127">
        <f t="shared" si="51"/>
        <v>960227.82179355109</v>
      </c>
      <c r="CM18" s="128">
        <f t="shared" si="52"/>
        <v>1.1179007324358677E-2</v>
      </c>
      <c r="CN18" s="129">
        <f t="shared" si="53"/>
        <v>9997.542005141464</v>
      </c>
      <c r="CO18" s="130">
        <f t="shared" si="55"/>
        <v>970225</v>
      </c>
      <c r="CQ18" s="131">
        <f t="shared" si="54"/>
        <v>0.21226573936832463</v>
      </c>
      <c r="CR18" s="301"/>
    </row>
    <row r="19" spans="1:96">
      <c r="A19" s="133" t="s">
        <v>92</v>
      </c>
      <c r="B19" s="90" t="s">
        <v>93</v>
      </c>
      <c r="C19" s="91">
        <f>'Sizing - Reimb Exp-25'!B12</f>
        <v>1970225</v>
      </c>
      <c r="D19" s="92">
        <f>'Ridership-25'!$E11</f>
        <v>75077</v>
      </c>
      <c r="E19" s="92">
        <f>'Revenue Hours-25'!$E11</f>
        <v>22410</v>
      </c>
      <c r="F19" s="92">
        <f>'Revenue Miles-25'!$E11</f>
        <v>442128</v>
      </c>
      <c r="G19" s="134">
        <f t="shared" si="0"/>
        <v>3.6638163806052642E-3</v>
      </c>
      <c r="H19" s="94">
        <f t="shared" si="1"/>
        <v>3.6638163806052646E-3</v>
      </c>
      <c r="J19" s="95">
        <f>'Ridership-25'!B11/'Revenue Hours-25'!B11</f>
        <v>6.7021276595744679</v>
      </c>
      <c r="K19" s="96">
        <f>'Ridership-25'!C11/'Revenue Hours-25'!C11</f>
        <v>5.361326293975428</v>
      </c>
      <c r="L19" s="96">
        <f>'Ridership-25'!D11/'Revenue Hours-25'!D11</f>
        <v>3.4816356739753909</v>
      </c>
      <c r="M19" s="96">
        <f>'Ridership-25'!E11/'Revenue Hours-25'!E11</f>
        <v>3.3501561802766622</v>
      </c>
      <c r="N19" s="97">
        <f t="shared" si="2"/>
        <v>0.9553120857071894</v>
      </c>
      <c r="O19" s="98">
        <f t="shared" si="3"/>
        <v>3.5000880682041812E-3</v>
      </c>
      <c r="P19" s="99">
        <f t="shared" si="4"/>
        <v>3.3063644880246593E-3</v>
      </c>
      <c r="Q19" s="95">
        <f>'Ridership-25'!B11/'Revenue Miles-25'!B11</f>
        <v>0.35838935027674113</v>
      </c>
      <c r="R19" s="96">
        <f>'Ridership-25'!C11/'Revenue Miles-25'!C11</f>
        <v>0.29459705668644059</v>
      </c>
      <c r="S19" s="96">
        <f>'Ridership-25'!D11/'Revenue Miles-25'!D11</f>
        <v>0.18135424146189841</v>
      </c>
      <c r="T19" s="96">
        <f>'Ridership-25'!E11/'Revenue Miles-25'!E11</f>
        <v>0.16980829081171064</v>
      </c>
      <c r="U19" s="97">
        <f t="shared" si="5"/>
        <v>0.94938316718089533</v>
      </c>
      <c r="V19" s="98">
        <f t="shared" si="6"/>
        <v>3.4783655993882705E-3</v>
      </c>
      <c r="W19" s="99">
        <f t="shared" si="7"/>
        <v>3.2980094827785322E-3</v>
      </c>
      <c r="X19" s="95">
        <f>'Op Cost-25'!B12/'Revenue Hours-25'!B11</f>
        <v>66.919313392948922</v>
      </c>
      <c r="Y19" s="96">
        <f>'Op Cost-25'!C12/'Revenue Hours-25'!C11</f>
        <v>71.305225243005879</v>
      </c>
      <c r="Z19" s="96">
        <f>'Op Cost-25'!D12/'Revenue Hours-25'!D11</f>
        <v>79.874363955962622</v>
      </c>
      <c r="AA19" s="96">
        <f>'Op Cost-25'!E12/'Revenue Hours-25'!E11</f>
        <v>87.91722445336903</v>
      </c>
      <c r="AB19" s="97">
        <f t="shared" si="8"/>
        <v>1.0576341091476011</v>
      </c>
      <c r="AC19" s="98">
        <f t="shared" si="9"/>
        <v>3.4641624631018306E-3</v>
      </c>
      <c r="AD19" s="99">
        <f t="shared" si="10"/>
        <v>3.6954268531985027E-3</v>
      </c>
      <c r="AE19" s="95">
        <f>'Op Cost-25'!B12/'Revenue Miles-25'!B11</f>
        <v>3.578441125871858</v>
      </c>
      <c r="AF19" s="96">
        <f>'Op Cost-25'!C12/'Revenue Miles-25'!C11</f>
        <v>3.9181180795800845</v>
      </c>
      <c r="AG19" s="96">
        <f>'Op Cost-25'!D12/'Revenue Miles-25'!D11</f>
        <v>4.1605601630756928</v>
      </c>
      <c r="AH19" s="96">
        <f>'Op Cost-25'!E12/'Revenue Miles-25'!E11</f>
        <v>4.456232131871313</v>
      </c>
      <c r="AI19" s="97">
        <f t="shared" si="11"/>
        <v>1.0394400432187054</v>
      </c>
      <c r="AJ19" s="98">
        <f t="shared" si="12"/>
        <v>3.5247981877434484E-3</v>
      </c>
      <c r="AK19" s="99">
        <f t="shared" si="13"/>
        <v>3.7512702651944945E-3</v>
      </c>
      <c r="AL19" s="95">
        <f>'Op Cost-25'!B12/'Ridership-25'!B11</f>
        <v>9.9847864427574571</v>
      </c>
      <c r="AM19" s="96">
        <f>'Op Cost-25'!C12/'Ridership-25'!C11</f>
        <v>13.299922693220932</v>
      </c>
      <c r="AN19" s="96">
        <f>'Op Cost-25'!D12/'Ridership-25'!D11</f>
        <v>22.941620386363031</v>
      </c>
      <c r="AO19" s="96">
        <f>'Op Cost-25'!E12/'Ridership-25'!E11</f>
        <v>26.242724136553139</v>
      </c>
      <c r="AP19" s="100">
        <f t="shared" si="14"/>
        <v>1.4157977453231483</v>
      </c>
      <c r="AQ19" s="98">
        <f t="shared" si="15"/>
        <v>2.5878105772579956E-3</v>
      </c>
      <c r="AR19" s="99">
        <f t="shared" si="16"/>
        <v>2.8096615159735705E-3</v>
      </c>
      <c r="AT19" s="101">
        <f t="shared" si="29"/>
        <v>0</v>
      </c>
      <c r="AU19" s="102">
        <f t="shared" si="17"/>
        <v>0</v>
      </c>
      <c r="AV19" s="102">
        <f t="shared" si="18"/>
        <v>0</v>
      </c>
      <c r="AW19" s="102">
        <f t="shared" si="19"/>
        <v>0</v>
      </c>
      <c r="AX19" s="103">
        <f t="shared" si="20"/>
        <v>0</v>
      </c>
      <c r="AY19" s="293">
        <f t="shared" si="30"/>
        <v>-1</v>
      </c>
      <c r="AZ19" s="105">
        <f t="shared" si="21"/>
        <v>0</v>
      </c>
      <c r="BA19" s="106">
        <f t="shared" si="21"/>
        <v>0</v>
      </c>
      <c r="BB19" s="106">
        <f t="shared" si="21"/>
        <v>0</v>
      </c>
      <c r="BC19" s="106">
        <f t="shared" si="21"/>
        <v>0</v>
      </c>
      <c r="BD19" s="106">
        <f t="shared" si="21"/>
        <v>0</v>
      </c>
      <c r="BE19" s="107">
        <f t="shared" si="31"/>
        <v>447866.74792209518</v>
      </c>
      <c r="BG19" s="108">
        <f>'Op Cost-25'!E12</f>
        <v>1970225</v>
      </c>
      <c r="BH19" s="109">
        <f t="shared" si="22"/>
        <v>0.227317564198046</v>
      </c>
      <c r="BI19" s="110">
        <f t="shared" si="23"/>
        <v>447866.74792209518</v>
      </c>
      <c r="BJ19" s="111">
        <f t="shared" si="24"/>
        <v>0</v>
      </c>
      <c r="BK19" s="1">
        <f t="shared" si="32"/>
        <v>0.34459116306146964</v>
      </c>
      <c r="BL19" s="294">
        <f t="shared" si="33"/>
        <v>0.31295113544721848</v>
      </c>
      <c r="BM19" s="294">
        <f t="shared" si="34"/>
        <v>0.22887256862619423</v>
      </c>
      <c r="BN19" s="295">
        <f t="shared" si="35"/>
        <v>0.41827047408623291</v>
      </c>
      <c r="BO19" s="114">
        <f t="shared" si="25"/>
        <v>447866.74792209518</v>
      </c>
      <c r="BP19" s="296">
        <f t="shared" si="36"/>
        <v>0.34459116306146964</v>
      </c>
      <c r="BQ19" s="116">
        <f t="shared" si="37"/>
        <v>1.2625187478364323E-3</v>
      </c>
      <c r="BR19" s="297">
        <f t="shared" si="38"/>
        <v>1.2625187478364323E-3</v>
      </c>
      <c r="BS19" s="117">
        <f t="shared" si="39"/>
        <v>1.4247896749616596E-3</v>
      </c>
      <c r="BT19" s="298">
        <f t="shared" si="40"/>
        <v>460112.26593036315</v>
      </c>
      <c r="BU19" s="119">
        <f t="shared" si="41"/>
        <v>591067.5</v>
      </c>
      <c r="BV19" s="119">
        <f t="shared" si="42"/>
        <v>460112.26593036315</v>
      </c>
      <c r="BW19" s="119">
        <f t="shared" si="43"/>
        <v>0</v>
      </c>
      <c r="BX19" s="120">
        <f t="shared" si="44"/>
        <v>1.2625187478364323E-3</v>
      </c>
      <c r="BY19" s="121">
        <f t="shared" si="45"/>
        <v>2.5414773716781296E-3</v>
      </c>
      <c r="BZ19" s="299">
        <f t="shared" si="46"/>
        <v>462385.14455377223</v>
      </c>
      <c r="CA19" s="109">
        <f t="shared" si="26"/>
        <v>4.0678434331105342E-3</v>
      </c>
      <c r="CB19" s="123">
        <f t="shared" si="57"/>
        <v>34961.546177901655</v>
      </c>
      <c r="CC19" s="111">
        <f t="shared" si="56"/>
        <v>482828</v>
      </c>
      <c r="CE19" s="124">
        <f t="shared" si="28"/>
        <v>0</v>
      </c>
      <c r="CF19" s="17"/>
      <c r="CG19" s="108">
        <f t="shared" si="47"/>
        <v>1970225</v>
      </c>
      <c r="CH19" s="125">
        <f t="shared" si="48"/>
        <v>0.24506236597342942</v>
      </c>
      <c r="CI19" s="110">
        <f t="shared" si="49"/>
        <v>460112.26593036315</v>
      </c>
      <c r="CJ19" s="300">
        <f t="shared" si="50"/>
        <v>0</v>
      </c>
      <c r="CL19" s="127">
        <f t="shared" si="51"/>
        <v>460112.26593036315</v>
      </c>
      <c r="CM19" s="128">
        <f t="shared" si="52"/>
        <v>5.356643781946854E-3</v>
      </c>
      <c r="CN19" s="129">
        <f t="shared" si="53"/>
        <v>4790.521167286719</v>
      </c>
      <c r="CO19" s="130">
        <f t="shared" si="55"/>
        <v>464903</v>
      </c>
      <c r="CQ19" s="131">
        <f t="shared" si="54"/>
        <v>0.23468646705516996</v>
      </c>
      <c r="CR19" s="301"/>
    </row>
    <row r="20" spans="1:96">
      <c r="A20" s="133" t="s">
        <v>92</v>
      </c>
      <c r="B20" s="90" t="s">
        <v>94</v>
      </c>
      <c r="C20" s="91">
        <f>'Sizing - Reimb Exp-25'!B13</f>
        <v>192534</v>
      </c>
      <c r="D20" s="92">
        <f>'Ridership-25'!$E12</f>
        <v>10861</v>
      </c>
      <c r="E20" s="92">
        <f>'Revenue Hours-25'!$E12</f>
        <v>3108</v>
      </c>
      <c r="F20" s="92">
        <f>'Revenue Miles-25'!$E12</f>
        <v>54991</v>
      </c>
      <c r="G20" s="134">
        <f t="shared" si="0"/>
        <v>4.4270615944580407E-4</v>
      </c>
      <c r="H20" s="94">
        <f t="shared" si="1"/>
        <v>4.4270615944580412E-4</v>
      </c>
      <c r="J20" s="95">
        <f>'Ridership-25'!B12/'Revenue Hours-25'!B12</f>
        <v>2.5672572178477688</v>
      </c>
      <c r="K20" s="96">
        <f>'Ridership-25'!C12/'Revenue Hours-25'!C12</f>
        <v>1.3415032679738561</v>
      </c>
      <c r="L20" s="96">
        <f>'Ridership-25'!D12/'Revenue Hours-25'!D12</f>
        <v>1.759546925566343</v>
      </c>
      <c r="M20" s="96">
        <f>'Ridership-25'!E12/'Revenue Hours-25'!E12</f>
        <v>3.4945302445302446</v>
      </c>
      <c r="N20" s="97">
        <f t="shared" si="2"/>
        <v>1.2320810455604696</v>
      </c>
      <c r="O20" s="98">
        <f t="shared" si="3"/>
        <v>5.4544986780604636E-4</v>
      </c>
      <c r="P20" s="99">
        <f t="shared" si="4"/>
        <v>5.1526019853465304E-4</v>
      </c>
      <c r="Q20" s="95">
        <f>'Ridership-25'!B12/'Revenue Miles-25'!B12</f>
        <v>0.14723314580314975</v>
      </c>
      <c r="R20" s="96">
        <f>'Ridership-25'!C12/'Revenue Miles-25'!C12</f>
        <v>8.4451119157340354E-2</v>
      </c>
      <c r="S20" s="96">
        <f>'Ridership-25'!D12/'Revenue Miles-25'!D12</f>
        <v>0.10382691059084138</v>
      </c>
      <c r="T20" s="96">
        <f>'Ridership-25'!E12/'Revenue Miles-25'!E12</f>
        <v>0.19750504628030041</v>
      </c>
      <c r="U20" s="97">
        <f t="shared" si="5"/>
        <v>1.2222489720634329</v>
      </c>
      <c r="V20" s="98">
        <f t="shared" si="6"/>
        <v>5.4109714830878435E-4</v>
      </c>
      <c r="W20" s="99">
        <f t="shared" si="7"/>
        <v>5.1304081622145607E-4</v>
      </c>
      <c r="X20" s="95">
        <f>'Op Cost-25'!B13/'Revenue Hours-25'!B12</f>
        <v>44.952755905511808</v>
      </c>
      <c r="Y20" s="96">
        <f>'Op Cost-25'!C13/'Revenue Hours-25'!C12</f>
        <v>49.306209150326801</v>
      </c>
      <c r="Z20" s="96">
        <f>'Op Cost-25'!D13/'Revenue Hours-25'!D12</f>
        <v>54.219417475728157</v>
      </c>
      <c r="AA20" s="96">
        <f>'Op Cost-25'!E13/'Revenue Hours-25'!E12</f>
        <v>62.816602316602314</v>
      </c>
      <c r="AB20" s="97">
        <f t="shared" si="8"/>
        <v>1.0800743947036444</v>
      </c>
      <c r="AC20" s="98">
        <f t="shared" si="9"/>
        <v>4.0988487609436921E-4</v>
      </c>
      <c r="AD20" s="99">
        <f t="shared" si="10"/>
        <v>4.3724842410618425E-4</v>
      </c>
      <c r="AE20" s="95">
        <f>'Op Cost-25'!B13/'Revenue Miles-25'!B12</f>
        <v>2.5780570869475228</v>
      </c>
      <c r="AF20" s="96">
        <f>'Op Cost-25'!C13/'Revenue Miles-25'!C12</f>
        <v>3.103954081632653</v>
      </c>
      <c r="AG20" s="96">
        <f>'Op Cost-25'!D13/'Revenue Miles-25'!D12</f>
        <v>3.1993660008402398</v>
      </c>
      <c r="AH20" s="96">
        <f>'Op Cost-25'!E13/'Revenue Miles-25'!E12</f>
        <v>3.5502900474623118</v>
      </c>
      <c r="AI20" s="97">
        <f t="shared" si="11"/>
        <v>1.0719789765841485</v>
      </c>
      <c r="AJ20" s="98">
        <f t="shared" si="12"/>
        <v>4.1298026278134987E-4</v>
      </c>
      <c r="AK20" s="99">
        <f t="shared" si="13"/>
        <v>4.395146891730769E-4</v>
      </c>
      <c r="AL20" s="95">
        <f>'Op Cost-25'!B13/'Ridership-25'!B12</f>
        <v>17.510031948881789</v>
      </c>
      <c r="AM20" s="96">
        <f>'Op Cost-25'!C13/'Ridership-25'!C12</f>
        <v>36.754445797807549</v>
      </c>
      <c r="AN20" s="96">
        <f>'Op Cost-25'!D13/'Ridership-25'!D12</f>
        <v>30.814419716755562</v>
      </c>
      <c r="AO20" s="96">
        <f>'Op Cost-25'!E13/'Ridership-25'!E12</f>
        <v>17.97569284596262</v>
      </c>
      <c r="AP20" s="100">
        <f t="shared" si="14"/>
        <v>0.90344938129174057</v>
      </c>
      <c r="AQ20" s="98">
        <f t="shared" si="15"/>
        <v>4.9001766851932359E-4</v>
      </c>
      <c r="AR20" s="99">
        <f t="shared" si="16"/>
        <v>5.3202649277547061E-4</v>
      </c>
      <c r="AT20" s="101">
        <f t="shared" si="29"/>
        <v>0</v>
      </c>
      <c r="AU20" s="102">
        <f t="shared" si="17"/>
        <v>0</v>
      </c>
      <c r="AV20" s="102">
        <f t="shared" si="18"/>
        <v>0</v>
      </c>
      <c r="AW20" s="102">
        <f t="shared" si="19"/>
        <v>0</v>
      </c>
      <c r="AX20" s="103">
        <f t="shared" si="20"/>
        <v>0</v>
      </c>
      <c r="AY20" s="293">
        <f t="shared" si="30"/>
        <v>-1</v>
      </c>
      <c r="AZ20" s="105">
        <f t="shared" si="21"/>
        <v>0</v>
      </c>
      <c r="BA20" s="106">
        <f t="shared" si="21"/>
        <v>0</v>
      </c>
      <c r="BB20" s="106">
        <f t="shared" si="21"/>
        <v>0</v>
      </c>
      <c r="BC20" s="106">
        <f t="shared" si="21"/>
        <v>0</v>
      </c>
      <c r="BD20" s="106">
        <f t="shared" si="21"/>
        <v>0</v>
      </c>
      <c r="BE20" s="107">
        <f t="shared" si="31"/>
        <v>54116.622482952582</v>
      </c>
      <c r="BG20" s="108">
        <f>'Op Cost-25'!E13</f>
        <v>195234</v>
      </c>
      <c r="BH20" s="109">
        <f t="shared" si="22"/>
        <v>0.27718851472055372</v>
      </c>
      <c r="BI20" s="110">
        <f t="shared" si="23"/>
        <v>54116.622482952582</v>
      </c>
      <c r="BJ20" s="111">
        <f t="shared" si="24"/>
        <v>0</v>
      </c>
      <c r="BK20" s="1">
        <f t="shared" si="32"/>
        <v>0.45347683634350167</v>
      </c>
      <c r="BL20" s="294">
        <f t="shared" si="33"/>
        <v>0.32643767903085441</v>
      </c>
      <c r="BM20" s="294">
        <f t="shared" si="34"/>
        <v>0.26620306371807795</v>
      </c>
      <c r="BN20" s="295">
        <f t="shared" si="35"/>
        <v>0.61063330131253712</v>
      </c>
      <c r="BO20" s="114">
        <f t="shared" si="25"/>
        <v>54116.622482952582</v>
      </c>
      <c r="BP20" s="296">
        <f t="shared" si="36"/>
        <v>0.45347683634350167</v>
      </c>
      <c r="BQ20" s="116">
        <f t="shared" si="37"/>
        <v>2.0075698861526508E-4</v>
      </c>
      <c r="BR20" s="297">
        <f t="shared" si="38"/>
        <v>2.0075698861526508E-4</v>
      </c>
      <c r="BS20" s="117">
        <f t="shared" si="39"/>
        <v>2.2656018775610534E-4</v>
      </c>
      <c r="BT20" s="298">
        <f t="shared" si="40"/>
        <v>56063.819959098393</v>
      </c>
      <c r="BU20" s="119">
        <f t="shared" si="41"/>
        <v>58570.2</v>
      </c>
      <c r="BV20" s="119">
        <f t="shared" si="42"/>
        <v>56063.819959098393</v>
      </c>
      <c r="BW20" s="119">
        <f t="shared" si="43"/>
        <v>0</v>
      </c>
      <c r="BX20" s="120">
        <f t="shared" si="44"/>
        <v>2.0075698861526508E-4</v>
      </c>
      <c r="BY20" s="121">
        <f t="shared" si="45"/>
        <v>4.041281324703484E-4</v>
      </c>
      <c r="BZ20" s="299">
        <f t="shared" si="46"/>
        <v>56425.237378606478</v>
      </c>
      <c r="CA20" s="109">
        <f t="shared" si="26"/>
        <v>4.9152554506612487E-4</v>
      </c>
      <c r="CB20" s="123">
        <f t="shared" si="57"/>
        <v>4224.4725796408638</v>
      </c>
      <c r="CC20" s="111">
        <f t="shared" si="56"/>
        <v>58341</v>
      </c>
      <c r="CE20" s="124">
        <f t="shared" si="28"/>
        <v>0</v>
      </c>
      <c r="CF20" s="17"/>
      <c r="CG20" s="108">
        <f t="shared" si="47"/>
        <v>195234</v>
      </c>
      <c r="CH20" s="125">
        <f t="shared" si="48"/>
        <v>0.29882602415562864</v>
      </c>
      <c r="CI20" s="110">
        <f t="shared" si="49"/>
        <v>56063.819959098393</v>
      </c>
      <c r="CJ20" s="300">
        <f t="shared" si="50"/>
        <v>0</v>
      </c>
      <c r="CL20" s="127">
        <f t="shared" si="51"/>
        <v>0</v>
      </c>
      <c r="CM20" s="128">
        <f t="shared" si="52"/>
        <v>0</v>
      </c>
      <c r="CN20" s="129">
        <f t="shared" si="53"/>
        <v>0</v>
      </c>
      <c r="CO20" s="130">
        <f t="shared" si="55"/>
        <v>56064</v>
      </c>
      <c r="CQ20" s="131">
        <f t="shared" si="54"/>
        <v>0.28901337563440016</v>
      </c>
      <c r="CR20" s="301"/>
    </row>
    <row r="21" spans="1:96">
      <c r="A21" s="133" t="s">
        <v>92</v>
      </c>
      <c r="B21" s="90" t="s">
        <v>95</v>
      </c>
      <c r="C21" s="91">
        <f>'Sizing - Reimb Exp-25'!B14</f>
        <v>119888784</v>
      </c>
      <c r="D21" s="92">
        <f>'Ridership-25'!$E13</f>
        <v>7133773</v>
      </c>
      <c r="E21" s="92">
        <f>'Revenue Hours-25'!$E13</f>
        <v>955047</v>
      </c>
      <c r="F21" s="92">
        <f>'Revenue Miles-25'!$E13</f>
        <v>13757219</v>
      </c>
      <c r="G21" s="134">
        <f t="shared" si="0"/>
        <v>0.19711693032351923</v>
      </c>
      <c r="H21" s="94">
        <f t="shared" si="1"/>
        <v>0.19711693032351926</v>
      </c>
      <c r="J21" s="95">
        <f>'Ridership-25'!B13/'Revenue Hours-25'!B13</f>
        <v>12.193537039037592</v>
      </c>
      <c r="K21" s="96">
        <f>'Ridership-25'!C13/'Revenue Hours-25'!C13</f>
        <v>6.640780447028594</v>
      </c>
      <c r="L21" s="96">
        <f>'Ridership-25'!D13/'Revenue Hours-25'!D13</f>
        <v>7.1961861955660096</v>
      </c>
      <c r="M21" s="96">
        <f>'Ridership-25'!E13/'Revenue Hours-25'!E13</f>
        <v>7.4695517602798605</v>
      </c>
      <c r="N21" s="97">
        <f t="shared" si="2"/>
        <v>0.92310493377221914</v>
      </c>
      <c r="O21" s="98">
        <f t="shared" si="3"/>
        <v>0.1819596109116754</v>
      </c>
      <c r="P21" s="99">
        <f t="shared" si="4"/>
        <v>0.17188847367541479</v>
      </c>
      <c r="Q21" s="95">
        <f>'Ridership-25'!B13/'Revenue Miles-25'!B13</f>
        <v>0.90434093823673278</v>
      </c>
      <c r="R21" s="96">
        <f>'Ridership-25'!C13/'Revenue Miles-25'!C13</f>
        <v>0.46622665154015291</v>
      </c>
      <c r="S21" s="96">
        <f>'Ridership-25'!D13/'Revenue Miles-25'!D13</f>
        <v>0.49455273703023678</v>
      </c>
      <c r="T21" s="96">
        <f>'Ridership-25'!E13/'Revenue Miles-25'!E13</f>
        <v>0.51854760762331398</v>
      </c>
      <c r="U21" s="97">
        <f t="shared" si="5"/>
        <v>0.90269772340845067</v>
      </c>
      <c r="V21" s="98">
        <f t="shared" si="6"/>
        <v>0.17793700424830303</v>
      </c>
      <c r="W21" s="99">
        <f t="shared" si="7"/>
        <v>0.16871082425933395</v>
      </c>
      <c r="X21" s="95">
        <f>'Op Cost-25'!B14/'Revenue Hours-25'!B13</f>
        <v>89.156752379659721</v>
      </c>
      <c r="Y21" s="96">
        <f>'Op Cost-25'!C14/'Revenue Hours-25'!C13</f>
        <v>107.97198556298591</v>
      </c>
      <c r="Z21" s="96">
        <f>'Op Cost-25'!D14/'Revenue Hours-25'!D13</f>
        <v>112.49719845156518</v>
      </c>
      <c r="AA21" s="96">
        <f>'Op Cost-25'!E14/'Revenue Hours-25'!E13</f>
        <v>125.82563161812979</v>
      </c>
      <c r="AB21" s="97">
        <f t="shared" si="8"/>
        <v>1.0776912350820134</v>
      </c>
      <c r="AC21" s="98">
        <f t="shared" si="9"/>
        <v>0.18290668412879732</v>
      </c>
      <c r="AD21" s="99">
        <f t="shared" si="10"/>
        <v>0.19511737089658115</v>
      </c>
      <c r="AE21" s="95">
        <f>'Op Cost-25'!B14/'Revenue Miles-25'!B13</f>
        <v>6.6123636512548227</v>
      </c>
      <c r="AF21" s="96">
        <f>'Op Cost-25'!C14/'Revenue Miles-25'!C13</f>
        <v>7.5803465708156237</v>
      </c>
      <c r="AG21" s="96">
        <f>'Op Cost-25'!D14/'Revenue Miles-25'!D13</f>
        <v>7.7312893094311175</v>
      </c>
      <c r="AH21" s="96">
        <f>'Op Cost-25'!E14/'Revenue Miles-25'!E13</f>
        <v>8.735006108429328</v>
      </c>
      <c r="AI21" s="97">
        <f t="shared" si="11"/>
        <v>1.0599998872255201</v>
      </c>
      <c r="AJ21" s="98">
        <f t="shared" si="12"/>
        <v>0.18595938801414388</v>
      </c>
      <c r="AK21" s="99">
        <f t="shared" si="13"/>
        <v>0.19790747884996274</v>
      </c>
      <c r="AL21" s="95">
        <f>'Op Cost-25'!B14/'Ridership-25'!B13</f>
        <v>7.311803957639567</v>
      </c>
      <c r="AM21" s="96">
        <f>'Op Cost-25'!C14/'Ridership-25'!C13</f>
        <v>16.258930170067252</v>
      </c>
      <c r="AN21" s="96">
        <f>'Op Cost-25'!D14/'Ridership-25'!D13</f>
        <v>15.632891561488677</v>
      </c>
      <c r="AO21" s="96">
        <f>'Op Cost-25'!E14/'Ridership-25'!E13</f>
        <v>16.845138189847084</v>
      </c>
      <c r="AP21" s="97">
        <f t="shared" si="14"/>
        <v>1.1852646901926562</v>
      </c>
      <c r="AQ21" s="98">
        <f t="shared" si="15"/>
        <v>0.16630625374613947</v>
      </c>
      <c r="AR21" s="99">
        <f t="shared" si="16"/>
        <v>0.18056355636020685</v>
      </c>
      <c r="AT21" s="101">
        <f t="shared" si="29"/>
        <v>0</v>
      </c>
      <c r="AU21" s="102">
        <f t="shared" si="17"/>
        <v>0</v>
      </c>
      <c r="AV21" s="102">
        <f t="shared" si="18"/>
        <v>0</v>
      </c>
      <c r="AW21" s="102">
        <f t="shared" si="19"/>
        <v>0</v>
      </c>
      <c r="AX21" s="103">
        <f t="shared" si="20"/>
        <v>0</v>
      </c>
      <c r="AY21" s="293">
        <f t="shared" si="30"/>
        <v>-1</v>
      </c>
      <c r="AZ21" s="105">
        <f t="shared" si="21"/>
        <v>0</v>
      </c>
      <c r="BA21" s="106">
        <f t="shared" si="21"/>
        <v>0</v>
      </c>
      <c r="BB21" s="106">
        <f t="shared" si="21"/>
        <v>0</v>
      </c>
      <c r="BC21" s="106">
        <f t="shared" si="21"/>
        <v>0</v>
      </c>
      <c r="BD21" s="106">
        <f t="shared" si="21"/>
        <v>0</v>
      </c>
      <c r="BE21" s="107">
        <f t="shared" si="31"/>
        <v>24095672.209914774</v>
      </c>
      <c r="BG21" s="108">
        <f>'Op Cost-25'!E14</f>
        <v>120169392</v>
      </c>
      <c r="BH21" s="109">
        <f t="shared" si="22"/>
        <v>0.20051422253941981</v>
      </c>
      <c r="BI21" s="110">
        <f t="shared" si="23"/>
        <v>24095672.209914774</v>
      </c>
      <c r="BJ21" s="111">
        <f t="shared" si="24"/>
        <v>0</v>
      </c>
      <c r="BK21" s="1">
        <f t="shared" si="32"/>
        <v>0.67497623289100406</v>
      </c>
      <c r="BL21" s="294">
        <f t="shared" si="33"/>
        <v>0.69775991890273847</v>
      </c>
      <c r="BM21" s="294">
        <f t="shared" si="34"/>
        <v>0.69891359452709967</v>
      </c>
      <c r="BN21" s="295">
        <f t="shared" si="35"/>
        <v>0.6516157090670891</v>
      </c>
      <c r="BO21" s="114">
        <f t="shared" si="25"/>
        <v>24095672.209914774</v>
      </c>
      <c r="BP21" s="296">
        <f t="shared" si="36"/>
        <v>0.67497623289100406</v>
      </c>
      <c r="BQ21" s="116">
        <f t="shared" si="37"/>
        <v>0.13304924306880755</v>
      </c>
      <c r="BR21" s="297">
        <f t="shared" si="38"/>
        <v>0.13304924306880755</v>
      </c>
      <c r="BS21" s="302">
        <f t="shared" si="39"/>
        <v>0.15014999825607409</v>
      </c>
      <c r="BT21" s="298">
        <f t="shared" si="40"/>
        <v>25386153.562985804</v>
      </c>
      <c r="BU21" s="119">
        <f t="shared" si="41"/>
        <v>36050817.600000001</v>
      </c>
      <c r="BV21" s="119">
        <f t="shared" si="42"/>
        <v>25386153.562985804</v>
      </c>
      <c r="BW21" s="119">
        <f t="shared" si="43"/>
        <v>0</v>
      </c>
      <c r="BX21" s="120">
        <f t="shared" si="44"/>
        <v>0.13304924306880755</v>
      </c>
      <c r="BY21" s="121">
        <f t="shared" si="45"/>
        <v>0.26783098560536078</v>
      </c>
      <c r="BZ21" s="299">
        <f t="shared" si="46"/>
        <v>25625678.545050491</v>
      </c>
      <c r="CA21" s="109">
        <f t="shared" si="26"/>
        <v>0.21885398373566148</v>
      </c>
      <c r="CB21" s="123">
        <f t="shared" si="57"/>
        <v>1880965.623286356</v>
      </c>
      <c r="CC21" s="111">
        <f>ROUND((CB21+BI21),0)</f>
        <v>25976638</v>
      </c>
      <c r="CE21" s="124">
        <f t="shared" si="28"/>
        <v>0</v>
      </c>
      <c r="CF21" s="17"/>
      <c r="CG21" s="108">
        <f t="shared" si="47"/>
        <v>120169392</v>
      </c>
      <c r="CH21" s="125">
        <f t="shared" si="48"/>
        <v>0.21616684221885721</v>
      </c>
      <c r="CI21" s="110">
        <f t="shared" si="49"/>
        <v>25386153.562985804</v>
      </c>
      <c r="CJ21" s="300">
        <f t="shared" si="50"/>
        <v>0</v>
      </c>
      <c r="CL21" s="127">
        <f t="shared" si="51"/>
        <v>25386153.562985804</v>
      </c>
      <c r="CM21" s="128">
        <f t="shared" si="52"/>
        <v>0.29554652570661266</v>
      </c>
      <c r="CN21" s="129">
        <f t="shared" si="53"/>
        <v>264311.37573254883</v>
      </c>
      <c r="CO21" s="130">
        <f t="shared" si="55"/>
        <v>25650465</v>
      </c>
      <c r="CQ21" s="131">
        <f t="shared" si="54"/>
        <v>0.21324630272782349</v>
      </c>
      <c r="CR21" s="301"/>
    </row>
    <row r="22" spans="1:96">
      <c r="A22" s="133" t="s">
        <v>92</v>
      </c>
      <c r="B22" s="90" t="s">
        <v>96</v>
      </c>
      <c r="C22" s="91">
        <f>'Sizing - Reimb Exp-25'!B15</f>
        <v>1246809</v>
      </c>
      <c r="D22" s="92">
        <f>'Ridership-25'!$E14</f>
        <v>91713</v>
      </c>
      <c r="E22" s="92">
        <f>'Revenue Hours-25'!$E14</f>
        <v>20260</v>
      </c>
      <c r="F22" s="92">
        <f>'Revenue Miles-25'!$E14</f>
        <v>510877</v>
      </c>
      <c r="G22" s="134">
        <f t="shared" si="0"/>
        <v>3.3956274807346006E-3</v>
      </c>
      <c r="H22" s="94">
        <f t="shared" si="1"/>
        <v>3.395627480734601E-3</v>
      </c>
      <c r="J22" s="95">
        <f>'Ridership-25'!B14/'Revenue Hours-25'!B14</f>
        <v>5.1587647801630121</v>
      </c>
      <c r="K22" s="96">
        <f>'Ridership-25'!C14/'Revenue Hours-25'!C14</f>
        <v>2.5445369916707494</v>
      </c>
      <c r="L22" s="96">
        <f>'Ridership-25'!D14/'Revenue Hours-25'!D14</f>
        <v>3.1323175227328584</v>
      </c>
      <c r="M22" s="96">
        <f>'Ridership-25'!E14/'Revenue Hours-25'!E14</f>
        <v>4.5268015794669303</v>
      </c>
      <c r="N22" s="97">
        <f t="shared" si="2"/>
        <v>1.0414257978498263</v>
      </c>
      <c r="O22" s="98">
        <f t="shared" si="3"/>
        <v>3.5362940583248273E-3</v>
      </c>
      <c r="P22" s="99">
        <f t="shared" si="4"/>
        <v>3.3405665417032965E-3</v>
      </c>
      <c r="Q22" s="95">
        <f>'Ridership-25'!B14/'Revenue Miles-25'!B14</f>
        <v>0.22008311029377553</v>
      </c>
      <c r="R22" s="96">
        <f>'Ridership-25'!C14/'Revenue Miles-25'!C14</f>
        <v>0.1120356208297289</v>
      </c>
      <c r="S22" s="96">
        <f>'Ridership-25'!D14/'Revenue Miles-25'!D14</f>
        <v>0.13193504175827817</v>
      </c>
      <c r="T22" s="96">
        <f>'Ridership-25'!E14/'Revenue Miles-25'!E14</f>
        <v>0.17952070654971744</v>
      </c>
      <c r="U22" s="97">
        <f t="shared" si="5"/>
        <v>1.0164527966738026</v>
      </c>
      <c r="V22" s="98">
        <f t="shared" si="6"/>
        <v>3.4514950492551041E-3</v>
      </c>
      <c r="W22" s="99">
        <f t="shared" si="7"/>
        <v>3.272532192765589E-3</v>
      </c>
      <c r="X22" s="95">
        <f>'Op Cost-25'!B15/'Revenue Hours-25'!B14</f>
        <v>42.671162897485935</v>
      </c>
      <c r="Y22" s="96">
        <f>'Op Cost-25'!C15/'Revenue Hours-25'!C14</f>
        <v>48.696570308672221</v>
      </c>
      <c r="Z22" s="96">
        <f>'Op Cost-25'!D15/'Revenue Hours-25'!D14</f>
        <v>59.030916687146721</v>
      </c>
      <c r="AA22" s="96">
        <f>'Op Cost-25'!E15/'Revenue Hours-25'!E14</f>
        <v>61.540424481737411</v>
      </c>
      <c r="AB22" s="97">
        <f t="shared" si="8"/>
        <v>1.0880724721451041</v>
      </c>
      <c r="AC22" s="98">
        <f t="shared" si="9"/>
        <v>3.1207732643398446E-3</v>
      </c>
      <c r="AD22" s="99">
        <f t="shared" si="10"/>
        <v>3.3291132984158791E-3</v>
      </c>
      <c r="AE22" s="95">
        <f>'Op Cost-25'!B15/'Revenue Miles-25'!B14</f>
        <v>1.8204362188489445</v>
      </c>
      <c r="AF22" s="96">
        <f>'Op Cost-25'!C15/'Revenue Miles-25'!C14</f>
        <v>2.1441034281165527</v>
      </c>
      <c r="AG22" s="96">
        <f>'Op Cost-25'!D15/'Revenue Miles-25'!D14</f>
        <v>2.4864166552799274</v>
      </c>
      <c r="AH22" s="96">
        <f>'Op Cost-25'!E15/'Revenue Miles-25'!E14</f>
        <v>2.4405267804187702</v>
      </c>
      <c r="AI22" s="97">
        <f t="shared" si="11"/>
        <v>1.063030778927097</v>
      </c>
      <c r="AJ22" s="98">
        <f t="shared" si="12"/>
        <v>3.1942889594991438E-3</v>
      </c>
      <c r="AK22" s="99">
        <f t="shared" si="13"/>
        <v>3.3995254632945113E-3</v>
      </c>
      <c r="AL22" s="95">
        <f>'Op Cost-25'!B15/'Ridership-25'!B14</f>
        <v>8.2715852952957416</v>
      </c>
      <c r="AM22" s="96">
        <f>'Op Cost-25'!C15/'Ridership-25'!C14</f>
        <v>19.13769399622598</v>
      </c>
      <c r="AN22" s="96">
        <f>'Op Cost-25'!D15/'Ridership-25'!D14</f>
        <v>18.84576396189998</v>
      </c>
      <c r="AO22" s="96">
        <f>'Op Cost-25'!E15/'Ridership-25'!E14</f>
        <v>13.594681233849073</v>
      </c>
      <c r="AP22" s="100">
        <f t="shared" si="14"/>
        <v>1.0553612396000409</v>
      </c>
      <c r="AQ22" s="98">
        <f t="shared" si="15"/>
        <v>3.2175025510899663E-3</v>
      </c>
      <c r="AR22" s="99">
        <f t="shared" si="16"/>
        <v>3.4933364809579723E-3</v>
      </c>
      <c r="AT22" s="101">
        <f t="shared" si="29"/>
        <v>0</v>
      </c>
      <c r="AU22" s="102">
        <f t="shared" si="17"/>
        <v>0</v>
      </c>
      <c r="AV22" s="102">
        <f t="shared" si="18"/>
        <v>0</v>
      </c>
      <c r="AW22" s="102">
        <f t="shared" si="19"/>
        <v>0</v>
      </c>
      <c r="AX22" s="103">
        <f t="shared" si="20"/>
        <v>0</v>
      </c>
      <c r="AY22" s="293">
        <f t="shared" si="30"/>
        <v>-1</v>
      </c>
      <c r="AZ22" s="105">
        <f t="shared" si="21"/>
        <v>0</v>
      </c>
      <c r="BA22" s="106">
        <f t="shared" si="21"/>
        <v>0</v>
      </c>
      <c r="BB22" s="106">
        <f t="shared" si="21"/>
        <v>0</v>
      </c>
      <c r="BC22" s="106">
        <f t="shared" si="21"/>
        <v>0</v>
      </c>
      <c r="BD22" s="106">
        <f t="shared" si="21"/>
        <v>0</v>
      </c>
      <c r="BE22" s="107">
        <f t="shared" si="31"/>
        <v>415083.20258677035</v>
      </c>
      <c r="BG22" s="108">
        <f>'Op Cost-25'!E15</f>
        <v>1246809</v>
      </c>
      <c r="BH22" s="109">
        <f t="shared" si="22"/>
        <v>0.33291643113481723</v>
      </c>
      <c r="BI22" s="110">
        <f t="shared" si="23"/>
        <v>374042.7</v>
      </c>
      <c r="BJ22" s="111">
        <f t="shared" si="24"/>
        <v>41040.502586770337</v>
      </c>
      <c r="BK22" s="1">
        <f t="shared" si="32"/>
        <v>0.56991511436627063</v>
      </c>
      <c r="BL22" s="294">
        <f t="shared" si="33"/>
        <v>0.4228661644429505</v>
      </c>
      <c r="BM22" s="294">
        <f t="shared" si="34"/>
        <v>0.24196324592408849</v>
      </c>
      <c r="BN22" s="295">
        <f t="shared" si="35"/>
        <v>0.80741552354902169</v>
      </c>
      <c r="BO22" s="114">
        <f t="shared" si="25"/>
        <v>0</v>
      </c>
      <c r="BP22" s="296">
        <f t="shared" si="36"/>
        <v>0.56991511436627063</v>
      </c>
      <c r="BQ22" s="116">
        <f t="shared" si="37"/>
        <v>1.9352194240281116E-3</v>
      </c>
      <c r="BR22" s="297">
        <f t="shared" si="38"/>
        <v>0</v>
      </c>
      <c r="BS22" s="117">
        <f t="shared" si="39"/>
        <v>0</v>
      </c>
      <c r="BT22" s="298">
        <f t="shared" si="40"/>
        <v>374042.7</v>
      </c>
      <c r="BU22" s="119">
        <f t="shared" si="41"/>
        <v>374042.7</v>
      </c>
      <c r="BV22" s="119">
        <f t="shared" si="42"/>
        <v>374042.7</v>
      </c>
      <c r="BW22" s="119">
        <f t="shared" si="43"/>
        <v>0</v>
      </c>
      <c r="BX22" s="120">
        <f t="shared" si="44"/>
        <v>0</v>
      </c>
      <c r="BY22" s="121">
        <f t="shared" si="45"/>
        <v>0</v>
      </c>
      <c r="BZ22" s="299">
        <f t="shared" si="46"/>
        <v>374042.7</v>
      </c>
      <c r="CA22" s="109">
        <f t="shared" si="26"/>
        <v>0</v>
      </c>
      <c r="CB22" s="123">
        <f t="shared" si="57"/>
        <v>0</v>
      </c>
      <c r="CC22" s="111">
        <f t="shared" si="56"/>
        <v>374043</v>
      </c>
      <c r="CE22" s="124">
        <f t="shared" si="28"/>
        <v>1</v>
      </c>
      <c r="CF22" s="17"/>
      <c r="CG22" s="108">
        <f t="shared" si="47"/>
        <v>1246809</v>
      </c>
      <c r="CH22" s="125">
        <f t="shared" si="48"/>
        <v>0.30000024061424002</v>
      </c>
      <c r="CI22" s="110">
        <f t="shared" si="49"/>
        <v>374042.7</v>
      </c>
      <c r="CJ22" s="300">
        <f t="shared" si="50"/>
        <v>0</v>
      </c>
      <c r="CL22" s="127">
        <f t="shared" si="51"/>
        <v>0</v>
      </c>
      <c r="CM22" s="128">
        <f t="shared" si="52"/>
        <v>0</v>
      </c>
      <c r="CN22" s="129">
        <f t="shared" si="53"/>
        <v>0</v>
      </c>
      <c r="CO22" s="130">
        <f t="shared" si="55"/>
        <v>374043</v>
      </c>
      <c r="CQ22" s="131">
        <f t="shared" si="54"/>
        <v>0.3</v>
      </c>
      <c r="CR22" s="301"/>
    </row>
    <row r="23" spans="1:96">
      <c r="A23" s="133" t="s">
        <v>92</v>
      </c>
      <c r="B23" s="90" t="s">
        <v>97</v>
      </c>
      <c r="C23" s="91">
        <f>'Sizing - Reimb Exp-25'!B16</f>
        <v>50424</v>
      </c>
      <c r="D23" s="92">
        <f>'Ridership-25'!$E15</f>
        <v>3145</v>
      </c>
      <c r="E23" s="92">
        <f>'Revenue Hours-25'!$E15</f>
        <v>502</v>
      </c>
      <c r="F23" s="92">
        <f>'Revenue Miles-25'!$E15</f>
        <v>4641</v>
      </c>
      <c r="G23" s="93">
        <f t="shared" si="0"/>
        <v>8.4622050029392335E-5</v>
      </c>
      <c r="H23" s="94">
        <f t="shared" si="1"/>
        <v>8.4622050029392349E-5</v>
      </c>
      <c r="J23" s="95">
        <f>'Ridership-25'!B15/'Revenue Hours-25'!B15</f>
        <v>8.9790310918293557</v>
      </c>
      <c r="K23" s="96">
        <f>'Ridership-25'!C15/'Revenue Hours-25'!C15</f>
        <v>1.0119225037257824</v>
      </c>
      <c r="L23" s="96">
        <f>'Ridership-25'!D15/'Revenue Hours-25'!D15</f>
        <v>3.4102272727272727</v>
      </c>
      <c r="M23" s="96">
        <f>'Ridership-25'!E15/'Revenue Hours-25'!E15</f>
        <v>6.2649402390438249</v>
      </c>
      <c r="N23" s="97">
        <f t="shared" si="2"/>
        <v>1.4571700207400993</v>
      </c>
      <c r="O23" s="98">
        <f t="shared" si="3"/>
        <v>1.2330871439639936E-4</v>
      </c>
      <c r="P23" s="99">
        <f t="shared" si="4"/>
        <v>1.1648379880721507E-4</v>
      </c>
      <c r="Q23" s="95">
        <f>'Ridership-25'!B15/'Revenue Miles-25'!B15</f>
        <v>0.71335018382352944</v>
      </c>
      <c r="R23" s="96">
        <f>'Ridership-25'!C15/'Revenue Miles-25'!C15</f>
        <v>0.14279705573080967</v>
      </c>
      <c r="S23" s="96">
        <f>'Ridership-25'!D15/'Revenue Miles-25'!D15</f>
        <v>0.44282130736314002</v>
      </c>
      <c r="T23" s="96">
        <f>'Ridership-25'!E15/'Revenue Miles-25'!E15</f>
        <v>0.67765567765567769</v>
      </c>
      <c r="U23" s="97">
        <f t="shared" si="5"/>
        <v>1.3760274920295139</v>
      </c>
      <c r="V23" s="98">
        <f t="shared" si="6"/>
        <v>1.1644226727234081E-4</v>
      </c>
      <c r="W23" s="99">
        <f t="shared" si="7"/>
        <v>1.1040463996307636E-4</v>
      </c>
      <c r="X23" s="95">
        <f>'Op Cost-25'!B16/'Revenue Hours-25'!B15</f>
        <v>67.96963123644251</v>
      </c>
      <c r="Y23" s="96">
        <f>'Op Cost-25'!C16/'Revenue Hours-25'!C15</f>
        <v>58.488077496274215</v>
      </c>
      <c r="Z23" s="96">
        <f>'Op Cost-25'!D16/'Revenue Hours-25'!D15</f>
        <v>76.226136363636357</v>
      </c>
      <c r="AA23" s="96">
        <f>'Op Cost-25'!E16/'Revenue Hours-25'!E15</f>
        <v>100.44621513944223</v>
      </c>
      <c r="AB23" s="97">
        <f t="shared" si="8"/>
        <v>1.1402815557474089</v>
      </c>
      <c r="AC23" s="98">
        <f t="shared" si="9"/>
        <v>7.4211539775302239E-5</v>
      </c>
      <c r="AD23" s="99">
        <f t="shared" si="10"/>
        <v>7.9165835847462443E-5</v>
      </c>
      <c r="AE23" s="95">
        <f>'Op Cost-25'!B16/'Revenue Miles-25'!B15</f>
        <v>5.399931066176471</v>
      </c>
      <c r="AF23" s="96">
        <f>'Op Cost-25'!C16/'Revenue Miles-25'!C15</f>
        <v>8.2535226077812833</v>
      </c>
      <c r="AG23" s="96">
        <f>'Op Cost-25'!D16/'Revenue Miles-25'!D15</f>
        <v>9.8980374797107871</v>
      </c>
      <c r="AH23" s="96">
        <f>'Op Cost-25'!E16/'Revenue Miles-25'!E15</f>
        <v>10.864899806076277</v>
      </c>
      <c r="AI23" s="97">
        <f t="shared" si="11"/>
        <v>1.2123808252271491</v>
      </c>
      <c r="AJ23" s="98">
        <f t="shared" si="12"/>
        <v>6.9798241830109565E-5</v>
      </c>
      <c r="AK23" s="99">
        <f t="shared" si="13"/>
        <v>7.4282853994477244E-5</v>
      </c>
      <c r="AL23" s="95">
        <f>'Op Cost-25'!B16/'Ridership-25'!B15</f>
        <v>7.5698180061201485</v>
      </c>
      <c r="AM23" s="96">
        <f>'Op Cost-25'!C16/'Ridership-25'!C15</f>
        <v>57.798969072164951</v>
      </c>
      <c r="AN23" s="96">
        <f>'Op Cost-25'!D16/'Ridership-25'!D15</f>
        <v>22.352215928023991</v>
      </c>
      <c r="AO23" s="96">
        <f>'Op Cost-25'!E16/'Ridership-25'!E15</f>
        <v>16.033068362480126</v>
      </c>
      <c r="AP23" s="100">
        <f t="shared" si="14"/>
        <v>1.5437268946082094</v>
      </c>
      <c r="AQ23" s="98">
        <f t="shared" si="15"/>
        <v>5.4816723297982717E-5</v>
      </c>
      <c r="AR23" s="99">
        <f t="shared" si="16"/>
        <v>5.951611730612343E-5</v>
      </c>
      <c r="AT23" s="101">
        <f t="shared" si="29"/>
        <v>0</v>
      </c>
      <c r="AU23" s="102">
        <f t="shared" si="17"/>
        <v>0</v>
      </c>
      <c r="AV23" s="102">
        <f t="shared" si="18"/>
        <v>0</v>
      </c>
      <c r="AW23" s="102">
        <f t="shared" si="19"/>
        <v>0</v>
      </c>
      <c r="AX23" s="103">
        <f t="shared" si="20"/>
        <v>0</v>
      </c>
      <c r="AY23" s="293">
        <f t="shared" si="30"/>
        <v>-1</v>
      </c>
      <c r="AZ23" s="105">
        <f t="shared" si="21"/>
        <v>0</v>
      </c>
      <c r="BA23" s="106">
        <f t="shared" si="21"/>
        <v>0</v>
      </c>
      <c r="BB23" s="106">
        <f t="shared" si="21"/>
        <v>0</v>
      </c>
      <c r="BC23" s="106">
        <f t="shared" si="21"/>
        <v>0</v>
      </c>
      <c r="BD23" s="106">
        <f t="shared" si="21"/>
        <v>0</v>
      </c>
      <c r="BE23" s="107">
        <f t="shared" si="31"/>
        <v>10344.241744697856</v>
      </c>
      <c r="BG23" s="108">
        <f>'Op Cost-25'!E16</f>
        <v>50424</v>
      </c>
      <c r="BH23" s="109">
        <f t="shared" si="22"/>
        <v>0.20514520356770299</v>
      </c>
      <c r="BI23" s="110">
        <f t="shared" si="23"/>
        <v>10344.241744697856</v>
      </c>
      <c r="BJ23" s="111">
        <f t="shared" si="24"/>
        <v>0</v>
      </c>
      <c r="BK23" s="1">
        <f t="shared" si="32"/>
        <v>0.7169590587639918</v>
      </c>
      <c r="BL23" s="294">
        <f t="shared" si="33"/>
        <v>0.58523246553712072</v>
      </c>
      <c r="BM23" s="294">
        <f t="shared" si="34"/>
        <v>0.91336409340081037</v>
      </c>
      <c r="BN23" s="295">
        <f t="shared" si="35"/>
        <v>0.68461983805901816</v>
      </c>
      <c r="BO23" s="114">
        <f t="shared" si="25"/>
        <v>10344.241744697856</v>
      </c>
      <c r="BP23" s="296">
        <f t="shared" si="36"/>
        <v>0.7169590587639918</v>
      </c>
      <c r="BQ23" s="116">
        <f t="shared" si="37"/>
        <v>6.0670545339752563E-5</v>
      </c>
      <c r="BR23" s="297">
        <f t="shared" si="38"/>
        <v>6.0670545339752563E-5</v>
      </c>
      <c r="BS23" s="117">
        <f t="shared" si="39"/>
        <v>6.8468501337115914E-5</v>
      </c>
      <c r="BT23" s="298">
        <f t="shared" si="40"/>
        <v>10932.70211948639</v>
      </c>
      <c r="BU23" s="119">
        <f t="shared" si="41"/>
        <v>15127.199999999999</v>
      </c>
      <c r="BV23" s="119">
        <f t="shared" si="42"/>
        <v>10932.70211948639</v>
      </c>
      <c r="BW23" s="119">
        <f t="shared" si="43"/>
        <v>0</v>
      </c>
      <c r="BX23" s="120">
        <f t="shared" si="44"/>
        <v>6.0670545339752563E-5</v>
      </c>
      <c r="BY23" s="121">
        <f t="shared" si="45"/>
        <v>1.2213111161524695E-4</v>
      </c>
      <c r="BZ23" s="299">
        <f t="shared" si="46"/>
        <v>11041.925674233287</v>
      </c>
      <c r="CA23" s="109">
        <f t="shared" si="26"/>
        <v>9.3953739693567248E-5</v>
      </c>
      <c r="CB23" s="123">
        <f t="shared" si="57"/>
        <v>807.49617405295726</v>
      </c>
      <c r="CC23" s="111">
        <f t="shared" si="56"/>
        <v>11152</v>
      </c>
      <c r="CE23" s="124">
        <f t="shared" si="28"/>
        <v>0</v>
      </c>
      <c r="CF23" s="17"/>
      <c r="CG23" s="108">
        <f t="shared" si="47"/>
        <v>50424</v>
      </c>
      <c r="CH23" s="125">
        <f t="shared" si="48"/>
        <v>0.22116452482944629</v>
      </c>
      <c r="CI23" s="110">
        <f t="shared" si="49"/>
        <v>10932.70211948639</v>
      </c>
      <c r="CJ23" s="300">
        <f t="shared" si="50"/>
        <v>0</v>
      </c>
      <c r="CL23" s="127">
        <f t="shared" si="51"/>
        <v>10932.70211948639</v>
      </c>
      <c r="CM23" s="128">
        <f t="shared" si="52"/>
        <v>1.2727891683089201E-4</v>
      </c>
      <c r="CN23" s="129">
        <f t="shared" si="53"/>
        <v>113.82730867463225</v>
      </c>
      <c r="CO23" s="130">
        <f t="shared" si="55"/>
        <v>11047</v>
      </c>
      <c r="CQ23" s="131">
        <f t="shared" si="54"/>
        <v>0.21898154994116467</v>
      </c>
      <c r="CR23" s="301"/>
    </row>
    <row r="24" spans="1:96">
      <c r="A24" s="133" t="s">
        <v>92</v>
      </c>
      <c r="B24" s="90" t="s">
        <v>98</v>
      </c>
      <c r="C24" s="91">
        <f>'Sizing - Reimb Exp-25'!B17</f>
        <v>7910674</v>
      </c>
      <c r="D24" s="92">
        <f>'Ridership-25'!$E16</f>
        <v>1655082</v>
      </c>
      <c r="E24" s="92">
        <f>'Revenue Hours-25'!$E16</f>
        <v>71283</v>
      </c>
      <c r="F24" s="92">
        <f>'Revenue Miles-25'!$E16</f>
        <v>1099660</v>
      </c>
      <c r="G24" s="134">
        <f t="shared" si="0"/>
        <v>2.2491692379718854E-2</v>
      </c>
      <c r="H24" s="94">
        <f t="shared" si="1"/>
        <v>2.2491692379718858E-2</v>
      </c>
      <c r="J24" s="95">
        <f>'Ridership-25'!B16/'Revenue Hours-25'!B16</f>
        <v>23.310953988801508</v>
      </c>
      <c r="K24" s="96">
        <f>'Ridership-25'!C16/'Revenue Hours-25'!C16</f>
        <v>14.316342020333447</v>
      </c>
      <c r="L24" s="96">
        <f>'Ridership-25'!D16/'Revenue Hours-25'!D16</f>
        <v>19.466079261836335</v>
      </c>
      <c r="M24" s="96">
        <f>'Ridership-25'!E16/'Revenue Hours-25'!E16</f>
        <v>23.218467236227433</v>
      </c>
      <c r="N24" s="97">
        <f t="shared" si="2"/>
        <v>1.0827952067365614</v>
      </c>
      <c r="O24" s="98">
        <f t="shared" si="3"/>
        <v>2.4353896700152821E-2</v>
      </c>
      <c r="P24" s="99">
        <f t="shared" si="4"/>
        <v>2.3005952314714397E-2</v>
      </c>
      <c r="Q24" s="95">
        <f>'Ridership-25'!B16/'Revenue Miles-25'!B16</f>
        <v>1.6285925776934442</v>
      </c>
      <c r="R24" s="96">
        <f>'Ridership-25'!C16/'Revenue Miles-25'!C16</f>
        <v>1.0462325686324412</v>
      </c>
      <c r="S24" s="96">
        <f>'Ridership-25'!D16/'Revenue Miles-25'!D16</f>
        <v>1.4050534441156883</v>
      </c>
      <c r="T24" s="96">
        <f>'Ridership-25'!E16/'Revenue Miles-25'!E16</f>
        <v>1.5050852081552479</v>
      </c>
      <c r="U24" s="97">
        <f t="shared" si="5"/>
        <v>1.0649155001693644</v>
      </c>
      <c r="V24" s="98">
        <f t="shared" si="6"/>
        <v>2.3951751840203789E-2</v>
      </c>
      <c r="W24" s="99">
        <f t="shared" si="7"/>
        <v>2.2709833811616158E-2</v>
      </c>
      <c r="X24" s="95">
        <f>'Op Cost-25'!B17/'Revenue Hours-25'!B16</f>
        <v>79.983720905617247</v>
      </c>
      <c r="Y24" s="96">
        <f>'Op Cost-25'!C17/'Revenue Hours-25'!C16</f>
        <v>90.654407919074401</v>
      </c>
      <c r="Z24" s="96">
        <f>'Op Cost-25'!D17/'Revenue Hours-25'!D16</f>
        <v>94.089194776382797</v>
      </c>
      <c r="AA24" s="96">
        <f>'Op Cost-25'!E17/'Revenue Hours-25'!E16</f>
        <v>110.97560428152575</v>
      </c>
      <c r="AB24" s="97">
        <f t="shared" si="8"/>
        <v>1.0770025946706425</v>
      </c>
      <c r="AC24" s="98">
        <f t="shared" si="9"/>
        <v>2.0883600922611545E-2</v>
      </c>
      <c r="AD24" s="99">
        <f t="shared" si="10"/>
        <v>2.227777145642236E-2</v>
      </c>
      <c r="AE24" s="95">
        <f>'Op Cost-25'!B17/'Revenue Miles-25'!B16</f>
        <v>5.5879692553882192</v>
      </c>
      <c r="AF24" s="96">
        <f>'Op Cost-25'!C17/'Revenue Miles-25'!C16</f>
        <v>6.6249879976545323</v>
      </c>
      <c r="AG24" s="96">
        <f>'Op Cost-25'!D17/'Revenue Miles-25'!D16</f>
        <v>6.7913186521237527</v>
      </c>
      <c r="AH24" s="96">
        <f>'Op Cost-25'!E17/'Revenue Miles-25'!E16</f>
        <v>7.1937453394685633</v>
      </c>
      <c r="AI24" s="97">
        <f t="shared" si="11"/>
        <v>1.0470712277412029</v>
      </c>
      <c r="AJ24" s="98">
        <f t="shared" si="12"/>
        <v>2.1480575326512524E-2</v>
      </c>
      <c r="AK24" s="99">
        <f t="shared" si="13"/>
        <v>2.2860725411687571E-2</v>
      </c>
      <c r="AL24" s="95">
        <f>'Op Cost-25'!B17/'Ridership-25'!B16</f>
        <v>3.4311646337614974</v>
      </c>
      <c r="AM24" s="96">
        <f>'Op Cost-25'!C17/'Ridership-25'!C16</f>
        <v>6.3322326185221254</v>
      </c>
      <c r="AN24" s="96">
        <f>'Op Cost-25'!D17/'Ridership-25'!D16</f>
        <v>4.833494896984555</v>
      </c>
      <c r="AO24" s="96">
        <f>'Op Cost-25'!E17/'Ridership-25'!E16</f>
        <v>4.779626628771263</v>
      </c>
      <c r="AP24" s="97">
        <f t="shared" si="14"/>
        <v>1.0093254200826904</v>
      </c>
      <c r="AQ24" s="98">
        <f t="shared" si="15"/>
        <v>2.2283885783711058E-2</v>
      </c>
      <c r="AR24" s="99">
        <f t="shared" si="16"/>
        <v>2.4194265555241793E-2</v>
      </c>
      <c r="AT24" s="101">
        <f t="shared" si="29"/>
        <v>0</v>
      </c>
      <c r="AU24" s="102">
        <f t="shared" si="17"/>
        <v>0</v>
      </c>
      <c r="AV24" s="102">
        <f t="shared" si="18"/>
        <v>0</v>
      </c>
      <c r="AW24" s="102">
        <f t="shared" si="19"/>
        <v>0</v>
      </c>
      <c r="AX24" s="103">
        <f t="shared" si="20"/>
        <v>0</v>
      </c>
      <c r="AY24" s="293">
        <f t="shared" si="30"/>
        <v>-1</v>
      </c>
      <c r="AZ24" s="105">
        <f t="shared" si="21"/>
        <v>0</v>
      </c>
      <c r="BA24" s="106">
        <f t="shared" si="21"/>
        <v>0</v>
      </c>
      <c r="BB24" s="106">
        <f t="shared" si="21"/>
        <v>0</v>
      </c>
      <c r="BC24" s="106">
        <f t="shared" si="21"/>
        <v>0</v>
      </c>
      <c r="BD24" s="106">
        <f t="shared" si="21"/>
        <v>0</v>
      </c>
      <c r="BE24" s="107">
        <f t="shared" si="31"/>
        <v>2749395.7324642842</v>
      </c>
      <c r="BG24" s="108">
        <f>'Op Cost-25'!E17</f>
        <v>7910674</v>
      </c>
      <c r="BH24" s="109">
        <f t="shared" si="22"/>
        <v>0.34755518081825698</v>
      </c>
      <c r="BI24" s="110">
        <f t="shared" si="23"/>
        <v>2373202.1999999997</v>
      </c>
      <c r="BJ24" s="111">
        <f t="shared" si="24"/>
        <v>376193.53246428445</v>
      </c>
      <c r="BK24" s="1">
        <f t="shared" si="32"/>
        <v>2.1976463758928118</v>
      </c>
      <c r="BL24" s="294">
        <f t="shared" si="33"/>
        <v>2.1689274451441714</v>
      </c>
      <c r="BM24" s="294">
        <f t="shared" si="34"/>
        <v>2.0285977554166963</v>
      </c>
      <c r="BN24" s="295">
        <f t="shared" si="35"/>
        <v>2.2965301515051899</v>
      </c>
      <c r="BO24" s="114">
        <f t="shared" si="25"/>
        <v>0</v>
      </c>
      <c r="BP24" s="296">
        <f t="shared" si="36"/>
        <v>2.1976463758928118</v>
      </c>
      <c r="BQ24" s="116">
        <f t="shared" si="37"/>
        <v>4.9428786245985117E-2</v>
      </c>
      <c r="BR24" s="297">
        <f t="shared" si="38"/>
        <v>0</v>
      </c>
      <c r="BS24" s="117">
        <f t="shared" si="39"/>
        <v>0</v>
      </c>
      <c r="BT24" s="298">
        <f t="shared" si="40"/>
        <v>2373202.1999999997</v>
      </c>
      <c r="BU24" s="119">
        <f t="shared" si="41"/>
        <v>2373202.1999999997</v>
      </c>
      <c r="BV24" s="119">
        <f t="shared" si="42"/>
        <v>2373202.1999999997</v>
      </c>
      <c r="BW24" s="119">
        <f t="shared" si="43"/>
        <v>0</v>
      </c>
      <c r="BX24" s="120">
        <f t="shared" si="44"/>
        <v>0</v>
      </c>
      <c r="BY24" s="121">
        <f t="shared" si="45"/>
        <v>0</v>
      </c>
      <c r="BZ24" s="299">
        <f t="shared" si="46"/>
        <v>2373202.1999999997</v>
      </c>
      <c r="CA24" s="109">
        <f t="shared" si="26"/>
        <v>0</v>
      </c>
      <c r="CB24" s="123">
        <f t="shared" si="57"/>
        <v>0</v>
      </c>
      <c r="CC24" s="111">
        <f t="shared" si="56"/>
        <v>2373202</v>
      </c>
      <c r="CE24" s="124">
        <f t="shared" si="28"/>
        <v>0</v>
      </c>
      <c r="CF24" s="17"/>
      <c r="CG24" s="108">
        <f t="shared" si="47"/>
        <v>7910674</v>
      </c>
      <c r="CH24" s="125">
        <f t="shared" si="48"/>
        <v>0.29999997471770423</v>
      </c>
      <c r="CI24" s="110">
        <f t="shared" si="49"/>
        <v>2373202.1999999997</v>
      </c>
      <c r="CJ24" s="300">
        <f t="shared" si="50"/>
        <v>0</v>
      </c>
      <c r="CL24" s="127">
        <f t="shared" si="51"/>
        <v>0</v>
      </c>
      <c r="CM24" s="128">
        <f t="shared" si="52"/>
        <v>0</v>
      </c>
      <c r="CN24" s="129">
        <f t="shared" si="53"/>
        <v>0</v>
      </c>
      <c r="CO24" s="130">
        <f t="shared" si="55"/>
        <v>2373202</v>
      </c>
      <c r="CQ24" s="131">
        <f t="shared" si="54"/>
        <v>0.3</v>
      </c>
      <c r="CR24" s="301"/>
    </row>
    <row r="25" spans="1:96">
      <c r="A25" s="133" t="s">
        <v>99</v>
      </c>
      <c r="B25" s="90" t="s">
        <v>100</v>
      </c>
      <c r="C25" s="91">
        <f>'Sizing - Reimb Exp-25'!B18</f>
        <v>3419477</v>
      </c>
      <c r="D25" s="92">
        <f>'Ridership-25'!$E17</f>
        <v>235586</v>
      </c>
      <c r="E25" s="92">
        <f>'Revenue Hours-25'!$E17</f>
        <v>29937</v>
      </c>
      <c r="F25" s="92">
        <f>'Revenue Miles-25'!$E17</f>
        <v>470807</v>
      </c>
      <c r="G25" s="93">
        <f t="shared" si="0"/>
        <v>6.1354436726635013E-3</v>
      </c>
      <c r="H25" s="94">
        <f t="shared" si="1"/>
        <v>6.1354436726635021E-3</v>
      </c>
      <c r="J25" s="95">
        <f>'Ridership-25'!B17/'Revenue Hours-25'!B17</f>
        <v>8.8925454444382677</v>
      </c>
      <c r="K25" s="96">
        <f>'Ridership-25'!C17/'Revenue Hours-25'!C17</f>
        <v>5.7639186016175321</v>
      </c>
      <c r="L25" s="96">
        <f>'Ridership-25'!D17/'Revenue Hours-25'!D17</f>
        <v>6.4797153630255435</v>
      </c>
      <c r="M25" s="96">
        <f>'Ridership-25'!E17/'Revenue Hours-25'!E17</f>
        <v>7.8693923906871097</v>
      </c>
      <c r="N25" s="97">
        <f t="shared" si="2"/>
        <v>1.0499909933163976</v>
      </c>
      <c r="O25" s="98">
        <f t="shared" si="3"/>
        <v>6.4421605962967574E-3</v>
      </c>
      <c r="P25" s="99">
        <f t="shared" si="4"/>
        <v>6.0855985925736987E-3</v>
      </c>
      <c r="Q25" s="95">
        <f>'Ridership-25'!B17/'Revenue Miles-25'!B17</f>
        <v>0.59288580032429927</v>
      </c>
      <c r="R25" s="96">
        <f>'Ridership-25'!C17/'Revenue Miles-25'!C17</f>
        <v>0.39323250859241093</v>
      </c>
      <c r="S25" s="96">
        <f>'Ridership-25'!D17/'Revenue Miles-25'!D17</f>
        <v>0.42963025620782347</v>
      </c>
      <c r="T25" s="96">
        <f>'Ridership-25'!E17/'Revenue Miles-25'!E17</f>
        <v>0.50038763229943484</v>
      </c>
      <c r="U25" s="97">
        <f t="shared" si="5"/>
        <v>1.0379042251721813</v>
      </c>
      <c r="V25" s="98">
        <f t="shared" si="6"/>
        <v>6.3680029111633741E-3</v>
      </c>
      <c r="W25" s="99">
        <f t="shared" si="7"/>
        <v>6.0378167237715372E-3</v>
      </c>
      <c r="X25" s="95">
        <f>'Op Cost-25'!B18/'Revenue Hours-25'!B17</f>
        <v>81.611429206737455</v>
      </c>
      <c r="Y25" s="96">
        <f>'Op Cost-25'!C18/'Revenue Hours-25'!C17</f>
        <v>72.997808505087406</v>
      </c>
      <c r="Z25" s="96">
        <f>'Op Cost-25'!D18/'Revenue Hours-25'!D17</f>
        <v>89.842457403679873</v>
      </c>
      <c r="AA25" s="96">
        <f>'Op Cost-25'!E18/'Revenue Hours-25'!E17</f>
        <v>122.89167251227578</v>
      </c>
      <c r="AB25" s="97">
        <f t="shared" si="8"/>
        <v>1.1433754529366269</v>
      </c>
      <c r="AC25" s="98">
        <f t="shared" si="9"/>
        <v>5.3660795820876933E-3</v>
      </c>
      <c r="AD25" s="99">
        <f t="shared" si="10"/>
        <v>5.7243142592946434E-3</v>
      </c>
      <c r="AE25" s="95">
        <f>'Op Cost-25'!B18/'Revenue Miles-25'!B17</f>
        <v>5.4412156590224692</v>
      </c>
      <c r="AF25" s="96">
        <f>'Op Cost-25'!C18/'Revenue Miles-25'!C17</f>
        <v>4.9801382261276927</v>
      </c>
      <c r="AG25" s="96">
        <f>'Op Cost-25'!D18/'Revenue Miles-25'!D17</f>
        <v>5.9569033252504751</v>
      </c>
      <c r="AH25" s="96">
        <f>'Op Cost-25'!E18/'Revenue Miles-25'!E17</f>
        <v>7.8142593461864411</v>
      </c>
      <c r="AI25" s="97">
        <f t="shared" si="11"/>
        <v>1.1229656613500592</v>
      </c>
      <c r="AJ25" s="98">
        <f t="shared" si="12"/>
        <v>5.4636075561627665E-3</v>
      </c>
      <c r="AK25" s="99">
        <f t="shared" si="13"/>
        <v>5.8146502223568163E-3</v>
      </c>
      <c r="AL25" s="95">
        <f>'Op Cost-25'!B18/'Ridership-25'!B17</f>
        <v>9.1775105021004197</v>
      </c>
      <c r="AM25" s="96">
        <f>'Op Cost-25'!C18/'Ridership-25'!C17</f>
        <v>12.664614743969837</v>
      </c>
      <c r="AN25" s="96">
        <f>'Op Cost-25'!D18/'Ridership-25'!D17</f>
        <v>13.865185794477576</v>
      </c>
      <c r="AO25" s="96">
        <f>'Op Cost-25'!E18/'Ridership-25'!E17</f>
        <v>15.616411841111102</v>
      </c>
      <c r="AP25" s="100">
        <f t="shared" si="14"/>
        <v>1.1449369771833227</v>
      </c>
      <c r="AQ25" s="98">
        <f t="shared" si="15"/>
        <v>5.3587610453087152E-3</v>
      </c>
      <c r="AR25" s="99">
        <f t="shared" si="16"/>
        <v>5.8181633596442088E-3</v>
      </c>
      <c r="AT25" s="101">
        <f t="shared" si="29"/>
        <v>0</v>
      </c>
      <c r="AU25" s="102">
        <f t="shared" si="17"/>
        <v>0</v>
      </c>
      <c r="AV25" s="102">
        <f t="shared" si="18"/>
        <v>0</v>
      </c>
      <c r="AW25" s="102">
        <f t="shared" si="19"/>
        <v>0</v>
      </c>
      <c r="AX25" s="103">
        <f t="shared" si="20"/>
        <v>0</v>
      </c>
      <c r="AY25" s="293">
        <f t="shared" si="30"/>
        <v>-1</v>
      </c>
      <c r="AZ25" s="105">
        <f t="shared" si="21"/>
        <v>0</v>
      </c>
      <c r="BA25" s="106">
        <f t="shared" si="21"/>
        <v>0</v>
      </c>
      <c r="BB25" s="106">
        <f t="shared" si="21"/>
        <v>0</v>
      </c>
      <c r="BC25" s="106">
        <f t="shared" si="21"/>
        <v>0</v>
      </c>
      <c r="BD25" s="106">
        <f t="shared" si="21"/>
        <v>0</v>
      </c>
      <c r="BE25" s="107">
        <f t="shared" si="31"/>
        <v>749999.70502917236</v>
      </c>
      <c r="BG25" s="108">
        <f>'Op Cost-25'!E18</f>
        <v>3679008</v>
      </c>
      <c r="BH25" s="109">
        <f t="shared" si="22"/>
        <v>0.20385922102620391</v>
      </c>
      <c r="BI25" s="110">
        <f t="shared" si="23"/>
        <v>749999.70502917236</v>
      </c>
      <c r="BJ25" s="111">
        <f t="shared" si="24"/>
        <v>0</v>
      </c>
      <c r="BK25" s="1">
        <f t="shared" si="32"/>
        <v>0.70382989100671867</v>
      </c>
      <c r="BL25" s="294">
        <f t="shared" si="33"/>
        <v>0.73511058930448281</v>
      </c>
      <c r="BM25" s="294">
        <f t="shared" si="34"/>
        <v>0.67443704995618003</v>
      </c>
      <c r="BN25" s="295">
        <f t="shared" si="35"/>
        <v>0.70288596238310597</v>
      </c>
      <c r="BO25" s="114">
        <f t="shared" si="25"/>
        <v>749999.70502917236</v>
      </c>
      <c r="BP25" s="296">
        <f t="shared" si="36"/>
        <v>0.70382989100671867</v>
      </c>
      <c r="BQ25" s="116">
        <f t="shared" si="37"/>
        <v>4.3183086514086144E-3</v>
      </c>
      <c r="BR25" s="297">
        <f t="shared" si="38"/>
        <v>4.3183086514086144E-3</v>
      </c>
      <c r="BS25" s="117">
        <f t="shared" si="39"/>
        <v>4.8733387843692619E-3</v>
      </c>
      <c r="BT25" s="298">
        <f t="shared" si="40"/>
        <v>791884.17323742935</v>
      </c>
      <c r="BU25" s="119">
        <f t="shared" si="41"/>
        <v>1103702.3999999999</v>
      </c>
      <c r="BV25" s="119">
        <f t="shared" si="42"/>
        <v>791884.17323742935</v>
      </c>
      <c r="BW25" s="119">
        <f t="shared" si="43"/>
        <v>0</v>
      </c>
      <c r="BX25" s="120">
        <f t="shared" si="44"/>
        <v>4.3183086514086144E-3</v>
      </c>
      <c r="BY25" s="121">
        <f t="shared" si="45"/>
        <v>8.6928481183225666E-3</v>
      </c>
      <c r="BZ25" s="299">
        <f t="shared" si="46"/>
        <v>799658.30842543277</v>
      </c>
      <c r="CA25" s="109">
        <f t="shared" si="26"/>
        <v>6.8120292231841394E-3</v>
      </c>
      <c r="CB25" s="123">
        <f t="shared" si="57"/>
        <v>58546.765176125795</v>
      </c>
      <c r="CC25" s="111">
        <f t="shared" si="56"/>
        <v>808546</v>
      </c>
      <c r="CE25" s="124">
        <f t="shared" si="28"/>
        <v>0</v>
      </c>
      <c r="CF25" s="17"/>
      <c r="CG25" s="108">
        <f t="shared" si="47"/>
        <v>3679008</v>
      </c>
      <c r="CH25" s="125">
        <f t="shared" si="48"/>
        <v>0.21977283006723553</v>
      </c>
      <c r="CI25" s="110">
        <f t="shared" si="49"/>
        <v>791884.17323742935</v>
      </c>
      <c r="CJ25" s="300">
        <f t="shared" si="50"/>
        <v>0</v>
      </c>
      <c r="CL25" s="127">
        <f t="shared" si="51"/>
        <v>791884.17323742935</v>
      </c>
      <c r="CM25" s="128">
        <f t="shared" si="52"/>
        <v>9.2191444277566672E-3</v>
      </c>
      <c r="CN25" s="129">
        <f t="shared" si="53"/>
        <v>8244.8093103159972</v>
      </c>
      <c r="CO25" s="130">
        <f t="shared" si="55"/>
        <v>800129</v>
      </c>
      <c r="CQ25" s="131">
        <f t="shared" si="54"/>
        <v>0.21735704527563757</v>
      </c>
      <c r="CR25" s="301"/>
    </row>
    <row r="26" spans="1:96">
      <c r="A26" s="133" t="s">
        <v>99</v>
      </c>
      <c r="B26" s="90" t="s">
        <v>101</v>
      </c>
      <c r="C26" s="91">
        <f>'Sizing - Reimb Exp-25'!B19</f>
        <v>703038</v>
      </c>
      <c r="D26" s="92">
        <f>'Ridership-25'!$E18</f>
        <v>90145</v>
      </c>
      <c r="E26" s="92">
        <f>'Revenue Hours-25'!$E18</f>
        <v>11560</v>
      </c>
      <c r="F26" s="92">
        <f>'Revenue Miles-25'!$E18</f>
        <v>171222</v>
      </c>
      <c r="G26" s="93">
        <f t="shared" si="0"/>
        <v>1.9267836815085944E-3</v>
      </c>
      <c r="H26" s="94">
        <f t="shared" si="1"/>
        <v>1.9267836815085946E-3</v>
      </c>
      <c r="J26" s="95">
        <f>'Ridership-25'!B18/'Revenue Hours-25'!B18</f>
        <v>12.121389319430746</v>
      </c>
      <c r="K26" s="96">
        <f>'Ridership-25'!C18/'Revenue Hours-25'!C18</f>
        <v>6.5520235467255334</v>
      </c>
      <c r="L26" s="96">
        <f>'Ridership-25'!D18/'Revenue Hours-25'!D18</f>
        <v>6.5625580805947452</v>
      </c>
      <c r="M26" s="96">
        <f>'Ridership-25'!E18/'Revenue Hours-25'!E18</f>
        <v>7.7980103806228378</v>
      </c>
      <c r="N26" s="97">
        <f t="shared" si="2"/>
        <v>0.9411305771415881</v>
      </c>
      <c r="O26" s="98">
        <f t="shared" si="3"/>
        <v>1.8133550382051775E-3</v>
      </c>
      <c r="P26" s="99">
        <f t="shared" si="4"/>
        <v>1.7129890978938758E-3</v>
      </c>
      <c r="Q26" s="95">
        <f>'Ridership-25'!B18/'Revenue Miles-25'!B18</f>
        <v>0.79351997048242784</v>
      </c>
      <c r="R26" s="96">
        <f>'Ridership-25'!C18/'Revenue Miles-25'!C18</f>
        <v>0.47317713453679738</v>
      </c>
      <c r="S26" s="96">
        <f>'Ridership-25'!D18/'Revenue Miles-25'!D18</f>
        <v>0.44629120011030743</v>
      </c>
      <c r="T26" s="96">
        <f>'Ridership-25'!E18/'Revenue Miles-25'!E18</f>
        <v>0.52648024202497345</v>
      </c>
      <c r="U26" s="97">
        <f t="shared" si="5"/>
        <v>0.95968549774921197</v>
      </c>
      <c r="V26" s="98">
        <f t="shared" si="6"/>
        <v>1.8491063564436347E-3</v>
      </c>
      <c r="W26" s="99">
        <f t="shared" si="7"/>
        <v>1.7532286713304861E-3</v>
      </c>
      <c r="X26" s="95">
        <f>'Op Cost-25'!B19/'Revenue Hours-25'!B18</f>
        <v>47.958362688459914</v>
      </c>
      <c r="Y26" s="96">
        <f>'Op Cost-25'!C19/'Revenue Hours-25'!C18</f>
        <v>45.519278881530539</v>
      </c>
      <c r="Z26" s="96">
        <f>'Op Cost-25'!D19/'Revenue Hours-25'!D18</f>
        <v>51.194390470558417</v>
      </c>
      <c r="AA26" s="96">
        <f>'Op Cost-25'!E19/'Revenue Hours-25'!E18</f>
        <v>60.816435986159171</v>
      </c>
      <c r="AB26" s="97">
        <f t="shared" si="8"/>
        <v>1.0585987264876684</v>
      </c>
      <c r="AC26" s="98">
        <f t="shared" si="9"/>
        <v>1.8201265817704908E-3</v>
      </c>
      <c r="AD26" s="99">
        <f t="shared" si="10"/>
        <v>1.9416366057128985E-3</v>
      </c>
      <c r="AE26" s="95">
        <f>'Op Cost-25'!B19/'Revenue Miles-25'!B18</f>
        <v>3.1395673830827415</v>
      </c>
      <c r="AF26" s="96">
        <f>'Op Cost-25'!C19/'Revenue Miles-25'!C18</f>
        <v>3.2873328054671349</v>
      </c>
      <c r="AG26" s="96">
        <f>'Op Cost-25'!D19/'Revenue Miles-25'!D18</f>
        <v>3.4815091434513583</v>
      </c>
      <c r="AH26" s="96">
        <f>'Op Cost-25'!E19/'Revenue Miles-25'!E18</f>
        <v>4.1060027332936189</v>
      </c>
      <c r="AI26" s="97">
        <f t="shared" si="11"/>
        <v>1.0643484033760391</v>
      </c>
      <c r="AJ26" s="98">
        <f t="shared" si="12"/>
        <v>1.8102941437192661E-3</v>
      </c>
      <c r="AK26" s="99">
        <f t="shared" si="13"/>
        <v>1.9266074909489504E-3</v>
      </c>
      <c r="AL26" s="95">
        <f>'Op Cost-25'!B19/'Ridership-25'!B18</f>
        <v>3.95650708220237</v>
      </c>
      <c r="AM26" s="96">
        <f>'Op Cost-25'!C19/'Ridership-25'!C18</f>
        <v>6.9473619190943596</v>
      </c>
      <c r="AN26" s="96">
        <f>'Op Cost-25'!D19/'Ridership-25'!D18</f>
        <v>7.8009809348489334</v>
      </c>
      <c r="AO26" s="96">
        <f>'Op Cost-25'!E19/'Ridership-25'!E18</f>
        <v>7.7989683288035945</v>
      </c>
      <c r="AP26" s="100">
        <f t="shared" si="14"/>
        <v>1.1555135455372394</v>
      </c>
      <c r="AQ26" s="98">
        <f t="shared" si="15"/>
        <v>1.6674695757138566E-3</v>
      </c>
      <c r="AR26" s="99">
        <f t="shared" si="16"/>
        <v>1.8104204137322066E-3</v>
      </c>
      <c r="AT26" s="101">
        <f t="shared" si="29"/>
        <v>0</v>
      </c>
      <c r="AU26" s="102">
        <f t="shared" si="17"/>
        <v>0</v>
      </c>
      <c r="AV26" s="102">
        <f t="shared" si="18"/>
        <v>0</v>
      </c>
      <c r="AW26" s="102">
        <f t="shared" si="19"/>
        <v>0</v>
      </c>
      <c r="AX26" s="103">
        <f t="shared" si="20"/>
        <v>0</v>
      </c>
      <c r="AY26" s="293">
        <f t="shared" si="30"/>
        <v>-1</v>
      </c>
      <c r="AZ26" s="105">
        <f t="shared" si="21"/>
        <v>0</v>
      </c>
      <c r="BA26" s="106">
        <f t="shared" si="21"/>
        <v>0</v>
      </c>
      <c r="BB26" s="106">
        <f t="shared" si="21"/>
        <v>0</v>
      </c>
      <c r="BC26" s="106">
        <f t="shared" si="21"/>
        <v>0</v>
      </c>
      <c r="BD26" s="106">
        <f t="shared" si="21"/>
        <v>0</v>
      </c>
      <c r="BE26" s="107">
        <f t="shared" si="31"/>
        <v>235531.00148650398</v>
      </c>
      <c r="BG26" s="108">
        <f>'Op Cost-25'!E19</f>
        <v>703038</v>
      </c>
      <c r="BH26" s="109">
        <f t="shared" si="22"/>
        <v>0.33501887733878394</v>
      </c>
      <c r="BI26" s="110">
        <f t="shared" si="23"/>
        <v>210911.4</v>
      </c>
      <c r="BJ26" s="111">
        <f t="shared" si="24"/>
        <v>24619.601486503991</v>
      </c>
      <c r="BK26" s="1">
        <f t="shared" si="32"/>
        <v>1.0632304921016367</v>
      </c>
      <c r="BL26" s="294">
        <f t="shared" si="33"/>
        <v>0.72844251775855451</v>
      </c>
      <c r="BM26" s="294">
        <f t="shared" si="34"/>
        <v>0.70960543061355719</v>
      </c>
      <c r="BN26" s="295">
        <f t="shared" si="35"/>
        <v>1.4074370100172178</v>
      </c>
      <c r="BO26" s="114">
        <f t="shared" si="25"/>
        <v>0</v>
      </c>
      <c r="BP26" s="296">
        <f t="shared" si="36"/>
        <v>1.0632304921016367</v>
      </c>
      <c r="BQ26" s="116">
        <f t="shared" si="37"/>
        <v>2.0486151618637864E-3</v>
      </c>
      <c r="BR26" s="297">
        <f t="shared" si="38"/>
        <v>0</v>
      </c>
      <c r="BS26" s="117">
        <f t="shared" si="39"/>
        <v>0</v>
      </c>
      <c r="BT26" s="298">
        <f t="shared" si="40"/>
        <v>210911.4</v>
      </c>
      <c r="BU26" s="119">
        <f t="shared" si="41"/>
        <v>210911.4</v>
      </c>
      <c r="BV26" s="119">
        <f t="shared" si="42"/>
        <v>210911.4</v>
      </c>
      <c r="BW26" s="119">
        <f t="shared" si="43"/>
        <v>0</v>
      </c>
      <c r="BX26" s="120">
        <f t="shared" si="44"/>
        <v>0</v>
      </c>
      <c r="BY26" s="121">
        <f t="shared" si="45"/>
        <v>0</v>
      </c>
      <c r="BZ26" s="299">
        <f t="shared" si="46"/>
        <v>210911.4</v>
      </c>
      <c r="CA26" s="109">
        <f t="shared" si="26"/>
        <v>0</v>
      </c>
      <c r="CB26" s="123">
        <f t="shared" si="57"/>
        <v>0</v>
      </c>
      <c r="CC26" s="111">
        <f t="shared" si="56"/>
        <v>210911</v>
      </c>
      <c r="CE26" s="124">
        <f t="shared" si="28"/>
        <v>0</v>
      </c>
      <c r="CF26" s="17"/>
      <c r="CG26" s="108">
        <f t="shared" si="47"/>
        <v>703038</v>
      </c>
      <c r="CH26" s="125">
        <f t="shared" si="48"/>
        <v>0.29999943104071186</v>
      </c>
      <c r="CI26" s="110">
        <f t="shared" si="49"/>
        <v>210911.4</v>
      </c>
      <c r="CJ26" s="300">
        <f t="shared" si="50"/>
        <v>0</v>
      </c>
      <c r="CL26" s="127">
        <f t="shared" si="51"/>
        <v>0</v>
      </c>
      <c r="CM26" s="128">
        <f t="shared" si="52"/>
        <v>0</v>
      </c>
      <c r="CN26" s="129">
        <f t="shared" si="53"/>
        <v>0</v>
      </c>
      <c r="CO26" s="130">
        <f t="shared" si="55"/>
        <v>210911</v>
      </c>
      <c r="CQ26" s="131">
        <f t="shared" si="54"/>
        <v>0.3</v>
      </c>
      <c r="CR26" s="301"/>
    </row>
    <row r="27" spans="1:96">
      <c r="A27" s="133" t="s">
        <v>99</v>
      </c>
      <c r="B27" s="90" t="s">
        <v>102</v>
      </c>
      <c r="C27" s="91">
        <f>'Sizing - Reimb Exp-25'!B20</f>
        <v>8312589</v>
      </c>
      <c r="D27" s="92">
        <f>'Ridership-25'!$E19</f>
        <v>519342</v>
      </c>
      <c r="E27" s="92">
        <f>'Revenue Hours-25'!$E19</f>
        <v>79599</v>
      </c>
      <c r="F27" s="92">
        <f>'Revenue Miles-25'!$E19</f>
        <v>1150861</v>
      </c>
      <c r="G27" s="93">
        <f t="shared" si="0"/>
        <v>1.4764019756276369E-2</v>
      </c>
      <c r="H27" s="94">
        <f t="shared" si="1"/>
        <v>1.4764019756276371E-2</v>
      </c>
      <c r="J27" s="95">
        <f>'Ridership-25'!B19/'Revenue Hours-25'!B19</f>
        <v>21.272344057919085</v>
      </c>
      <c r="K27" s="96">
        <f>'Ridership-25'!C19/'Revenue Hours-25'!C19</f>
        <v>6.2106387495687709</v>
      </c>
      <c r="L27" s="96">
        <f>'Ridership-25'!D19/'Revenue Hours-25'!D19</f>
        <v>5.9993407953505891</v>
      </c>
      <c r="M27" s="96">
        <f>'Ridership-25'!E19/'Revenue Hours-25'!E19</f>
        <v>6.5244789507405869</v>
      </c>
      <c r="N27" s="97">
        <f t="shared" si="2"/>
        <v>0.74254458405060142</v>
      </c>
      <c r="O27" s="98">
        <f t="shared" si="3"/>
        <v>1.0962942908839099E-2</v>
      </c>
      <c r="P27" s="99">
        <f t="shared" si="4"/>
        <v>1.0356163734081455E-2</v>
      </c>
      <c r="Q27" s="95">
        <f>'Ridership-25'!B19/'Revenue Miles-25'!B19</f>
        <v>1.6130997617774709</v>
      </c>
      <c r="R27" s="96">
        <f>'Ridership-25'!C19/'Revenue Miles-25'!C19</f>
        <v>0.43710720015539234</v>
      </c>
      <c r="S27" s="96">
        <f>'Ridership-25'!D19/'Revenue Miles-25'!D19</f>
        <v>0.41539215330115964</v>
      </c>
      <c r="T27" s="96">
        <f>'Ridership-25'!E19/'Revenue Miles-25'!E19</f>
        <v>0.45126387982562621</v>
      </c>
      <c r="U27" s="97">
        <f t="shared" si="5"/>
        <v>0.72761827424943293</v>
      </c>
      <c r="V27" s="98">
        <f t="shared" si="6"/>
        <v>1.0742570576046346E-2</v>
      </c>
      <c r="W27" s="99">
        <f t="shared" si="7"/>
        <v>1.0185559457996391E-2</v>
      </c>
      <c r="X27" s="95">
        <f>'Op Cost-25'!B20/'Revenue Hours-25'!B19</f>
        <v>85.260382965718563</v>
      </c>
      <c r="Y27" s="96">
        <f>'Op Cost-25'!C20/'Revenue Hours-25'!C19</f>
        <v>88.890998593530242</v>
      </c>
      <c r="Z27" s="96">
        <f>'Op Cost-25'!D20/'Revenue Hours-25'!D19</f>
        <v>103.53699617930367</v>
      </c>
      <c r="AA27" s="96">
        <f>'Op Cost-25'!E20/'Revenue Hours-25'!E19</f>
        <v>108.98527619693715</v>
      </c>
      <c r="AB27" s="97">
        <f t="shared" si="8"/>
        <v>1.0489833242149993</v>
      </c>
      <c r="AC27" s="98">
        <f t="shared" si="9"/>
        <v>1.4074599105114414E-2</v>
      </c>
      <c r="AD27" s="99">
        <f t="shared" si="10"/>
        <v>1.5014206762829448E-2</v>
      </c>
      <c r="AE27" s="95">
        <f>'Op Cost-25'!B20/'Revenue Miles-25'!B19</f>
        <v>6.465366631744411</v>
      </c>
      <c r="AF27" s="96">
        <f>'Op Cost-25'!C20/'Revenue Miles-25'!C19</f>
        <v>6.2561834749980854</v>
      </c>
      <c r="AG27" s="96">
        <f>'Op Cost-25'!D20/'Revenue Miles-25'!D19</f>
        <v>7.168863589577354</v>
      </c>
      <c r="AH27" s="96">
        <f>'Op Cost-25'!E20/'Revenue Miles-25'!E19</f>
        <v>7.537938117635405</v>
      </c>
      <c r="AI27" s="97">
        <f t="shared" si="11"/>
        <v>1.026827470444114</v>
      </c>
      <c r="AJ27" s="98">
        <f t="shared" si="12"/>
        <v>1.437828669493111E-2</v>
      </c>
      <c r="AK27" s="99">
        <f t="shared" si="13"/>
        <v>1.5302107091035102E-2</v>
      </c>
      <c r="AL27" s="95">
        <f>'Op Cost-25'!B20/'Ridership-25'!B19</f>
        <v>4.008038922912144</v>
      </c>
      <c r="AM27" s="96">
        <f>'Op Cost-25'!C20/'Ridership-25'!C19</f>
        <v>14.312698287225656</v>
      </c>
      <c r="AN27" s="96">
        <f>'Op Cost-25'!D20/'Ridership-25'!D19</f>
        <v>17.258062129016487</v>
      </c>
      <c r="AO27" s="96">
        <f>'Op Cost-25'!E20/'Ridership-25'!E19</f>
        <v>16.704058212122263</v>
      </c>
      <c r="AP27" s="97">
        <f t="shared" si="14"/>
        <v>1.4319841470376262</v>
      </c>
      <c r="AQ27" s="98">
        <f t="shared" si="15"/>
        <v>1.031018380113983E-2</v>
      </c>
      <c r="AR27" s="99">
        <f t="shared" si="16"/>
        <v>1.1194067642837625E-2</v>
      </c>
      <c r="AT27" s="101">
        <f t="shared" si="29"/>
        <v>0</v>
      </c>
      <c r="AU27" s="102">
        <f t="shared" si="17"/>
        <v>0</v>
      </c>
      <c r="AV27" s="102">
        <f t="shared" si="18"/>
        <v>0</v>
      </c>
      <c r="AW27" s="102">
        <f t="shared" si="19"/>
        <v>0</v>
      </c>
      <c r="AX27" s="103">
        <f t="shared" si="20"/>
        <v>0</v>
      </c>
      <c r="AY27" s="293">
        <f t="shared" si="30"/>
        <v>-1</v>
      </c>
      <c r="AZ27" s="105">
        <f t="shared" si="21"/>
        <v>0</v>
      </c>
      <c r="BA27" s="106">
        <f t="shared" si="21"/>
        <v>0</v>
      </c>
      <c r="BB27" s="106">
        <f t="shared" si="21"/>
        <v>0</v>
      </c>
      <c r="BC27" s="106">
        <f t="shared" si="21"/>
        <v>0</v>
      </c>
      <c r="BD27" s="106">
        <f t="shared" si="21"/>
        <v>0</v>
      </c>
      <c r="BE27" s="107">
        <f t="shared" si="31"/>
        <v>1804761.1636609104</v>
      </c>
      <c r="BG27" s="108">
        <f>'Op Cost-25'!E20</f>
        <v>8675119</v>
      </c>
      <c r="BH27" s="109">
        <f t="shared" si="22"/>
        <v>0.2080387789102271</v>
      </c>
      <c r="BI27" s="110">
        <f t="shared" si="23"/>
        <v>1804761.1636609104</v>
      </c>
      <c r="BJ27" s="111">
        <f t="shared" si="24"/>
        <v>0</v>
      </c>
      <c r="BK27" s="1">
        <f t="shared" si="32"/>
        <v>0.63298548157205015</v>
      </c>
      <c r="BL27" s="294">
        <f t="shared" si="33"/>
        <v>0.60947698732872935</v>
      </c>
      <c r="BM27" s="294">
        <f t="shared" si="34"/>
        <v>0.60822662315372988</v>
      </c>
      <c r="BN27" s="295">
        <f t="shared" si="35"/>
        <v>0.65711915790287057</v>
      </c>
      <c r="BO27" s="114">
        <f t="shared" si="25"/>
        <v>1804761.1636609104</v>
      </c>
      <c r="BP27" s="296">
        <f t="shared" si="36"/>
        <v>0.63298548157205015</v>
      </c>
      <c r="BQ27" s="116">
        <f t="shared" si="37"/>
        <v>9.345410155365861E-3</v>
      </c>
      <c r="BR27" s="297">
        <f t="shared" si="38"/>
        <v>9.345410155365861E-3</v>
      </c>
      <c r="BS27" s="117">
        <f t="shared" si="39"/>
        <v>1.0546571225548402E-2</v>
      </c>
      <c r="BT27" s="298">
        <f t="shared" si="40"/>
        <v>1895404.877703412</v>
      </c>
      <c r="BU27" s="119">
        <f t="shared" si="41"/>
        <v>2602535.6999999997</v>
      </c>
      <c r="BV27" s="119">
        <f t="shared" si="42"/>
        <v>1895404.877703412</v>
      </c>
      <c r="BW27" s="119">
        <f t="shared" si="43"/>
        <v>0</v>
      </c>
      <c r="BX27" s="120">
        <f t="shared" si="44"/>
        <v>9.345410155365861E-3</v>
      </c>
      <c r="BY27" s="121">
        <f t="shared" si="45"/>
        <v>1.8812511481208077E-2</v>
      </c>
      <c r="BZ27" s="299">
        <f t="shared" si="46"/>
        <v>1912229.168832175</v>
      </c>
      <c r="CA27" s="109">
        <f t="shared" si="26"/>
        <v>1.6392120830564513E-2</v>
      </c>
      <c r="CB27" s="123">
        <f t="shared" si="57"/>
        <v>140883.95947267333</v>
      </c>
      <c r="CC27" s="111">
        <f t="shared" si="56"/>
        <v>1945645</v>
      </c>
      <c r="CE27" s="124">
        <f t="shared" si="28"/>
        <v>0</v>
      </c>
      <c r="CF27" s="17"/>
      <c r="CG27" s="108">
        <f t="shared" si="47"/>
        <v>8675119</v>
      </c>
      <c r="CH27" s="125">
        <f t="shared" si="48"/>
        <v>0.22427876781863165</v>
      </c>
      <c r="CI27" s="110">
        <f t="shared" si="49"/>
        <v>1895404.877703412</v>
      </c>
      <c r="CJ27" s="300">
        <f t="shared" si="50"/>
        <v>0</v>
      </c>
      <c r="CL27" s="127">
        <f t="shared" si="51"/>
        <v>1895404.877703412</v>
      </c>
      <c r="CM27" s="128">
        <f t="shared" si="52"/>
        <v>2.2066372718605922E-2</v>
      </c>
      <c r="CN27" s="129">
        <f t="shared" si="53"/>
        <v>19734.264568793133</v>
      </c>
      <c r="CO27" s="130">
        <f t="shared" si="55"/>
        <v>1915139</v>
      </c>
      <c r="CQ27" s="131">
        <f t="shared" si="54"/>
        <v>0.22042685164689671</v>
      </c>
      <c r="CR27" s="301"/>
    </row>
    <row r="28" spans="1:96">
      <c r="A28" s="133" t="s">
        <v>99</v>
      </c>
      <c r="B28" s="90" t="s">
        <v>103</v>
      </c>
      <c r="C28" s="91">
        <f>'Sizing - Reimb Exp-25'!B21</f>
        <v>177126</v>
      </c>
      <c r="D28" s="92">
        <f>'Ridership-25'!$E20</f>
        <v>14298</v>
      </c>
      <c r="E28" s="92">
        <f>'Revenue Hours-25'!$E20</f>
        <v>3028</v>
      </c>
      <c r="F28" s="92">
        <f>'Revenue Miles-25'!$E20</f>
        <v>48742</v>
      </c>
      <c r="G28" s="134">
        <f t="shared" si="0"/>
        <v>4.4038078920761829E-4</v>
      </c>
      <c r="H28" s="94">
        <f t="shared" si="1"/>
        <v>4.4038078920761835E-4</v>
      </c>
      <c r="J28" s="95">
        <f>'Ridership-25'!B20/'Revenue Hours-25'!B20</f>
        <v>5.9558432934926957</v>
      </c>
      <c r="K28" s="96">
        <f>'Ridership-25'!C20/'Revenue Hours-25'!C20</f>
        <v>4.686815011624045</v>
      </c>
      <c r="L28" s="96">
        <f>'Ridership-25'!D20/'Revenue Hours-25'!D20</f>
        <v>4.8892540256325994</v>
      </c>
      <c r="M28" s="96">
        <f>'Ridership-25'!E20/'Revenue Hours-25'!E20</f>
        <v>4.7219286657859971</v>
      </c>
      <c r="N28" s="97">
        <f t="shared" si="2"/>
        <v>1.0497324316835372</v>
      </c>
      <c r="O28" s="98">
        <f t="shared" si="3"/>
        <v>4.6228199672162845E-4</v>
      </c>
      <c r="P28" s="99">
        <f t="shared" si="4"/>
        <v>4.3669551954952674E-4</v>
      </c>
      <c r="Q28" s="95">
        <f>'Ridership-25'!B20/'Revenue Miles-25'!B20</f>
        <v>0.37067112984544176</v>
      </c>
      <c r="R28" s="96">
        <f>'Ridership-25'!C20/'Revenue Miles-25'!C20</f>
        <v>0.28707433174661295</v>
      </c>
      <c r="S28" s="96">
        <f>'Ridership-25'!D20/'Revenue Miles-25'!D20</f>
        <v>0.30552817479875144</v>
      </c>
      <c r="T28" s="96">
        <f>'Ridership-25'!E20/'Revenue Miles-25'!E20</f>
        <v>0.29334044561158756</v>
      </c>
      <c r="U28" s="97">
        <f t="shared" si="5"/>
        <v>1.0445386621931119</v>
      </c>
      <c r="V28" s="98">
        <f t="shared" si="6"/>
        <v>4.5999476041447247E-4</v>
      </c>
      <c r="W28" s="99">
        <f t="shared" si="7"/>
        <v>4.3614365383045733E-4</v>
      </c>
      <c r="X28" s="95">
        <f>'Op Cost-25'!B21/'Revenue Hours-25'!B20</f>
        <v>35.128818061088978</v>
      </c>
      <c r="Y28" s="96">
        <f>'Op Cost-25'!C21/'Revenue Hours-25'!C20</f>
        <v>38.42344735968117</v>
      </c>
      <c r="Z28" s="96">
        <f>'Op Cost-25'!D21/'Revenue Hours-25'!D20</f>
        <v>35.43739730529083</v>
      </c>
      <c r="AA28" s="96">
        <f>'Op Cost-25'!E21/'Revenue Hours-25'!E20</f>
        <v>58.537318361955087</v>
      </c>
      <c r="AB28" s="97">
        <f t="shared" si="8"/>
        <v>1.1968858090440895</v>
      </c>
      <c r="AC28" s="98">
        <f t="shared" si="9"/>
        <v>3.6793885087444973E-4</v>
      </c>
      <c r="AD28" s="99">
        <f t="shared" si="10"/>
        <v>3.9250211972996377E-4</v>
      </c>
      <c r="AE28" s="95">
        <f>'Op Cost-25'!B21/'Revenue Miles-25'!B20</f>
        <v>2.1862963881312507</v>
      </c>
      <c r="AF28" s="96">
        <f>'Op Cost-25'!C21/'Revenue Miles-25'!C20</f>
        <v>2.3534928190731925</v>
      </c>
      <c r="AG28" s="96">
        <f>'Op Cost-25'!D21/'Revenue Miles-25'!D20</f>
        <v>2.2144734680466569</v>
      </c>
      <c r="AH28" s="96">
        <f>'Op Cost-25'!E21/'Revenue Miles-25'!E20</f>
        <v>3.6365147101062738</v>
      </c>
      <c r="AI28" s="97">
        <f t="shared" si="11"/>
        <v>1.1975235749946818</v>
      </c>
      <c r="AJ28" s="98">
        <f t="shared" si="12"/>
        <v>3.6774289742861564E-4</v>
      </c>
      <c r="AK28" s="99">
        <f t="shared" si="13"/>
        <v>3.9137077440555063E-4</v>
      </c>
      <c r="AL28" s="95">
        <f>'Op Cost-25'!B21/'Ridership-25'!B20</f>
        <v>5.8982106025976924</v>
      </c>
      <c r="AM28" s="96">
        <f>'Op Cost-25'!C21/'Ridership-25'!C20</f>
        <v>8.1982001133786842</v>
      </c>
      <c r="AN28" s="96">
        <f>'Op Cost-25'!D21/'Ridership-25'!D20</f>
        <v>7.2480172066137918</v>
      </c>
      <c r="AO28" s="96">
        <f>'Op Cost-25'!E21/'Ridership-25'!E20</f>
        <v>12.396908658553643</v>
      </c>
      <c r="AP28" s="100">
        <f t="shared" si="14"/>
        <v>1.3061052839788061</v>
      </c>
      <c r="AQ28" s="98">
        <f t="shared" si="15"/>
        <v>3.3717097282240556E-4</v>
      </c>
      <c r="AR28" s="99">
        <f t="shared" si="16"/>
        <v>3.6607637165092142E-4</v>
      </c>
      <c r="AT28" s="101">
        <f t="shared" si="29"/>
        <v>0</v>
      </c>
      <c r="AU28" s="102">
        <f t="shared" si="17"/>
        <v>0</v>
      </c>
      <c r="AV28" s="102">
        <f t="shared" si="18"/>
        <v>0</v>
      </c>
      <c r="AW28" s="102">
        <f t="shared" si="19"/>
        <v>0</v>
      </c>
      <c r="AX28" s="103">
        <f t="shared" si="20"/>
        <v>0</v>
      </c>
      <c r="AY28" s="293">
        <f t="shared" si="30"/>
        <v>-1</v>
      </c>
      <c r="AZ28" s="105">
        <f t="shared" si="21"/>
        <v>0</v>
      </c>
      <c r="BA28" s="106">
        <f t="shared" si="21"/>
        <v>0</v>
      </c>
      <c r="BB28" s="106">
        <f t="shared" si="21"/>
        <v>0</v>
      </c>
      <c r="BC28" s="106">
        <f t="shared" si="21"/>
        <v>0</v>
      </c>
      <c r="BD28" s="106">
        <f t="shared" si="21"/>
        <v>0</v>
      </c>
      <c r="BE28" s="107">
        <f t="shared" si="31"/>
        <v>53832.36806130522</v>
      </c>
      <c r="BG28" s="108">
        <f>'Op Cost-25'!E21</f>
        <v>177251</v>
      </c>
      <c r="BH28" s="109">
        <f t="shared" si="22"/>
        <v>0.30370699212588487</v>
      </c>
      <c r="BI28" s="110">
        <f t="shared" si="23"/>
        <v>53175.299999999996</v>
      </c>
      <c r="BJ28" s="111">
        <f t="shared" si="24"/>
        <v>657.06806130522455</v>
      </c>
      <c r="BK28" s="1">
        <f t="shared" si="32"/>
        <v>0.65183009971520889</v>
      </c>
      <c r="BL28" s="294">
        <f t="shared" si="33"/>
        <v>0.44109374546725261</v>
      </c>
      <c r="BM28" s="294">
        <f t="shared" si="34"/>
        <v>0.39537281099849808</v>
      </c>
      <c r="BN28" s="295">
        <f t="shared" si="35"/>
        <v>0.88542692119754252</v>
      </c>
      <c r="BO28" s="114">
        <f t="shared" si="25"/>
        <v>0</v>
      </c>
      <c r="BP28" s="296">
        <f t="shared" si="36"/>
        <v>0.65183009971520889</v>
      </c>
      <c r="BQ28" s="116">
        <f t="shared" si="37"/>
        <v>2.8705345374186424E-4</v>
      </c>
      <c r="BR28" s="297">
        <f t="shared" si="38"/>
        <v>0</v>
      </c>
      <c r="BS28" s="117">
        <f t="shared" si="39"/>
        <v>0</v>
      </c>
      <c r="BT28" s="298">
        <f t="shared" si="40"/>
        <v>53175.299999999996</v>
      </c>
      <c r="BU28" s="119">
        <f t="shared" si="41"/>
        <v>53175.299999999996</v>
      </c>
      <c r="BV28" s="119">
        <f t="shared" si="42"/>
        <v>53175.299999999996</v>
      </c>
      <c r="BW28" s="119">
        <f t="shared" si="43"/>
        <v>0</v>
      </c>
      <c r="BX28" s="120">
        <f t="shared" si="44"/>
        <v>0</v>
      </c>
      <c r="BY28" s="121">
        <f t="shared" si="45"/>
        <v>0</v>
      </c>
      <c r="BZ28" s="299">
        <f t="shared" si="46"/>
        <v>53175.299999999996</v>
      </c>
      <c r="CA28" s="109">
        <f t="shared" si="26"/>
        <v>0</v>
      </c>
      <c r="CB28" s="123">
        <f t="shared" si="57"/>
        <v>0</v>
      </c>
      <c r="CC28" s="111">
        <f t="shared" si="56"/>
        <v>53175</v>
      </c>
      <c r="CE28" s="124">
        <f t="shared" si="28"/>
        <v>0</v>
      </c>
      <c r="CF28" s="17"/>
      <c r="CG28" s="108">
        <f t="shared" si="47"/>
        <v>177251</v>
      </c>
      <c r="CH28" s="125">
        <f t="shared" si="48"/>
        <v>0.29999830748486611</v>
      </c>
      <c r="CI28" s="110">
        <f t="shared" si="49"/>
        <v>53175.299999999996</v>
      </c>
      <c r="CJ28" s="300">
        <f t="shared" si="50"/>
        <v>0</v>
      </c>
      <c r="CL28" s="127">
        <f t="shared" si="51"/>
        <v>0</v>
      </c>
      <c r="CM28" s="128">
        <f t="shared" si="52"/>
        <v>0</v>
      </c>
      <c r="CN28" s="129">
        <f t="shared" si="53"/>
        <v>0</v>
      </c>
      <c r="CO28" s="130">
        <f t="shared" si="55"/>
        <v>53175</v>
      </c>
      <c r="CQ28" s="131">
        <f t="shared" si="54"/>
        <v>0.3</v>
      </c>
      <c r="CR28" s="301"/>
    </row>
    <row r="29" spans="1:96">
      <c r="A29" s="133" t="s">
        <v>104</v>
      </c>
      <c r="B29" s="90" t="s">
        <v>105</v>
      </c>
      <c r="C29" s="91">
        <f>'Sizing - Reimb Exp-25'!B22</f>
        <v>18874570</v>
      </c>
      <c r="D29" s="92">
        <f>'Ridership-25'!$E21</f>
        <v>527426</v>
      </c>
      <c r="E29" s="92">
        <f>'Revenue Hours-25'!$E21</f>
        <v>118492</v>
      </c>
      <c r="F29" s="92">
        <f>'Revenue Miles-25'!$E21</f>
        <v>2591443</v>
      </c>
      <c r="G29" s="134">
        <f t="shared" si="0"/>
        <v>2.6570525216407369E-2</v>
      </c>
      <c r="H29" s="94">
        <f t="shared" si="1"/>
        <v>2.6570525216407372E-2</v>
      </c>
      <c r="J29" s="95">
        <f>'Ridership-25'!B21/'Revenue Hours-25'!B21</f>
        <v>9.5977192221126977</v>
      </c>
      <c r="K29" s="96">
        <f>'Ridership-25'!C21/'Revenue Hours-25'!C21</f>
        <v>3.470492023892092</v>
      </c>
      <c r="L29" s="96">
        <f>'Ridership-25'!D21/'Revenue Hours-25'!D21</f>
        <v>4.2679119210326499</v>
      </c>
      <c r="M29" s="96">
        <f>'Ridership-25'!E21/'Revenue Hours-25'!E21</f>
        <v>4.451152820443574</v>
      </c>
      <c r="N29" s="97">
        <f t="shared" si="2"/>
        <v>0.84354045251780463</v>
      </c>
      <c r="O29" s="98">
        <f t="shared" si="3"/>
        <v>2.2413312864684013E-2</v>
      </c>
      <c r="P29" s="99">
        <f t="shared" si="4"/>
        <v>2.1172776304683082E-2</v>
      </c>
      <c r="Q29" s="95">
        <f>'Ridership-25'!B21/'Revenue Miles-25'!B21</f>
        <v>0.37124438856652447</v>
      </c>
      <c r="R29" s="96">
        <f>'Ridership-25'!C21/'Revenue Miles-25'!C21</f>
        <v>0.16305901321605187</v>
      </c>
      <c r="S29" s="96">
        <f>'Ridership-25'!D21/'Revenue Miles-25'!D21</f>
        <v>0.18749795684455406</v>
      </c>
      <c r="T29" s="96">
        <f>'Ridership-25'!E21/'Revenue Miles-25'!E21</f>
        <v>0.20352598918826306</v>
      </c>
      <c r="U29" s="97">
        <f t="shared" si="5"/>
        <v>0.88782342910654022</v>
      </c>
      <c r="V29" s="98">
        <f t="shared" si="6"/>
        <v>2.3589934810792589E-2</v>
      </c>
      <c r="W29" s="99">
        <f t="shared" si="7"/>
        <v>2.2366777292704303E-2</v>
      </c>
      <c r="X29" s="95">
        <f>'Op Cost-25'!B22/'Revenue Hours-25'!B21</f>
        <v>112.24563612250527</v>
      </c>
      <c r="Y29" s="96">
        <f>'Op Cost-25'!C22/'Revenue Hours-25'!C21</f>
        <v>179.69728056645377</v>
      </c>
      <c r="Z29" s="96">
        <f>'Op Cost-25'!D22/'Revenue Hours-25'!D21</f>
        <v>158.41301948873704</v>
      </c>
      <c r="AA29" s="96">
        <f>'Op Cost-25'!E22/'Revenue Hours-25'!E21</f>
        <v>159.2898254734497</v>
      </c>
      <c r="AB29" s="97">
        <f t="shared" si="8"/>
        <v>1.0903539930795201</v>
      </c>
      <c r="AC29" s="98">
        <f t="shared" si="9"/>
        <v>2.4368714550550161E-2</v>
      </c>
      <c r="AD29" s="99">
        <f t="shared" si="10"/>
        <v>2.5995548155497986E-2</v>
      </c>
      <c r="AE29" s="95">
        <f>'Op Cost-25'!B22/'Revenue Miles-25'!B21</f>
        <v>4.3417151082679135</v>
      </c>
      <c r="AF29" s="96">
        <f>'Op Cost-25'!C22/'Revenue Miles-25'!C21</f>
        <v>8.4429703468712045</v>
      </c>
      <c r="AG29" s="96">
        <f>'Op Cost-25'!D22/'Revenue Miles-25'!D21</f>
        <v>6.9594026402794391</v>
      </c>
      <c r="AH29" s="96">
        <f>'Op Cost-25'!E22/'Revenue Miles-25'!E21</f>
        <v>7.2834208585718461</v>
      </c>
      <c r="AI29" s="97">
        <f t="shared" si="11"/>
        <v>1.1782619786185278</v>
      </c>
      <c r="AJ29" s="98">
        <f t="shared" si="12"/>
        <v>2.2550609031414568E-2</v>
      </c>
      <c r="AK29" s="99">
        <f t="shared" si="13"/>
        <v>2.3999509933851852E-2</v>
      </c>
      <c r="AL29" s="95">
        <f>'Op Cost-25'!B22/'Ridership-25'!B21</f>
        <v>11.695032280575219</v>
      </c>
      <c r="AM29" s="96">
        <f>'Op Cost-25'!C22/'Ridership-25'!C21</f>
        <v>51.778617939287642</v>
      </c>
      <c r="AN29" s="96">
        <f>'Op Cost-25'!D22/'Ridership-25'!D21</f>
        <v>37.117218541475417</v>
      </c>
      <c r="AO29" s="96">
        <f>'Op Cost-25'!E22/'Ridership-25'!E21</f>
        <v>35.786195599003463</v>
      </c>
      <c r="AP29" s="97">
        <f t="shared" si="14"/>
        <v>1.3409477845398807</v>
      </c>
      <c r="AQ29" s="98">
        <f t="shared" si="15"/>
        <v>1.9814735161760615E-2</v>
      </c>
      <c r="AR29" s="99">
        <f t="shared" si="16"/>
        <v>2.1513436617991214E-2</v>
      </c>
      <c r="AT29" s="101">
        <f t="shared" si="29"/>
        <v>0</v>
      </c>
      <c r="AU29" s="102">
        <f t="shared" si="17"/>
        <v>0</v>
      </c>
      <c r="AV29" s="102">
        <f t="shared" si="18"/>
        <v>0</v>
      </c>
      <c r="AW29" s="102">
        <f t="shared" si="19"/>
        <v>0</v>
      </c>
      <c r="AX29" s="103">
        <f t="shared" si="20"/>
        <v>0</v>
      </c>
      <c r="AY29" s="293">
        <f t="shared" si="30"/>
        <v>-1</v>
      </c>
      <c r="AZ29" s="105">
        <f t="shared" si="21"/>
        <v>0</v>
      </c>
      <c r="BA29" s="106">
        <f t="shared" si="21"/>
        <v>0</v>
      </c>
      <c r="BB29" s="106">
        <f t="shared" si="21"/>
        <v>0</v>
      </c>
      <c r="BC29" s="106">
        <f t="shared" si="21"/>
        <v>0</v>
      </c>
      <c r="BD29" s="106">
        <f t="shared" si="21"/>
        <v>0</v>
      </c>
      <c r="BE29" s="107">
        <f t="shared" si="31"/>
        <v>3247994.2996729813</v>
      </c>
      <c r="BG29" s="108">
        <f>'Op Cost-25'!E22</f>
        <v>18874570</v>
      </c>
      <c r="BH29" s="109">
        <f t="shared" si="22"/>
        <v>0.17208308849806811</v>
      </c>
      <c r="BI29" s="110">
        <f t="shared" si="23"/>
        <v>3247994.2996729813</v>
      </c>
      <c r="BJ29" s="111">
        <f t="shared" si="24"/>
        <v>0</v>
      </c>
      <c r="BK29" s="1">
        <f t="shared" si="32"/>
        <v>0.32589244685733121</v>
      </c>
      <c r="BL29" s="294">
        <f t="shared" si="33"/>
        <v>0.41579951926058251</v>
      </c>
      <c r="BM29" s="294">
        <f t="shared" si="34"/>
        <v>0.27431826623445621</v>
      </c>
      <c r="BN29" s="295">
        <f t="shared" si="35"/>
        <v>0.30672600096714314</v>
      </c>
      <c r="BO29" s="114">
        <f t="shared" si="25"/>
        <v>3247994.2996729813</v>
      </c>
      <c r="BP29" s="296">
        <f t="shared" si="36"/>
        <v>0.32589244685733121</v>
      </c>
      <c r="BQ29" s="116">
        <f t="shared" si="37"/>
        <v>8.6591334770594192E-3</v>
      </c>
      <c r="BR29" s="297">
        <f t="shared" si="38"/>
        <v>8.6591334770594192E-3</v>
      </c>
      <c r="BS29" s="117">
        <f t="shared" si="39"/>
        <v>9.7720877360210987E-3</v>
      </c>
      <c r="BT29" s="298">
        <f t="shared" si="40"/>
        <v>3331981.6266818191</v>
      </c>
      <c r="BU29" s="119">
        <f t="shared" si="41"/>
        <v>5662371</v>
      </c>
      <c r="BV29" s="119">
        <f t="shared" si="42"/>
        <v>3331981.6266818191</v>
      </c>
      <c r="BW29" s="119">
        <f t="shared" si="43"/>
        <v>0</v>
      </c>
      <c r="BX29" s="120">
        <f t="shared" si="44"/>
        <v>8.6591334770594192E-3</v>
      </c>
      <c r="BY29" s="121">
        <f t="shared" si="45"/>
        <v>1.7431021779280721E-2</v>
      </c>
      <c r="BZ29" s="299">
        <f t="shared" si="46"/>
        <v>3347570.432322117</v>
      </c>
      <c r="CA29" s="109">
        <f t="shared" si="26"/>
        <v>2.9500587717227501E-2</v>
      </c>
      <c r="CB29" s="123">
        <f t="shared" si="57"/>
        <v>253546.17912676733</v>
      </c>
      <c r="CC29" s="111">
        <f t="shared" si="56"/>
        <v>3501540</v>
      </c>
      <c r="CE29" s="124">
        <f t="shared" si="28"/>
        <v>0</v>
      </c>
      <c r="CF29" s="17"/>
      <c r="CG29" s="108">
        <f t="shared" si="47"/>
        <v>18874570</v>
      </c>
      <c r="CH29" s="125">
        <f t="shared" si="48"/>
        <v>0.18551627931126377</v>
      </c>
      <c r="CI29" s="110">
        <f t="shared" si="49"/>
        <v>3331981.6266818191</v>
      </c>
      <c r="CJ29" s="300">
        <f t="shared" si="50"/>
        <v>0</v>
      </c>
      <c r="CL29" s="127">
        <f t="shared" si="51"/>
        <v>3331981.6266818191</v>
      </c>
      <c r="CM29" s="128">
        <f t="shared" si="52"/>
        <v>3.8791051627446976E-2</v>
      </c>
      <c r="CN29" s="129">
        <f t="shared" si="53"/>
        <v>34691.377938717</v>
      </c>
      <c r="CO29" s="130">
        <f t="shared" si="55"/>
        <v>3366673</v>
      </c>
      <c r="CQ29" s="131">
        <f t="shared" si="54"/>
        <v>0.1773587653823169</v>
      </c>
      <c r="CR29" s="301"/>
    </row>
    <row r="30" spans="1:96">
      <c r="A30" s="133" t="s">
        <v>104</v>
      </c>
      <c r="B30" s="90" t="s">
        <v>106</v>
      </c>
      <c r="C30" s="91">
        <f>'Sizing - Reimb Exp-25'!B23</f>
        <v>23750125</v>
      </c>
      <c r="D30" s="92">
        <f>'Ridership-25'!$E22</f>
        <v>2106063</v>
      </c>
      <c r="E30" s="92">
        <f>'Revenue Hours-25'!$E22</f>
        <v>216250</v>
      </c>
      <c r="F30" s="92">
        <f>'Revenue Miles-25'!$E22</f>
        <v>2205880</v>
      </c>
      <c r="G30" s="134">
        <f t="shared" si="0"/>
        <v>4.384667664976441E-2</v>
      </c>
      <c r="H30" s="94">
        <f t="shared" si="1"/>
        <v>4.3846676649764417E-2</v>
      </c>
      <c r="J30" s="95">
        <f>'Ridership-25'!B22/'Revenue Hours-25'!B22</f>
        <v>12.903471027599291</v>
      </c>
      <c r="K30" s="96">
        <f>'Ridership-25'!C22/'Revenue Hours-25'!C22</f>
        <v>7.8216167510040826</v>
      </c>
      <c r="L30" s="96">
        <f>'Ridership-25'!D22/'Revenue Hours-25'!D22</f>
        <v>8.8817225863249529</v>
      </c>
      <c r="M30" s="96">
        <f>'Ridership-25'!E22/'Revenue Hours-25'!E22</f>
        <v>9.7390196531791915</v>
      </c>
      <c r="N30" s="97">
        <f t="shared" si="2"/>
        <v>0.99278724982653765</v>
      </c>
      <c r="O30" s="98">
        <f t="shared" si="3"/>
        <v>4.353042152515308E-2</v>
      </c>
      <c r="P30" s="99">
        <f t="shared" si="4"/>
        <v>4.1121090976821165E-2</v>
      </c>
      <c r="Q30" s="95">
        <f>'Ridership-25'!B22/'Revenue Miles-25'!B22</f>
        <v>1.2587048387152435</v>
      </c>
      <c r="R30" s="96">
        <f>'Ridership-25'!C22/'Revenue Miles-25'!C22</f>
        <v>0.78433143162528551</v>
      </c>
      <c r="S30" s="96">
        <f>'Ridership-25'!D22/'Revenue Miles-25'!D22</f>
        <v>0.87157122671755427</v>
      </c>
      <c r="T30" s="96">
        <f>'Ridership-25'!E22/'Revenue Miles-25'!E22</f>
        <v>0.95474957839955032</v>
      </c>
      <c r="U30" s="97">
        <f t="shared" si="5"/>
        <v>0.99791433128261009</v>
      </c>
      <c r="V30" s="98">
        <f t="shared" si="6"/>
        <v>4.3755227007914496E-2</v>
      </c>
      <c r="W30" s="99">
        <f t="shared" si="7"/>
        <v>4.1486482507361457E-2</v>
      </c>
      <c r="X30" s="95">
        <f>'Op Cost-25'!B23/'Revenue Hours-25'!B22</f>
        <v>70.784446046283321</v>
      </c>
      <c r="Y30" s="96">
        <f>'Op Cost-25'!C23/'Revenue Hours-25'!C22</f>
        <v>115.12446224595757</v>
      </c>
      <c r="Z30" s="96">
        <f>'Op Cost-25'!D23/'Revenue Hours-25'!D22</f>
        <v>128.33355179497212</v>
      </c>
      <c r="AA30" s="96">
        <f>'Op Cost-25'!E23/'Revenue Hours-25'!E22</f>
        <v>109.8271676300578</v>
      </c>
      <c r="AB30" s="97">
        <f t="shared" si="8"/>
        <v>1.1212511733586463</v>
      </c>
      <c r="AC30" s="98">
        <f t="shared" si="9"/>
        <v>3.9105133347084133E-2</v>
      </c>
      <c r="AD30" s="99">
        <f t="shared" si="10"/>
        <v>4.1715757100874461E-2</v>
      </c>
      <c r="AE30" s="95">
        <f>'Op Cost-25'!B23/'Revenue Miles-25'!B22</f>
        <v>6.9048649432129956</v>
      </c>
      <c r="AF30" s="96">
        <f>'Op Cost-25'!C23/'Revenue Miles-25'!C22</f>
        <v>11.544382339734495</v>
      </c>
      <c r="AG30" s="96">
        <f>'Op Cost-25'!D23/'Revenue Miles-25'!D22</f>
        <v>12.593483986899244</v>
      </c>
      <c r="AH30" s="96">
        <f>'Op Cost-25'!E23/'Revenue Miles-25'!E22</f>
        <v>10.766734817850473</v>
      </c>
      <c r="AI30" s="97">
        <f t="shared" si="11"/>
        <v>1.1272229978943926</v>
      </c>
      <c r="AJ30" s="98">
        <f t="shared" si="12"/>
        <v>3.8897961389776692E-2</v>
      </c>
      <c r="AK30" s="99">
        <f t="shared" si="13"/>
        <v>4.1397197276581595E-2</v>
      </c>
      <c r="AL30" s="95">
        <f>'Op Cost-25'!B23/'Ridership-25'!B22</f>
        <v>5.485690315023156</v>
      </c>
      <c r="AM30" s="96">
        <f>'Op Cost-25'!C23/'Ridership-25'!C22</f>
        <v>14.718755202519828</v>
      </c>
      <c r="AN30" s="96">
        <f>'Op Cost-25'!D23/'Ridership-25'!D22</f>
        <v>14.449173631313958</v>
      </c>
      <c r="AO30" s="96">
        <f>'Op Cost-25'!E23/'Ridership-25'!E22</f>
        <v>11.277024951295379</v>
      </c>
      <c r="AP30" s="97">
        <f t="shared" si="14"/>
        <v>1.1311670338589401</v>
      </c>
      <c r="AQ30" s="98">
        <f t="shared" si="15"/>
        <v>3.8762336009901983E-2</v>
      </c>
      <c r="AR30" s="99">
        <f t="shared" si="16"/>
        <v>4.20854001886245E-2</v>
      </c>
      <c r="AT30" s="101">
        <f t="shared" si="29"/>
        <v>0</v>
      </c>
      <c r="AU30" s="102">
        <f t="shared" si="17"/>
        <v>0</v>
      </c>
      <c r="AV30" s="102">
        <f t="shared" si="18"/>
        <v>0</v>
      </c>
      <c r="AW30" s="102">
        <f t="shared" si="19"/>
        <v>0</v>
      </c>
      <c r="AX30" s="103">
        <f t="shared" si="20"/>
        <v>0</v>
      </c>
      <c r="AY30" s="293">
        <f t="shared" si="30"/>
        <v>-1</v>
      </c>
      <c r="AZ30" s="105">
        <f t="shared" si="21"/>
        <v>0</v>
      </c>
      <c r="BA30" s="106">
        <f t="shared" si="21"/>
        <v>0</v>
      </c>
      <c r="BB30" s="106">
        <f t="shared" si="21"/>
        <v>0</v>
      </c>
      <c r="BC30" s="106">
        <f t="shared" si="21"/>
        <v>0</v>
      </c>
      <c r="BD30" s="106">
        <f t="shared" si="21"/>
        <v>0</v>
      </c>
      <c r="BE30" s="107">
        <f t="shared" si="31"/>
        <v>5359839.6967365313</v>
      </c>
      <c r="BG30" s="108">
        <f>'Op Cost-25'!E23</f>
        <v>23750125</v>
      </c>
      <c r="BH30" s="109">
        <f t="shared" si="22"/>
        <v>0.2256762731453637</v>
      </c>
      <c r="BI30" s="110">
        <f t="shared" si="23"/>
        <v>5359839.6967365313</v>
      </c>
      <c r="BJ30" s="111">
        <f t="shared" si="24"/>
        <v>0</v>
      </c>
      <c r="BK30" s="1">
        <f t="shared" si="32"/>
        <v>1.035827629194235</v>
      </c>
      <c r="BL30" s="294">
        <f t="shared" si="33"/>
        <v>0.90975975285830046</v>
      </c>
      <c r="BM30" s="294">
        <f t="shared" si="34"/>
        <v>1.2868393372228168</v>
      </c>
      <c r="BN30" s="295">
        <f t="shared" si="35"/>
        <v>0.97335571334791149</v>
      </c>
      <c r="BO30" s="114">
        <f t="shared" si="25"/>
        <v>5359839.6967365313</v>
      </c>
      <c r="BP30" s="296">
        <f t="shared" si="36"/>
        <v>1.035827629194235</v>
      </c>
      <c r="BQ30" s="116">
        <f t="shared" si="37"/>
        <v>4.5417599122171699E-2</v>
      </c>
      <c r="BR30" s="297">
        <f t="shared" si="38"/>
        <v>4.5417599122171699E-2</v>
      </c>
      <c r="BS30" s="302">
        <f t="shared" si="39"/>
        <v>5.1255101282029945E-2</v>
      </c>
      <c r="BT30" s="298">
        <f t="shared" si="40"/>
        <v>5800357.5337159336</v>
      </c>
      <c r="BU30" s="119">
        <f t="shared" si="41"/>
        <v>7125037.5</v>
      </c>
      <c r="BV30" s="119">
        <f t="shared" si="42"/>
        <v>5800357.5337159336</v>
      </c>
      <c r="BW30" s="119">
        <f t="shared" si="43"/>
        <v>0</v>
      </c>
      <c r="BX30" s="120">
        <f t="shared" si="44"/>
        <v>4.5417599122171699E-2</v>
      </c>
      <c r="BY30" s="121">
        <f t="shared" si="45"/>
        <v>9.1426603084314995E-2</v>
      </c>
      <c r="BZ30" s="299">
        <f t="shared" si="46"/>
        <v>5882121.6186835831</v>
      </c>
      <c r="CA30" s="109">
        <f t="shared" si="26"/>
        <v>4.8681865340642373E-2</v>
      </c>
      <c r="CB30" s="123">
        <f t="shared" si="57"/>
        <v>418401.86603047431</v>
      </c>
      <c r="CC30" s="111">
        <f t="shared" si="56"/>
        <v>5778242</v>
      </c>
      <c r="CE30" s="124">
        <f t="shared" si="28"/>
        <v>0</v>
      </c>
      <c r="CF30" s="17"/>
      <c r="CG30" s="108">
        <f t="shared" si="47"/>
        <v>23750125</v>
      </c>
      <c r="CH30" s="125">
        <f t="shared" si="48"/>
        <v>0.24329311950989732</v>
      </c>
      <c r="CI30" s="110">
        <f t="shared" si="49"/>
        <v>5800357.5337159336</v>
      </c>
      <c r="CJ30" s="300">
        <f t="shared" si="50"/>
        <v>0</v>
      </c>
      <c r="CL30" s="127">
        <f t="shared" si="51"/>
        <v>5800357.5337159336</v>
      </c>
      <c r="CM30" s="128">
        <f t="shared" si="52"/>
        <v>6.7527973967880434E-2</v>
      </c>
      <c r="CN30" s="129">
        <f t="shared" si="53"/>
        <v>60391.207973800505</v>
      </c>
      <c r="CO30" s="130">
        <f t="shared" si="55"/>
        <v>5860749</v>
      </c>
      <c r="CQ30" s="131">
        <f t="shared" si="54"/>
        <v>0.24766697517101838</v>
      </c>
      <c r="CR30" s="301"/>
    </row>
    <row r="31" spans="1:96">
      <c r="A31" s="133" t="s">
        <v>104</v>
      </c>
      <c r="B31" s="90" t="s">
        <v>107</v>
      </c>
      <c r="C31" s="91">
        <f>'Sizing - Reimb Exp-25'!B24</f>
        <v>31898625</v>
      </c>
      <c r="D31" s="92">
        <f>'Ridership-25'!$E23</f>
        <v>4580046</v>
      </c>
      <c r="E31" s="92">
        <f>'Revenue Hours-25'!$E23</f>
        <v>310607</v>
      </c>
      <c r="F31" s="92">
        <f>'Revenue Miles-25'!$E23</f>
        <v>3036654</v>
      </c>
      <c r="G31" s="134">
        <f t="shared" si="0"/>
        <v>7.2685784455415361E-2</v>
      </c>
      <c r="H31" s="94">
        <f t="shared" si="1"/>
        <v>7.2685784455415375E-2</v>
      </c>
      <c r="J31" s="95">
        <f>'Ridership-25'!B23/'Revenue Hours-25'!B23</f>
        <v>15.892603773584906</v>
      </c>
      <c r="K31" s="96">
        <f>'Ridership-25'!C23/'Revenue Hours-25'!C23</f>
        <v>7.2218469159098948</v>
      </c>
      <c r="L31" s="96">
        <f>'Ridership-25'!D23/'Revenue Hours-25'!D23</f>
        <v>11.021126607734487</v>
      </c>
      <c r="M31" s="96">
        <f>'Ridership-25'!E23/'Revenue Hours-25'!E23</f>
        <v>14.745469355165852</v>
      </c>
      <c r="N31" s="97">
        <f t="shared" si="2"/>
        <v>1.0626677883283782</v>
      </c>
      <c r="O31" s="98">
        <f t="shared" si="3"/>
        <v>7.7240841810149466E-2</v>
      </c>
      <c r="P31" s="99">
        <f t="shared" si="4"/>
        <v>7.2965700122294835E-2</v>
      </c>
      <c r="Q31" s="95">
        <f>'Ridership-25'!B23/'Revenue Miles-25'!B23</f>
        <v>1.6926824335930128</v>
      </c>
      <c r="R31" s="96">
        <f>'Ridership-25'!C23/'Revenue Miles-25'!C23</f>
        <v>0.80452628182287345</v>
      </c>
      <c r="S31" s="96">
        <f>'Ridership-25'!D23/'Revenue Miles-25'!D23</f>
        <v>1.2173072182855937</v>
      </c>
      <c r="T31" s="96">
        <f>'Ridership-25'!E23/'Revenue Miles-25'!E23</f>
        <v>1.5082541507857004</v>
      </c>
      <c r="U31" s="97">
        <f t="shared" si="5"/>
        <v>1.0498988916910428</v>
      </c>
      <c r="V31" s="98">
        <f t="shared" si="6"/>
        <v>7.6312724541434632E-2</v>
      </c>
      <c r="W31" s="99">
        <f t="shared" si="7"/>
        <v>7.2355847021537828E-2</v>
      </c>
      <c r="X31" s="95">
        <f>'Op Cost-25'!B24/'Revenue Hours-25'!B23</f>
        <v>83.128810327706063</v>
      </c>
      <c r="Y31" s="96">
        <f>'Op Cost-25'!C24/'Revenue Hours-25'!C23</f>
        <v>113.69054841372804</v>
      </c>
      <c r="Z31" s="96">
        <f>'Op Cost-25'!D24/'Revenue Hours-25'!D23</f>
        <v>98.632543150219192</v>
      </c>
      <c r="AA31" s="96">
        <f>'Op Cost-25'!E24/'Revenue Hours-25'!E23</f>
        <v>103.11566062580688</v>
      </c>
      <c r="AB31" s="97">
        <f t="shared" si="8"/>
        <v>1.0363020583866838</v>
      </c>
      <c r="AC31" s="98">
        <f t="shared" si="9"/>
        <v>7.0139573560794324E-2</v>
      </c>
      <c r="AD31" s="99">
        <f t="shared" si="10"/>
        <v>7.4822028807611352E-2</v>
      </c>
      <c r="AE31" s="95">
        <f>'Op Cost-25'!B24/'Revenue Miles-25'!B23</f>
        <v>8.8538466680374093</v>
      </c>
      <c r="AF31" s="96">
        <f>'Op Cost-25'!C24/'Revenue Miles-25'!C23</f>
        <v>12.665324432756394</v>
      </c>
      <c r="AG31" s="96">
        <f>'Op Cost-25'!D24/'Revenue Miles-25'!D23</f>
        <v>10.894177247756708</v>
      </c>
      <c r="AH31" s="96">
        <f>'Op Cost-25'!E24/'Revenue Miles-25'!E23</f>
        <v>10.547281975490128</v>
      </c>
      <c r="AI31" s="97">
        <f t="shared" si="11"/>
        <v>1.0241555778199913</v>
      </c>
      <c r="AJ31" s="98">
        <f t="shared" si="12"/>
        <v>7.0971428589134578E-2</v>
      </c>
      <c r="AK31" s="99">
        <f t="shared" si="13"/>
        <v>7.5531419265519872E-2</v>
      </c>
      <c r="AL31" s="95">
        <f>'Op Cost-25'!B24/'Ridership-25'!B23</f>
        <v>5.2306602185523836</v>
      </c>
      <c r="AM31" s="96">
        <f>'Op Cost-25'!C24/'Ridership-25'!C23</f>
        <v>15.742586313102974</v>
      </c>
      <c r="AN31" s="96">
        <f>'Op Cost-25'!D24/'Ridership-25'!D23</f>
        <v>8.9494065952386492</v>
      </c>
      <c r="AO31" s="96">
        <f>'Op Cost-25'!E24/'Ridership-25'!E23</f>
        <v>6.9930402445739626</v>
      </c>
      <c r="AP31" s="97">
        <f t="shared" si="14"/>
        <v>1.0002872892817887</v>
      </c>
      <c r="AQ31" s="98">
        <f t="shared" si="15"/>
        <v>7.2664908606010714E-2</v>
      </c>
      <c r="AR31" s="99">
        <f t="shared" si="16"/>
        <v>7.8894413318448459E-2</v>
      </c>
      <c r="AT31" s="101">
        <f t="shared" si="29"/>
        <v>0</v>
      </c>
      <c r="AU31" s="102">
        <f t="shared" si="17"/>
        <v>0</v>
      </c>
      <c r="AV31" s="102">
        <f t="shared" si="18"/>
        <v>0</v>
      </c>
      <c r="AW31" s="102">
        <f t="shared" si="19"/>
        <v>0</v>
      </c>
      <c r="AX31" s="103">
        <f t="shared" si="20"/>
        <v>0</v>
      </c>
      <c r="AY31" s="293">
        <f t="shared" si="30"/>
        <v>-1</v>
      </c>
      <c r="AZ31" s="105">
        <f t="shared" si="21"/>
        <v>0</v>
      </c>
      <c r="BA31" s="106">
        <f t="shared" si="21"/>
        <v>0</v>
      </c>
      <c r="BB31" s="106">
        <f t="shared" si="21"/>
        <v>0</v>
      </c>
      <c r="BC31" s="106">
        <f t="shared" si="21"/>
        <v>0</v>
      </c>
      <c r="BD31" s="106">
        <f t="shared" si="21"/>
        <v>0</v>
      </c>
      <c r="BE31" s="107">
        <f t="shared" si="31"/>
        <v>8885146.667430805</v>
      </c>
      <c r="BG31" s="108">
        <f>'Op Cost-25'!E24</f>
        <v>32028446</v>
      </c>
      <c r="BH31" s="109">
        <f t="shared" si="22"/>
        <v>0.27741422944562483</v>
      </c>
      <c r="BI31" s="110">
        <f t="shared" si="23"/>
        <v>8885146.667430805</v>
      </c>
      <c r="BJ31" s="111">
        <f t="shared" si="24"/>
        <v>0</v>
      </c>
      <c r="BK31" s="1">
        <f t="shared" si="32"/>
        <v>1.6373952360856938</v>
      </c>
      <c r="BL31" s="294">
        <f t="shared" si="33"/>
        <v>1.3774317163387395</v>
      </c>
      <c r="BM31" s="294">
        <f t="shared" si="34"/>
        <v>2.0328689487500351</v>
      </c>
      <c r="BN31" s="295">
        <f t="shared" si="35"/>
        <v>1.5696401396270006</v>
      </c>
      <c r="BO31" s="114">
        <f t="shared" si="25"/>
        <v>8885146.667430805</v>
      </c>
      <c r="BP31" s="296">
        <f t="shared" si="36"/>
        <v>1.6373952360856938</v>
      </c>
      <c r="BQ31" s="116">
        <f t="shared" si="37"/>
        <v>0.11901535719844872</v>
      </c>
      <c r="BR31" s="297">
        <f t="shared" si="38"/>
        <v>0.11901535719844872</v>
      </c>
      <c r="BS31" s="302">
        <f t="shared" si="39"/>
        <v>0.13431234378801693</v>
      </c>
      <c r="BT31" s="298">
        <f t="shared" si="40"/>
        <v>10039509.485671395</v>
      </c>
      <c r="BU31" s="119">
        <f t="shared" si="41"/>
        <v>9608533.7999999989</v>
      </c>
      <c r="BV31" s="119">
        <f t="shared" si="42"/>
        <v>9608533.7999999989</v>
      </c>
      <c r="BW31" s="119">
        <f t="shared" si="43"/>
        <v>430975.68567139655</v>
      </c>
      <c r="BX31" s="120">
        <f t="shared" si="44"/>
        <v>0</v>
      </c>
      <c r="BY31" s="121">
        <f t="shared" si="45"/>
        <v>0</v>
      </c>
      <c r="BZ31" s="299">
        <f t="shared" si="46"/>
        <v>9608533.7999999989</v>
      </c>
      <c r="CA31" s="109">
        <f t="shared" si="26"/>
        <v>8.0701203407088765E-2</v>
      </c>
      <c r="CB31" s="123">
        <f t="shared" si="57"/>
        <v>693595.73344535416</v>
      </c>
      <c r="CC31" s="111">
        <f t="shared" si="56"/>
        <v>9578742</v>
      </c>
      <c r="CE31" s="124">
        <f t="shared" si="28"/>
        <v>0</v>
      </c>
      <c r="CF31" s="17"/>
      <c r="CG31" s="108">
        <f t="shared" si="47"/>
        <v>32028446</v>
      </c>
      <c r="CH31" s="125">
        <f t="shared" si="48"/>
        <v>0.29906983311022955</v>
      </c>
      <c r="CI31" s="110">
        <f t="shared" si="49"/>
        <v>9608533.7999999989</v>
      </c>
      <c r="CJ31" s="300">
        <f t="shared" si="50"/>
        <v>430975.68567139655</v>
      </c>
      <c r="CL31" s="127">
        <f t="shared" si="51"/>
        <v>0</v>
      </c>
      <c r="CM31" s="128">
        <f t="shared" si="52"/>
        <v>0</v>
      </c>
      <c r="CN31" s="129">
        <f t="shared" si="53"/>
        <v>0</v>
      </c>
      <c r="CO31" s="130">
        <f t="shared" si="55"/>
        <v>9608534</v>
      </c>
      <c r="CQ31" s="131">
        <f t="shared" si="54"/>
        <v>0.3</v>
      </c>
      <c r="CR31" s="301"/>
    </row>
    <row r="32" spans="1:96">
      <c r="A32" s="133" t="s">
        <v>104</v>
      </c>
      <c r="B32" s="90" t="s">
        <v>108</v>
      </c>
      <c r="C32" s="91">
        <f>'Sizing - Reimb Exp-25'!B25</f>
        <v>5328325</v>
      </c>
      <c r="D32" s="92">
        <f>'Ridership-25'!$E24</f>
        <v>847511</v>
      </c>
      <c r="E32" s="92">
        <f>'Revenue Hours-25'!$E24</f>
        <v>34638</v>
      </c>
      <c r="F32" s="92">
        <f>'Revenue Miles-25'!$E24</f>
        <v>439291</v>
      </c>
      <c r="G32" s="134">
        <f t="shared" si="0"/>
        <v>1.2012856017456658E-2</v>
      </c>
      <c r="H32" s="94">
        <f t="shared" si="1"/>
        <v>1.201285601745666E-2</v>
      </c>
      <c r="J32" s="95">
        <f>'Ridership-25'!B24/'Revenue Hours-25'!B24</f>
        <v>17.559390774078722</v>
      </c>
      <c r="K32" s="96">
        <f>'Ridership-25'!C24/'Revenue Hours-25'!C24</f>
        <v>9.5356184364060681</v>
      </c>
      <c r="L32" s="96">
        <f>'Ridership-25'!D24/'Revenue Hours-25'!D24</f>
        <v>13.465131541402728</v>
      </c>
      <c r="M32" s="96">
        <f>'Ridership-25'!E24/'Revenue Hours-25'!E24</f>
        <v>24.467665569605636</v>
      </c>
      <c r="N32" s="97">
        <f t="shared" si="2"/>
        <v>1.2242812771624043</v>
      </c>
      <c r="O32" s="98">
        <f t="shared" si="3"/>
        <v>1.4707114707419913E-2</v>
      </c>
      <c r="P32" s="99">
        <f t="shared" si="4"/>
        <v>1.3893102356955227E-2</v>
      </c>
      <c r="Q32" s="95">
        <f>'Ridership-25'!B24/'Revenue Miles-25'!B24</f>
        <v>1.3807895890071515</v>
      </c>
      <c r="R32" s="96">
        <f>'Ridership-25'!C24/'Revenue Miles-25'!C24</f>
        <v>0.74451206457520036</v>
      </c>
      <c r="S32" s="96">
        <f>'Ridership-25'!D24/'Revenue Miles-25'!D24</f>
        <v>1.0865963144527517</v>
      </c>
      <c r="T32" s="96">
        <f>'Ridership-25'!E24/'Revenue Miles-25'!E24</f>
        <v>1.9292701193514095</v>
      </c>
      <c r="U32" s="97">
        <f t="shared" si="5"/>
        <v>1.2259407232504442</v>
      </c>
      <c r="V32" s="98">
        <f t="shared" si="6"/>
        <v>1.4727049394344268E-2</v>
      </c>
      <c r="W32" s="99">
        <f t="shared" si="7"/>
        <v>1.3963439773104092E-2</v>
      </c>
      <c r="X32" s="95">
        <f>'Op Cost-25'!B25/'Revenue Hours-25'!B24</f>
        <v>115.9866367111137</v>
      </c>
      <c r="Y32" s="96">
        <f>'Op Cost-25'!C25/'Revenue Hours-25'!C24</f>
        <v>133.20037922987166</v>
      </c>
      <c r="Z32" s="96">
        <f>'Op Cost-25'!D25/'Revenue Hours-25'!D24</f>
        <v>152.54685270786965</v>
      </c>
      <c r="AA32" s="96">
        <f>'Op Cost-25'!E25/'Revenue Hours-25'!E24</f>
        <v>153.82888734915412</v>
      </c>
      <c r="AB32" s="97">
        <f t="shared" si="8"/>
        <v>1.0555488667259996</v>
      </c>
      <c r="AC32" s="98">
        <f t="shared" si="9"/>
        <v>1.138067255447584E-2</v>
      </c>
      <c r="AD32" s="99">
        <f t="shared" si="10"/>
        <v>1.2140436083246409E-2</v>
      </c>
      <c r="AE32" s="95">
        <f>'Op Cost-25'!B25/'Revenue Miles-25'!B24</f>
        <v>9.1206547251673182</v>
      </c>
      <c r="AF32" s="96">
        <f>'Op Cost-25'!C25/'Revenue Miles-25'!C24</f>
        <v>10.399880196968939</v>
      </c>
      <c r="AG32" s="96">
        <f>'Op Cost-25'!D25/'Revenue Miles-25'!D24</f>
        <v>12.310080107577638</v>
      </c>
      <c r="AH32" s="96">
        <f>'Op Cost-25'!E25/'Revenue Miles-25'!E24</f>
        <v>12.129374378259513</v>
      </c>
      <c r="AI32" s="97">
        <f t="shared" si="11"/>
        <v>1.0624696456281881</v>
      </c>
      <c r="AJ32" s="98">
        <f t="shared" si="12"/>
        <v>1.1306540442719214E-2</v>
      </c>
      <c r="AK32" s="99">
        <f t="shared" si="13"/>
        <v>1.2032997835868914E-2</v>
      </c>
      <c r="AL32" s="95">
        <f>'Op Cost-25'!B25/'Ridership-25'!B24</f>
        <v>6.6053907110680559</v>
      </c>
      <c r="AM32" s="96">
        <f>'Op Cost-25'!C25/'Ridership-25'!C24</f>
        <v>13.968719503427852</v>
      </c>
      <c r="AN32" s="96">
        <f>'Op Cost-25'!D25/'Ridership-25'!D24</f>
        <v>11.329028033541075</v>
      </c>
      <c r="AO32" s="96">
        <f>'Op Cost-25'!E25/'Ridership-25'!E24</f>
        <v>6.2870275430053413</v>
      </c>
      <c r="AP32" s="100">
        <f t="shared" si="14"/>
        <v>0.88176517012639621</v>
      </c>
      <c r="AQ32" s="98">
        <f t="shared" si="15"/>
        <v>1.362364541540542E-2</v>
      </c>
      <c r="AR32" s="99">
        <f t="shared" si="16"/>
        <v>1.4791589680993183E-2</v>
      </c>
      <c r="AT32" s="101">
        <f t="shared" si="29"/>
        <v>0</v>
      </c>
      <c r="AU32" s="102">
        <f t="shared" si="17"/>
        <v>0</v>
      </c>
      <c r="AV32" s="102">
        <f t="shared" si="18"/>
        <v>0</v>
      </c>
      <c r="AW32" s="102">
        <f t="shared" si="19"/>
        <v>0</v>
      </c>
      <c r="AX32" s="103">
        <f t="shared" si="20"/>
        <v>0</v>
      </c>
      <c r="AY32" s="293">
        <f t="shared" si="30"/>
        <v>-1</v>
      </c>
      <c r="AZ32" s="105">
        <f t="shared" si="21"/>
        <v>0</v>
      </c>
      <c r="BA32" s="106">
        <f t="shared" si="21"/>
        <v>0</v>
      </c>
      <c r="BB32" s="106">
        <f t="shared" si="21"/>
        <v>0</v>
      </c>
      <c r="BC32" s="106">
        <f t="shared" si="21"/>
        <v>0</v>
      </c>
      <c r="BD32" s="106">
        <f t="shared" si="21"/>
        <v>0</v>
      </c>
      <c r="BE32" s="107">
        <f t="shared" si="31"/>
        <v>1468457.531407696</v>
      </c>
      <c r="BG32" s="108">
        <f>'Op Cost-25'!E25</f>
        <v>5328325</v>
      </c>
      <c r="BH32" s="109">
        <f t="shared" si="22"/>
        <v>0.27559458768143758</v>
      </c>
      <c r="BI32" s="110">
        <f t="shared" si="23"/>
        <v>1468457.531407696</v>
      </c>
      <c r="BJ32" s="111">
        <f t="shared" si="24"/>
        <v>0</v>
      </c>
      <c r="BK32" s="1">
        <f t="shared" si="32"/>
        <v>2.0944394258825003</v>
      </c>
      <c r="BL32" s="294">
        <f t="shared" si="33"/>
        <v>2.2856199262681995</v>
      </c>
      <c r="BM32" s="294">
        <f t="shared" si="34"/>
        <v>2.6003265546046581</v>
      </c>
      <c r="BN32" s="295">
        <f t="shared" si="35"/>
        <v>1.7459056113285718</v>
      </c>
      <c r="BO32" s="114">
        <f t="shared" si="25"/>
        <v>1468457.531407696</v>
      </c>
      <c r="BP32" s="296">
        <f t="shared" si="36"/>
        <v>2.0944394258825003</v>
      </c>
      <c r="BQ32" s="116">
        <f t="shared" si="37"/>
        <v>2.5160199260411065E-2</v>
      </c>
      <c r="BR32" s="297">
        <f t="shared" si="38"/>
        <v>2.5160199260411065E-2</v>
      </c>
      <c r="BS32" s="117">
        <f t="shared" si="39"/>
        <v>2.8394027564061182E-2</v>
      </c>
      <c r="BT32" s="298">
        <f t="shared" si="40"/>
        <v>1712493.25259042</v>
      </c>
      <c r="BU32" s="119">
        <f t="shared" si="41"/>
        <v>1598497.5</v>
      </c>
      <c r="BV32" s="119">
        <f t="shared" si="42"/>
        <v>1598497.5</v>
      </c>
      <c r="BW32" s="119">
        <f t="shared" si="43"/>
        <v>113995.75259041996</v>
      </c>
      <c r="BX32" s="120">
        <f t="shared" si="44"/>
        <v>0</v>
      </c>
      <c r="BY32" s="121">
        <f t="shared" si="45"/>
        <v>0</v>
      </c>
      <c r="BZ32" s="299">
        <f t="shared" si="46"/>
        <v>1598497.5</v>
      </c>
      <c r="CA32" s="109">
        <f t="shared" si="26"/>
        <v>1.3337572734865246E-2</v>
      </c>
      <c r="CB32" s="123">
        <f t="shared" si="57"/>
        <v>114631.29610043738</v>
      </c>
      <c r="CC32" s="111">
        <f t="shared" si="56"/>
        <v>1583089</v>
      </c>
      <c r="CE32" s="124">
        <f t="shared" si="28"/>
        <v>0</v>
      </c>
      <c r="CF32" s="17"/>
      <c r="CG32" s="108">
        <f t="shared" si="47"/>
        <v>5328325</v>
      </c>
      <c r="CH32" s="125">
        <f t="shared" si="48"/>
        <v>0.29710819066029193</v>
      </c>
      <c r="CI32" s="110">
        <f t="shared" si="49"/>
        <v>1598497.5</v>
      </c>
      <c r="CJ32" s="300">
        <f t="shared" si="50"/>
        <v>113995.75259041996</v>
      </c>
      <c r="CL32" s="127">
        <f t="shared" si="51"/>
        <v>0</v>
      </c>
      <c r="CM32" s="128">
        <f t="shared" si="52"/>
        <v>0</v>
      </c>
      <c r="CN32" s="129">
        <f t="shared" si="53"/>
        <v>0</v>
      </c>
      <c r="CO32" s="130">
        <f t="shared" si="55"/>
        <v>1598498</v>
      </c>
      <c r="CQ32" s="131">
        <f t="shared" si="54"/>
        <v>0.3</v>
      </c>
      <c r="CR32" s="301"/>
    </row>
    <row r="33" spans="1:96">
      <c r="A33" s="133" t="s">
        <v>104</v>
      </c>
      <c r="B33" s="90" t="s">
        <v>109</v>
      </c>
      <c r="C33" s="91">
        <f>'Sizing - Reimb Exp-25'!B26</f>
        <v>108069575</v>
      </c>
      <c r="D33" s="92">
        <f>'Ridership-25'!$E25</f>
        <v>8365287</v>
      </c>
      <c r="E33" s="92">
        <f>'Revenue Hours-25'!$E25</f>
        <v>848788</v>
      </c>
      <c r="F33" s="92">
        <f>'Revenue Miles-25'!$E25</f>
        <v>11068404</v>
      </c>
      <c r="G33" s="134">
        <f t="shared" si="0"/>
        <v>0.18842659681657439</v>
      </c>
      <c r="H33" s="94">
        <f t="shared" si="1"/>
        <v>0.18842659681657442</v>
      </c>
      <c r="J33" s="95">
        <f>'Ridership-25'!B25/'Revenue Hours-25'!B25</f>
        <v>10.935817531005453</v>
      </c>
      <c r="K33" s="96">
        <f>'Ridership-25'!C25/'Revenue Hours-25'!C25</f>
        <v>5.8735316212753474</v>
      </c>
      <c r="L33" s="96">
        <f>'Ridership-25'!D25/'Revenue Hours-25'!D25</f>
        <v>6.1587343955565519</v>
      </c>
      <c r="M33" s="96">
        <f>'Ridership-25'!E25/'Revenue Hours-25'!E25</f>
        <v>9.8555669967058908</v>
      </c>
      <c r="N33" s="97">
        <f t="shared" si="2"/>
        <v>1.0659076257589852</v>
      </c>
      <c r="O33" s="98">
        <f t="shared" si="3"/>
        <v>0.20084534644260041</v>
      </c>
      <c r="P33" s="99">
        <f t="shared" si="4"/>
        <v>0.18972891770793143</v>
      </c>
      <c r="Q33" s="95">
        <f>'Ridership-25'!B25/'Revenue Miles-25'!B25</f>
        <v>0.82322383518472986</v>
      </c>
      <c r="R33" s="96">
        <f>'Ridership-25'!C25/'Revenue Miles-25'!C25</f>
        <v>0.454872375587629</v>
      </c>
      <c r="S33" s="96">
        <f>'Ridership-25'!D25/'Revenue Miles-25'!D25</f>
        <v>0.47446458788106716</v>
      </c>
      <c r="T33" s="96">
        <f>'Ridership-25'!E25/'Revenue Miles-25'!E25</f>
        <v>0.7557807792342961</v>
      </c>
      <c r="U33" s="97">
        <f t="shared" si="5"/>
        <v>1.0732650953909619</v>
      </c>
      <c r="V33" s="98">
        <f t="shared" si="6"/>
        <v>0.20223168940653508</v>
      </c>
      <c r="W33" s="99">
        <f t="shared" si="7"/>
        <v>0.19174581001444244</v>
      </c>
      <c r="X33" s="95">
        <f>'Op Cost-25'!B26/'Revenue Hours-25'!B25</f>
        <v>111.12397982480542</v>
      </c>
      <c r="Y33" s="96">
        <f>'Op Cost-25'!C26/'Revenue Hours-25'!C25</f>
        <v>123.96447205256577</v>
      </c>
      <c r="Z33" s="96">
        <f>'Op Cost-25'!D26/'Revenue Hours-25'!D25</f>
        <v>123.17011468072208</v>
      </c>
      <c r="AA33" s="96">
        <f>'Op Cost-25'!E26/'Revenue Hours-25'!E25</f>
        <v>127.77476943594867</v>
      </c>
      <c r="AB33" s="97">
        <f t="shared" si="8"/>
        <v>1.0065131598163113</v>
      </c>
      <c r="AC33" s="98">
        <f t="shared" si="9"/>
        <v>0.1872072858450875</v>
      </c>
      <c r="AD33" s="99">
        <f t="shared" si="10"/>
        <v>0.19970507693998077</v>
      </c>
      <c r="AE33" s="95">
        <f>'Op Cost-25'!B26/'Revenue Miles-25'!B25</f>
        <v>8.3651641583266318</v>
      </c>
      <c r="AF33" s="96">
        <f>'Op Cost-25'!C26/'Revenue Miles-25'!C25</f>
        <v>9.6003592943580749</v>
      </c>
      <c r="AG33" s="96">
        <f>'Op Cost-25'!D26/'Revenue Miles-25'!D25</f>
        <v>9.4889394391510358</v>
      </c>
      <c r="AH33" s="96">
        <f>'Op Cost-25'!E26/'Revenue Miles-25'!E25</f>
        <v>9.7984940737616739</v>
      </c>
      <c r="AI33" s="97">
        <f t="shared" si="11"/>
        <v>1.0148352621303056</v>
      </c>
      <c r="AJ33" s="98">
        <f t="shared" si="12"/>
        <v>0.18567210250561858</v>
      </c>
      <c r="AK33" s="99">
        <f t="shared" si="13"/>
        <v>0.19760173493829719</v>
      </c>
      <c r="AL33" s="95">
        <f>'Op Cost-25'!B26/'Ridership-25'!B25</f>
        <v>10.161469822420175</v>
      </c>
      <c r="AM33" s="96">
        <f>'Op Cost-25'!C26/'Ridership-25'!C25</f>
        <v>21.10561073742015</v>
      </c>
      <c r="AN33" s="96">
        <f>'Op Cost-25'!D26/'Ridership-25'!D25</f>
        <v>19.999257439903197</v>
      </c>
      <c r="AO33" s="96">
        <f>'Op Cost-25'!E26/'Ridership-25'!E25</f>
        <v>12.964730439015423</v>
      </c>
      <c r="AP33" s="97">
        <f t="shared" si="14"/>
        <v>0.97494497637420541</v>
      </c>
      <c r="AQ33" s="98">
        <f t="shared" si="15"/>
        <v>0.19326895505152297</v>
      </c>
      <c r="AR33" s="99">
        <f t="shared" si="16"/>
        <v>0.2098377485635235</v>
      </c>
      <c r="AT33" s="101">
        <f t="shared" si="29"/>
        <v>0</v>
      </c>
      <c r="AU33" s="102">
        <f t="shared" si="17"/>
        <v>0</v>
      </c>
      <c r="AV33" s="102">
        <f t="shared" si="18"/>
        <v>0</v>
      </c>
      <c r="AW33" s="102">
        <f t="shared" si="19"/>
        <v>0</v>
      </c>
      <c r="AX33" s="103">
        <f t="shared" si="20"/>
        <v>0</v>
      </c>
      <c r="AY33" s="293">
        <f t="shared" si="30"/>
        <v>-1</v>
      </c>
      <c r="AZ33" s="105">
        <f t="shared" si="21"/>
        <v>0</v>
      </c>
      <c r="BA33" s="106">
        <f t="shared" si="21"/>
        <v>0</v>
      </c>
      <c r="BB33" s="106">
        <f t="shared" si="21"/>
        <v>0</v>
      </c>
      <c r="BC33" s="106">
        <f t="shared" si="21"/>
        <v>0</v>
      </c>
      <c r="BD33" s="106">
        <f t="shared" si="21"/>
        <v>0</v>
      </c>
      <c r="BE33" s="107">
        <f t="shared" si="31"/>
        <v>23033361.492948432</v>
      </c>
      <c r="BG33" s="108">
        <f>'Op Cost-25'!E26</f>
        <v>108453691</v>
      </c>
      <c r="BH33" s="109">
        <f t="shared" si="22"/>
        <v>0.21237969201941159</v>
      </c>
      <c r="BI33" s="110">
        <f t="shared" si="23"/>
        <v>23033361.492948432</v>
      </c>
      <c r="BJ33" s="111">
        <f t="shared" si="24"/>
        <v>0</v>
      </c>
      <c r="BK33" s="1">
        <f t="shared" si="32"/>
        <v>0.90815132167599355</v>
      </c>
      <c r="BL33" s="294">
        <f t="shared" si="33"/>
        <v>0.92064689409212364</v>
      </c>
      <c r="BM33" s="294">
        <f t="shared" si="34"/>
        <v>1.0186633846604314</v>
      </c>
      <c r="BN33" s="295">
        <f t="shared" si="35"/>
        <v>0.84664750397570943</v>
      </c>
      <c r="BO33" s="114">
        <f t="shared" si="25"/>
        <v>23033361.492948432</v>
      </c>
      <c r="BP33" s="296">
        <f t="shared" si="36"/>
        <v>0.90815132167599355</v>
      </c>
      <c r="BQ33" s="116">
        <f t="shared" si="37"/>
        <v>0.17111986293788162</v>
      </c>
      <c r="BR33" s="297">
        <f t="shared" si="38"/>
        <v>0.17111986293788162</v>
      </c>
      <c r="BS33" s="302">
        <f t="shared" si="39"/>
        <v>0.19311381657703133</v>
      </c>
      <c r="BT33" s="298">
        <f t="shared" si="40"/>
        <v>24693100.30218919</v>
      </c>
      <c r="BU33" s="119">
        <f t="shared" si="41"/>
        <v>32536107.299999997</v>
      </c>
      <c r="BV33" s="119">
        <f t="shared" si="42"/>
        <v>24693100.30218919</v>
      </c>
      <c r="BW33" s="119">
        <f t="shared" si="43"/>
        <v>0</v>
      </c>
      <c r="BX33" s="120">
        <f t="shared" si="44"/>
        <v>0.17111986293788162</v>
      </c>
      <c r="BY33" s="121">
        <f t="shared" si="45"/>
        <v>0.3444679615622096</v>
      </c>
      <c r="BZ33" s="299">
        <f t="shared" si="46"/>
        <v>25001162.799620394</v>
      </c>
      <c r="CA33" s="109">
        <f t="shared" si="26"/>
        <v>0.20920532441012887</v>
      </c>
      <c r="CB33" s="123">
        <f t="shared" si="57"/>
        <v>1798039.1158847415</v>
      </c>
      <c r="CC33" s="111">
        <f>ROUND((CB33+BI33),0)</f>
        <v>24831401</v>
      </c>
      <c r="CE33" s="124">
        <f t="shared" si="28"/>
        <v>0</v>
      </c>
      <c r="CF33" s="17"/>
      <c r="CG33" s="108">
        <f t="shared" si="47"/>
        <v>108453691</v>
      </c>
      <c r="CH33" s="125">
        <f t="shared" si="48"/>
        <v>0.22895856075566851</v>
      </c>
      <c r="CI33" s="110">
        <f t="shared" si="49"/>
        <v>24693100.30218919</v>
      </c>
      <c r="CJ33" s="300">
        <f t="shared" si="50"/>
        <v>0</v>
      </c>
      <c r="CL33" s="127">
        <f t="shared" si="51"/>
        <v>24693100.30218919</v>
      </c>
      <c r="CM33" s="128">
        <f t="shared" si="52"/>
        <v>0.28747797436621858</v>
      </c>
      <c r="CN33" s="129">
        <f t="shared" si="53"/>
        <v>257095.55785125427</v>
      </c>
      <c r="CO33" s="130">
        <f t="shared" si="55"/>
        <v>24950196</v>
      </c>
      <c r="CQ33" s="131">
        <f t="shared" si="54"/>
        <v>0.23052385372131221</v>
      </c>
      <c r="CR33" s="301"/>
    </row>
    <row r="34" spans="1:96">
      <c r="A34" s="133" t="s">
        <v>104</v>
      </c>
      <c r="B34" s="90" t="s">
        <v>110</v>
      </c>
      <c r="C34" s="91"/>
      <c r="D34" s="92">
        <v>0</v>
      </c>
      <c r="E34" s="92">
        <v>0</v>
      </c>
      <c r="F34" s="92">
        <v>0</v>
      </c>
      <c r="G34" s="163">
        <f>$C$4</f>
        <v>0</v>
      </c>
      <c r="H34" s="164">
        <f>$C$4</f>
        <v>0</v>
      </c>
      <c r="J34" s="95">
        <v>0</v>
      </c>
      <c r="K34" s="96">
        <v>0</v>
      </c>
      <c r="L34" s="96">
        <v>0</v>
      </c>
      <c r="M34" s="96">
        <v>0</v>
      </c>
      <c r="N34" s="97">
        <f t="shared" si="2"/>
        <v>1</v>
      </c>
      <c r="O34" s="98">
        <f t="shared" si="3"/>
        <v>0</v>
      </c>
      <c r="P34" s="99">
        <f t="shared" si="4"/>
        <v>0</v>
      </c>
      <c r="Q34" s="95">
        <v>0</v>
      </c>
      <c r="R34" s="96">
        <v>0</v>
      </c>
      <c r="S34" s="96">
        <v>0</v>
      </c>
      <c r="T34" s="96">
        <v>0</v>
      </c>
      <c r="U34" s="97">
        <f t="shared" si="5"/>
        <v>1</v>
      </c>
      <c r="V34" s="98">
        <f t="shared" si="6"/>
        <v>0</v>
      </c>
      <c r="W34" s="99">
        <f t="shared" si="7"/>
        <v>0</v>
      </c>
      <c r="X34" s="95">
        <v>0</v>
      </c>
      <c r="Y34" s="96">
        <v>0</v>
      </c>
      <c r="Z34" s="96">
        <v>0</v>
      </c>
      <c r="AA34" s="96">
        <v>0</v>
      </c>
      <c r="AB34" s="97">
        <f t="shared" si="8"/>
        <v>1</v>
      </c>
      <c r="AC34" s="98">
        <f t="shared" si="9"/>
        <v>0</v>
      </c>
      <c r="AD34" s="99">
        <f t="shared" si="10"/>
        <v>0</v>
      </c>
      <c r="AE34" s="95">
        <v>0</v>
      </c>
      <c r="AF34" s="96">
        <v>0</v>
      </c>
      <c r="AG34" s="96">
        <v>0</v>
      </c>
      <c r="AH34" s="96">
        <v>0</v>
      </c>
      <c r="AI34" s="97">
        <f t="shared" si="11"/>
        <v>1</v>
      </c>
      <c r="AJ34" s="98">
        <f t="shared" si="12"/>
        <v>0</v>
      </c>
      <c r="AK34" s="99">
        <f t="shared" si="13"/>
        <v>0</v>
      </c>
      <c r="AL34" s="95">
        <v>0</v>
      </c>
      <c r="AM34" s="96">
        <v>0</v>
      </c>
      <c r="AN34" s="96">
        <v>0</v>
      </c>
      <c r="AO34" s="96">
        <v>0</v>
      </c>
      <c r="AP34" s="97">
        <f t="shared" si="14"/>
        <v>1</v>
      </c>
      <c r="AQ34" s="98">
        <f t="shared" si="15"/>
        <v>0</v>
      </c>
      <c r="AR34" s="99">
        <f t="shared" si="16"/>
        <v>0</v>
      </c>
      <c r="AT34" s="101">
        <f t="shared" si="29"/>
        <v>0</v>
      </c>
      <c r="AU34" s="102">
        <f t="shared" si="17"/>
        <v>0</v>
      </c>
      <c r="AV34" s="102">
        <f t="shared" si="18"/>
        <v>0</v>
      </c>
      <c r="AW34" s="102">
        <f t="shared" si="19"/>
        <v>0</v>
      </c>
      <c r="AX34" s="103">
        <f t="shared" si="20"/>
        <v>0</v>
      </c>
      <c r="AY34" s="293" t="e">
        <f t="shared" si="30"/>
        <v>#DIV/0!</v>
      </c>
      <c r="AZ34" s="105">
        <f t="shared" si="21"/>
        <v>0</v>
      </c>
      <c r="BA34" s="106">
        <f t="shared" si="21"/>
        <v>0</v>
      </c>
      <c r="BB34" s="106">
        <f t="shared" si="21"/>
        <v>0</v>
      </c>
      <c r="BC34" s="106">
        <f t="shared" si="21"/>
        <v>0</v>
      </c>
      <c r="BD34" s="106">
        <f t="shared" si="21"/>
        <v>0</v>
      </c>
      <c r="BE34" s="107">
        <f t="shared" si="31"/>
        <v>0</v>
      </c>
      <c r="BG34" s="108">
        <v>0</v>
      </c>
      <c r="BH34" s="109">
        <v>0</v>
      </c>
      <c r="BI34" s="110">
        <f t="shared" si="23"/>
        <v>0</v>
      </c>
      <c r="BJ34" s="111">
        <f t="shared" si="24"/>
        <v>0</v>
      </c>
      <c r="BK34" s="1">
        <f t="shared" si="32"/>
        <v>0</v>
      </c>
      <c r="BL34" s="294">
        <f t="shared" si="33"/>
        <v>0</v>
      </c>
      <c r="BM34" s="294">
        <f t="shared" si="34"/>
        <v>0</v>
      </c>
      <c r="BN34" s="295">
        <v>0</v>
      </c>
      <c r="BO34" s="114">
        <f t="shared" si="25"/>
        <v>0</v>
      </c>
      <c r="BP34" s="296">
        <f t="shared" si="36"/>
        <v>0</v>
      </c>
      <c r="BQ34" s="116">
        <f t="shared" si="37"/>
        <v>0</v>
      </c>
      <c r="BR34" s="297">
        <f t="shared" si="38"/>
        <v>0</v>
      </c>
      <c r="BS34" s="117">
        <f t="shared" si="39"/>
        <v>0</v>
      </c>
      <c r="BT34" s="298">
        <f t="shared" si="40"/>
        <v>0</v>
      </c>
      <c r="BU34" s="119">
        <f t="shared" si="41"/>
        <v>0</v>
      </c>
      <c r="BV34" s="119">
        <f t="shared" si="42"/>
        <v>0</v>
      </c>
      <c r="BW34" s="119">
        <f t="shared" si="43"/>
        <v>0</v>
      </c>
      <c r="BX34" s="120">
        <f t="shared" si="44"/>
        <v>0</v>
      </c>
      <c r="BY34" s="121">
        <f t="shared" si="45"/>
        <v>0</v>
      </c>
      <c r="BZ34" s="299">
        <f t="shared" si="46"/>
        <v>0</v>
      </c>
      <c r="CA34" s="109">
        <f t="shared" si="26"/>
        <v>0</v>
      </c>
      <c r="CB34" s="123">
        <f t="shared" si="57"/>
        <v>0</v>
      </c>
      <c r="CC34" s="111">
        <f>ROUND((CB34+BI34),0)</f>
        <v>0</v>
      </c>
      <c r="CE34" s="124">
        <f t="shared" si="28"/>
        <v>0</v>
      </c>
      <c r="CF34" s="17"/>
      <c r="CG34" s="108">
        <f t="shared" si="47"/>
        <v>0</v>
      </c>
      <c r="CH34" s="125">
        <v>0</v>
      </c>
      <c r="CI34" s="110">
        <f t="shared" si="49"/>
        <v>0</v>
      </c>
      <c r="CJ34" s="300">
        <f t="shared" si="50"/>
        <v>0</v>
      </c>
      <c r="CL34" s="127">
        <f t="shared" si="51"/>
        <v>0</v>
      </c>
      <c r="CM34" s="128">
        <f t="shared" si="52"/>
        <v>0</v>
      </c>
      <c r="CN34" s="129">
        <f t="shared" si="53"/>
        <v>0</v>
      </c>
      <c r="CO34" s="130">
        <f t="shared" si="55"/>
        <v>0</v>
      </c>
      <c r="CQ34" s="131" t="e">
        <f t="shared" si="54"/>
        <v>#DIV/0!</v>
      </c>
      <c r="CR34" s="301"/>
    </row>
    <row r="35" spans="1:96">
      <c r="A35" s="133" t="s">
        <v>104</v>
      </c>
      <c r="B35" s="90" t="s">
        <v>111</v>
      </c>
      <c r="C35" s="91">
        <f>'Sizing - Reimb Exp-25'!B28</f>
        <v>41578430</v>
      </c>
      <c r="D35" s="92">
        <f>'Ridership-25'!$E27</f>
        <v>1572283</v>
      </c>
      <c r="E35" s="92">
        <f>'Revenue Hours-25'!$E27</f>
        <v>207877</v>
      </c>
      <c r="F35" s="92">
        <f>'Revenue Miles-25'!$E27</f>
        <v>5086977</v>
      </c>
      <c r="G35" s="134">
        <f t="shared" ref="G35:G50" si="58">IFERROR($C$9*(C35/C$51),0) + IFERROR($D$9*(D35/D$51),0) + IFERROR($E$9*(E35/E$51),0) + IFERROR($F$9*(F35/F$51),0)</f>
        <v>5.831523176862316E-2</v>
      </c>
      <c r="H35" s="94">
        <f t="shared" ref="H35:H50" si="59">G35/(SUM($G$11:$G$50)-$G$34)*(1-$G$34)</f>
        <v>5.8315231768623167E-2</v>
      </c>
      <c r="J35" s="95">
        <f>'Ridership-25'!B27/'Revenue Hours-25'!B27</f>
        <v>10.619348493496171</v>
      </c>
      <c r="K35" s="96">
        <f>'Ridership-25'!C27/'Revenue Hours-25'!C27</f>
        <v>3.1822121529637459</v>
      </c>
      <c r="L35" s="96">
        <f>'Ridership-25'!D27/'Revenue Hours-25'!D27</f>
        <v>5.6143685300207036</v>
      </c>
      <c r="M35" s="96">
        <f>'Ridership-25'!E27/'Revenue Hours-25'!E27</f>
        <v>7.5635255463567397</v>
      </c>
      <c r="N35" s="97">
        <f t="shared" si="2"/>
        <v>1.0264635833767835</v>
      </c>
      <c r="O35" s="98">
        <f t="shared" si="3"/>
        <v>5.9858461766668578E-2</v>
      </c>
      <c r="P35" s="99">
        <f t="shared" si="4"/>
        <v>5.6545403554556874E-2</v>
      </c>
      <c r="Q35" s="95">
        <f>'Ridership-25'!B27/'Revenue Miles-25'!B27</f>
        <v>0.5403360203480656</v>
      </c>
      <c r="R35" s="96">
        <f>'Ridership-25'!C27/'Revenue Miles-25'!C27</f>
        <v>0.14309026388335411</v>
      </c>
      <c r="S35" s="96">
        <f>'Ridership-25'!D27/'Revenue Miles-25'!D27</f>
        <v>0.23387194455837201</v>
      </c>
      <c r="T35" s="96">
        <f>'Ridership-25'!E27/'Revenue Miles-25'!E27</f>
        <v>0.3090800292590275</v>
      </c>
      <c r="U35" s="97">
        <f t="shared" si="5"/>
        <v>0.97050521546232849</v>
      </c>
      <c r="V35" s="98">
        <f t="shared" si="6"/>
        <v>5.6595236572343249E-2</v>
      </c>
      <c r="W35" s="99">
        <f t="shared" si="7"/>
        <v>5.3660727017455633E-2</v>
      </c>
      <c r="X35" s="95">
        <f>'Op Cost-25'!B28/'Revenue Hours-25'!B27</f>
        <v>147.42823097382487</v>
      </c>
      <c r="Y35" s="96">
        <f>'Op Cost-25'!C28/'Revenue Hours-25'!C27</f>
        <v>162.67460550900779</v>
      </c>
      <c r="Z35" s="96">
        <f>'Op Cost-25'!D28/'Revenue Hours-25'!D27</f>
        <v>182.82648723257418</v>
      </c>
      <c r="AA35" s="96">
        <f>'Op Cost-25'!E28/'Revenue Hours-25'!E27</f>
        <v>219.6294299032601</v>
      </c>
      <c r="AB35" s="97">
        <f t="shared" si="8"/>
        <v>1.1052316025815632</v>
      </c>
      <c r="AC35" s="98">
        <f t="shared" si="9"/>
        <v>5.2762906554981226E-2</v>
      </c>
      <c r="AD35" s="99">
        <f t="shared" si="10"/>
        <v>5.6285311042107836E-2</v>
      </c>
      <c r="AE35" s="95">
        <f>'Op Cost-25'!B28/'Revenue Miles-25'!B27</f>
        <v>7.5014755999523217</v>
      </c>
      <c r="AF35" s="96">
        <f>'Op Cost-25'!C28/'Revenue Miles-25'!C27</f>
        <v>7.31477070368339</v>
      </c>
      <c r="AG35" s="96">
        <f>'Op Cost-25'!D28/'Revenue Miles-25'!D27</f>
        <v>7.6158139347686928</v>
      </c>
      <c r="AH35" s="96">
        <f>'Op Cost-25'!E28/'Revenue Miles-25'!E27</f>
        <v>8.9750566987033746</v>
      </c>
      <c r="AI35" s="97">
        <f t="shared" si="11"/>
        <v>1.0385690261414711</v>
      </c>
      <c r="AJ35" s="98">
        <f t="shared" si="12"/>
        <v>5.6149596512884668E-2</v>
      </c>
      <c r="AK35" s="99">
        <f t="shared" si="13"/>
        <v>5.9757268525009684E-2</v>
      </c>
      <c r="AL35" s="95">
        <f>'Op Cost-25'!B28/'Ridership-25'!B27</f>
        <v>13.882982657939651</v>
      </c>
      <c r="AM35" s="96">
        <f>'Op Cost-25'!C28/'Ridership-25'!C27</f>
        <v>51.119974938660576</v>
      </c>
      <c r="AN35" s="96">
        <f>'Op Cost-25'!D28/'Ridership-25'!D27</f>
        <v>32.564033916722593</v>
      </c>
      <c r="AO35" s="96">
        <f>'Op Cost-25'!E28/'Ridership-25'!E27</f>
        <v>29.037970263623023</v>
      </c>
      <c r="AP35" s="97">
        <f t="shared" si="14"/>
        <v>1.17121247832242</v>
      </c>
      <c r="AQ35" s="98">
        <f t="shared" si="15"/>
        <v>4.9790480248426555E-2</v>
      </c>
      <c r="AR35" s="99">
        <f t="shared" si="16"/>
        <v>5.4058978445043773E-2</v>
      </c>
      <c r="AT35" s="101">
        <f t="shared" si="29"/>
        <v>0</v>
      </c>
      <c r="AU35" s="102">
        <f t="shared" si="17"/>
        <v>0</v>
      </c>
      <c r="AV35" s="102">
        <f t="shared" si="18"/>
        <v>0</v>
      </c>
      <c r="AW35" s="102">
        <f t="shared" si="19"/>
        <v>0</v>
      </c>
      <c r="AX35" s="103">
        <f t="shared" si="20"/>
        <v>0</v>
      </c>
      <c r="AY35" s="293">
        <f t="shared" si="30"/>
        <v>-1</v>
      </c>
      <c r="AZ35" s="105">
        <f t="shared" si="21"/>
        <v>0</v>
      </c>
      <c r="BA35" s="106">
        <f t="shared" si="21"/>
        <v>0</v>
      </c>
      <c r="BB35" s="106">
        <f t="shared" si="21"/>
        <v>0</v>
      </c>
      <c r="BC35" s="106">
        <f t="shared" si="21"/>
        <v>0</v>
      </c>
      <c r="BD35" s="106">
        <f t="shared" si="21"/>
        <v>0</v>
      </c>
      <c r="BE35" s="107">
        <f t="shared" si="31"/>
        <v>7128483.1152542336</v>
      </c>
      <c r="BG35" s="108">
        <f>'Op Cost-25'!E28</f>
        <v>45655907</v>
      </c>
      <c r="BH35" s="109">
        <f t="shared" si="22"/>
        <v>0.15613495785450573</v>
      </c>
      <c r="BI35" s="110">
        <f t="shared" si="23"/>
        <v>7128483.1152542336</v>
      </c>
      <c r="BJ35" s="111">
        <f t="shared" si="24"/>
        <v>0</v>
      </c>
      <c r="BK35" s="1">
        <f t="shared" si="32"/>
        <v>0.4697848753474877</v>
      </c>
      <c r="BL35" s="294">
        <f t="shared" si="33"/>
        <v>0.70653837622606386</v>
      </c>
      <c r="BM35" s="294">
        <f t="shared" si="34"/>
        <v>0.41658708105137104</v>
      </c>
      <c r="BN35" s="295">
        <f t="shared" si="35"/>
        <v>0.37800702205625791</v>
      </c>
      <c r="BO35" s="114">
        <f t="shared" si="25"/>
        <v>7128483.1152542336</v>
      </c>
      <c r="BP35" s="296">
        <f t="shared" si="36"/>
        <v>0.4697848753474877</v>
      </c>
      <c r="BQ35" s="116">
        <f t="shared" si="37"/>
        <v>2.739561388728249E-2</v>
      </c>
      <c r="BR35" s="297">
        <f t="shared" si="38"/>
        <v>2.739561388728249E-2</v>
      </c>
      <c r="BS35" s="302">
        <f t="shared" si="39"/>
        <v>3.0916758957224868E-2</v>
      </c>
      <c r="BT35" s="298">
        <f t="shared" si="40"/>
        <v>7394200.7402631063</v>
      </c>
      <c r="BU35" s="119">
        <f t="shared" si="41"/>
        <v>13696772.1</v>
      </c>
      <c r="BV35" s="119">
        <f t="shared" si="42"/>
        <v>7394200.7402631063</v>
      </c>
      <c r="BW35" s="119">
        <f t="shared" si="43"/>
        <v>0</v>
      </c>
      <c r="BX35" s="120">
        <f t="shared" si="44"/>
        <v>2.739561388728249E-2</v>
      </c>
      <c r="BY35" s="121">
        <f t="shared" si="45"/>
        <v>5.5147959503235824E-2</v>
      </c>
      <c r="BZ35" s="299">
        <f t="shared" si="46"/>
        <v>7443520.328812805</v>
      </c>
      <c r="CA35" s="109">
        <f t="shared" si="26"/>
        <v>6.4745939194999769E-2</v>
      </c>
      <c r="CB35" s="123">
        <f t="shared" si="57"/>
        <v>556466.38820282451</v>
      </c>
      <c r="CC35" s="111">
        <f t="shared" si="56"/>
        <v>7684950</v>
      </c>
      <c r="CE35" s="124">
        <f t="shared" si="28"/>
        <v>0</v>
      </c>
      <c r="CF35" s="17"/>
      <c r="CG35" s="108">
        <f t="shared" si="47"/>
        <v>45655907</v>
      </c>
      <c r="CH35" s="125">
        <f t="shared" si="48"/>
        <v>0.16832323580823835</v>
      </c>
      <c r="CI35" s="110">
        <f t="shared" si="49"/>
        <v>7394200.7402631063</v>
      </c>
      <c r="CJ35" s="300">
        <f t="shared" si="50"/>
        <v>0</v>
      </c>
      <c r="CL35" s="127">
        <f t="shared" si="51"/>
        <v>7394200.7402631063</v>
      </c>
      <c r="CM35" s="128">
        <f t="shared" si="52"/>
        <v>8.6083554711822829E-2</v>
      </c>
      <c r="CN35" s="129">
        <f t="shared" si="53"/>
        <v>76985.722364460031</v>
      </c>
      <c r="CO35" s="130">
        <f t="shared" si="55"/>
        <v>7471186</v>
      </c>
      <c r="CQ35" s="131">
        <f t="shared" si="54"/>
        <v>0.16303520875870028</v>
      </c>
      <c r="CR35" s="301"/>
    </row>
    <row r="36" spans="1:96">
      <c r="A36" s="133" t="s">
        <v>112</v>
      </c>
      <c r="B36" s="90" t="s">
        <v>113</v>
      </c>
      <c r="C36" s="91">
        <f>'Sizing - Reimb Exp-25'!B29</f>
        <v>4660277</v>
      </c>
      <c r="D36" s="92">
        <f>'Ridership-25'!$E28</f>
        <v>475942</v>
      </c>
      <c r="E36" s="92">
        <f>'Revenue Hours-25'!$E28</f>
        <v>43849</v>
      </c>
      <c r="F36" s="92">
        <f>'Revenue Miles-25'!$E28</f>
        <v>553318</v>
      </c>
      <c r="G36" s="93">
        <f t="shared" si="58"/>
        <v>9.3995318174305044E-3</v>
      </c>
      <c r="H36" s="94">
        <f t="shared" si="59"/>
        <v>9.3995318174305061E-3</v>
      </c>
      <c r="J36" s="95">
        <f>'Ridership-25'!B28/'Revenue Hours-25'!B28</f>
        <v>7.2311072676573369</v>
      </c>
      <c r="K36" s="96">
        <f>'Ridership-25'!C28/'Revenue Hours-25'!C28</f>
        <v>7.0651748073074137</v>
      </c>
      <c r="L36" s="96">
        <f>'Ridership-25'!D28/'Revenue Hours-25'!D28</f>
        <v>8.5454680032144825</v>
      </c>
      <c r="M36" s="96">
        <f>'Ridership-25'!E28/'Revenue Hours-25'!E28</f>
        <v>10.854112978631212</v>
      </c>
      <c r="N36" s="97">
        <f t="shared" si="2"/>
        <v>1.3009855746270713</v>
      </c>
      <c r="O36" s="98">
        <f t="shared" si="3"/>
        <v>1.2228655302725266E-2</v>
      </c>
      <c r="P36" s="99">
        <f t="shared" si="4"/>
        <v>1.1551821223164319E-2</v>
      </c>
      <c r="Q36" s="95">
        <f>'Ridership-25'!B28/'Revenue Miles-25'!B28</f>
        <v>0.68740479018609113</v>
      </c>
      <c r="R36" s="96">
        <f>'Ridership-25'!C28/'Revenue Miles-25'!C28</f>
        <v>0.60435953803758868</v>
      </c>
      <c r="S36" s="96">
        <f>'Ridership-25'!D28/'Revenue Miles-25'!D28</f>
        <v>0.7290038463481342</v>
      </c>
      <c r="T36" s="96">
        <f>'Ridership-25'!E28/'Revenue Miles-25'!E28</f>
        <v>0.86015998033680452</v>
      </c>
      <c r="U36" s="97">
        <f t="shared" si="5"/>
        <v>1.2103155382207087</v>
      </c>
      <c r="V36" s="98">
        <f t="shared" si="6"/>
        <v>1.137639941063608E-2</v>
      </c>
      <c r="W36" s="99">
        <f t="shared" si="7"/>
        <v>1.0786523746311293E-2</v>
      </c>
      <c r="X36" s="95">
        <f>'Op Cost-25'!B29/'Revenue Hours-25'!B28</f>
        <v>63.118368571529423</v>
      </c>
      <c r="Y36" s="96">
        <f>'Op Cost-25'!C29/'Revenue Hours-25'!C28</f>
        <v>99.128071370778855</v>
      </c>
      <c r="Z36" s="96">
        <f>'Op Cost-25'!D29/'Revenue Hours-25'!D28</f>
        <v>86.295224802267057</v>
      </c>
      <c r="AA36" s="96">
        <f>'Op Cost-25'!E29/'Revenue Hours-25'!E28</f>
        <v>108.01972678966453</v>
      </c>
      <c r="AB36" s="97">
        <f t="shared" si="8"/>
        <v>1.1665516654755821</v>
      </c>
      <c r="AC36" s="98">
        <f t="shared" si="9"/>
        <v>8.0575358088391964E-3</v>
      </c>
      <c r="AD36" s="99">
        <f t="shared" si="10"/>
        <v>8.5954496983756522E-3</v>
      </c>
      <c r="AE36" s="95">
        <f>'Op Cost-25'!B29/'Revenue Miles-25'!B28</f>
        <v>6.0001694483031685</v>
      </c>
      <c r="AF36" s="96">
        <f>'Op Cost-25'!C29/'Revenue Miles-25'!C28</f>
        <v>8.4794781522232086</v>
      </c>
      <c r="AG36" s="96">
        <f>'Op Cost-25'!D29/'Revenue Miles-25'!D28</f>
        <v>7.3617443513527165</v>
      </c>
      <c r="AH36" s="96">
        <f>'Op Cost-25'!E29/'Revenue Miles-25'!E28</f>
        <v>8.5602799836621983</v>
      </c>
      <c r="AI36" s="97">
        <f t="shared" si="11"/>
        <v>1.0918608229846662</v>
      </c>
      <c r="AJ36" s="98">
        <f t="shared" si="12"/>
        <v>8.6087270644406213E-3</v>
      </c>
      <c r="AK36" s="99">
        <f t="shared" si="13"/>
        <v>9.1618470442659233E-3</v>
      </c>
      <c r="AL36" s="95">
        <f>'Op Cost-25'!B29/'Ridership-25'!B28</f>
        <v>8.7287280129060925</v>
      </c>
      <c r="AM36" s="96">
        <f>'Op Cost-25'!C29/'Ridership-25'!C28</f>
        <v>14.030519282870687</v>
      </c>
      <c r="AN36" s="96">
        <f>'Op Cost-25'!D29/'Ridership-25'!D28</f>
        <v>10.098361467131589</v>
      </c>
      <c r="AO36" s="96">
        <f>'Op Cost-25'!E29/'Ridership-25'!E28</f>
        <v>9.9519626341024754</v>
      </c>
      <c r="AP36" s="100">
        <f t="shared" si="14"/>
        <v>0.95582060414578562</v>
      </c>
      <c r="AQ36" s="98">
        <f t="shared" si="15"/>
        <v>9.833991626316577E-3</v>
      </c>
      <c r="AR36" s="99">
        <f t="shared" si="16"/>
        <v>1.0677051892316073E-2</v>
      </c>
      <c r="AT36" s="101">
        <f t="shared" si="29"/>
        <v>0</v>
      </c>
      <c r="AU36" s="102">
        <f t="shared" si="17"/>
        <v>0</v>
      </c>
      <c r="AV36" s="102">
        <f t="shared" si="18"/>
        <v>0</v>
      </c>
      <c r="AW36" s="102">
        <f t="shared" si="19"/>
        <v>0</v>
      </c>
      <c r="AX36" s="103">
        <f t="shared" si="20"/>
        <v>0</v>
      </c>
      <c r="AY36" s="293">
        <f t="shared" si="30"/>
        <v>-1</v>
      </c>
      <c r="AZ36" s="105">
        <f t="shared" si="21"/>
        <v>0</v>
      </c>
      <c r="BA36" s="106">
        <f t="shared" si="21"/>
        <v>0</v>
      </c>
      <c r="BB36" s="106">
        <f t="shared" si="21"/>
        <v>0</v>
      </c>
      <c r="BC36" s="106">
        <f t="shared" si="21"/>
        <v>0</v>
      </c>
      <c r="BD36" s="106">
        <f t="shared" si="21"/>
        <v>0</v>
      </c>
      <c r="BE36" s="107">
        <f t="shared" si="31"/>
        <v>1149003.473358403</v>
      </c>
      <c r="BG36" s="108">
        <f>'Op Cost-25'!E29</f>
        <v>4736557</v>
      </c>
      <c r="BH36" s="109">
        <f t="shared" si="22"/>
        <v>0.24258200067230332</v>
      </c>
      <c r="BI36" s="110">
        <f t="shared" si="23"/>
        <v>1149003.473358403</v>
      </c>
      <c r="BJ36" s="111">
        <f t="shared" si="24"/>
        <v>0</v>
      </c>
      <c r="BK36" s="1">
        <f t="shared" si="32"/>
        <v>1.0947954035045289</v>
      </c>
      <c r="BL36" s="294">
        <f t="shared" si="33"/>
        <v>1.0139249629414333</v>
      </c>
      <c r="BM36" s="294">
        <f t="shared" si="34"/>
        <v>1.1593487172392201</v>
      </c>
      <c r="BN36" s="295">
        <f t="shared" si="35"/>
        <v>1.1029539669187312</v>
      </c>
      <c r="BO36" s="114">
        <f t="shared" si="25"/>
        <v>1149003.473358403</v>
      </c>
      <c r="BP36" s="296">
        <f t="shared" si="36"/>
        <v>1.0947954035045289</v>
      </c>
      <c r="BQ36" s="116">
        <f t="shared" si="37"/>
        <v>1.0290564228817488E-2</v>
      </c>
      <c r="BR36" s="297">
        <f t="shared" si="38"/>
        <v>1.0290564228817488E-2</v>
      </c>
      <c r="BS36" s="117">
        <f t="shared" si="39"/>
        <v>1.1613205497245016E-2</v>
      </c>
      <c r="BT36" s="298">
        <f t="shared" si="40"/>
        <v>1248814.4977849079</v>
      </c>
      <c r="BU36" s="119">
        <f t="shared" si="41"/>
        <v>1420967.0999999999</v>
      </c>
      <c r="BV36" s="119">
        <f t="shared" si="42"/>
        <v>1248814.4977849079</v>
      </c>
      <c r="BW36" s="119">
        <f t="shared" si="43"/>
        <v>0</v>
      </c>
      <c r="BX36" s="120">
        <f t="shared" si="44"/>
        <v>1.0290564228817488E-2</v>
      </c>
      <c r="BY36" s="121">
        <f t="shared" si="45"/>
        <v>2.071512694299283E-2</v>
      </c>
      <c r="BZ36" s="299">
        <f t="shared" si="46"/>
        <v>1267340.3244299218</v>
      </c>
      <c r="CA36" s="109">
        <f t="shared" si="26"/>
        <v>1.0436064421856106E-2</v>
      </c>
      <c r="CB36" s="123">
        <f t="shared" si="57"/>
        <v>89693.950664488249</v>
      </c>
      <c r="CC36" s="111">
        <f t="shared" si="56"/>
        <v>1238697</v>
      </c>
      <c r="CE36" s="124">
        <f t="shared" si="28"/>
        <v>0</v>
      </c>
      <c r="CF36" s="17"/>
      <c r="CG36" s="108">
        <f t="shared" si="47"/>
        <v>4736557</v>
      </c>
      <c r="CH36" s="125">
        <f t="shared" si="48"/>
        <v>0.26151844050435791</v>
      </c>
      <c r="CI36" s="110">
        <f t="shared" si="49"/>
        <v>1248814.4977849079</v>
      </c>
      <c r="CJ36" s="300">
        <f t="shared" si="50"/>
        <v>0</v>
      </c>
      <c r="CL36" s="127">
        <f t="shared" si="51"/>
        <v>1248814.4977849079</v>
      </c>
      <c r="CM36" s="128">
        <f t="shared" si="52"/>
        <v>1.453874393206688E-2</v>
      </c>
      <c r="CN36" s="129">
        <f t="shared" si="53"/>
        <v>13002.201263981446</v>
      </c>
      <c r="CO36" s="130">
        <f t="shared" si="55"/>
        <v>1261817</v>
      </c>
      <c r="CQ36" s="131">
        <f t="shared" si="54"/>
        <v>0.26756572853022181</v>
      </c>
      <c r="CR36" s="301"/>
    </row>
    <row r="37" spans="1:96">
      <c r="A37" s="133" t="s">
        <v>112</v>
      </c>
      <c r="B37" s="90" t="s">
        <v>114</v>
      </c>
      <c r="C37" s="91">
        <f>'Sizing - Reimb Exp-25'!B30</f>
        <v>67417899</v>
      </c>
      <c r="D37" s="92">
        <f>'Ridership-25'!$E29</f>
        <v>9625071</v>
      </c>
      <c r="E37" s="92">
        <f>'Revenue Hours-25'!$E29</f>
        <v>583725</v>
      </c>
      <c r="F37" s="92">
        <f>'Revenue Miles-25'!$E29</f>
        <v>7022292</v>
      </c>
      <c r="G37" s="134">
        <f t="shared" si="58"/>
        <v>0.1522113163962201</v>
      </c>
      <c r="H37" s="94">
        <f t="shared" si="59"/>
        <v>0.15221131639622013</v>
      </c>
      <c r="J37" s="95">
        <f>'Ridership-25'!B29/'Revenue Hours-25'!B29</f>
        <v>15.08483737680125</v>
      </c>
      <c r="K37" s="96">
        <f>'Ridership-25'!C29/'Revenue Hours-25'!C29</f>
        <v>12.685908078458269</v>
      </c>
      <c r="L37" s="96">
        <f>'Ridership-25'!D29/'Revenue Hours-25'!D29</f>
        <v>14.999735241854868</v>
      </c>
      <c r="M37" s="96">
        <f>'Ridership-25'!E29/'Revenue Hours-25'!E29</f>
        <v>16.489050494667865</v>
      </c>
      <c r="N37" s="97">
        <f t="shared" si="2"/>
        <v>1.1580336883020843</v>
      </c>
      <c r="O37" s="98">
        <f t="shared" si="3"/>
        <v>0.17626583212763031</v>
      </c>
      <c r="P37" s="99">
        <f t="shared" si="4"/>
        <v>0.16650983530763969</v>
      </c>
      <c r="Q37" s="95">
        <f>'Ridership-25'!B29/'Revenue Miles-25'!B29</f>
        <v>1.1884855709632467</v>
      </c>
      <c r="R37" s="96">
        <f>'Ridership-25'!C29/'Revenue Miles-25'!C29</f>
        <v>1.0554722157446399</v>
      </c>
      <c r="S37" s="96">
        <f>'Ridership-25'!D29/'Revenue Miles-25'!D29</f>
        <v>1.2009259173704827</v>
      </c>
      <c r="T37" s="96">
        <f>'Ridership-25'!E29/'Revenue Miles-25'!E29</f>
        <v>1.3706452252341543</v>
      </c>
      <c r="U37" s="97">
        <f t="shared" si="5"/>
        <v>1.1871164048487881</v>
      </c>
      <c r="V37" s="98">
        <f t="shared" si="6"/>
        <v>0.18069255069758222</v>
      </c>
      <c r="W37" s="99">
        <f t="shared" si="7"/>
        <v>0.17132349335931521</v>
      </c>
      <c r="X37" s="95">
        <f>'Op Cost-25'!B30/'Revenue Hours-25'!B29</f>
        <v>87.19640419871854</v>
      </c>
      <c r="Y37" s="96">
        <f>'Op Cost-25'!C30/'Revenue Hours-25'!C29</f>
        <v>106.94058914595765</v>
      </c>
      <c r="Z37" s="96">
        <f>'Op Cost-25'!D30/'Revenue Hours-25'!D29</f>
        <v>99.059409351732896</v>
      </c>
      <c r="AA37" s="96">
        <f>'Op Cost-25'!E30/'Revenue Hours-25'!E29</f>
        <v>117.86879438091567</v>
      </c>
      <c r="AB37" s="97">
        <f t="shared" si="8"/>
        <v>1.069009747172706</v>
      </c>
      <c r="AC37" s="98">
        <f t="shared" si="9"/>
        <v>0.14238534007644491</v>
      </c>
      <c r="AD37" s="99">
        <f t="shared" si="10"/>
        <v>0.15189085812942957</v>
      </c>
      <c r="AE37" s="95">
        <f>'Op Cost-25'!B30/'Revenue Miles-25'!B29</f>
        <v>6.8699228000581352</v>
      </c>
      <c r="AF37" s="96">
        <f>'Op Cost-25'!C30/'Revenue Miles-25'!C29</f>
        <v>8.897496330640184</v>
      </c>
      <c r="AG37" s="96">
        <f>'Op Cost-25'!D30/'Revenue Miles-25'!D29</f>
        <v>7.9310074565820816</v>
      </c>
      <c r="AH37" s="96">
        <f>'Op Cost-25'!E30/'Revenue Miles-25'!E29</f>
        <v>9.7977928004133119</v>
      </c>
      <c r="AI37" s="97">
        <f t="shared" si="11"/>
        <v>1.0939620676553767</v>
      </c>
      <c r="AJ37" s="98">
        <f t="shared" si="12"/>
        <v>0.13913765467430284</v>
      </c>
      <c r="AK37" s="99">
        <f t="shared" si="13"/>
        <v>0.14807739874683615</v>
      </c>
      <c r="AL37" s="95">
        <f>'Op Cost-25'!B30/'Ridership-25'!B29</f>
        <v>5.7804006778897481</v>
      </c>
      <c r="AM37" s="96">
        <f>'Op Cost-25'!C30/'Ridership-25'!C29</f>
        <v>8.4298726180707302</v>
      </c>
      <c r="AN37" s="96">
        <f>'Op Cost-25'!D30/'Ridership-25'!D29</f>
        <v>6.6040771889973175</v>
      </c>
      <c r="AO37" s="96">
        <f>'Op Cost-25'!E30/'Ridership-25'!E29</f>
        <v>7.148306957943479</v>
      </c>
      <c r="AP37" s="97">
        <f t="shared" si="14"/>
        <v>1.0036922938781936</v>
      </c>
      <c r="AQ37" s="98">
        <f t="shared" si="15"/>
        <v>0.15165137495286202</v>
      </c>
      <c r="AR37" s="99">
        <f t="shared" si="16"/>
        <v>0.16465232648558537</v>
      </c>
      <c r="AT37" s="101">
        <f t="shared" si="29"/>
        <v>0</v>
      </c>
      <c r="AU37" s="102">
        <f t="shared" si="17"/>
        <v>0</v>
      </c>
      <c r="AV37" s="102">
        <f t="shared" si="18"/>
        <v>0</v>
      </c>
      <c r="AW37" s="102">
        <f t="shared" si="19"/>
        <v>0</v>
      </c>
      <c r="AX37" s="103">
        <f t="shared" si="20"/>
        <v>0</v>
      </c>
      <c r="AY37" s="293">
        <f t="shared" si="30"/>
        <v>-1</v>
      </c>
      <c r="AZ37" s="105">
        <f t="shared" si="21"/>
        <v>0</v>
      </c>
      <c r="BA37" s="106">
        <f t="shared" si="21"/>
        <v>0</v>
      </c>
      <c r="BB37" s="106">
        <f t="shared" si="21"/>
        <v>0</v>
      </c>
      <c r="BC37" s="106">
        <f t="shared" si="21"/>
        <v>0</v>
      </c>
      <c r="BD37" s="106">
        <f t="shared" si="21"/>
        <v>0</v>
      </c>
      <c r="BE37" s="107">
        <f t="shared" si="31"/>
        <v>18606387.490427237</v>
      </c>
      <c r="BF37" s="301"/>
      <c r="BG37" s="108">
        <f>'Op Cost-25'!E30</f>
        <v>68802962</v>
      </c>
      <c r="BH37" s="303">
        <f t="shared" si="22"/>
        <v>0.27043003599797399</v>
      </c>
      <c r="BI37" s="304">
        <f>IF(BE37&gt;BG37*$BI$6,BG37*$BI$6,BE37)</f>
        <v>18606387.490427237</v>
      </c>
      <c r="BJ37" s="111">
        <f t="shared" si="24"/>
        <v>0</v>
      </c>
      <c r="BK37" s="1">
        <f t="shared" si="32"/>
        <v>1.6146986867410762</v>
      </c>
      <c r="BL37" s="294">
        <f t="shared" si="33"/>
        <v>1.5403064206775827</v>
      </c>
      <c r="BM37" s="294">
        <f t="shared" si="34"/>
        <v>1.847395624059454</v>
      </c>
      <c r="BN37" s="295">
        <f t="shared" si="35"/>
        <v>1.535546351113634</v>
      </c>
      <c r="BO37" s="114">
        <f t="shared" si="25"/>
        <v>18606387.490427237</v>
      </c>
      <c r="BP37" s="296">
        <f t="shared" si="36"/>
        <v>1.6146986867410762</v>
      </c>
      <c r="BQ37" s="116">
        <f t="shared" si="37"/>
        <v>0.24577541269210706</v>
      </c>
      <c r="BR37" s="297">
        <f t="shared" si="38"/>
        <v>0.24577541269210706</v>
      </c>
      <c r="BS37" s="302">
        <f t="shared" si="39"/>
        <v>0.27736480821631559</v>
      </c>
      <c r="BT37" s="298">
        <f t="shared" si="40"/>
        <v>20990231.094546612</v>
      </c>
      <c r="BU37" s="119">
        <f t="shared" si="41"/>
        <v>20640888.599999998</v>
      </c>
      <c r="BV37" s="119">
        <f t="shared" si="42"/>
        <v>20640888.599999998</v>
      </c>
      <c r="BW37" s="119">
        <f t="shared" si="43"/>
        <v>349342.49454661459</v>
      </c>
      <c r="BX37" s="120">
        <f t="shared" si="44"/>
        <v>0</v>
      </c>
      <c r="BY37" s="121">
        <f t="shared" si="45"/>
        <v>0</v>
      </c>
      <c r="BZ37" s="299">
        <f t="shared" si="46"/>
        <v>20640888.599999998</v>
      </c>
      <c r="CA37" s="109">
        <f t="shared" si="26"/>
        <v>0.16899640689558421</v>
      </c>
      <c r="CB37" s="123">
        <f t="shared" si="57"/>
        <v>1452458.9701480968</v>
      </c>
      <c r="CC37" s="111">
        <f>ROUND((CB37+BI37),0)</f>
        <v>20058846</v>
      </c>
      <c r="CE37" s="124">
        <f t="shared" si="28"/>
        <v>0</v>
      </c>
      <c r="CF37" s="17"/>
      <c r="CG37" s="108">
        <f t="shared" si="47"/>
        <v>68802962</v>
      </c>
      <c r="CH37" s="125">
        <f t="shared" si="48"/>
        <v>0.29154044269198759</v>
      </c>
      <c r="CI37" s="110">
        <f t="shared" si="49"/>
        <v>20640888.599999998</v>
      </c>
      <c r="CJ37" s="300">
        <f t="shared" si="50"/>
        <v>349342.49454661459</v>
      </c>
      <c r="CL37" s="127">
        <f t="shared" si="51"/>
        <v>0</v>
      </c>
      <c r="CM37" s="128">
        <f t="shared" si="52"/>
        <v>0</v>
      </c>
      <c r="CN37" s="129">
        <f t="shared" si="53"/>
        <v>0</v>
      </c>
      <c r="CO37" s="130">
        <f t="shared" si="55"/>
        <v>20640889</v>
      </c>
      <c r="CQ37" s="131">
        <f t="shared" si="54"/>
        <v>0.3</v>
      </c>
      <c r="CR37" s="301"/>
    </row>
    <row r="38" spans="1:96">
      <c r="A38" s="133" t="s">
        <v>115</v>
      </c>
      <c r="B38" s="90" t="s">
        <v>116</v>
      </c>
      <c r="C38" s="91">
        <f>'Sizing - Reimb Exp-25'!B31</f>
        <v>10986817</v>
      </c>
      <c r="D38" s="92">
        <f>'Ridership-25'!$E30</f>
        <v>3520078</v>
      </c>
      <c r="E38" s="92">
        <f>'Revenue Hours-25'!$E30</f>
        <v>92885</v>
      </c>
      <c r="F38" s="92">
        <f>'Revenue Miles-25'!$E30</f>
        <v>970481</v>
      </c>
      <c r="G38" s="134">
        <f t="shared" si="58"/>
        <v>3.8743461880209475E-2</v>
      </c>
      <c r="H38" s="94">
        <f t="shared" si="59"/>
        <v>3.8743461880209482E-2</v>
      </c>
      <c r="J38" s="95">
        <f>'Ridership-25'!B30/'Revenue Hours-25'!B30</f>
        <v>41.020012326113751</v>
      </c>
      <c r="K38" s="96">
        <f>'Ridership-25'!C30/'Revenue Hours-25'!C30</f>
        <v>7.7359808402431227</v>
      </c>
      <c r="L38" s="96">
        <f>'Ridership-25'!D30/'Revenue Hours-25'!D30</f>
        <v>32.633977790205321</v>
      </c>
      <c r="M38" s="96">
        <f>'Ridership-25'!E30/'Revenue Hours-25'!E30</f>
        <v>37.897163158744682</v>
      </c>
      <c r="N38" s="97">
        <f t="shared" si="2"/>
        <v>1.5374893226393143</v>
      </c>
      <c r="O38" s="98">
        <f t="shared" si="3"/>
        <v>5.9567658962905369E-2</v>
      </c>
      <c r="P38" s="99">
        <f t="shared" si="4"/>
        <v>5.6270696163015721E-2</v>
      </c>
      <c r="Q38" s="95">
        <f>'Ridership-25'!B30/'Revenue Miles-25'!B30</f>
        <v>4.0590237544714967</v>
      </c>
      <c r="R38" s="96">
        <f>'Ridership-25'!C30/'Revenue Miles-25'!C30</f>
        <v>0.74890286156611607</v>
      </c>
      <c r="S38" s="96">
        <f>'Ridership-25'!D30/'Revenue Miles-25'!D30</f>
        <v>3.1121743743196539</v>
      </c>
      <c r="T38" s="96">
        <f>'Ridership-25'!E30/'Revenue Miles-25'!E30</f>
        <v>3.6271477751754029</v>
      </c>
      <c r="U38" s="97">
        <f t="shared" si="5"/>
        <v>1.5439223358228489</v>
      </c>
      <c r="V38" s="98">
        <f t="shared" si="6"/>
        <v>5.981689616395653E-2</v>
      </c>
      <c r="W38" s="99">
        <f t="shared" si="7"/>
        <v>5.6715340910053237E-2</v>
      </c>
      <c r="X38" s="95">
        <f>'Op Cost-25'!B31/'Revenue Hours-25'!B30</f>
        <v>80.165865469272759</v>
      </c>
      <c r="Y38" s="96">
        <f>'Op Cost-25'!C31/'Revenue Hours-25'!C30</f>
        <v>94.638769882541524</v>
      </c>
      <c r="Z38" s="96">
        <f>'Op Cost-25'!D31/'Revenue Hours-25'!D30</f>
        <v>99.879114404410004</v>
      </c>
      <c r="AA38" s="96">
        <f>'Op Cost-25'!E31/'Revenue Hours-25'!E30</f>
        <v>129.41512623136137</v>
      </c>
      <c r="AB38" s="97">
        <f t="shared" si="8"/>
        <v>1.1373094562186856</v>
      </c>
      <c r="AC38" s="98">
        <f t="shared" si="9"/>
        <v>3.4065892680628304E-2</v>
      </c>
      <c r="AD38" s="99">
        <f t="shared" si="10"/>
        <v>3.6340101231121628E-2</v>
      </c>
      <c r="AE38" s="95">
        <f>'Op Cost-25'!B31/'Revenue Miles-25'!B30</f>
        <v>7.9325951842875142</v>
      </c>
      <c r="AF38" s="96">
        <f>'Op Cost-25'!C31/'Revenue Miles-25'!C30</f>
        <v>9.1617659148578081</v>
      </c>
      <c r="AG38" s="96">
        <f>'Op Cost-25'!D31/'Revenue Miles-25'!D30</f>
        <v>9.5250791177666656</v>
      </c>
      <c r="AH38" s="96">
        <f>'Op Cost-25'!E31/'Revenue Miles-25'!E30</f>
        <v>12.386356868398249</v>
      </c>
      <c r="AI38" s="97">
        <f t="shared" si="11"/>
        <v>1.1300370084817091</v>
      </c>
      <c r="AJ38" s="98">
        <f t="shared" si="12"/>
        <v>3.4285126583831337E-2</v>
      </c>
      <c r="AK38" s="99">
        <f t="shared" si="13"/>
        <v>3.6487982869366151E-2</v>
      </c>
      <c r="AL38" s="95">
        <f>'Op Cost-25'!B31/'Ridership-25'!B30</f>
        <v>1.9543111014191081</v>
      </c>
      <c r="AM38" s="96">
        <f>'Op Cost-25'!C31/'Ridership-25'!C30</f>
        <v>12.233583799771571</v>
      </c>
      <c r="AN38" s="96">
        <f>'Op Cost-25'!D31/'Ridership-25'!D30</f>
        <v>3.0605865777841972</v>
      </c>
      <c r="AO38" s="96">
        <f>'Op Cost-25'!E31/'Ridership-25'!E30</f>
        <v>3.4149027379506931</v>
      </c>
      <c r="AP38" s="97">
        <f t="shared" si="14"/>
        <v>1.4628694458817215</v>
      </c>
      <c r="AQ38" s="98">
        <f t="shared" si="15"/>
        <v>2.648456565230773E-2</v>
      </c>
      <c r="AR38" s="99">
        <f t="shared" si="16"/>
        <v>2.8755066361700634E-2</v>
      </c>
      <c r="AT38" s="101">
        <f t="shared" si="29"/>
        <v>0</v>
      </c>
      <c r="AU38" s="102">
        <f t="shared" si="17"/>
        <v>0</v>
      </c>
      <c r="AV38" s="102">
        <f t="shared" si="18"/>
        <v>0</v>
      </c>
      <c r="AW38" s="102">
        <f t="shared" si="19"/>
        <v>0</v>
      </c>
      <c r="AX38" s="103">
        <f t="shared" si="20"/>
        <v>0</v>
      </c>
      <c r="AY38" s="293">
        <f t="shared" si="30"/>
        <v>-1</v>
      </c>
      <c r="AZ38" s="105">
        <f t="shared" si="21"/>
        <v>0</v>
      </c>
      <c r="BA38" s="106">
        <f t="shared" si="21"/>
        <v>0</v>
      </c>
      <c r="BB38" s="106">
        <f t="shared" si="21"/>
        <v>0</v>
      </c>
      <c r="BC38" s="106">
        <f t="shared" si="21"/>
        <v>0</v>
      </c>
      <c r="BD38" s="106">
        <f t="shared" si="21"/>
        <v>0</v>
      </c>
      <c r="BE38" s="107">
        <f t="shared" si="31"/>
        <v>4736020.1694023041</v>
      </c>
      <c r="BG38" s="108">
        <f>'Op Cost-25'!E31</f>
        <v>12020724</v>
      </c>
      <c r="BH38" s="109">
        <f t="shared" si="22"/>
        <v>0.3939879302945733</v>
      </c>
      <c r="BI38" s="110">
        <f t="shared" si="23"/>
        <v>3606217.1999999997</v>
      </c>
      <c r="BJ38" s="111">
        <f t="shared" si="24"/>
        <v>1129802.9694023044</v>
      </c>
      <c r="BK38" s="1">
        <f t="shared" si="32"/>
        <v>3.7143793923621673</v>
      </c>
      <c r="BL38" s="294">
        <f t="shared" si="33"/>
        <v>3.5401215951007479</v>
      </c>
      <c r="BM38" s="294">
        <f t="shared" si="34"/>
        <v>4.8887755958375703</v>
      </c>
      <c r="BN38" s="295">
        <f t="shared" si="35"/>
        <v>3.2143101892551753</v>
      </c>
      <c r="BO38" s="114">
        <f t="shared" si="25"/>
        <v>0</v>
      </c>
      <c r="BP38" s="296">
        <f t="shared" si="36"/>
        <v>3.7143793923621673</v>
      </c>
      <c r="BQ38" s="116">
        <f t="shared" si="37"/>
        <v>0.14390791639661929</v>
      </c>
      <c r="BR38" s="297">
        <f t="shared" si="38"/>
        <v>0</v>
      </c>
      <c r="BS38" s="117">
        <f t="shared" si="39"/>
        <v>0</v>
      </c>
      <c r="BT38" s="298">
        <f t="shared" si="40"/>
        <v>3606217.1999999997</v>
      </c>
      <c r="BU38" s="119">
        <f t="shared" si="41"/>
        <v>3606217.1999999997</v>
      </c>
      <c r="BV38" s="119">
        <f t="shared" si="42"/>
        <v>3606217.1999999997</v>
      </c>
      <c r="BW38" s="119">
        <f t="shared" si="43"/>
        <v>0</v>
      </c>
      <c r="BX38" s="120">
        <f t="shared" si="44"/>
        <v>0</v>
      </c>
      <c r="BY38" s="121">
        <f t="shared" si="45"/>
        <v>0</v>
      </c>
      <c r="BZ38" s="299">
        <f t="shared" si="46"/>
        <v>3606217.1999999997</v>
      </c>
      <c r="CA38" s="109">
        <f t="shared" si="26"/>
        <v>0</v>
      </c>
      <c r="CB38" s="123">
        <f t="shared" si="57"/>
        <v>0</v>
      </c>
      <c r="CC38" s="111">
        <f t="shared" si="56"/>
        <v>3606217</v>
      </c>
      <c r="CE38" s="124">
        <f t="shared" si="28"/>
        <v>0</v>
      </c>
      <c r="CF38" s="17"/>
      <c r="CG38" s="108">
        <f t="shared" si="47"/>
        <v>12020724</v>
      </c>
      <c r="CH38" s="125">
        <f t="shared" si="48"/>
        <v>0.29999998336206707</v>
      </c>
      <c r="CI38" s="110">
        <f t="shared" si="49"/>
        <v>3606217.1999999997</v>
      </c>
      <c r="CJ38" s="300">
        <f t="shared" si="50"/>
        <v>0</v>
      </c>
      <c r="CL38" s="127">
        <f t="shared" si="51"/>
        <v>0</v>
      </c>
      <c r="CM38" s="128">
        <f t="shared" si="52"/>
        <v>0</v>
      </c>
      <c r="CN38" s="129">
        <f t="shared" si="53"/>
        <v>0</v>
      </c>
      <c r="CO38" s="130">
        <f t="shared" si="55"/>
        <v>3606217</v>
      </c>
      <c r="CQ38" s="131">
        <f t="shared" si="54"/>
        <v>0.3</v>
      </c>
      <c r="CR38" s="301"/>
    </row>
    <row r="39" spans="1:96">
      <c r="A39" s="133" t="s">
        <v>115</v>
      </c>
      <c r="B39" s="90" t="s">
        <v>117</v>
      </c>
      <c r="C39" s="91">
        <f>'Sizing - Reimb Exp-25'!B32</f>
        <v>2604889</v>
      </c>
      <c r="D39" s="92">
        <f>'Ridership-25'!$E31</f>
        <v>120233</v>
      </c>
      <c r="E39" s="92">
        <f>'Revenue Hours-25'!$E31</f>
        <v>32095</v>
      </c>
      <c r="F39" s="92">
        <f>'Revenue Miles-25'!$E31</f>
        <v>388317</v>
      </c>
      <c r="G39" s="134">
        <f t="shared" si="58"/>
        <v>4.6171945352911758E-3</v>
      </c>
      <c r="H39" s="94">
        <f t="shared" si="59"/>
        <v>4.6171945352911766E-3</v>
      </c>
      <c r="J39" s="95">
        <f>'Ridership-25'!B31/'Revenue Hours-25'!B31</f>
        <v>8.58772210149559</v>
      </c>
      <c r="K39" s="96">
        <f>'Ridership-25'!C31/'Revenue Hours-25'!C31</f>
        <v>3.353975911522431</v>
      </c>
      <c r="L39" s="96">
        <f>'Ridership-25'!D31/'Revenue Hours-25'!D31</f>
        <v>4.039822296622992</v>
      </c>
      <c r="M39" s="96">
        <f>'Ridership-25'!E31/'Revenue Hours-25'!E31</f>
        <v>3.7461598379809939</v>
      </c>
      <c r="N39" s="97">
        <f t="shared" si="2"/>
        <v>0.82355293566047949</v>
      </c>
      <c r="O39" s="98">
        <f t="shared" si="3"/>
        <v>3.8025041140545717E-3</v>
      </c>
      <c r="P39" s="99">
        <f t="shared" si="4"/>
        <v>3.592042349588181E-3</v>
      </c>
      <c r="Q39" s="95">
        <f>'Ridership-25'!B31/'Revenue Miles-25'!B31</f>
        <v>0.78227240838260248</v>
      </c>
      <c r="R39" s="96">
        <f>'Ridership-25'!C31/'Revenue Miles-25'!C31</f>
        <v>0.29134203947124609</v>
      </c>
      <c r="S39" s="96">
        <f>'Ridership-25'!D31/'Revenue Miles-25'!D31</f>
        <v>0.3358526722031458</v>
      </c>
      <c r="T39" s="96">
        <f>'Ridership-25'!E31/'Revenue Miles-25'!E31</f>
        <v>0.30962589842834592</v>
      </c>
      <c r="U39" s="97">
        <f t="shared" si="5"/>
        <v>0.80034342624183574</v>
      </c>
      <c r="V39" s="98">
        <f t="shared" si="6"/>
        <v>3.6953412940000209E-3</v>
      </c>
      <c r="W39" s="99">
        <f t="shared" si="7"/>
        <v>3.5037348092042133E-3</v>
      </c>
      <c r="X39" s="95">
        <f>'Op Cost-25'!B32/'Revenue Hours-25'!B31</f>
        <v>50.245430141889301</v>
      </c>
      <c r="Y39" s="96">
        <f>'Op Cost-25'!C32/'Revenue Hours-25'!C31</f>
        <v>54.975878704341831</v>
      </c>
      <c r="Z39" s="96">
        <f>'Op Cost-25'!D32/'Revenue Hours-25'!D31</f>
        <v>56.597366641985644</v>
      </c>
      <c r="AA39" s="96">
        <f>'Op Cost-25'!E32/'Revenue Hours-25'!E31</f>
        <v>81.316934101885025</v>
      </c>
      <c r="AB39" s="97">
        <f t="shared" si="8"/>
        <v>1.1556230050053564</v>
      </c>
      <c r="AC39" s="98">
        <f t="shared" si="9"/>
        <v>3.9954159057864862E-3</v>
      </c>
      <c r="AD39" s="99">
        <f t="shared" si="10"/>
        <v>4.2621463009328217E-3</v>
      </c>
      <c r="AE39" s="95">
        <f>'Op Cost-25'!B32/'Revenue Miles-25'!B31</f>
        <v>4.5769545384416093</v>
      </c>
      <c r="AF39" s="96">
        <f>'Op Cost-25'!C32/'Revenue Miles-25'!C31</f>
        <v>4.775462032515458</v>
      </c>
      <c r="AG39" s="96">
        <f>'Op Cost-25'!D32/'Revenue Miles-25'!D31</f>
        <v>4.7052507339893959</v>
      </c>
      <c r="AH39" s="96">
        <f>'Op Cost-25'!E32/'Revenue Miles-25'!E31</f>
        <v>6.7209702382331962</v>
      </c>
      <c r="AI39" s="97">
        <f t="shared" si="11"/>
        <v>1.127283500961868</v>
      </c>
      <c r="AJ39" s="98">
        <f t="shared" si="12"/>
        <v>4.0958592327054377E-3</v>
      </c>
      <c r="AK39" s="99">
        <f t="shared" si="13"/>
        <v>4.3590225969523111E-3</v>
      </c>
      <c r="AL39" s="95">
        <f>'Op Cost-25'!B32/'Ridership-25'!B31</f>
        <v>5.8508449095178374</v>
      </c>
      <c r="AM39" s="96">
        <f>'Op Cost-25'!C32/'Ridership-25'!C31</f>
        <v>16.391256274523233</v>
      </c>
      <c r="AN39" s="96">
        <f>'Op Cost-25'!D32/'Ridership-25'!D31</f>
        <v>14.009865406529656</v>
      </c>
      <c r="AO39" s="96">
        <f>'Op Cost-25'!E32/'Ridership-25'!E31</f>
        <v>21.706744404614373</v>
      </c>
      <c r="AP39" s="100">
        <f t="shared" si="14"/>
        <v>1.4225629168992857</v>
      </c>
      <c r="AQ39" s="98">
        <f t="shared" si="15"/>
        <v>3.2456874001433457E-3</v>
      </c>
      <c r="AR39" s="99">
        <f t="shared" si="16"/>
        <v>3.5239375946618636E-3</v>
      </c>
      <c r="AT39" s="101">
        <f t="shared" si="29"/>
        <v>0</v>
      </c>
      <c r="AU39" s="102">
        <f t="shared" si="17"/>
        <v>0</v>
      </c>
      <c r="AV39" s="102">
        <f t="shared" si="18"/>
        <v>0</v>
      </c>
      <c r="AW39" s="102">
        <f t="shared" si="19"/>
        <v>0</v>
      </c>
      <c r="AX39" s="103">
        <f t="shared" si="20"/>
        <v>0</v>
      </c>
      <c r="AY39" s="293">
        <f t="shared" si="30"/>
        <v>-1</v>
      </c>
      <c r="AZ39" s="105">
        <f t="shared" si="21"/>
        <v>0</v>
      </c>
      <c r="BA39" s="106">
        <f t="shared" si="21"/>
        <v>0</v>
      </c>
      <c r="BB39" s="106">
        <f t="shared" si="21"/>
        <v>0</v>
      </c>
      <c r="BC39" s="106">
        <f t="shared" si="21"/>
        <v>0</v>
      </c>
      <c r="BD39" s="106">
        <f t="shared" si="21"/>
        <v>0</v>
      </c>
      <c r="BE39" s="107">
        <f t="shared" si="31"/>
        <v>564408.17066899862</v>
      </c>
      <c r="BG39" s="108">
        <f>'Op Cost-25'!E32</f>
        <v>2609867</v>
      </c>
      <c r="BH39" s="109">
        <f t="shared" si="22"/>
        <v>0.21625936136554033</v>
      </c>
      <c r="BI39" s="110">
        <f t="shared" si="23"/>
        <v>564408.17066899862</v>
      </c>
      <c r="BJ39" s="111">
        <f t="shared" si="24"/>
        <v>0</v>
      </c>
      <c r="BK39" s="1">
        <f t="shared" si="32"/>
        <v>0.4446540194870211</v>
      </c>
      <c r="BL39" s="294">
        <f t="shared" si="33"/>
        <v>0.34994337928630659</v>
      </c>
      <c r="BM39" s="294">
        <f t="shared" si="34"/>
        <v>0.41732281944387561</v>
      </c>
      <c r="BN39" s="295">
        <f t="shared" si="35"/>
        <v>0.50567493960895105</v>
      </c>
      <c r="BO39" s="114">
        <f t="shared" si="25"/>
        <v>564408.17066899862</v>
      </c>
      <c r="BP39" s="296">
        <f t="shared" si="36"/>
        <v>0.4446540194870211</v>
      </c>
      <c r="BQ39" s="116">
        <f t="shared" si="37"/>
        <v>2.05305410887073E-3</v>
      </c>
      <c r="BR39" s="297">
        <f t="shared" si="38"/>
        <v>2.05305410887073E-3</v>
      </c>
      <c r="BS39" s="117">
        <f t="shared" si="39"/>
        <v>2.3169321655377132E-3</v>
      </c>
      <c r="BT39" s="298">
        <f t="shared" si="40"/>
        <v>584321.3094680924</v>
      </c>
      <c r="BU39" s="119">
        <f t="shared" si="41"/>
        <v>782960.1</v>
      </c>
      <c r="BV39" s="119">
        <f t="shared" si="42"/>
        <v>584321.3094680924</v>
      </c>
      <c r="BW39" s="119">
        <f t="shared" si="43"/>
        <v>0</v>
      </c>
      <c r="BX39" s="120">
        <f t="shared" si="44"/>
        <v>2.05305410887073E-3</v>
      </c>
      <c r="BY39" s="121">
        <f t="shared" si="45"/>
        <v>4.1328420425181421E-3</v>
      </c>
      <c r="BZ39" s="299">
        <f t="shared" si="46"/>
        <v>588017.36768881278</v>
      </c>
      <c r="CA39" s="109">
        <f t="shared" si="26"/>
        <v>5.1263552860351747E-3</v>
      </c>
      <c r="CB39" s="123">
        <f t="shared" si="57"/>
        <v>44059.047503704394</v>
      </c>
      <c r="CC39" s="111">
        <f t="shared" si="56"/>
        <v>608467</v>
      </c>
      <c r="CE39" s="124">
        <f t="shared" si="28"/>
        <v>0</v>
      </c>
      <c r="CF39" s="17"/>
      <c r="CG39" s="108">
        <f t="shared" si="47"/>
        <v>2609867</v>
      </c>
      <c r="CH39" s="125">
        <f t="shared" si="48"/>
        <v>0.23314099913903658</v>
      </c>
      <c r="CI39" s="110">
        <f t="shared" si="49"/>
        <v>584321.3094680924</v>
      </c>
      <c r="CJ39" s="300">
        <f t="shared" si="50"/>
        <v>0</v>
      </c>
      <c r="CL39" s="127">
        <f t="shared" si="51"/>
        <v>584321.3094680924</v>
      </c>
      <c r="CM39" s="128">
        <f t="shared" si="52"/>
        <v>6.8026899971734686E-3</v>
      </c>
      <c r="CN39" s="129">
        <f t="shared" si="53"/>
        <v>6083.7404450487793</v>
      </c>
      <c r="CO39" s="130">
        <f t="shared" si="55"/>
        <v>590405</v>
      </c>
      <c r="CQ39" s="131">
        <f t="shared" si="54"/>
        <v>0.22530549169318312</v>
      </c>
      <c r="CR39" s="301"/>
    </row>
    <row r="40" spans="1:96">
      <c r="A40" s="133" t="s">
        <v>115</v>
      </c>
      <c r="B40" s="90" t="s">
        <v>118</v>
      </c>
      <c r="C40" s="91">
        <f>'Sizing - Reimb Exp-25'!B33</f>
        <v>12745096</v>
      </c>
      <c r="D40" s="92">
        <f>'Ridership-25'!$E32</f>
        <v>1287135</v>
      </c>
      <c r="E40" s="92">
        <f>'Revenue Hours-25'!$E32</f>
        <v>141516</v>
      </c>
      <c r="F40" s="92">
        <f>'Revenue Miles-25'!$E32</f>
        <v>2266478</v>
      </c>
      <c r="G40" s="134">
        <f t="shared" si="58"/>
        <v>2.8104578816997367E-2</v>
      </c>
      <c r="H40" s="94">
        <f t="shared" si="59"/>
        <v>2.8104578816997371E-2</v>
      </c>
      <c r="J40" s="95">
        <f>'Ridership-25'!B32/'Revenue Hours-25'!B32</f>
        <v>13.061303342191943</v>
      </c>
      <c r="K40" s="96">
        <f>'Ridership-25'!C32/'Revenue Hours-25'!C32</f>
        <v>7.5369057433360815</v>
      </c>
      <c r="L40" s="96">
        <f>'Ridership-25'!D32/'Revenue Hours-25'!D32</f>
        <v>7.2816302952503209</v>
      </c>
      <c r="M40" s="96">
        <f>'Ridership-25'!E32/'Revenue Hours-25'!E32</f>
        <v>9.0953319765962863</v>
      </c>
      <c r="N40" s="97">
        <f t="shared" si="2"/>
        <v>0.97259602799562239</v>
      </c>
      <c r="O40" s="98">
        <f t="shared" si="3"/>
        <v>2.7334401725901552E-2</v>
      </c>
      <c r="P40" s="99">
        <f t="shared" si="4"/>
        <v>2.5821491747289538E-2</v>
      </c>
      <c r="Q40" s="95">
        <f>'Ridership-25'!B32/'Revenue Miles-25'!B32</f>
        <v>0.76270122520155903</v>
      </c>
      <c r="R40" s="96">
        <f>'Ridership-25'!C32/'Revenue Miles-25'!C32</f>
        <v>0.4322966250764449</v>
      </c>
      <c r="S40" s="96">
        <f>'Ridership-25'!D32/'Revenue Miles-25'!D32</f>
        <v>0.43926607650153893</v>
      </c>
      <c r="T40" s="96">
        <f>'Ridership-25'!E32/'Revenue Miles-25'!E32</f>
        <v>0.56790094587284767</v>
      </c>
      <c r="U40" s="97">
        <f t="shared" si="5"/>
        <v>0.99166885616900835</v>
      </c>
      <c r="V40" s="98">
        <f t="shared" si="6"/>
        <v>2.7870435528563525E-2</v>
      </c>
      <c r="W40" s="99">
        <f t="shared" si="7"/>
        <v>2.6425330528376707E-2</v>
      </c>
      <c r="X40" s="95">
        <f>'Op Cost-25'!B33/'Revenue Hours-25'!B32</f>
        <v>69.193957147306961</v>
      </c>
      <c r="Y40" s="96">
        <f>'Op Cost-25'!C33/'Revenue Hours-25'!C32</f>
        <v>71.568899422918378</v>
      </c>
      <c r="Z40" s="96">
        <f>'Op Cost-25'!D33/'Revenue Hours-25'!D32</f>
        <v>68.191964056482675</v>
      </c>
      <c r="AA40" s="96">
        <f>'Op Cost-25'!E33/'Revenue Hours-25'!E32</f>
        <v>90.06116622855366</v>
      </c>
      <c r="AB40" s="97">
        <f t="shared" si="8"/>
        <v>1.0722259277819035</v>
      </c>
      <c r="AC40" s="98">
        <f t="shared" si="9"/>
        <v>2.6211433699553286E-2</v>
      </c>
      <c r="AD40" s="99">
        <f t="shared" si="10"/>
        <v>2.7961285588040875E-2</v>
      </c>
      <c r="AE40" s="95">
        <f>'Op Cost-25'!B33/'Revenue Miles-25'!B32</f>
        <v>4.0405091674364728</v>
      </c>
      <c r="AF40" s="96">
        <f>'Op Cost-25'!C33/'Revenue Miles-25'!C32</f>
        <v>4.104999416812201</v>
      </c>
      <c r="AG40" s="96">
        <f>'Op Cost-25'!D33/'Revenue Miles-25'!D32</f>
        <v>4.1136964231161048</v>
      </c>
      <c r="AH40" s="96">
        <f>'Op Cost-25'!E33/'Revenue Miles-25'!E32</f>
        <v>5.6233045279945362</v>
      </c>
      <c r="AI40" s="97">
        <f t="shared" si="11"/>
        <v>1.1036725581218729</v>
      </c>
      <c r="AJ40" s="98">
        <f t="shared" si="12"/>
        <v>2.5464598725570494E-2</v>
      </c>
      <c r="AK40" s="99">
        <f t="shared" si="13"/>
        <v>2.7100726602306956E-2</v>
      </c>
      <c r="AL40" s="95">
        <f>'Op Cost-25'!B33/'Ridership-25'!B32</f>
        <v>5.2976303615726961</v>
      </c>
      <c r="AM40" s="96">
        <f>'Op Cost-25'!C33/'Ridership-25'!C32</f>
        <v>9.4957933481120662</v>
      </c>
      <c r="AN40" s="96">
        <f>'Op Cost-25'!D33/'Ridership-25'!D32</f>
        <v>9.3649308316247648</v>
      </c>
      <c r="AO40" s="96">
        <f>'Op Cost-25'!E33/'Ridership-25'!E32</f>
        <v>9.9019108329740089</v>
      </c>
      <c r="AP40" s="97">
        <f t="shared" si="14"/>
        <v>1.1267330999760947</v>
      </c>
      <c r="AQ40" s="98">
        <f t="shared" si="15"/>
        <v>2.4943421665338181E-2</v>
      </c>
      <c r="AR40" s="99">
        <f t="shared" si="16"/>
        <v>2.7081801328774417E-2</v>
      </c>
      <c r="AT40" s="101">
        <f t="shared" si="29"/>
        <v>0</v>
      </c>
      <c r="AU40" s="102">
        <f t="shared" si="17"/>
        <v>0</v>
      </c>
      <c r="AV40" s="102">
        <f t="shared" si="18"/>
        <v>0</v>
      </c>
      <c r="AW40" s="102">
        <f t="shared" si="19"/>
        <v>0</v>
      </c>
      <c r="AX40" s="103">
        <f t="shared" si="20"/>
        <v>0</v>
      </c>
      <c r="AY40" s="293">
        <f t="shared" si="30"/>
        <v>-1</v>
      </c>
      <c r="AZ40" s="105">
        <f t="shared" si="21"/>
        <v>0</v>
      </c>
      <c r="BA40" s="106">
        <f t="shared" si="21"/>
        <v>0</v>
      </c>
      <c r="BB40" s="106">
        <f t="shared" si="21"/>
        <v>0</v>
      </c>
      <c r="BC40" s="106">
        <f t="shared" si="21"/>
        <v>0</v>
      </c>
      <c r="BD40" s="106">
        <f t="shared" si="21"/>
        <v>0</v>
      </c>
      <c r="BE40" s="107">
        <f t="shared" si="31"/>
        <v>3435517.7795262272</v>
      </c>
      <c r="BG40" s="108">
        <f>'Op Cost-25'!E33</f>
        <v>12745096</v>
      </c>
      <c r="BH40" s="109">
        <f t="shared" si="22"/>
        <v>0.26955605352256484</v>
      </c>
      <c r="BI40" s="110">
        <f t="shared" si="23"/>
        <v>3435517.7795262272</v>
      </c>
      <c r="BJ40" s="111">
        <f t="shared" si="24"/>
        <v>0</v>
      </c>
      <c r="BK40" s="1">
        <f t="shared" si="32"/>
        <v>0.95803052927353283</v>
      </c>
      <c r="BL40" s="294">
        <f t="shared" si="33"/>
        <v>0.84963038024995641</v>
      </c>
      <c r="BM40" s="294">
        <f t="shared" si="34"/>
        <v>0.76543346373639032</v>
      </c>
      <c r="BN40" s="295">
        <f t="shared" si="35"/>
        <v>1.1085291365538923</v>
      </c>
      <c r="BO40" s="114">
        <f t="shared" si="25"/>
        <v>3435517.7795262272</v>
      </c>
      <c r="BP40" s="296">
        <f t="shared" si="36"/>
        <v>0.95803052927353283</v>
      </c>
      <c r="BQ40" s="116">
        <f t="shared" si="37"/>
        <v>2.6925044519057709E-2</v>
      </c>
      <c r="BR40" s="297">
        <f t="shared" si="38"/>
        <v>2.6925044519057709E-2</v>
      </c>
      <c r="BS40" s="302">
        <f t="shared" si="39"/>
        <v>3.0385707534543924E-2</v>
      </c>
      <c r="BT40" s="298">
        <f t="shared" si="40"/>
        <v>3696671.2222743528</v>
      </c>
      <c r="BU40" s="119">
        <f t="shared" si="41"/>
        <v>3823528.8</v>
      </c>
      <c r="BV40" s="119">
        <f t="shared" si="42"/>
        <v>3696671.2222743528</v>
      </c>
      <c r="BW40" s="119">
        <f t="shared" si="43"/>
        <v>0</v>
      </c>
      <c r="BX40" s="120">
        <f t="shared" si="44"/>
        <v>2.6925044519057709E-2</v>
      </c>
      <c r="BY40" s="121">
        <f t="shared" si="45"/>
        <v>5.4200693252182026E-2</v>
      </c>
      <c r="BZ40" s="299">
        <f t="shared" si="46"/>
        <v>3745143.657417655</v>
      </c>
      <c r="CA40" s="109">
        <f t="shared" si="26"/>
        <v>3.1203808953486262E-2</v>
      </c>
      <c r="CB40" s="123">
        <f t="shared" si="57"/>
        <v>268184.70907065697</v>
      </c>
      <c r="CC40" s="111">
        <f t="shared" si="56"/>
        <v>3703702</v>
      </c>
      <c r="CE40" s="124">
        <f t="shared" si="28"/>
        <v>0</v>
      </c>
      <c r="CF40" s="17"/>
      <c r="CG40" s="108">
        <f t="shared" si="47"/>
        <v>12745096</v>
      </c>
      <c r="CH40" s="125">
        <f t="shared" si="48"/>
        <v>0.29059820341878945</v>
      </c>
      <c r="CI40" s="110">
        <f t="shared" si="49"/>
        <v>3696671.2222743528</v>
      </c>
      <c r="CJ40" s="300">
        <f t="shared" si="50"/>
        <v>0</v>
      </c>
      <c r="CL40" s="127">
        <f t="shared" si="51"/>
        <v>3696671.2222743528</v>
      </c>
      <c r="CM40" s="128">
        <f t="shared" si="52"/>
        <v>4.3036781200905289E-2</v>
      </c>
      <c r="CN40" s="129">
        <f t="shared" si="53"/>
        <v>38488.393051197563</v>
      </c>
      <c r="CO40" s="130">
        <f t="shared" si="55"/>
        <v>3735160</v>
      </c>
      <c r="CQ40" s="131">
        <f t="shared" si="54"/>
        <v>0.29384978013642699</v>
      </c>
      <c r="CR40" s="301"/>
    </row>
    <row r="41" spans="1:96">
      <c r="A41" s="133" t="s">
        <v>115</v>
      </c>
      <c r="B41" s="90" t="s">
        <v>119</v>
      </c>
      <c r="C41" s="91">
        <f>'Sizing - Reimb Exp-25'!B34</f>
        <v>736481</v>
      </c>
      <c r="D41" s="92">
        <f>'Ridership-25'!$E33</f>
        <v>27254</v>
      </c>
      <c r="E41" s="92">
        <f>'Revenue Hours-25'!$E33</f>
        <v>18878</v>
      </c>
      <c r="F41" s="92">
        <f>'Revenue Miles-25'!$E33</f>
        <v>227896</v>
      </c>
      <c r="G41" s="134">
        <f t="shared" si="58"/>
        <v>1.8632723851484084E-3</v>
      </c>
      <c r="H41" s="94">
        <f t="shared" si="59"/>
        <v>1.8632723851484086E-3</v>
      </c>
      <c r="J41" s="95">
        <f>'Ridership-25'!B33/'Revenue Hours-25'!B33</f>
        <v>3.4694402420574888</v>
      </c>
      <c r="K41" s="96">
        <f>'Ridership-25'!C33/'Revenue Hours-25'!C33</f>
        <v>2.0660778541053322</v>
      </c>
      <c r="L41" s="96">
        <f>'Ridership-25'!D33/'Revenue Hours-25'!D33</f>
        <v>1.5442640125720273</v>
      </c>
      <c r="M41" s="96">
        <f>'Ridership-25'!E33/'Revenue Hours-25'!E33</f>
        <v>1.4436910689691704</v>
      </c>
      <c r="N41" s="97">
        <f t="shared" si="2"/>
        <v>0.84040025493262005</v>
      </c>
      <c r="O41" s="98">
        <f t="shared" si="3"/>
        <v>1.5658945874876336E-3</v>
      </c>
      <c r="P41" s="99">
        <f t="shared" si="4"/>
        <v>1.4792251381021836E-3</v>
      </c>
      <c r="Q41" s="95">
        <f>'Ridership-25'!B33/'Revenue Miles-25'!B33</f>
        <v>0.3128535569419939</v>
      </c>
      <c r="R41" s="96">
        <f>'Ridership-25'!C33/'Revenue Miles-25'!C33</f>
        <v>0.17929853281414856</v>
      </c>
      <c r="S41" s="96">
        <f>'Ridership-25'!D33/'Revenue Miles-25'!D33</f>
        <v>0.13392938268912755</v>
      </c>
      <c r="T41" s="96">
        <f>'Ridership-25'!E33/'Revenue Miles-25'!E33</f>
        <v>0.11958963737845332</v>
      </c>
      <c r="U41" s="97">
        <f t="shared" si="5"/>
        <v>0.8130013884664985</v>
      </c>
      <c r="V41" s="98">
        <f t="shared" si="6"/>
        <v>1.5148430362169406E-3</v>
      </c>
      <c r="W41" s="99">
        <f t="shared" si="7"/>
        <v>1.4362971791243332E-3</v>
      </c>
      <c r="X41" s="95">
        <f>'Op Cost-25'!B34/'Revenue Hours-25'!B33</f>
        <v>37.011396873424104</v>
      </c>
      <c r="Y41" s="96">
        <f>'Op Cost-25'!C34/'Revenue Hours-25'!C33</f>
        <v>43.551303020390364</v>
      </c>
      <c r="Z41" s="96">
        <f>'Op Cost-25'!D34/'Revenue Hours-25'!D33</f>
        <v>41.282399161864852</v>
      </c>
      <c r="AA41" s="96">
        <f>'Op Cost-25'!E34/'Revenue Hours-25'!E33</f>
        <v>39.012660239432144</v>
      </c>
      <c r="AB41" s="97">
        <f t="shared" si="8"/>
        <v>0.97493531099601194</v>
      </c>
      <c r="AC41" s="98">
        <f t="shared" si="9"/>
        <v>1.9111754022375653E-3</v>
      </c>
      <c r="AD41" s="99">
        <f t="shared" si="10"/>
        <v>2.0387637640635506E-3</v>
      </c>
      <c r="AE41" s="95">
        <f>'Op Cost-25'!B34/'Revenue Miles-25'!B33</f>
        <v>3.3374683958746383</v>
      </c>
      <c r="AF41" s="96">
        <f>'Op Cost-25'!C34/'Revenue Miles-25'!C33</f>
        <v>3.7794726458078038</v>
      </c>
      <c r="AG41" s="96">
        <f>'Op Cost-25'!D34/'Revenue Miles-25'!D33</f>
        <v>3.5802985698449907</v>
      </c>
      <c r="AH41" s="96">
        <f>'Op Cost-25'!E34/'Revenue Miles-25'!E33</f>
        <v>3.2316539123108785</v>
      </c>
      <c r="AI41" s="97">
        <f t="shared" si="11"/>
        <v>0.95024092814342698</v>
      </c>
      <c r="AJ41" s="98">
        <f t="shared" si="12"/>
        <v>1.9608420664313578E-3</v>
      </c>
      <c r="AK41" s="99">
        <f t="shared" si="13"/>
        <v>2.0868282797363545E-3</v>
      </c>
      <c r="AL41" s="95">
        <f>'Op Cost-25'!B34/'Ridership-25'!B33</f>
        <v>10.667829474265615</v>
      </c>
      <c r="AM41" s="96">
        <f>'Op Cost-25'!C34/'Ridership-25'!C33</f>
        <v>21.079216803884314</v>
      </c>
      <c r="AN41" s="96">
        <f>'Op Cost-25'!D34/'Ridership-25'!D33</f>
        <v>26.732734056987788</v>
      </c>
      <c r="AO41" s="96">
        <f>'Op Cost-25'!E34/'Ridership-25'!E33</f>
        <v>27.022859029867174</v>
      </c>
      <c r="AP41" s="100">
        <f t="shared" si="14"/>
        <v>1.2534142474100449</v>
      </c>
      <c r="AQ41" s="98">
        <f t="shared" si="15"/>
        <v>1.4865575279669318E-3</v>
      </c>
      <c r="AR41" s="99">
        <f t="shared" si="16"/>
        <v>1.613998920290018E-3</v>
      </c>
      <c r="AT41" s="101">
        <f t="shared" si="29"/>
        <v>0</v>
      </c>
      <c r="AU41" s="102">
        <f t="shared" si="17"/>
        <v>0</v>
      </c>
      <c r="AV41" s="102">
        <f t="shared" si="18"/>
        <v>0</v>
      </c>
      <c r="AW41" s="102">
        <f t="shared" si="19"/>
        <v>0</v>
      </c>
      <c r="AX41" s="103">
        <f t="shared" si="20"/>
        <v>0</v>
      </c>
      <c r="AY41" s="293">
        <f t="shared" si="30"/>
        <v>-1</v>
      </c>
      <c r="AZ41" s="105">
        <f t="shared" si="21"/>
        <v>0</v>
      </c>
      <c r="BA41" s="106">
        <f t="shared" si="21"/>
        <v>0</v>
      </c>
      <c r="BB41" s="106">
        <f t="shared" si="21"/>
        <v>0</v>
      </c>
      <c r="BC41" s="106">
        <f t="shared" si="21"/>
        <v>0</v>
      </c>
      <c r="BD41" s="106">
        <f t="shared" si="21"/>
        <v>0</v>
      </c>
      <c r="BE41" s="107">
        <f t="shared" si="31"/>
        <v>227767.34883520659</v>
      </c>
      <c r="BG41" s="108">
        <f>'Op Cost-25'!E34</f>
        <v>736481</v>
      </c>
      <c r="BH41" s="109">
        <f t="shared" si="22"/>
        <v>0.30926439220456003</v>
      </c>
      <c r="BI41" s="110">
        <f t="shared" si="23"/>
        <v>220944.3</v>
      </c>
      <c r="BJ41" s="111">
        <f t="shared" si="24"/>
        <v>6823.0488352066022</v>
      </c>
      <c r="BK41" s="1">
        <f t="shared" si="32"/>
        <v>0.27710942103608438</v>
      </c>
      <c r="BL41" s="294">
        <f t="shared" si="33"/>
        <v>0.13486080497644132</v>
      </c>
      <c r="BM41" s="294">
        <f t="shared" si="34"/>
        <v>0.16118640236613313</v>
      </c>
      <c r="BN41" s="295">
        <f t="shared" si="35"/>
        <v>0.40619523840088151</v>
      </c>
      <c r="BO41" s="114">
        <f t="shared" si="25"/>
        <v>0</v>
      </c>
      <c r="BP41" s="296">
        <f t="shared" si="36"/>
        <v>0.27710942103608438</v>
      </c>
      <c r="BQ41" s="116">
        <f t="shared" si="37"/>
        <v>5.1633033188099953E-4</v>
      </c>
      <c r="BR41" s="297">
        <f t="shared" si="38"/>
        <v>0</v>
      </c>
      <c r="BS41" s="117">
        <f t="shared" si="39"/>
        <v>0</v>
      </c>
      <c r="BT41" s="298">
        <f t="shared" si="40"/>
        <v>220944.3</v>
      </c>
      <c r="BU41" s="119">
        <f t="shared" si="41"/>
        <v>220944.3</v>
      </c>
      <c r="BV41" s="119">
        <f t="shared" si="42"/>
        <v>220944.3</v>
      </c>
      <c r="BW41" s="119">
        <f t="shared" si="43"/>
        <v>0</v>
      </c>
      <c r="BX41" s="120">
        <f t="shared" si="44"/>
        <v>0</v>
      </c>
      <c r="BY41" s="121">
        <f t="shared" si="45"/>
        <v>0</v>
      </c>
      <c r="BZ41" s="299">
        <f t="shared" si="46"/>
        <v>220944.3</v>
      </c>
      <c r="CA41" s="109">
        <f t="shared" si="26"/>
        <v>0</v>
      </c>
      <c r="CB41" s="123">
        <f t="shared" si="57"/>
        <v>0</v>
      </c>
      <c r="CC41" s="111">
        <f t="shared" si="56"/>
        <v>220944</v>
      </c>
      <c r="CE41" s="124">
        <f t="shared" si="28"/>
        <v>0</v>
      </c>
      <c r="CF41" s="17"/>
      <c r="CG41" s="108">
        <f t="shared" si="47"/>
        <v>736481</v>
      </c>
      <c r="CH41" s="125">
        <f t="shared" si="48"/>
        <v>0.29999959265751597</v>
      </c>
      <c r="CI41" s="110">
        <f t="shared" si="49"/>
        <v>220944.3</v>
      </c>
      <c r="CJ41" s="300">
        <f t="shared" si="50"/>
        <v>0</v>
      </c>
      <c r="CL41" s="127">
        <f t="shared" si="51"/>
        <v>0</v>
      </c>
      <c r="CM41" s="128">
        <f t="shared" si="52"/>
        <v>0</v>
      </c>
      <c r="CN41" s="129">
        <f t="shared" si="53"/>
        <v>0</v>
      </c>
      <c r="CO41" s="130">
        <f t="shared" si="55"/>
        <v>220944</v>
      </c>
      <c r="CQ41" s="131">
        <f t="shared" si="54"/>
        <v>0.3</v>
      </c>
      <c r="CR41" s="301"/>
    </row>
    <row r="42" spans="1:96">
      <c r="A42" s="133" t="s">
        <v>120</v>
      </c>
      <c r="B42" s="90" t="s">
        <v>121</v>
      </c>
      <c r="C42" s="91">
        <f>'Sizing - Reimb Exp-25'!B35</f>
        <v>2068694</v>
      </c>
      <c r="D42" s="92">
        <f>'Ridership-25'!$E34</f>
        <v>196967</v>
      </c>
      <c r="E42" s="92">
        <f>'Revenue Hours-25'!$E34</f>
        <v>37781</v>
      </c>
      <c r="F42" s="92">
        <f>'Revenue Miles-25'!$E34</f>
        <v>740596</v>
      </c>
      <c r="G42" s="134">
        <f t="shared" si="58"/>
        <v>5.8512263302081102E-3</v>
      </c>
      <c r="H42" s="94">
        <f t="shared" si="59"/>
        <v>5.851226330208111E-3</v>
      </c>
      <c r="J42" s="95">
        <f>'Ridership-25'!B34/'Revenue Hours-25'!B34</f>
        <v>8.9718507404266425</v>
      </c>
      <c r="K42" s="96">
        <f>'Ridership-25'!C34/'Revenue Hours-25'!C34</f>
        <v>4.4820247253569612</v>
      </c>
      <c r="L42" s="96">
        <f>'Ridership-25'!D34/'Revenue Hours-25'!D34</f>
        <v>4.4056907707718551</v>
      </c>
      <c r="M42" s="96">
        <f>'Ridership-25'!E34/'Revenue Hours-25'!E34</f>
        <v>5.2133876816389186</v>
      </c>
      <c r="N42" s="97">
        <f t="shared" si="2"/>
        <v>0.90835246138830117</v>
      </c>
      <c r="O42" s="98">
        <f t="shared" si="3"/>
        <v>5.3149758391845747E-3</v>
      </c>
      <c r="P42" s="99">
        <f t="shared" si="4"/>
        <v>5.0208014846910383E-3</v>
      </c>
      <c r="Q42" s="95">
        <f>'Ridership-25'!B34/'Revenue Miles-25'!B34</f>
        <v>0.47298136165339449</v>
      </c>
      <c r="R42" s="96">
        <f>'Ridership-25'!C34/'Revenue Miles-25'!C34</f>
        <v>0.24753017027607868</v>
      </c>
      <c r="S42" s="96">
        <f>'Ridership-25'!D34/'Revenue Miles-25'!D34</f>
        <v>0.22914428374898088</v>
      </c>
      <c r="T42" s="96">
        <f>'Ridership-25'!E34/'Revenue Miles-25'!E34</f>
        <v>0.26595741807949275</v>
      </c>
      <c r="U42" s="97">
        <f t="shared" si="5"/>
        <v>0.90311901263706085</v>
      </c>
      <c r="V42" s="98">
        <f t="shared" si="6"/>
        <v>5.2843537460535222E-3</v>
      </c>
      <c r="W42" s="99">
        <f t="shared" si="7"/>
        <v>5.0103556589640138E-3</v>
      </c>
      <c r="X42" s="95">
        <f>'Op Cost-25'!B35/'Revenue Hours-25'!B34</f>
        <v>69.175941026811927</v>
      </c>
      <c r="Y42" s="96">
        <f>'Op Cost-25'!C35/'Revenue Hours-25'!C34</f>
        <v>68.510851019247468</v>
      </c>
      <c r="Z42" s="96">
        <f>'Op Cost-25'!D35/'Revenue Hours-25'!D34</f>
        <v>68.297046322116032</v>
      </c>
      <c r="AA42" s="96">
        <f>'Op Cost-25'!E35/'Revenue Hours-25'!E34</f>
        <v>80.659776077922771</v>
      </c>
      <c r="AB42" s="97">
        <f t="shared" si="8"/>
        <v>1.0248673110642346</v>
      </c>
      <c r="AC42" s="98">
        <f t="shared" si="9"/>
        <v>5.7092525705909457E-3</v>
      </c>
      <c r="AD42" s="99">
        <f t="shared" si="10"/>
        <v>6.0903971698148887E-3</v>
      </c>
      <c r="AE42" s="95">
        <f>'Op Cost-25'!B35/'Revenue Miles-25'!B34</f>
        <v>3.6468429677599077</v>
      </c>
      <c r="AF42" s="96">
        <f>'Op Cost-25'!C35/'Revenue Miles-25'!C34</f>
        <v>3.7836700281038187</v>
      </c>
      <c r="AG42" s="96">
        <f>'Op Cost-25'!D35/'Revenue Miles-25'!D34</f>
        <v>3.5521961426517614</v>
      </c>
      <c r="AH42" s="96">
        <f>'Op Cost-25'!E35/'Revenue Miles-25'!E34</f>
        <v>4.1148034826005002</v>
      </c>
      <c r="AI42" s="97">
        <f t="shared" si="11"/>
        <v>1.0132979492896574</v>
      </c>
      <c r="AJ42" s="98">
        <f t="shared" si="12"/>
        <v>5.7744381445851535E-3</v>
      </c>
      <c r="AK42" s="99">
        <f t="shared" si="13"/>
        <v>6.145452010645377E-3</v>
      </c>
      <c r="AL42" s="95">
        <f>'Op Cost-25'!B35/'Ridership-25'!B34</f>
        <v>7.7103312380252964</v>
      </c>
      <c r="AM42" s="96">
        <f>'Op Cost-25'!C35/'Ridership-25'!C34</f>
        <v>15.285692341599267</v>
      </c>
      <c r="AN42" s="96">
        <f>'Op Cost-25'!D35/'Ridership-25'!D34</f>
        <v>15.502006353966314</v>
      </c>
      <c r="AO42" s="96">
        <f>'Op Cost-25'!E35/'Ridership-25'!E34</f>
        <v>15.471662765844025</v>
      </c>
      <c r="AP42" s="100">
        <f t="shared" si="14"/>
        <v>1.1399698582123643</v>
      </c>
      <c r="AQ42" s="98">
        <f t="shared" si="15"/>
        <v>5.1327903874438139E-3</v>
      </c>
      <c r="AR42" s="99">
        <f t="shared" si="16"/>
        <v>5.5728204173431635E-3</v>
      </c>
      <c r="AT42" s="101">
        <f t="shared" si="29"/>
        <v>0</v>
      </c>
      <c r="AU42" s="102">
        <f t="shared" si="17"/>
        <v>0</v>
      </c>
      <c r="AV42" s="102">
        <f t="shared" si="18"/>
        <v>0</v>
      </c>
      <c r="AW42" s="102">
        <f t="shared" si="19"/>
        <v>0</v>
      </c>
      <c r="AX42" s="103">
        <f t="shared" si="20"/>
        <v>0</v>
      </c>
      <c r="AY42" s="293">
        <f t="shared" si="30"/>
        <v>-1</v>
      </c>
      <c r="AZ42" s="105">
        <f t="shared" si="21"/>
        <v>0</v>
      </c>
      <c r="BA42" s="106">
        <f t="shared" si="21"/>
        <v>0</v>
      </c>
      <c r="BB42" s="106">
        <f t="shared" si="21"/>
        <v>0</v>
      </c>
      <c r="BC42" s="106">
        <f t="shared" si="21"/>
        <v>0</v>
      </c>
      <c r="BD42" s="106">
        <f t="shared" si="21"/>
        <v>0</v>
      </c>
      <c r="BE42" s="107">
        <f t="shared" si="31"/>
        <v>715256.83485085634</v>
      </c>
      <c r="BG42" s="108">
        <f>'Op Cost-25'!E35</f>
        <v>3047407</v>
      </c>
      <c r="BH42" s="109">
        <f t="shared" si="22"/>
        <v>0.2347099796157377</v>
      </c>
      <c r="BI42" s="110">
        <f t="shared" si="23"/>
        <v>715256.83485085634</v>
      </c>
      <c r="BJ42" s="111">
        <f t="shared" si="24"/>
        <v>0</v>
      </c>
      <c r="BK42" s="1">
        <f t="shared" si="32"/>
        <v>0.56609799877471101</v>
      </c>
      <c r="BL42" s="294">
        <f t="shared" si="33"/>
        <v>0.48700284604663008</v>
      </c>
      <c r="BM42" s="294">
        <f t="shared" si="34"/>
        <v>0.35846516757264407</v>
      </c>
      <c r="BN42" s="295">
        <f t="shared" si="35"/>
        <v>0.709461990739785</v>
      </c>
      <c r="BO42" s="114">
        <f t="shared" si="25"/>
        <v>715256.83485085634</v>
      </c>
      <c r="BP42" s="296">
        <f t="shared" si="36"/>
        <v>0.56609799877471101</v>
      </c>
      <c r="BQ42" s="116">
        <f t="shared" si="37"/>
        <v>3.3123675159087082E-3</v>
      </c>
      <c r="BR42" s="297">
        <f t="shared" si="38"/>
        <v>3.3123675159087082E-3</v>
      </c>
      <c r="BS42" s="117">
        <f t="shared" si="39"/>
        <v>3.7381045187905287E-3</v>
      </c>
      <c r="BT42" s="298">
        <f t="shared" si="40"/>
        <v>747384.40217258676</v>
      </c>
      <c r="BU42" s="119">
        <f t="shared" si="41"/>
        <v>914222.1</v>
      </c>
      <c r="BV42" s="119">
        <f t="shared" si="42"/>
        <v>747384.40217258676</v>
      </c>
      <c r="BW42" s="119">
        <f t="shared" si="43"/>
        <v>0</v>
      </c>
      <c r="BX42" s="120">
        <f t="shared" si="44"/>
        <v>3.3123675159087082E-3</v>
      </c>
      <c r="BY42" s="121">
        <f t="shared" si="45"/>
        <v>6.6678669942842918E-3</v>
      </c>
      <c r="BZ42" s="299">
        <f t="shared" si="46"/>
        <v>753347.56852768874</v>
      </c>
      <c r="CA42" s="109">
        <f t="shared" si="26"/>
        <v>6.4964698364737457E-3</v>
      </c>
      <c r="CB42" s="123">
        <f t="shared" si="57"/>
        <v>55834.653893634859</v>
      </c>
      <c r="CC42" s="111">
        <f t="shared" si="56"/>
        <v>771091</v>
      </c>
      <c r="CE42" s="124">
        <f t="shared" si="28"/>
        <v>0</v>
      </c>
      <c r="CF42" s="17"/>
      <c r="CG42" s="108">
        <f t="shared" si="47"/>
        <v>3047407</v>
      </c>
      <c r="CH42" s="125">
        <f t="shared" si="48"/>
        <v>0.25303183985598249</v>
      </c>
      <c r="CI42" s="110">
        <f t="shared" si="49"/>
        <v>747384.40217258676</v>
      </c>
      <c r="CJ42" s="300">
        <f t="shared" si="50"/>
        <v>0</v>
      </c>
      <c r="CL42" s="127">
        <f t="shared" si="51"/>
        <v>747384.40217258676</v>
      </c>
      <c r="CM42" s="128">
        <f t="shared" si="52"/>
        <v>8.7010764699495518E-3</v>
      </c>
      <c r="CN42" s="129">
        <f t="shared" si="53"/>
        <v>7781.4939175074842</v>
      </c>
      <c r="CO42" s="130">
        <f t="shared" si="55"/>
        <v>755166</v>
      </c>
      <c r="CQ42" s="131">
        <f t="shared" si="54"/>
        <v>0.2472093712876845</v>
      </c>
      <c r="CR42" s="301"/>
    </row>
    <row r="43" spans="1:96">
      <c r="A43" s="133" t="s">
        <v>120</v>
      </c>
      <c r="B43" s="90" t="s">
        <v>122</v>
      </c>
      <c r="C43" s="91">
        <f>'Sizing - Reimb Exp-25'!B36</f>
        <v>6482376</v>
      </c>
      <c r="D43" s="92">
        <f>'Ridership-25'!$E35</f>
        <v>1522746</v>
      </c>
      <c r="E43" s="92">
        <f>'Revenue Hours-25'!$E35</f>
        <v>72014</v>
      </c>
      <c r="F43" s="92">
        <f>'Revenue Miles-25'!$E35</f>
        <v>723645</v>
      </c>
      <c r="G43" s="134">
        <f t="shared" si="58"/>
        <v>1.969668618813409E-2</v>
      </c>
      <c r="H43" s="94">
        <f t="shared" si="59"/>
        <v>1.9696686188134093E-2</v>
      </c>
      <c r="J43" s="95">
        <f>'Ridership-25'!B35/'Revenue Hours-25'!B35</f>
        <v>28.025032050011234</v>
      </c>
      <c r="K43" s="96">
        <f>'Ridership-25'!C35/'Revenue Hours-25'!C35</f>
        <v>6.5232631919715116</v>
      </c>
      <c r="L43" s="96">
        <f>'Ridership-25'!D35/'Revenue Hours-25'!D35</f>
        <v>18.24961092626382</v>
      </c>
      <c r="M43" s="96">
        <f>'Ridership-25'!E35/'Revenue Hours-25'!E35</f>
        <v>21.145138445302301</v>
      </c>
      <c r="N43" s="97">
        <f t="shared" si="2"/>
        <v>1.1978340749715837</v>
      </c>
      <c r="O43" s="98">
        <f t="shared" si="3"/>
        <v>2.359336188016917E-2</v>
      </c>
      <c r="P43" s="99">
        <f t="shared" si="4"/>
        <v>2.2287511729306396E-2</v>
      </c>
      <c r="Q43" s="95">
        <f>'Ridership-25'!B35/'Revenue Miles-25'!B35</f>
        <v>2.8699282943585609</v>
      </c>
      <c r="R43" s="96">
        <f>'Ridership-25'!C35/'Revenue Miles-25'!C35</f>
        <v>0.66929775146545356</v>
      </c>
      <c r="S43" s="96">
        <f>'Ridership-25'!D35/'Revenue Miles-25'!D35</f>
        <v>1.8049204125068334</v>
      </c>
      <c r="T43" s="96">
        <f>'Ridership-25'!E35/'Revenue Miles-25'!E35</f>
        <v>2.1042721223804488</v>
      </c>
      <c r="U43" s="97">
        <f t="shared" si="5"/>
        <v>1.1884918056903948</v>
      </c>
      <c r="V43" s="98">
        <f t="shared" si="6"/>
        <v>2.3409350133852549E-2</v>
      </c>
      <c r="W43" s="99">
        <f t="shared" si="7"/>
        <v>2.2195556079759496E-2</v>
      </c>
      <c r="X43" s="95">
        <f>'Op Cost-25'!B36/'Revenue Hours-25'!B35</f>
        <v>65.071448396177786</v>
      </c>
      <c r="Y43" s="96">
        <f>'Op Cost-25'!C36/'Revenue Hours-25'!C35</f>
        <v>76.682473292327614</v>
      </c>
      <c r="Z43" s="96">
        <f>'Op Cost-25'!D36/'Revenue Hours-25'!D35</f>
        <v>79.970349898035849</v>
      </c>
      <c r="AA43" s="96">
        <f>'Op Cost-25'!E36/'Revenue Hours-25'!E35</f>
        <v>91.352487016413477</v>
      </c>
      <c r="AB43" s="97">
        <f t="shared" si="8"/>
        <v>1.0776531680080332</v>
      </c>
      <c r="AC43" s="98">
        <f t="shared" si="9"/>
        <v>1.827738902725266E-2</v>
      </c>
      <c r="AD43" s="99">
        <f t="shared" si="10"/>
        <v>1.9497571184114437E-2</v>
      </c>
      <c r="AE43" s="95">
        <f>'Op Cost-25'!B36/'Revenue Miles-25'!B35</f>
        <v>6.6636994588917435</v>
      </c>
      <c r="AF43" s="96">
        <f>'Op Cost-25'!C36/'Revenue Miles-25'!C35</f>
        <v>7.8677504557122129</v>
      </c>
      <c r="AG43" s="96">
        <f>'Op Cost-25'!D36/'Revenue Miles-25'!D35</f>
        <v>7.9092161202490328</v>
      </c>
      <c r="AH43" s="96">
        <f>'Op Cost-25'!E36/'Revenue Miles-25'!E35</f>
        <v>9.0910018033704372</v>
      </c>
      <c r="AI43" s="97">
        <f t="shared" si="11"/>
        <v>1.0712438771767705</v>
      </c>
      <c r="AJ43" s="98">
        <f t="shared" si="12"/>
        <v>1.8386743306336637E-2</v>
      </c>
      <c r="AK43" s="99">
        <f t="shared" si="13"/>
        <v>1.9568111354193868E-2</v>
      </c>
      <c r="AL43" s="95">
        <f>'Op Cost-25'!B36/'Ridership-25'!B35</f>
        <v>2.3219045130816078</v>
      </c>
      <c r="AM43" s="96">
        <f>'Op Cost-25'!C36/'Ridership-25'!C35</f>
        <v>11.755232164586637</v>
      </c>
      <c r="AN43" s="96">
        <f>'Op Cost-25'!D36/'Ridership-25'!D35</f>
        <v>4.3820304016973317</v>
      </c>
      <c r="AO43" s="96">
        <f>'Op Cost-25'!E36/'Ridership-25'!E35</f>
        <v>4.3202595836731801</v>
      </c>
      <c r="AP43" s="100">
        <f t="shared" si="14"/>
        <v>1.2919205262644085</v>
      </c>
      <c r="AQ43" s="98">
        <f t="shared" si="15"/>
        <v>1.5246050966530514E-2</v>
      </c>
      <c r="AR43" s="99">
        <f t="shared" si="16"/>
        <v>1.6553082767217481E-2</v>
      </c>
      <c r="AT43" s="101">
        <f t="shared" si="29"/>
        <v>0</v>
      </c>
      <c r="AU43" s="102">
        <f t="shared" si="17"/>
        <v>0</v>
      </c>
      <c r="AV43" s="102">
        <f t="shared" si="18"/>
        <v>0</v>
      </c>
      <c r="AW43" s="102">
        <f t="shared" si="19"/>
        <v>0</v>
      </c>
      <c r="AX43" s="103">
        <f t="shared" si="20"/>
        <v>0</v>
      </c>
      <c r="AY43" s="293">
        <f t="shared" si="30"/>
        <v>-1</v>
      </c>
      <c r="AZ43" s="105">
        <f t="shared" si="21"/>
        <v>0</v>
      </c>
      <c r="BA43" s="106">
        <f t="shared" si="21"/>
        <v>0</v>
      </c>
      <c r="BB43" s="106">
        <f t="shared" si="21"/>
        <v>0</v>
      </c>
      <c r="BC43" s="106">
        <f t="shared" si="21"/>
        <v>0</v>
      </c>
      <c r="BD43" s="106">
        <f t="shared" si="21"/>
        <v>0</v>
      </c>
      <c r="BE43" s="107">
        <f t="shared" si="31"/>
        <v>2407732.7768441141</v>
      </c>
      <c r="BG43" s="108">
        <f>'Op Cost-25'!E36</f>
        <v>6578658</v>
      </c>
      <c r="BH43" s="109">
        <f t="shared" si="22"/>
        <v>0.36599147984955505</v>
      </c>
      <c r="BI43" s="110">
        <f t="shared" si="23"/>
        <v>1973597.4</v>
      </c>
      <c r="BJ43" s="111">
        <f t="shared" si="24"/>
        <v>434135.37684411416</v>
      </c>
      <c r="BK43" s="1">
        <f t="shared" si="32"/>
        <v>2.473220737118575</v>
      </c>
      <c r="BL43" s="294">
        <f t="shared" si="33"/>
        <v>1.9752497285363904</v>
      </c>
      <c r="BM43" s="294">
        <f t="shared" si="34"/>
        <v>2.8361993600873867</v>
      </c>
      <c r="BN43" s="295">
        <f t="shared" si="35"/>
        <v>2.5407169299252614</v>
      </c>
      <c r="BO43" s="114">
        <f t="shared" si="25"/>
        <v>0</v>
      </c>
      <c r="BP43" s="296">
        <f t="shared" si="36"/>
        <v>2.473220737118575</v>
      </c>
      <c r="BQ43" s="116">
        <f t="shared" si="37"/>
        <v>4.8714252733010256E-2</v>
      </c>
      <c r="BR43" s="297">
        <f t="shared" si="38"/>
        <v>0</v>
      </c>
      <c r="BS43" s="117">
        <f t="shared" si="39"/>
        <v>0</v>
      </c>
      <c r="BT43" s="298">
        <f t="shared" si="40"/>
        <v>1973597.4</v>
      </c>
      <c r="BU43" s="119">
        <f t="shared" si="41"/>
        <v>1973597.4</v>
      </c>
      <c r="BV43" s="119">
        <f t="shared" si="42"/>
        <v>1973597.4</v>
      </c>
      <c r="BW43" s="119">
        <f t="shared" si="43"/>
        <v>0</v>
      </c>
      <c r="BX43" s="120">
        <f t="shared" si="44"/>
        <v>0</v>
      </c>
      <c r="BY43" s="121">
        <f t="shared" si="45"/>
        <v>0</v>
      </c>
      <c r="BZ43" s="299">
        <f t="shared" si="46"/>
        <v>1973597.4</v>
      </c>
      <c r="CA43" s="109">
        <f t="shared" si="26"/>
        <v>0</v>
      </c>
      <c r="CB43" s="123">
        <f t="shared" si="57"/>
        <v>0</v>
      </c>
      <c r="CC43" s="111">
        <f t="shared" si="56"/>
        <v>1973597</v>
      </c>
      <c r="CE43" s="124">
        <f t="shared" si="28"/>
        <v>0</v>
      </c>
      <c r="CF43" s="17"/>
      <c r="CG43" s="108">
        <f t="shared" si="47"/>
        <v>6578658</v>
      </c>
      <c r="CH43" s="125">
        <f t="shared" si="48"/>
        <v>0.29999993919732565</v>
      </c>
      <c r="CI43" s="110">
        <f t="shared" si="49"/>
        <v>1973597.4</v>
      </c>
      <c r="CJ43" s="300">
        <f t="shared" si="50"/>
        <v>0</v>
      </c>
      <c r="CL43" s="127">
        <f t="shared" si="51"/>
        <v>0</v>
      </c>
      <c r="CM43" s="128">
        <f t="shared" si="52"/>
        <v>0</v>
      </c>
      <c r="CN43" s="129">
        <f t="shared" si="53"/>
        <v>0</v>
      </c>
      <c r="CO43" s="130">
        <f t="shared" si="55"/>
        <v>1973597</v>
      </c>
      <c r="CQ43" s="131">
        <f t="shared" si="54"/>
        <v>0.3</v>
      </c>
      <c r="CR43" s="301"/>
    </row>
    <row r="44" spans="1:96">
      <c r="A44" s="133" t="s">
        <v>120</v>
      </c>
      <c r="B44" s="90" t="s">
        <v>123</v>
      </c>
      <c r="C44" s="91">
        <f>'Sizing - Reimb Exp-25'!B37</f>
        <v>1899811</v>
      </c>
      <c r="D44" s="92">
        <f>'Ridership-25'!$E36</f>
        <v>180625</v>
      </c>
      <c r="E44" s="92">
        <f>'Revenue Hours-25'!$E36</f>
        <v>20219</v>
      </c>
      <c r="F44" s="92">
        <f>'Revenue Miles-25'!$E36</f>
        <v>226791</v>
      </c>
      <c r="G44" s="93">
        <f t="shared" si="58"/>
        <v>3.8141294206356165E-3</v>
      </c>
      <c r="H44" s="94">
        <f t="shared" si="59"/>
        <v>3.8141294206356169E-3</v>
      </c>
      <c r="J44" s="95">
        <f>'Ridership-25'!B36/'Revenue Hours-25'!B36</f>
        <v>7.608599966141866</v>
      </c>
      <c r="K44" s="96">
        <f>'Ridership-25'!C36/'Revenue Hours-25'!C36</f>
        <v>5.1692512721104915</v>
      </c>
      <c r="L44" s="96">
        <f>'Ridership-25'!D36/'Revenue Hours-25'!D36</f>
        <v>7.7540727902946278</v>
      </c>
      <c r="M44" s="96">
        <f>'Ridership-25'!E36/'Revenue Hours-25'!E36</f>
        <v>8.9334289529650324</v>
      </c>
      <c r="N44" s="97">
        <f t="shared" si="2"/>
        <v>1.1500971386548942</v>
      </c>
      <c r="O44" s="98">
        <f t="shared" si="3"/>
        <v>4.3866193331324726E-3</v>
      </c>
      <c r="P44" s="99">
        <f t="shared" si="4"/>
        <v>4.1438278417357611E-3</v>
      </c>
      <c r="Q44" s="95">
        <f>'Ridership-25'!B36/'Revenue Miles-25'!B36</f>
        <v>0.70818473562300743</v>
      </c>
      <c r="R44" s="96">
        <f>'Ridership-25'!C36/'Revenue Miles-25'!C36</f>
        <v>0.48672727894958989</v>
      </c>
      <c r="S44" s="96">
        <f>'Ridership-25'!D36/'Revenue Miles-25'!D36</f>
        <v>0.72460145651246777</v>
      </c>
      <c r="T44" s="96">
        <f>'Ridership-25'!E36/'Revenue Miles-25'!E36</f>
        <v>0.79643813026090104</v>
      </c>
      <c r="U44" s="97">
        <f t="shared" si="5"/>
        <v>1.1400155949855248</v>
      </c>
      <c r="V44" s="98">
        <f t="shared" si="6"/>
        <v>4.3481670208177078E-3</v>
      </c>
      <c r="W44" s="99">
        <f t="shared" si="7"/>
        <v>4.1227109852637871E-3</v>
      </c>
      <c r="X44" s="95">
        <f>'Op Cost-25'!B37/'Revenue Hours-25'!B36</f>
        <v>63.818012527509737</v>
      </c>
      <c r="Y44" s="96">
        <f>'Op Cost-25'!C37/'Revenue Hours-25'!C36</f>
        <v>76.918100314998782</v>
      </c>
      <c r="Z44" s="96">
        <f>'Op Cost-25'!D37/'Revenue Hours-25'!D36</f>
        <v>82.248006932409012</v>
      </c>
      <c r="AA44" s="96">
        <f>'Op Cost-25'!E37/'Revenue Hours-25'!E36</f>
        <v>95.121865571986746</v>
      </c>
      <c r="AB44" s="97">
        <f t="shared" si="8"/>
        <v>1.0988498860626592</v>
      </c>
      <c r="AC44" s="98">
        <f t="shared" si="9"/>
        <v>3.4710195350724418E-3</v>
      </c>
      <c r="AD44" s="99">
        <f t="shared" si="10"/>
        <v>3.702741697165671E-3</v>
      </c>
      <c r="AE44" s="95">
        <f>'Op Cost-25'!B37/'Revenue Miles-25'!B36</f>
        <v>5.9399814066841392</v>
      </c>
      <c r="AF44" s="96">
        <f>'Op Cost-25'!C37/'Revenue Miles-25'!C36</f>
        <v>7.2424681443287211</v>
      </c>
      <c r="AG44" s="96">
        <f>'Op Cost-25'!D37/'Revenue Miles-25'!D36</f>
        <v>7.6858996852680619</v>
      </c>
      <c r="AH44" s="96">
        <f>'Op Cost-25'!E37/'Revenue Miles-25'!E36</f>
        <v>8.480358568020776</v>
      </c>
      <c r="AI44" s="97">
        <f t="shared" si="11"/>
        <v>1.0842189748815474</v>
      </c>
      <c r="AJ44" s="98">
        <f t="shared" si="12"/>
        <v>3.5178589463925555E-3</v>
      </c>
      <c r="AK44" s="99">
        <f t="shared" si="13"/>
        <v>3.7438851701178098E-3</v>
      </c>
      <c r="AL44" s="95">
        <f>'Op Cost-25'!B37/'Ridership-25'!B36</f>
        <v>8.3876156995372018</v>
      </c>
      <c r="AM44" s="96">
        <f>'Op Cost-25'!C37/'Ridership-25'!C36</f>
        <v>14.879930625541988</v>
      </c>
      <c r="AN44" s="96">
        <f>'Op Cost-25'!D37/'Ridership-25'!D36</f>
        <v>10.607071813325586</v>
      </c>
      <c r="AO44" s="96">
        <f>'Op Cost-25'!E37/'Ridership-25'!E36</f>
        <v>10.647856055363322</v>
      </c>
      <c r="AP44" s="100">
        <f t="shared" si="14"/>
        <v>0.98408901154710049</v>
      </c>
      <c r="AQ44" s="98">
        <f t="shared" si="15"/>
        <v>3.8757971848901846E-3</v>
      </c>
      <c r="AR44" s="99">
        <f t="shared" si="16"/>
        <v>4.2080661891579366E-3</v>
      </c>
      <c r="AT44" s="101">
        <f t="shared" si="29"/>
        <v>0</v>
      </c>
      <c r="AU44" s="102">
        <f t="shared" si="17"/>
        <v>0</v>
      </c>
      <c r="AV44" s="102">
        <f t="shared" si="18"/>
        <v>0</v>
      </c>
      <c r="AW44" s="102">
        <f t="shared" si="19"/>
        <v>0</v>
      </c>
      <c r="AX44" s="103">
        <f t="shared" si="20"/>
        <v>0</v>
      </c>
      <c r="AY44" s="293">
        <f t="shared" si="30"/>
        <v>-1</v>
      </c>
      <c r="AZ44" s="105">
        <f t="shared" si="21"/>
        <v>0</v>
      </c>
      <c r="BA44" s="106">
        <f t="shared" si="21"/>
        <v>0</v>
      </c>
      <c r="BB44" s="106">
        <f t="shared" si="21"/>
        <v>0</v>
      </c>
      <c r="BC44" s="106">
        <f t="shared" si="21"/>
        <v>0</v>
      </c>
      <c r="BD44" s="106">
        <f t="shared" si="21"/>
        <v>0</v>
      </c>
      <c r="BE44" s="107">
        <f t="shared" si="31"/>
        <v>466241.08915956633</v>
      </c>
      <c r="BG44" s="108">
        <f>'Op Cost-25'!E37</f>
        <v>1923269</v>
      </c>
      <c r="BH44" s="109">
        <f t="shared" si="22"/>
        <v>0.24242115333817907</v>
      </c>
      <c r="BI44" s="110">
        <f t="shared" si="23"/>
        <v>466241.08915956633</v>
      </c>
      <c r="BJ44" s="111">
        <f t="shared" si="24"/>
        <v>0</v>
      </c>
      <c r="BK44" s="1">
        <f t="shared" si="32"/>
        <v>0.99242729499058147</v>
      </c>
      <c r="BL44" s="294">
        <f t="shared" si="33"/>
        <v>0.83450638830712265</v>
      </c>
      <c r="BM44" s="294">
        <f t="shared" si="34"/>
        <v>1.0734625485794298</v>
      </c>
      <c r="BN44" s="295">
        <f t="shared" si="35"/>
        <v>1.0308701215378866</v>
      </c>
      <c r="BO44" s="114">
        <f t="shared" si="25"/>
        <v>466241.08915956633</v>
      </c>
      <c r="BP44" s="296">
        <f t="shared" si="36"/>
        <v>0.99242729499058147</v>
      </c>
      <c r="BQ44" s="116">
        <f t="shared" si="37"/>
        <v>3.7852461436653989E-3</v>
      </c>
      <c r="BR44" s="297">
        <f t="shared" si="38"/>
        <v>3.7852461436653989E-3</v>
      </c>
      <c r="BS44" s="117">
        <f t="shared" si="39"/>
        <v>4.2717620090197833E-3</v>
      </c>
      <c r="BT44" s="298">
        <f t="shared" si="40"/>
        <v>502955.23688799806</v>
      </c>
      <c r="BU44" s="119">
        <f t="shared" si="41"/>
        <v>576980.69999999995</v>
      </c>
      <c r="BV44" s="119">
        <f t="shared" si="42"/>
        <v>502955.23688799806</v>
      </c>
      <c r="BW44" s="119">
        <f t="shared" si="43"/>
        <v>0</v>
      </c>
      <c r="BX44" s="120">
        <f t="shared" si="44"/>
        <v>3.7852461436653989E-3</v>
      </c>
      <c r="BY44" s="121">
        <f t="shared" si="45"/>
        <v>7.6197818344031941E-3</v>
      </c>
      <c r="BZ44" s="299">
        <f t="shared" si="46"/>
        <v>509769.71394746541</v>
      </c>
      <c r="CA44" s="109">
        <f t="shared" si="26"/>
        <v>4.2347322313688518E-3</v>
      </c>
      <c r="CB44" s="123">
        <f t="shared" si="57"/>
        <v>36395.891064283162</v>
      </c>
      <c r="CC44" s="111">
        <f t="shared" si="56"/>
        <v>502637</v>
      </c>
      <c r="CE44" s="124">
        <f t="shared" si="28"/>
        <v>0</v>
      </c>
      <c r="CF44" s="17"/>
      <c r="CG44" s="108">
        <f t="shared" si="47"/>
        <v>1923269</v>
      </c>
      <c r="CH44" s="125">
        <f t="shared" si="48"/>
        <v>0.26134513684773164</v>
      </c>
      <c r="CI44" s="110">
        <f t="shared" si="49"/>
        <v>502955.23688799806</v>
      </c>
      <c r="CJ44" s="300">
        <f t="shared" si="50"/>
        <v>0</v>
      </c>
      <c r="CL44" s="127">
        <f t="shared" si="51"/>
        <v>502955.23688799806</v>
      </c>
      <c r="CM44" s="128">
        <f t="shared" si="52"/>
        <v>5.8554232124762677E-3</v>
      </c>
      <c r="CN44" s="129">
        <f t="shared" si="53"/>
        <v>5236.5865614074282</v>
      </c>
      <c r="CO44" s="130">
        <f t="shared" si="55"/>
        <v>508192</v>
      </c>
      <c r="CQ44" s="131">
        <f t="shared" si="54"/>
        <v>0.26505377768136718</v>
      </c>
      <c r="CR44" s="301"/>
    </row>
    <row r="45" spans="1:96">
      <c r="A45" s="133" t="s">
        <v>124</v>
      </c>
      <c r="B45" s="90" t="s">
        <v>125</v>
      </c>
      <c r="C45" s="91">
        <f>'Sizing - Reimb Exp-25'!B38</f>
        <v>4550086</v>
      </c>
      <c r="D45" s="92">
        <f>'Ridership-25'!$E37</f>
        <v>129839</v>
      </c>
      <c r="E45" s="92">
        <f>'Revenue Hours-25'!$E37</f>
        <v>61652</v>
      </c>
      <c r="F45" s="92">
        <f>'Revenue Miles-25'!$E37</f>
        <v>1393044</v>
      </c>
      <c r="G45" s="134">
        <f t="shared" si="58"/>
        <v>9.3510666485670055E-3</v>
      </c>
      <c r="H45" s="94">
        <f t="shared" si="59"/>
        <v>9.3510666485670073E-3</v>
      </c>
      <c r="J45" s="95">
        <f>'Ridership-25'!B37/'Revenue Hours-25'!B37</f>
        <v>2.3373679249962795</v>
      </c>
      <c r="K45" s="96">
        <f>'Ridership-25'!C37/'Revenue Hours-25'!C37</f>
        <v>1.944317205840252</v>
      </c>
      <c r="L45" s="96">
        <f>'Ridership-25'!D37/'Revenue Hours-25'!D37</f>
        <v>2.0984220777077214</v>
      </c>
      <c r="M45" s="96">
        <f>'Ridership-25'!E37/'Revenue Hours-25'!E37</f>
        <v>2.1059981833517161</v>
      </c>
      <c r="N45" s="97">
        <f t="shared" si="2"/>
        <v>1.0987525202440334</v>
      </c>
      <c r="O45" s="98">
        <f t="shared" si="3"/>
        <v>1.0274508047082926E-2</v>
      </c>
      <c r="P45" s="99">
        <f t="shared" si="4"/>
        <v>9.7058325038742524E-3</v>
      </c>
      <c r="Q45" s="95">
        <f>'Ridership-25'!B37/'Revenue Miles-25'!B37</f>
        <v>9.8864253896849164E-2</v>
      </c>
      <c r="R45" s="96">
        <f>'Ridership-25'!C37/'Revenue Miles-25'!C37</f>
        <v>8.4847547858705061E-2</v>
      </c>
      <c r="S45" s="96">
        <f>'Ridership-25'!D37/'Revenue Miles-25'!D37</f>
        <v>9.06701755136681E-2</v>
      </c>
      <c r="T45" s="96">
        <f>'Ridership-25'!E37/'Revenue Miles-25'!E37</f>
        <v>9.3205239748349655E-2</v>
      </c>
      <c r="U45" s="97">
        <f t="shared" si="5"/>
        <v>1.1181230609285835</v>
      </c>
      <c r="V45" s="98">
        <f t="shared" si="6"/>
        <v>1.0455643264042932E-2</v>
      </c>
      <c r="W45" s="99">
        <f t="shared" si="7"/>
        <v>9.91350956306245E-3</v>
      </c>
      <c r="X45" s="95">
        <f>'Op Cost-25'!B38/'Revenue Hours-25'!B37</f>
        <v>59.71751244274683</v>
      </c>
      <c r="Y45" s="96">
        <f>'Op Cost-25'!C38/'Revenue Hours-25'!C37</f>
        <v>69.859111079301456</v>
      </c>
      <c r="Z45" s="96">
        <f>'Op Cost-25'!D38/'Revenue Hours-25'!D37</f>
        <v>76.546396857359781</v>
      </c>
      <c r="AA45" s="96">
        <f>'Op Cost-25'!E38/'Revenue Hours-25'!E37</f>
        <v>81.113410757153048</v>
      </c>
      <c r="AB45" s="97">
        <f t="shared" si="8"/>
        <v>1.0632798059501944</v>
      </c>
      <c r="AC45" s="98">
        <f t="shared" si="9"/>
        <v>8.7945492769050341E-3</v>
      </c>
      <c r="AD45" s="99">
        <f t="shared" si="10"/>
        <v>9.3816655268967961E-3</v>
      </c>
      <c r="AE45" s="95">
        <f>'Op Cost-25'!B38/'Revenue Miles-25'!B37</f>
        <v>2.5258870240710474</v>
      </c>
      <c r="AF45" s="96">
        <f>'Op Cost-25'!C38/'Revenue Miles-25'!C37</f>
        <v>3.0485633994613872</v>
      </c>
      <c r="AG45" s="96">
        <f>'Op Cost-25'!D38/'Revenue Miles-25'!D37</f>
        <v>3.3074734162048824</v>
      </c>
      <c r="AH45" s="96">
        <f>'Op Cost-25'!E38/'Revenue Miles-25'!E37</f>
        <v>3.5898392297730726</v>
      </c>
      <c r="AI45" s="97">
        <f t="shared" si="11"/>
        <v>1.082538952054394</v>
      </c>
      <c r="AJ45" s="98">
        <f t="shared" si="12"/>
        <v>8.6380879235993975E-3</v>
      </c>
      <c r="AK45" s="99">
        <f t="shared" si="13"/>
        <v>9.1930943702279774E-3</v>
      </c>
      <c r="AL45" s="95">
        <f>'Op Cost-25'!B38/'Ridership-25'!B37</f>
        <v>25.549042495242542</v>
      </c>
      <c r="AM45" s="96">
        <f>'Op Cost-25'!C38/'Ridership-25'!C37</f>
        <v>35.929893985128473</v>
      </c>
      <c r="AN45" s="96">
        <f>'Op Cost-25'!D38/'Ridership-25'!D37</f>
        <v>36.47807448774924</v>
      </c>
      <c r="AO45" s="96">
        <f>'Op Cost-25'!E38/'Ridership-25'!E37</f>
        <v>38.515422946880371</v>
      </c>
      <c r="AP45" s="100">
        <f t="shared" si="14"/>
        <v>1.0843817382136312</v>
      </c>
      <c r="AQ45" s="98">
        <f t="shared" si="15"/>
        <v>8.6234084539007407E-3</v>
      </c>
      <c r="AR45" s="99">
        <f t="shared" si="16"/>
        <v>9.3626863891709509E-3</v>
      </c>
      <c r="AT45" s="101">
        <f t="shared" si="29"/>
        <v>0</v>
      </c>
      <c r="AU45" s="102">
        <f t="shared" si="17"/>
        <v>0</v>
      </c>
      <c r="AV45" s="102">
        <f t="shared" si="18"/>
        <v>0</v>
      </c>
      <c r="AW45" s="102">
        <f t="shared" si="19"/>
        <v>0</v>
      </c>
      <c r="AX45" s="103">
        <f t="shared" si="20"/>
        <v>0</v>
      </c>
      <c r="AY45" s="293">
        <f t="shared" si="30"/>
        <v>-1</v>
      </c>
      <c r="AZ45" s="105">
        <f t="shared" si="21"/>
        <v>0</v>
      </c>
      <c r="BA45" s="106">
        <f t="shared" si="21"/>
        <v>0</v>
      </c>
      <c r="BB45" s="106">
        <f t="shared" si="21"/>
        <v>0</v>
      </c>
      <c r="BC45" s="106">
        <f t="shared" si="21"/>
        <v>0</v>
      </c>
      <c r="BD45" s="106">
        <f t="shared" si="21"/>
        <v>0</v>
      </c>
      <c r="BE45" s="107">
        <f t="shared" si="31"/>
        <v>1143079.0668621352</v>
      </c>
      <c r="BG45" s="108">
        <f>'Op Cost-25'!E38</f>
        <v>5000804</v>
      </c>
      <c r="BH45" s="109">
        <f t="shared" si="22"/>
        <v>0.22857905785992316</v>
      </c>
      <c r="BI45" s="110">
        <f t="shared" si="23"/>
        <v>1143079.0668621352</v>
      </c>
      <c r="BJ45" s="111">
        <f t="shared" si="24"/>
        <v>0</v>
      </c>
      <c r="BK45" s="1">
        <f t="shared" si="32"/>
        <v>0.22308415911139129</v>
      </c>
      <c r="BL45" s="294">
        <f t="shared" si="33"/>
        <v>0.19672949178007318</v>
      </c>
      <c r="BM45" s="294">
        <f t="shared" si="34"/>
        <v>0.12562474145787642</v>
      </c>
      <c r="BN45" s="295">
        <f t="shared" si="35"/>
        <v>0.28499120160380781</v>
      </c>
      <c r="BO45" s="114">
        <f t="shared" si="25"/>
        <v>1143079.0668621352</v>
      </c>
      <c r="BP45" s="296">
        <f t="shared" si="36"/>
        <v>0.22308415911139129</v>
      </c>
      <c r="BQ45" s="116">
        <f t="shared" si="37"/>
        <v>2.0860748400901466E-3</v>
      </c>
      <c r="BR45" s="297">
        <f t="shared" si="38"/>
        <v>2.0860748400901466E-3</v>
      </c>
      <c r="BS45" s="117">
        <f t="shared" si="39"/>
        <v>2.3541970354509193E-3</v>
      </c>
      <c r="BT45" s="298">
        <f t="shared" si="40"/>
        <v>1163312.4828527451</v>
      </c>
      <c r="BU45" s="119">
        <f t="shared" si="41"/>
        <v>1500241.2</v>
      </c>
      <c r="BV45" s="119">
        <f t="shared" si="42"/>
        <v>1163312.4828527451</v>
      </c>
      <c r="BW45" s="119">
        <f t="shared" si="43"/>
        <v>0</v>
      </c>
      <c r="BX45" s="120">
        <f t="shared" si="44"/>
        <v>2.0860748400901466E-3</v>
      </c>
      <c r="BY45" s="121">
        <f t="shared" si="45"/>
        <v>4.1993134840981007E-3</v>
      </c>
      <c r="BZ45" s="299">
        <f t="shared" si="46"/>
        <v>1167067.9874098042</v>
      </c>
      <c r="CA45" s="109">
        <f t="shared" si="26"/>
        <v>1.0382254760449601E-2</v>
      </c>
      <c r="CB45" s="123">
        <f t="shared" si="57"/>
        <v>89231.477368006876</v>
      </c>
      <c r="CC45" s="111">
        <f t="shared" si="56"/>
        <v>1232311</v>
      </c>
      <c r="CE45" s="124">
        <f t="shared" si="28"/>
        <v>0</v>
      </c>
      <c r="CF45" s="17"/>
      <c r="CG45" s="108">
        <f t="shared" si="47"/>
        <v>5000804</v>
      </c>
      <c r="CH45" s="125">
        <f t="shared" si="48"/>
        <v>0.24642257524989983</v>
      </c>
      <c r="CI45" s="110">
        <f t="shared" si="49"/>
        <v>1163312.4828527451</v>
      </c>
      <c r="CJ45" s="300">
        <f t="shared" si="50"/>
        <v>0</v>
      </c>
      <c r="CL45" s="127">
        <f t="shared" si="51"/>
        <v>1163312.4828527451</v>
      </c>
      <c r="CM45" s="128">
        <f t="shared" si="52"/>
        <v>1.3543326355653878E-2</v>
      </c>
      <c r="CN45" s="129">
        <f t="shared" si="53"/>
        <v>12111.985456432896</v>
      </c>
      <c r="CO45" s="130">
        <f t="shared" si="55"/>
        <v>1175424</v>
      </c>
      <c r="CQ45" s="131">
        <f t="shared" si="54"/>
        <v>0.23337607060980678</v>
      </c>
      <c r="CR45" s="301"/>
    </row>
    <row r="46" spans="1:96">
      <c r="A46" s="133" t="s">
        <v>124</v>
      </c>
      <c r="B46" s="90" t="s">
        <v>126</v>
      </c>
      <c r="C46" s="91">
        <f>'Sizing - Reimb Exp-25'!B39</f>
        <v>705034</v>
      </c>
      <c r="D46" s="92">
        <f>'Ridership-25'!$E38</f>
        <v>28422</v>
      </c>
      <c r="E46" s="92">
        <f>'Revenue Hours-25'!$E38</f>
        <v>15538</v>
      </c>
      <c r="F46" s="92">
        <f>'Revenue Miles-25'!$E38</f>
        <v>418259</v>
      </c>
      <c r="G46" s="134">
        <f t="shared" si="58"/>
        <v>2.1896680787776269E-3</v>
      </c>
      <c r="H46" s="94">
        <f t="shared" si="59"/>
        <v>2.1896680787776273E-3</v>
      </c>
      <c r="J46" s="95">
        <f>'Ridership-25'!B38/'Revenue Hours-25'!B38</f>
        <v>2.6155528221948887</v>
      </c>
      <c r="K46" s="96">
        <f>'Ridership-25'!C38/'Revenue Hours-25'!C38</f>
        <v>1.3983089137029627</v>
      </c>
      <c r="L46" s="96">
        <f>'Ridership-25'!D38/'Revenue Hours-25'!D38</f>
        <v>1.5445728965960179</v>
      </c>
      <c r="M46" s="96">
        <f>'Ridership-25'!E38/'Revenue Hours-25'!E38</f>
        <v>1.8291929463251384</v>
      </c>
      <c r="N46" s="97">
        <f t="shared" si="2"/>
        <v>0.9628227167983846</v>
      </c>
      <c r="O46" s="98">
        <f t="shared" si="3"/>
        <v>2.1082621684953744E-3</v>
      </c>
      <c r="P46" s="99">
        <f t="shared" si="4"/>
        <v>1.991573648869776E-3</v>
      </c>
      <c r="Q46" s="95">
        <f>'Ridership-25'!B38/'Revenue Miles-25'!B38</f>
        <v>9.9669556205390739E-2</v>
      </c>
      <c r="R46" s="96">
        <f>'Ridership-25'!C38/'Revenue Miles-25'!C38</f>
        <v>5.2832581392513109E-2</v>
      </c>
      <c r="S46" s="96">
        <f>'Ridership-25'!D38/'Revenue Miles-25'!D38</f>
        <v>5.8014121779238044E-2</v>
      </c>
      <c r="T46" s="96">
        <f>'Ridership-25'!E38/'Revenue Miles-25'!E38</f>
        <v>6.7953110393320887E-2</v>
      </c>
      <c r="U46" s="97">
        <f t="shared" si="5"/>
        <v>0.95607670597072658</v>
      </c>
      <c r="V46" s="98">
        <f t="shared" si="6"/>
        <v>2.0934906439269633E-3</v>
      </c>
      <c r="W46" s="99">
        <f t="shared" si="7"/>
        <v>1.9849414325490995E-3</v>
      </c>
      <c r="X46" s="95">
        <f>'Op Cost-25'!B39/'Revenue Hours-25'!B38</f>
        <v>27.952507858411916</v>
      </c>
      <c r="Y46" s="96">
        <f>'Op Cost-25'!C39/'Revenue Hours-25'!C38</f>
        <v>37.360937197444009</v>
      </c>
      <c r="Z46" s="96">
        <f>'Op Cost-25'!D39/'Revenue Hours-25'!D38</f>
        <v>36.826011560693644</v>
      </c>
      <c r="AA46" s="96">
        <f>'Op Cost-25'!E39/'Revenue Hours-25'!E38</f>
        <v>46.109795340455655</v>
      </c>
      <c r="AB46" s="97">
        <f t="shared" si="8"/>
        <v>1.1411124095025229</v>
      </c>
      <c r="AC46" s="98">
        <f t="shared" si="9"/>
        <v>1.9188890249052944E-3</v>
      </c>
      <c r="AD46" s="99">
        <f t="shared" si="10"/>
        <v>2.0469923412868725E-3</v>
      </c>
      <c r="AE46" s="95">
        <f>'Op Cost-25'!B39/'Revenue Miles-25'!B38</f>
        <v>1.0651721614773884</v>
      </c>
      <c r="AF46" s="96">
        <f>'Op Cost-25'!C39/'Revenue Miles-25'!C38</f>
        <v>1.4116156566272406</v>
      </c>
      <c r="AG46" s="96">
        <f>'Op Cost-25'!D39/'Revenue Miles-25'!D38</f>
        <v>1.3831841307289821</v>
      </c>
      <c r="AH46" s="96">
        <f>'Op Cost-25'!E39/'Revenue Miles-25'!E38</f>
        <v>1.712943415443541</v>
      </c>
      <c r="AI46" s="97">
        <f t="shared" si="11"/>
        <v>1.1332954104973407</v>
      </c>
      <c r="AJ46" s="98">
        <f t="shared" si="12"/>
        <v>1.9321247209645922E-3</v>
      </c>
      <c r="AK46" s="99">
        <f t="shared" si="13"/>
        <v>2.0562658139136624E-3</v>
      </c>
      <c r="AL46" s="95">
        <f>'Op Cost-25'!B39/'Ridership-25'!B38</f>
        <v>10.687036262932386</v>
      </c>
      <c r="AM46" s="96">
        <f>'Op Cost-25'!C39/'Ridership-25'!C38</f>
        <v>26.718657680945348</v>
      </c>
      <c r="AN46" s="96">
        <f>'Op Cost-25'!D39/'Ridership-25'!D38</f>
        <v>23.842197180755957</v>
      </c>
      <c r="AO46" s="96">
        <f>'Op Cost-25'!E39/'Ridership-25'!E38</f>
        <v>25.207726409119697</v>
      </c>
      <c r="AP46" s="100">
        <f t="shared" si="14"/>
        <v>1.1857221120855641</v>
      </c>
      <c r="AQ46" s="98">
        <f t="shared" si="15"/>
        <v>1.846695829030484E-3</v>
      </c>
      <c r="AR46" s="99">
        <f t="shared" si="16"/>
        <v>2.0050115909308981E-3</v>
      </c>
      <c r="AT46" s="101">
        <f t="shared" si="29"/>
        <v>0</v>
      </c>
      <c r="AU46" s="102">
        <f t="shared" si="17"/>
        <v>0</v>
      </c>
      <c r="AV46" s="102">
        <f t="shared" si="18"/>
        <v>0</v>
      </c>
      <c r="AW46" s="102">
        <f t="shared" si="19"/>
        <v>0</v>
      </c>
      <c r="AX46" s="103">
        <f t="shared" si="20"/>
        <v>0</v>
      </c>
      <c r="AY46" s="293">
        <f t="shared" si="30"/>
        <v>-1</v>
      </c>
      <c r="AZ46" s="105">
        <f t="shared" si="21"/>
        <v>0</v>
      </c>
      <c r="BA46" s="106">
        <f t="shared" si="21"/>
        <v>0</v>
      </c>
      <c r="BB46" s="106">
        <f t="shared" si="21"/>
        <v>0</v>
      </c>
      <c r="BC46" s="106">
        <f t="shared" si="21"/>
        <v>0</v>
      </c>
      <c r="BD46" s="106">
        <f t="shared" si="21"/>
        <v>0</v>
      </c>
      <c r="BE46" s="107">
        <f t="shared" si="31"/>
        <v>267666.12176916713</v>
      </c>
      <c r="BG46" s="108">
        <f>'Op Cost-25'!E39</f>
        <v>716454</v>
      </c>
      <c r="BH46" s="109">
        <f t="shared" si="22"/>
        <v>0.37359847494628706</v>
      </c>
      <c r="BI46" s="110">
        <f t="shared" si="23"/>
        <v>214936.19999999998</v>
      </c>
      <c r="BJ46" s="111">
        <f t="shared" si="24"/>
        <v>52729.921769167151</v>
      </c>
      <c r="BK46" s="1">
        <f t="shared" si="32"/>
        <v>0.2833373737254602</v>
      </c>
      <c r="BL46" s="294">
        <f t="shared" si="33"/>
        <v>0.17087203661568437</v>
      </c>
      <c r="BM46" s="294">
        <f t="shared" si="34"/>
        <v>9.1589184765447973E-2</v>
      </c>
      <c r="BN46" s="295">
        <f t="shared" si="35"/>
        <v>0.43544413676035421</v>
      </c>
      <c r="BO46" s="114">
        <f t="shared" si="25"/>
        <v>0</v>
      </c>
      <c r="BP46" s="296">
        <f t="shared" si="36"/>
        <v>0.2833373737254602</v>
      </c>
      <c r="BQ46" s="116">
        <f t="shared" si="37"/>
        <v>6.2041480277132697E-4</v>
      </c>
      <c r="BR46" s="297">
        <f t="shared" si="38"/>
        <v>0</v>
      </c>
      <c r="BS46" s="117">
        <f t="shared" si="39"/>
        <v>0</v>
      </c>
      <c r="BT46" s="298">
        <f t="shared" si="40"/>
        <v>214936.19999999998</v>
      </c>
      <c r="BU46" s="119">
        <f t="shared" si="41"/>
        <v>214936.19999999998</v>
      </c>
      <c r="BV46" s="119">
        <f t="shared" si="42"/>
        <v>214936.19999999998</v>
      </c>
      <c r="BW46" s="119">
        <f t="shared" si="43"/>
        <v>0</v>
      </c>
      <c r="BX46" s="120">
        <f t="shared" si="44"/>
        <v>0</v>
      </c>
      <c r="BY46" s="121">
        <f t="shared" si="45"/>
        <v>0</v>
      </c>
      <c r="BZ46" s="299">
        <f t="shared" si="46"/>
        <v>214936.19999999998</v>
      </c>
      <c r="CA46" s="109">
        <f t="shared" si="26"/>
        <v>0</v>
      </c>
      <c r="CB46" s="123">
        <f t="shared" si="57"/>
        <v>0</v>
      </c>
      <c r="CC46" s="111">
        <f t="shared" si="56"/>
        <v>214936</v>
      </c>
      <c r="CE46" s="124">
        <f t="shared" si="28"/>
        <v>0</v>
      </c>
      <c r="CF46" s="17"/>
      <c r="CG46" s="108">
        <f t="shared" si="47"/>
        <v>716454</v>
      </c>
      <c r="CH46" s="125">
        <f t="shared" si="48"/>
        <v>0.29999972084739562</v>
      </c>
      <c r="CI46" s="110">
        <f t="shared" si="49"/>
        <v>214936.19999999998</v>
      </c>
      <c r="CJ46" s="300">
        <f t="shared" si="50"/>
        <v>0</v>
      </c>
      <c r="CL46" s="127">
        <f t="shared" si="51"/>
        <v>0</v>
      </c>
      <c r="CM46" s="128">
        <f t="shared" si="52"/>
        <v>0</v>
      </c>
      <c r="CN46" s="129">
        <f t="shared" si="53"/>
        <v>0</v>
      </c>
      <c r="CO46" s="130">
        <f t="shared" si="55"/>
        <v>214936</v>
      </c>
      <c r="CQ46" s="131">
        <f t="shared" si="54"/>
        <v>0.3</v>
      </c>
      <c r="CR46" s="301"/>
    </row>
    <row r="47" spans="1:96">
      <c r="A47" s="133" t="s">
        <v>124</v>
      </c>
      <c r="B47" s="90" t="s">
        <v>127</v>
      </c>
      <c r="C47" s="91">
        <f>'Sizing - Reimb Exp-25'!B40</f>
        <v>8487532</v>
      </c>
      <c r="D47" s="92">
        <f>'Ridership-25'!$E39</f>
        <v>222118</v>
      </c>
      <c r="E47" s="92">
        <f>'Revenue Hours-25'!$E39</f>
        <v>86457</v>
      </c>
      <c r="F47" s="92">
        <f>'Revenue Miles-25'!$E39</f>
        <v>1402006</v>
      </c>
      <c r="G47" s="134">
        <f t="shared" si="58"/>
        <v>1.3507504471797943E-2</v>
      </c>
      <c r="H47" s="94">
        <f t="shared" si="59"/>
        <v>1.3507504471797945E-2</v>
      </c>
      <c r="J47" s="95">
        <f>'Ridership-25'!B39/'Revenue Hours-25'!B39</f>
        <v>2.8967768637798126</v>
      </c>
      <c r="K47" s="96">
        <f>'Ridership-25'!C39/'Revenue Hours-25'!C39</f>
        <v>2.1946189886707304</v>
      </c>
      <c r="L47" s="96">
        <f>'Ridership-25'!D39/'Revenue Hours-25'!D39</f>
        <v>2.3000506032439341</v>
      </c>
      <c r="M47" s="96">
        <f>'Ridership-25'!E39/'Revenue Hours-25'!E39</f>
        <v>2.5691152827417096</v>
      </c>
      <c r="N47" s="97">
        <f t="shared" si="2"/>
        <v>1.074118069474993</v>
      </c>
      <c r="O47" s="98">
        <f t="shared" si="3"/>
        <v>1.4508654626672442E-2</v>
      </c>
      <c r="P47" s="99">
        <f t="shared" si="4"/>
        <v>1.3705626684775752E-2</v>
      </c>
      <c r="Q47" s="95">
        <f>'Ridership-25'!B39/'Revenue Miles-25'!B39</f>
        <v>0.17887553870187622</v>
      </c>
      <c r="R47" s="96">
        <f>'Ridership-25'!C39/'Revenue Miles-25'!C39</f>
        <v>0.13508021153120933</v>
      </c>
      <c r="S47" s="96">
        <f>'Ridership-25'!D39/'Revenue Miles-25'!D39</f>
        <v>0.14506873798932982</v>
      </c>
      <c r="T47" s="96">
        <f>'Ridership-25'!E39/'Revenue Miles-25'!E39</f>
        <v>0.15842870857899324</v>
      </c>
      <c r="U47" s="97">
        <f t="shared" si="5"/>
        <v>1.0715098961184502</v>
      </c>
      <c r="V47" s="98">
        <f t="shared" si="6"/>
        <v>1.4473424713395716E-2</v>
      </c>
      <c r="W47" s="99">
        <f t="shared" si="7"/>
        <v>1.3722965740419861E-2</v>
      </c>
      <c r="X47" s="95">
        <f>'Op Cost-25'!B40/'Revenue Hours-25'!B39</f>
        <v>82.421987686895335</v>
      </c>
      <c r="Y47" s="96">
        <f>'Op Cost-25'!C40/'Revenue Hours-25'!C39</f>
        <v>132.58479715436326</v>
      </c>
      <c r="Z47" s="96">
        <f>'Op Cost-25'!D40/'Revenue Hours-25'!D39</f>
        <v>102.20353157376088</v>
      </c>
      <c r="AA47" s="96">
        <f>'Op Cost-25'!E40/'Revenue Hours-25'!E39</f>
        <v>99.657968701204069</v>
      </c>
      <c r="AB47" s="97">
        <f t="shared" si="8"/>
        <v>1.0447289457201427</v>
      </c>
      <c r="AC47" s="98">
        <f t="shared" si="9"/>
        <v>1.2929195201428136E-2</v>
      </c>
      <c r="AD47" s="99">
        <f t="shared" si="10"/>
        <v>1.3792336718186499E-2</v>
      </c>
      <c r="AE47" s="95">
        <f>'Op Cost-25'!B40/'Revenue Miles-25'!B39</f>
        <v>5.0895454298593386</v>
      </c>
      <c r="AF47" s="96">
        <f>'Op Cost-25'!C40/'Revenue Miles-25'!C39</f>
        <v>8.1606796158642627</v>
      </c>
      <c r="AG47" s="96">
        <f>'Op Cost-25'!D40/'Revenue Miles-25'!D39</f>
        <v>6.4461787590877941</v>
      </c>
      <c r="AH47" s="96">
        <f>'Op Cost-25'!E40/'Revenue Miles-25'!E39</f>
        <v>6.1455721302191293</v>
      </c>
      <c r="AI47" s="97">
        <f t="shared" si="11"/>
        <v>1.0414417240324765</v>
      </c>
      <c r="AJ47" s="98">
        <f t="shared" si="12"/>
        <v>1.2970005099754121E-2</v>
      </c>
      <c r="AK47" s="99">
        <f t="shared" si="13"/>
        <v>1.3803341887575284E-2</v>
      </c>
      <c r="AL47" s="95">
        <f>'Op Cost-25'!B40/'Ridership-25'!B39</f>
        <v>28.452998474776663</v>
      </c>
      <c r="AM47" s="96">
        <f>'Op Cost-25'!C40/'Ridership-25'!C39</f>
        <v>60.413583332143318</v>
      </c>
      <c r="AN47" s="96">
        <f>'Op Cost-25'!D40/'Ridership-25'!D39</f>
        <v>44.435340435386756</v>
      </c>
      <c r="AO47" s="96">
        <f>'Op Cost-25'!E40/'Ridership-25'!E39</f>
        <v>38.790773372711804</v>
      </c>
      <c r="AP47" s="100">
        <f t="shared" si="14"/>
        <v>0.98675734644543533</v>
      </c>
      <c r="AQ47" s="98">
        <f t="shared" si="15"/>
        <v>1.3688780246182709E-2</v>
      </c>
      <c r="AR47" s="99">
        <f t="shared" si="16"/>
        <v>1.4862308468910925E-2</v>
      </c>
      <c r="AT47" s="101">
        <f t="shared" si="29"/>
        <v>0</v>
      </c>
      <c r="AU47" s="102">
        <f t="shared" si="17"/>
        <v>0</v>
      </c>
      <c r="AV47" s="102">
        <f t="shared" si="18"/>
        <v>0</v>
      </c>
      <c r="AW47" s="102">
        <f t="shared" si="19"/>
        <v>0</v>
      </c>
      <c r="AX47" s="103">
        <f t="shared" si="20"/>
        <v>0</v>
      </c>
      <c r="AY47" s="293">
        <f t="shared" si="30"/>
        <v>-1</v>
      </c>
      <c r="AZ47" s="105">
        <f t="shared" si="21"/>
        <v>0</v>
      </c>
      <c r="BA47" s="106">
        <f t="shared" si="21"/>
        <v>0</v>
      </c>
      <c r="BB47" s="106">
        <f t="shared" si="21"/>
        <v>0</v>
      </c>
      <c r="BC47" s="106">
        <f t="shared" si="21"/>
        <v>0</v>
      </c>
      <c r="BD47" s="106">
        <f t="shared" si="21"/>
        <v>0</v>
      </c>
      <c r="BE47" s="107">
        <f t="shared" si="31"/>
        <v>1651164.1064631934</v>
      </c>
      <c r="BG47" s="108">
        <f>'Op Cost-25'!E40</f>
        <v>8616129</v>
      </c>
      <c r="BH47" s="109">
        <f t="shared" si="22"/>
        <v>0.19163641891424715</v>
      </c>
      <c r="BI47" s="110">
        <f t="shared" si="23"/>
        <v>1651164.1064631934</v>
      </c>
      <c r="BJ47" s="111">
        <f t="shared" si="24"/>
        <v>0</v>
      </c>
      <c r="BK47" s="1">
        <f t="shared" si="32"/>
        <v>0.25486559218950777</v>
      </c>
      <c r="BL47" s="294">
        <f t="shared" si="33"/>
        <v>0.2399910635695866</v>
      </c>
      <c r="BM47" s="294">
        <f t="shared" si="34"/>
        <v>0.21353483568603426</v>
      </c>
      <c r="BN47" s="295">
        <f t="shared" si="35"/>
        <v>0.28296823475120508</v>
      </c>
      <c r="BO47" s="114">
        <f t="shared" si="25"/>
        <v>1651164.1064631934</v>
      </c>
      <c r="BP47" s="296">
        <f t="shared" si="36"/>
        <v>0.25486559218950777</v>
      </c>
      <c r="BQ47" s="116">
        <f t="shared" si="37"/>
        <v>3.4425981262072077E-3</v>
      </c>
      <c r="BR47" s="297">
        <f t="shared" si="38"/>
        <v>3.4425981262072077E-3</v>
      </c>
      <c r="BS47" s="117">
        <f t="shared" si="39"/>
        <v>3.8850736067626759E-3</v>
      </c>
      <c r="BT47" s="298">
        <f t="shared" si="40"/>
        <v>1684554.8164403269</v>
      </c>
      <c r="BU47" s="119">
        <f t="shared" si="41"/>
        <v>2584838.6999999997</v>
      </c>
      <c r="BV47" s="119">
        <f t="shared" si="42"/>
        <v>1684554.8164403269</v>
      </c>
      <c r="BW47" s="119">
        <f t="shared" si="43"/>
        <v>0</v>
      </c>
      <c r="BX47" s="120">
        <f t="shared" si="44"/>
        <v>3.4425981262072077E-3</v>
      </c>
      <c r="BY47" s="121">
        <f t="shared" si="45"/>
        <v>6.9300240115489171E-3</v>
      </c>
      <c r="BZ47" s="299">
        <f t="shared" si="46"/>
        <v>1690752.4334685521</v>
      </c>
      <c r="CA47" s="109">
        <f t="shared" si="26"/>
        <v>1.4997043425587083E-2</v>
      </c>
      <c r="CB47" s="123">
        <f t="shared" si="57"/>
        <v>128893.80697101477</v>
      </c>
      <c r="CC47" s="111">
        <f t="shared" si="56"/>
        <v>1780058</v>
      </c>
      <c r="CE47" s="124">
        <f t="shared" si="28"/>
        <v>0</v>
      </c>
      <c r="CF47" s="17"/>
      <c r="CG47" s="108">
        <f t="shared" si="47"/>
        <v>8616129</v>
      </c>
      <c r="CH47" s="125">
        <f t="shared" si="48"/>
        <v>0.20659602473454147</v>
      </c>
      <c r="CI47" s="110">
        <f t="shared" si="49"/>
        <v>1684554.8164403269</v>
      </c>
      <c r="CJ47" s="300">
        <f t="shared" si="50"/>
        <v>0</v>
      </c>
      <c r="CL47" s="127">
        <f t="shared" si="51"/>
        <v>1684554.8164403269</v>
      </c>
      <c r="CM47" s="128">
        <f t="shared" si="52"/>
        <v>1.9611648614904331E-2</v>
      </c>
      <c r="CN47" s="129">
        <f t="shared" si="53"/>
        <v>17538.970601652112</v>
      </c>
      <c r="CO47" s="130">
        <f t="shared" si="55"/>
        <v>1702094</v>
      </c>
      <c r="CQ47" s="131">
        <f t="shared" si="54"/>
        <v>0.19623109559624188</v>
      </c>
      <c r="CR47" s="301"/>
    </row>
    <row r="48" spans="1:96" ht="16.5" customHeight="1">
      <c r="A48" s="133" t="s">
        <v>124</v>
      </c>
      <c r="B48" s="90" t="s">
        <v>128</v>
      </c>
      <c r="C48" s="91">
        <f>'Sizing - Reimb Exp-25'!B41</f>
        <v>170603</v>
      </c>
      <c r="D48" s="92">
        <f>'Ridership-25'!$E40</f>
        <v>11675</v>
      </c>
      <c r="E48" s="92">
        <f>'Revenue Hours-25'!$E40</f>
        <v>5322</v>
      </c>
      <c r="F48" s="92">
        <f>'Revenue Miles-25'!$E40</f>
        <v>60529</v>
      </c>
      <c r="G48" s="93">
        <f t="shared" si="58"/>
        <v>5.2132852965308478E-4</v>
      </c>
      <c r="H48" s="94">
        <f t="shared" si="59"/>
        <v>5.2132852965308489E-4</v>
      </c>
      <c r="J48" s="95">
        <f>'Ridership-25'!B40/'Revenue Hours-25'!B40</f>
        <v>2.6243417203042716</v>
      </c>
      <c r="K48" s="96">
        <f>'Ridership-25'!C40/'Revenue Hours-25'!C40</f>
        <v>2.06749490079733</v>
      </c>
      <c r="L48" s="96">
        <f>'Ridership-25'!D40/'Revenue Hours-25'!D40</f>
        <v>2.1966604823747682</v>
      </c>
      <c r="M48" s="96">
        <f>'Ridership-25'!E40/'Revenue Hours-25'!E40</f>
        <v>2.1937241638481773</v>
      </c>
      <c r="N48" s="97">
        <f t="shared" si="2"/>
        <v>1.0644651232169628</v>
      </c>
      <c r="O48" s="98">
        <f t="shared" si="3"/>
        <v>5.5493603755368912E-4</v>
      </c>
      <c r="P48" s="99">
        <f t="shared" si="4"/>
        <v>5.2422132584625022E-4</v>
      </c>
      <c r="Q48" s="95">
        <f>'Ridership-25'!B40/'Revenue Miles-25'!B40</f>
        <v>0.22349384582163678</v>
      </c>
      <c r="R48" s="96">
        <f>'Ridership-25'!C40/'Revenue Miles-25'!C40</f>
        <v>0.21433239783168659</v>
      </c>
      <c r="S48" s="96">
        <f>'Ridership-25'!D40/'Revenue Miles-25'!D40</f>
        <v>0.21260549470281917</v>
      </c>
      <c r="T48" s="96">
        <f>'Ridership-25'!E40/'Revenue Miles-25'!E40</f>
        <v>0.19288275041715541</v>
      </c>
      <c r="U48" s="97">
        <f t="shared" si="5"/>
        <v>1.1286096730909378</v>
      </c>
      <c r="V48" s="98">
        <f t="shared" si="6"/>
        <v>5.8837642142474747E-4</v>
      </c>
      <c r="W48" s="99">
        <f t="shared" si="7"/>
        <v>5.5786862014831897E-4</v>
      </c>
      <c r="X48" s="95">
        <f>'Op Cost-25'!B41/'Revenue Hours-25'!B40</f>
        <v>28.064170079968793</v>
      </c>
      <c r="Y48" s="96">
        <f>'Op Cost-25'!C41/'Revenue Hours-25'!C40</f>
        <v>27.145188206934915</v>
      </c>
      <c r="Z48" s="96">
        <f>'Op Cost-25'!D41/'Revenue Hours-25'!D40</f>
        <v>30.05751391465677</v>
      </c>
      <c r="AA48" s="96">
        <f>'Op Cost-25'!E41/'Revenue Hours-25'!E40</f>
        <v>32.056181886508831</v>
      </c>
      <c r="AB48" s="97">
        <f t="shared" si="8"/>
        <v>1.0142681961187796</v>
      </c>
      <c r="AC48" s="98">
        <f t="shared" si="9"/>
        <v>5.1399475173135841E-4</v>
      </c>
      <c r="AD48" s="99">
        <f t="shared" si="10"/>
        <v>5.4830858199716168E-4</v>
      </c>
      <c r="AE48" s="95">
        <f>'Op Cost-25'!B41/'Revenue Miles-25'!B40</f>
        <v>2.3899971762204539</v>
      </c>
      <c r="AF48" s="96">
        <f>'Op Cost-25'!C41/'Revenue Miles-25'!C40</f>
        <v>2.8140786590288722</v>
      </c>
      <c r="AG48" s="96">
        <f>'Op Cost-25'!D41/'Revenue Miles-25'!D40</f>
        <v>2.9091398814868019</v>
      </c>
      <c r="AH48" s="96">
        <f>'Op Cost-25'!E41/'Revenue Miles-25'!E40</f>
        <v>2.8185332650465065</v>
      </c>
      <c r="AI48" s="97">
        <f t="shared" si="11"/>
        <v>1.0155039326167026</v>
      </c>
      <c r="AJ48" s="98">
        <f t="shared" si="12"/>
        <v>5.1336928682270107E-4</v>
      </c>
      <c r="AK48" s="99">
        <f t="shared" si="13"/>
        <v>5.463538160620135E-4</v>
      </c>
      <c r="AL48" s="95">
        <f>'Op Cost-25'!B41/'Ridership-25'!B40</f>
        <v>10.693794128576737</v>
      </c>
      <c r="AM48" s="96">
        <f>'Op Cost-25'!C41/'Ridership-25'!C40</f>
        <v>13.129506726457398</v>
      </c>
      <c r="AN48" s="96">
        <f>'Op Cost-25'!D41/'Ridership-25'!D40</f>
        <v>13.683277027027026</v>
      </c>
      <c r="AO48" s="96">
        <f>'Op Cost-25'!E41/'Ridership-25'!E40</f>
        <v>14.612676659528908</v>
      </c>
      <c r="AP48" s="100">
        <f t="shared" si="14"/>
        <v>1.0760456886888583</v>
      </c>
      <c r="AQ48" s="98">
        <f t="shared" si="15"/>
        <v>4.8448549641819951E-4</v>
      </c>
      <c r="AR48" s="99">
        <f t="shared" si="16"/>
        <v>5.2602005196837696E-4</v>
      </c>
      <c r="AT48" s="101">
        <f t="shared" si="29"/>
        <v>0</v>
      </c>
      <c r="AU48" s="102">
        <f t="shared" si="17"/>
        <v>0</v>
      </c>
      <c r="AV48" s="102">
        <f t="shared" si="18"/>
        <v>0</v>
      </c>
      <c r="AW48" s="102">
        <f t="shared" si="19"/>
        <v>0</v>
      </c>
      <c r="AX48" s="103">
        <f t="shared" si="20"/>
        <v>0</v>
      </c>
      <c r="AY48" s="293">
        <f t="shared" si="30"/>
        <v>-1</v>
      </c>
      <c r="AZ48" s="105">
        <f t="shared" si="21"/>
        <v>0</v>
      </c>
      <c r="BA48" s="106">
        <f t="shared" si="21"/>
        <v>0</v>
      </c>
      <c r="BB48" s="106">
        <f t="shared" si="21"/>
        <v>0</v>
      </c>
      <c r="BC48" s="106">
        <f t="shared" si="21"/>
        <v>0</v>
      </c>
      <c r="BD48" s="106">
        <f t="shared" si="21"/>
        <v>0</v>
      </c>
      <c r="BE48" s="107">
        <f t="shared" si="31"/>
        <v>63727.460363655759</v>
      </c>
      <c r="BG48" s="108">
        <f>'Op Cost-25'!E41</f>
        <v>170603</v>
      </c>
      <c r="BH48" s="109">
        <f t="shared" si="22"/>
        <v>0.37354243690706351</v>
      </c>
      <c r="BI48" s="110">
        <f t="shared" si="23"/>
        <v>51180.9</v>
      </c>
      <c r="BJ48" s="111">
        <f t="shared" si="24"/>
        <v>12546.560363655757</v>
      </c>
      <c r="BK48" s="1">
        <f t="shared" si="32"/>
        <v>0.49180769814657255</v>
      </c>
      <c r="BL48" s="294">
        <f t="shared" si="33"/>
        <v>0.20492431725305185</v>
      </c>
      <c r="BM48" s="294">
        <f t="shared" si="34"/>
        <v>0.25997299849516559</v>
      </c>
      <c r="BN48" s="295">
        <f t="shared" si="35"/>
        <v>0.75116673841903636</v>
      </c>
      <c r="BO48" s="114">
        <f t="shared" si="25"/>
        <v>0</v>
      </c>
      <c r="BP48" s="296">
        <f t="shared" si="36"/>
        <v>0.49180769814657255</v>
      </c>
      <c r="BQ48" s="116">
        <f t="shared" si="37"/>
        <v>2.5639338414682085E-4</v>
      </c>
      <c r="BR48" s="297">
        <f t="shared" si="38"/>
        <v>0</v>
      </c>
      <c r="BS48" s="117">
        <f t="shared" si="39"/>
        <v>0</v>
      </c>
      <c r="BT48" s="298">
        <f t="shared" si="40"/>
        <v>51180.9</v>
      </c>
      <c r="BU48" s="119">
        <f t="shared" si="41"/>
        <v>51180.9</v>
      </c>
      <c r="BV48" s="119">
        <f t="shared" si="42"/>
        <v>51180.9</v>
      </c>
      <c r="BW48" s="119">
        <f t="shared" si="43"/>
        <v>0</v>
      </c>
      <c r="BX48" s="120">
        <f t="shared" si="44"/>
        <v>0</v>
      </c>
      <c r="BY48" s="121">
        <f t="shared" si="45"/>
        <v>0</v>
      </c>
      <c r="BZ48" s="299">
        <f t="shared" si="46"/>
        <v>51180.9</v>
      </c>
      <c r="CA48" s="109">
        <f t="shared" si="26"/>
        <v>0</v>
      </c>
      <c r="CB48" s="123">
        <f t="shared" si="57"/>
        <v>0</v>
      </c>
      <c r="CC48" s="111">
        <f t="shared" si="56"/>
        <v>51181</v>
      </c>
      <c r="CE48" s="124">
        <f t="shared" si="28"/>
        <v>1</v>
      </c>
      <c r="CF48" s="17"/>
      <c r="CG48" s="108">
        <f t="shared" si="47"/>
        <v>170603</v>
      </c>
      <c r="CH48" s="125">
        <f t="shared" si="48"/>
        <v>0.30000058615616371</v>
      </c>
      <c r="CI48" s="110">
        <f t="shared" si="49"/>
        <v>51180.9</v>
      </c>
      <c r="CJ48" s="300">
        <f t="shared" si="50"/>
        <v>0</v>
      </c>
      <c r="CL48" s="127">
        <f t="shared" si="51"/>
        <v>0</v>
      </c>
      <c r="CM48" s="128">
        <f t="shared" si="52"/>
        <v>0</v>
      </c>
      <c r="CN48" s="129">
        <f t="shared" si="53"/>
        <v>0</v>
      </c>
      <c r="CO48" s="130">
        <f t="shared" si="55"/>
        <v>51181</v>
      </c>
      <c r="CQ48" s="131">
        <f t="shared" si="54"/>
        <v>0.3</v>
      </c>
      <c r="CR48" s="301"/>
    </row>
    <row r="49" spans="1:96">
      <c r="A49" s="133" t="s">
        <v>124</v>
      </c>
      <c r="B49" s="90" t="s">
        <v>129</v>
      </c>
      <c r="C49" s="91">
        <f>'Sizing - Reimb Exp-25'!B42</f>
        <v>1199851</v>
      </c>
      <c r="D49" s="92">
        <f>'Ridership-25'!$E41</f>
        <v>61663</v>
      </c>
      <c r="E49" s="92">
        <f>'Revenue Hours-25'!$E41</f>
        <v>18247</v>
      </c>
      <c r="F49" s="92">
        <f>'Revenue Miles-25'!$E41</f>
        <v>313578</v>
      </c>
      <c r="G49" s="134">
        <f t="shared" si="58"/>
        <v>2.6079262501788238E-3</v>
      </c>
      <c r="H49" s="94">
        <f t="shared" si="59"/>
        <v>2.6079262501788243E-3</v>
      </c>
      <c r="J49" s="95">
        <f>'Ridership-25'!B41/'Revenue Hours-25'!B41</f>
        <v>2.3018086155869781</v>
      </c>
      <c r="K49" s="96">
        <f>'Ridership-25'!C41/'Revenue Hours-25'!C41</f>
        <v>1.8714498597475455</v>
      </c>
      <c r="L49" s="96">
        <f>'Ridership-25'!D41/'Revenue Hours-25'!D41</f>
        <v>2.7255388346838654</v>
      </c>
      <c r="M49" s="96">
        <f>'Ridership-25'!E41/'Revenue Hours-25'!E41</f>
        <v>3.379350030141941</v>
      </c>
      <c r="N49" s="97">
        <f t="shared" si="2"/>
        <v>1.2499873812155375</v>
      </c>
      <c r="O49" s="98">
        <f t="shared" si="3"/>
        <v>3.2598749038642853E-3</v>
      </c>
      <c r="P49" s="99">
        <f t="shared" si="4"/>
        <v>3.0794466903427951E-3</v>
      </c>
      <c r="Q49" s="95">
        <f>'Ridership-25'!B41/'Revenue Miles-25'!B41</f>
        <v>0.15794010138539991</v>
      </c>
      <c r="R49" s="96">
        <f>'Ridership-25'!C41/'Revenue Miles-25'!C41</f>
        <v>0.12054951539089166</v>
      </c>
      <c r="S49" s="96">
        <f>'Ridership-25'!D41/'Revenue Miles-25'!D41</f>
        <v>0.1590504069225078</v>
      </c>
      <c r="T49" s="96">
        <f>'Ridership-25'!E41/'Revenue Miles-25'!E41</f>
        <v>0.19664325941233121</v>
      </c>
      <c r="U49" s="97">
        <f t="shared" si="5"/>
        <v>1.1819101496945379</v>
      </c>
      <c r="V49" s="98">
        <f t="shared" si="6"/>
        <v>3.0823345047411689E-3</v>
      </c>
      <c r="W49" s="99">
        <f t="shared" si="7"/>
        <v>2.9225129260476912E-3</v>
      </c>
      <c r="X49" s="95">
        <f>'Op Cost-25'!B42/'Revenue Hours-25'!B41</f>
        <v>30.822514523731229</v>
      </c>
      <c r="Y49" s="96">
        <f>'Op Cost-25'!C42/'Revenue Hours-25'!C41</f>
        <v>53.352691093969142</v>
      </c>
      <c r="Z49" s="96">
        <f>'Op Cost-25'!D42/'Revenue Hours-25'!D41</f>
        <v>79.509949837384923</v>
      </c>
      <c r="AA49" s="96">
        <f>'Op Cost-25'!E42/'Revenue Hours-25'!E41</f>
        <v>73.872855811914292</v>
      </c>
      <c r="AB49" s="97">
        <f t="shared" si="8"/>
        <v>1.3009553130389218</v>
      </c>
      <c r="AC49" s="98">
        <f t="shared" si="9"/>
        <v>2.0046240051758034E-3</v>
      </c>
      <c r="AD49" s="99">
        <f t="shared" si="10"/>
        <v>2.1384509122184432E-3</v>
      </c>
      <c r="AE49" s="95">
        <f>'Op Cost-25'!B42/'Revenue Miles-25'!B41</f>
        <v>2.1149069631011295</v>
      </c>
      <c r="AF49" s="96">
        <f>'Op Cost-25'!C42/'Revenue Miles-25'!C41</f>
        <v>3.4367156686984583</v>
      </c>
      <c r="AG49" s="96">
        <f>'Op Cost-25'!D42/'Revenue Miles-25'!D41</f>
        <v>4.639849454756007</v>
      </c>
      <c r="AH49" s="96">
        <f>'Op Cost-25'!E42/'Revenue Miles-25'!E41</f>
        <v>4.2986370217298404</v>
      </c>
      <c r="AI49" s="97">
        <f t="shared" si="11"/>
        <v>1.2285075855666157</v>
      </c>
      <c r="AJ49" s="98">
        <f t="shared" si="12"/>
        <v>2.1228409826838713E-3</v>
      </c>
      <c r="AK49" s="99">
        <f t="shared" si="13"/>
        <v>2.2592358007243389E-3</v>
      </c>
      <c r="AL49" s="95">
        <f>'Op Cost-25'!B42/'Ridership-25'!B41</f>
        <v>13.390563539910664</v>
      </c>
      <c r="AM49" s="96">
        <f>'Op Cost-25'!C42/'Ridership-25'!C41</f>
        <v>28.508747277453804</v>
      </c>
      <c r="AN49" s="96">
        <f>'Op Cost-25'!D42/'Ridership-25'!D41</f>
        <v>29.17219480624545</v>
      </c>
      <c r="AO49" s="96">
        <f>'Op Cost-25'!E42/'Ridership-25'!E41</f>
        <v>21.860078166809917</v>
      </c>
      <c r="AP49" s="100">
        <f t="shared" si="14"/>
        <v>1.0579537896315043</v>
      </c>
      <c r="AQ49" s="98">
        <f t="shared" si="15"/>
        <v>2.4650663155024858E-3</v>
      </c>
      <c r="AR49" s="99">
        <f t="shared" si="16"/>
        <v>2.6763944864653826E-3</v>
      </c>
      <c r="AT49" s="101">
        <f t="shared" si="29"/>
        <v>0</v>
      </c>
      <c r="AU49" s="102">
        <f t="shared" si="17"/>
        <v>0</v>
      </c>
      <c r="AV49" s="102">
        <f t="shared" si="18"/>
        <v>0</v>
      </c>
      <c r="AW49" s="102">
        <f t="shared" si="19"/>
        <v>0</v>
      </c>
      <c r="AX49" s="103">
        <f t="shared" si="20"/>
        <v>0</v>
      </c>
      <c r="AY49" s="293">
        <f t="shared" si="30"/>
        <v>-1</v>
      </c>
      <c r="AZ49" s="105">
        <f t="shared" si="21"/>
        <v>0</v>
      </c>
      <c r="BA49" s="106">
        <f t="shared" si="21"/>
        <v>0</v>
      </c>
      <c r="BB49" s="106">
        <f t="shared" si="21"/>
        <v>0</v>
      </c>
      <c r="BC49" s="106">
        <f t="shared" si="21"/>
        <v>0</v>
      </c>
      <c r="BD49" s="106">
        <f t="shared" si="21"/>
        <v>0</v>
      </c>
      <c r="BE49" s="107">
        <f t="shared" si="31"/>
        <v>318794.20995855134</v>
      </c>
      <c r="BG49" s="108">
        <f>'Op Cost-25'!E42</f>
        <v>1347958</v>
      </c>
      <c r="BH49" s="109">
        <f t="shared" si="22"/>
        <v>0.23650158978139627</v>
      </c>
      <c r="BI49" s="110">
        <f t="shared" si="23"/>
        <v>318794.20995855134</v>
      </c>
      <c r="BJ49" s="111">
        <f t="shared" si="24"/>
        <v>0</v>
      </c>
      <c r="BK49" s="1">
        <f t="shared" si="32"/>
        <v>0.39624392703833694</v>
      </c>
      <c r="BL49" s="294">
        <f t="shared" si="33"/>
        <v>0.31567824665391458</v>
      </c>
      <c r="BM49" s="294">
        <f t="shared" si="34"/>
        <v>0.26504152223422228</v>
      </c>
      <c r="BN49" s="295">
        <f t="shared" si="35"/>
        <v>0.50212796963260542</v>
      </c>
      <c r="BO49" s="114">
        <f t="shared" si="25"/>
        <v>318794.20995855134</v>
      </c>
      <c r="BP49" s="296">
        <f>BL49*$BO$8+BM49*$BP$8+BN49*$BQ$8</f>
        <v>0.39624392703833694</v>
      </c>
      <c r="BQ49" s="116">
        <f t="shared" si="37"/>
        <v>1.0333749387972217E-3</v>
      </c>
      <c r="BR49" s="297">
        <f t="shared" si="38"/>
        <v>1.0333749387972217E-3</v>
      </c>
      <c r="BS49" s="117">
        <f t="shared" si="39"/>
        <v>1.1661941224124855E-3</v>
      </c>
      <c r="BT49" s="298">
        <f t="shared" si="40"/>
        <v>328817.19887972146</v>
      </c>
      <c r="BU49" s="119">
        <f t="shared" si="41"/>
        <v>404387.39999999997</v>
      </c>
      <c r="BV49" s="119">
        <f t="shared" si="42"/>
        <v>328817.19887972146</v>
      </c>
      <c r="BW49" s="119">
        <f t="shared" si="43"/>
        <v>0</v>
      </c>
      <c r="BX49" s="120">
        <f t="shared" si="44"/>
        <v>1.0333749387972217E-3</v>
      </c>
      <c r="BY49" s="121">
        <f t="shared" si="45"/>
        <v>2.080205959644621E-3</v>
      </c>
      <c r="BZ49" s="299">
        <f t="shared" si="46"/>
        <v>330677.55605254276</v>
      </c>
      <c r="CA49" s="109">
        <f t="shared" si="26"/>
        <v>2.8955151046827182E-3</v>
      </c>
      <c r="CB49" s="123">
        <f t="shared" si="57"/>
        <v>24885.836120730033</v>
      </c>
      <c r="CC49" s="111">
        <f t="shared" si="56"/>
        <v>343680</v>
      </c>
      <c r="CE49" s="124">
        <f t="shared" si="28"/>
        <v>0</v>
      </c>
      <c r="CF49" s="17"/>
      <c r="CG49" s="108">
        <f t="shared" si="47"/>
        <v>1347958</v>
      </c>
      <c r="CH49" s="125">
        <f t="shared" si="48"/>
        <v>0.25496343357879103</v>
      </c>
      <c r="CI49" s="110">
        <f t="shared" si="49"/>
        <v>328817.19887972146</v>
      </c>
      <c r="CJ49" s="300">
        <f t="shared" si="50"/>
        <v>0</v>
      </c>
      <c r="CL49" s="127">
        <f t="shared" si="51"/>
        <v>328817.19887972146</v>
      </c>
      <c r="CM49" s="128">
        <f t="shared" si="52"/>
        <v>3.8281018225295887E-3</v>
      </c>
      <c r="CN49" s="129">
        <f t="shared" si="53"/>
        <v>3423.5247960975594</v>
      </c>
      <c r="CO49" s="130">
        <f t="shared" si="55"/>
        <v>332241</v>
      </c>
      <c r="CQ49" s="131">
        <f t="shared" si="54"/>
        <v>0.2453174031034667</v>
      </c>
      <c r="CR49" s="301"/>
    </row>
    <row r="50" spans="1:96">
      <c r="A50" s="133" t="s">
        <v>124</v>
      </c>
      <c r="B50" s="90" t="s">
        <v>130</v>
      </c>
      <c r="C50" s="91">
        <f>'Sizing - Reimb Exp-25'!B43</f>
        <v>4543756</v>
      </c>
      <c r="D50" s="92">
        <f>'Ridership-25'!$E42</f>
        <v>187266</v>
      </c>
      <c r="E50" s="92">
        <f>'Revenue Hours-25'!$E42</f>
        <v>63759</v>
      </c>
      <c r="F50" s="92">
        <f>'Revenue Miles-25'!$E42</f>
        <v>994681</v>
      </c>
      <c r="G50" s="134">
        <f t="shared" si="58"/>
        <v>8.8990972899338511E-3</v>
      </c>
      <c r="H50" s="94">
        <f t="shared" si="59"/>
        <v>8.8990972899338529E-3</v>
      </c>
      <c r="J50" s="95">
        <f>'Ridership-25'!B42/'Revenue Hours-25'!B42</f>
        <v>4.6066913646259025</v>
      </c>
      <c r="K50" s="96">
        <f>'Ridership-25'!C42/'Revenue Hours-25'!C42</f>
        <v>2.6052602436323364</v>
      </c>
      <c r="L50" s="96">
        <f>'Ridership-25'!D42/'Revenue Hours-25'!D42</f>
        <v>2.7993357457988401</v>
      </c>
      <c r="M50" s="96">
        <f>'Ridership-25'!E42/'Revenue Hours-25'!E42</f>
        <v>2.9370912341787041</v>
      </c>
      <c r="N50" s="97">
        <f t="shared" si="2"/>
        <v>0.93744466278837724</v>
      </c>
      <c r="O50" s="98">
        <f t="shared" si="3"/>
        <v>8.3424112580830021E-3</v>
      </c>
      <c r="P50" s="99">
        <f t="shared" si="4"/>
        <v>7.8806737975524767E-3</v>
      </c>
      <c r="Q50" s="95">
        <f>'Ridership-25'!B42/'Revenue Miles-25'!B42</f>
        <v>0.25866990351642838</v>
      </c>
      <c r="R50" s="96">
        <f>'Ridership-25'!C42/'Revenue Miles-25'!C42</f>
        <v>0.16890249812434263</v>
      </c>
      <c r="S50" s="96">
        <f>'Ridership-25'!D42/'Revenue Miles-25'!D42</f>
        <v>0.1810610173694088</v>
      </c>
      <c r="T50" s="96">
        <f>'Ridership-25'!E42/'Revenue Miles-25'!E42</f>
        <v>0.18826739427012279</v>
      </c>
      <c r="U50" s="97">
        <f t="shared" si="5"/>
        <v>0.99109648571081632</v>
      </c>
      <c r="V50" s="98">
        <f t="shared" si="6"/>
        <v>8.8198640500520911E-3</v>
      </c>
      <c r="W50" s="99">
        <f t="shared" si="7"/>
        <v>8.3625468464283582E-3</v>
      </c>
      <c r="X50" s="95">
        <f>'Op Cost-25'!B43/'Revenue Hours-25'!B42</f>
        <v>60.089370965893899</v>
      </c>
      <c r="Y50" s="96">
        <f>'Op Cost-25'!C43/'Revenue Hours-25'!C42</f>
        <v>61.375230712440015</v>
      </c>
      <c r="Z50" s="96">
        <f>'Op Cost-25'!D43/'Revenue Hours-25'!D42</f>
        <v>66.464250896412693</v>
      </c>
      <c r="AA50" s="96">
        <f>'Op Cost-25'!E43/'Revenue Hours-25'!E42</f>
        <v>73.070531219122003</v>
      </c>
      <c r="AB50" s="97">
        <f t="shared" si="8"/>
        <v>1.0327254943983701</v>
      </c>
      <c r="AC50" s="98">
        <f t="shared" si="9"/>
        <v>8.617098481836314E-3</v>
      </c>
      <c r="AD50" s="99">
        <f t="shared" si="10"/>
        <v>9.1923682753379862E-3</v>
      </c>
      <c r="AE50" s="95">
        <f>'Op Cost-25'!B43/'Revenue Miles-25'!B42</f>
        <v>3.3740727476265127</v>
      </c>
      <c r="AF50" s="96">
        <f>'Op Cost-25'!C43/'Revenue Miles-25'!C42</f>
        <v>3.9790381078535897</v>
      </c>
      <c r="AG50" s="96">
        <f>'Op Cost-25'!D43/'Revenue Miles-25'!D42</f>
        <v>4.2989073047277451</v>
      </c>
      <c r="AH50" s="96">
        <f>'Op Cost-25'!E43/'Revenue Miles-25'!E42</f>
        <v>4.6838172238134641</v>
      </c>
      <c r="AI50" s="97">
        <f t="shared" si="11"/>
        <v>1.0750496667822353</v>
      </c>
      <c r="AJ50" s="98">
        <f t="shared" si="12"/>
        <v>8.2778475868654691E-3</v>
      </c>
      <c r="AK50" s="99">
        <f t="shared" si="13"/>
        <v>8.8097082041170699E-3</v>
      </c>
      <c r="AL50" s="95">
        <f>'Op Cost-25'!B43/'Ridership-25'!B42</f>
        <v>13.043932447333294</v>
      </c>
      <c r="AM50" s="96">
        <f>'Op Cost-25'!C43/'Ridership-25'!C42</f>
        <v>23.558195716704567</v>
      </c>
      <c r="AN50" s="96">
        <f>'Op Cost-25'!D43/'Ridership-25'!D42</f>
        <v>23.742865069386646</v>
      </c>
      <c r="AO50" s="96">
        <f>'Op Cost-25'!E43/'Ridership-25'!E42</f>
        <v>24.878536413443978</v>
      </c>
      <c r="AP50" s="100">
        <f t="shared" si="14"/>
        <v>1.133836263732076</v>
      </c>
      <c r="AQ50" s="98">
        <f t="shared" si="15"/>
        <v>7.8486617288479124E-3</v>
      </c>
      <c r="AR50" s="99">
        <f t="shared" si="16"/>
        <v>8.5215212447290554E-3</v>
      </c>
      <c r="AT50" s="101">
        <f t="shared" si="29"/>
        <v>0</v>
      </c>
      <c r="AU50" s="102">
        <f t="shared" si="17"/>
        <v>0</v>
      </c>
      <c r="AV50" s="102">
        <f t="shared" si="18"/>
        <v>0</v>
      </c>
      <c r="AW50" s="102">
        <f t="shared" si="19"/>
        <v>0</v>
      </c>
      <c r="AX50" s="103">
        <f t="shared" si="20"/>
        <v>0</v>
      </c>
      <c r="AY50" s="293">
        <f t="shared" si="30"/>
        <v>-1</v>
      </c>
      <c r="AZ50" s="105">
        <f t="shared" si="21"/>
        <v>0</v>
      </c>
      <c r="BA50" s="106">
        <f t="shared" si="21"/>
        <v>0</v>
      </c>
      <c r="BB50" s="106">
        <f t="shared" si="21"/>
        <v>0</v>
      </c>
      <c r="BC50" s="106">
        <f t="shared" si="21"/>
        <v>0</v>
      </c>
      <c r="BD50" s="106">
        <f t="shared" si="21"/>
        <v>0</v>
      </c>
      <c r="BE50" s="107">
        <f>$AZ$6*H50</f>
        <v>1087830.1062747529</v>
      </c>
      <c r="BG50" s="108">
        <f>'Op Cost-25'!E43</f>
        <v>4658904</v>
      </c>
      <c r="BH50" s="109">
        <f t="shared" si="22"/>
        <v>0.23349485335494205</v>
      </c>
      <c r="BI50" s="110">
        <f t="shared" si="23"/>
        <v>1087830.1062747529</v>
      </c>
      <c r="BJ50" s="111">
        <f t="shared" si="24"/>
        <v>0</v>
      </c>
      <c r="BK50" s="1">
        <f t="shared" si="32"/>
        <v>0.35263229656150574</v>
      </c>
      <c r="BL50" s="294">
        <f t="shared" si="33"/>
        <v>0.27436513021682213</v>
      </c>
      <c r="BM50" s="294">
        <f t="shared" si="34"/>
        <v>0.25375228682410034</v>
      </c>
      <c r="BN50" s="295">
        <f t="shared" si="35"/>
        <v>0.44120588460255034</v>
      </c>
      <c r="BO50" s="114">
        <f t="shared" si="25"/>
        <v>1087830.1062747529</v>
      </c>
      <c r="BP50" s="296">
        <f t="shared" si="36"/>
        <v>0.35263229656150574</v>
      </c>
      <c r="BQ50" s="116">
        <f t="shared" si="37"/>
        <v>3.1381091146736465E-3</v>
      </c>
      <c r="BR50" s="297">
        <f t="shared" si="38"/>
        <v>3.1381091146736465E-3</v>
      </c>
      <c r="BS50" s="117">
        <f t="shared" si="39"/>
        <v>3.5414487690992708E-3</v>
      </c>
      <c r="BT50" s="298">
        <f t="shared" si="40"/>
        <v>1118267.4932375201</v>
      </c>
      <c r="BU50" s="119">
        <f t="shared" si="41"/>
        <v>1397671.2</v>
      </c>
      <c r="BV50" s="119">
        <f t="shared" si="42"/>
        <v>1118267.4932375201</v>
      </c>
      <c r="BW50" s="119">
        <f t="shared" si="43"/>
        <v>0</v>
      </c>
      <c r="BX50" s="120">
        <f t="shared" si="44"/>
        <v>3.1381091146736465E-3</v>
      </c>
      <c r="BY50" s="121">
        <f t="shared" si="45"/>
        <v>6.3170810876807919E-3</v>
      </c>
      <c r="BZ50" s="299">
        <f t="shared" si="46"/>
        <v>1123916.9468689137</v>
      </c>
      <c r="CA50" s="109">
        <f t="shared" si="26"/>
        <v>9.8804445176613621E-3</v>
      </c>
      <c r="CB50" s="123">
        <f t="shared" si="57"/>
        <v>84918.611776134829</v>
      </c>
      <c r="CC50" s="111">
        <f t="shared" si="56"/>
        <v>1172749</v>
      </c>
      <c r="CE50" s="124">
        <f t="shared" si="28"/>
        <v>0</v>
      </c>
      <c r="CF50" s="17"/>
      <c r="CG50" s="108">
        <f t="shared" si="47"/>
        <v>4658904</v>
      </c>
      <c r="CH50" s="125">
        <f t="shared" si="48"/>
        <v>0.25172207884086045</v>
      </c>
      <c r="CI50" s="110">
        <f t="shared" si="49"/>
        <v>1118267.4932375201</v>
      </c>
      <c r="CJ50" s="300">
        <f t="shared" si="50"/>
        <v>0</v>
      </c>
      <c r="CL50" s="127">
        <f t="shared" si="51"/>
        <v>1118267.4932375201</v>
      </c>
      <c r="CM50" s="128">
        <f t="shared" si="52"/>
        <v>1.3018910943597086E-2</v>
      </c>
      <c r="CN50" s="129">
        <f t="shared" si="53"/>
        <v>11642.993446851033</v>
      </c>
      <c r="CO50" s="130">
        <f t="shared" si="55"/>
        <v>1129910</v>
      </c>
      <c r="CQ50" s="131">
        <f t="shared" si="54"/>
        <v>0.24124063231801166</v>
      </c>
      <c r="CR50" s="301"/>
    </row>
    <row r="51" spans="1:96" s="171" customFormat="1" ht="15" thickBot="1">
      <c r="A51" s="165"/>
      <c r="B51" s="166" t="s">
        <v>131</v>
      </c>
      <c r="C51" s="167">
        <f>SUM(C11:C50)-C34</f>
        <v>525422953</v>
      </c>
      <c r="D51" s="168">
        <f>SUM(D11:D50)-D34</f>
        <v>47351081</v>
      </c>
      <c r="E51" s="168">
        <f>SUM(E11:E50)-E34</f>
        <v>4481273</v>
      </c>
      <c r="F51" s="168">
        <f>SUM(F11:F50)-F34</f>
        <v>63382684</v>
      </c>
      <c r="G51" s="169">
        <f>SUM(G11:G50)</f>
        <v>0.99999999999999989</v>
      </c>
      <c r="H51" s="170">
        <f>SUM(H11:H50)</f>
        <v>1</v>
      </c>
      <c r="J51" s="172">
        <f>'Ridership-25'!B43/'Revenue Hours-25'!B43</f>
        <v>13.526760546299428</v>
      </c>
      <c r="K51" s="173">
        <f>'Ridership-25'!C43/'Revenue Hours-25'!C43</f>
        <v>6.9491805201049877</v>
      </c>
      <c r="L51" s="173">
        <f>'Ridership-25'!D43/'Revenue Hours-25'!D43</f>
        <v>8.9536027544539518</v>
      </c>
      <c r="M51" s="173">
        <f>'Ridership-25'!E43/'Revenue Hours-25'!E43</f>
        <v>10.705045615153841</v>
      </c>
      <c r="N51" s="174"/>
      <c r="O51" s="175">
        <f>SUM(O11:O50)</f>
        <v>1.0585911144645941</v>
      </c>
      <c r="P51" s="176">
        <f>SUM(P11:P50)</f>
        <v>1</v>
      </c>
      <c r="Q51" s="172">
        <f>'Ridership-25'!B43/'Revenue Miles-25'!B43</f>
        <v>0.94516480852199081</v>
      </c>
      <c r="R51" s="173">
        <f>'Ridership-25'!C43/'Revenue Miles-25'!C43</f>
        <v>0.49283534368231213</v>
      </c>
      <c r="S51" s="173">
        <f>'Ridership-25'!D43/'Revenue Miles-25'!D43</f>
        <v>0.61981636789595917</v>
      </c>
      <c r="T51" s="173">
        <f>'Ridership-25'!E43/'Revenue Miles-25'!E43</f>
        <v>0.74193378363769658</v>
      </c>
      <c r="U51" s="174"/>
      <c r="V51" s="175">
        <f>SUM(V11:V50)</f>
        <v>1.0546863547699052</v>
      </c>
      <c r="W51" s="176">
        <f>SUM(W11:W50)</f>
        <v>0.99999999999999978</v>
      </c>
      <c r="X51" s="177">
        <f>'Op Cost-25'!B44/'Revenue Hours-25'!B43</f>
        <v>103.16343259700481</v>
      </c>
      <c r="Y51" s="178">
        <f>'Op Cost-25'!C44/'Revenue Hours-25'!C43</f>
        <v>125.95961510933006</v>
      </c>
      <c r="Z51" s="178">
        <f>'Op Cost-25'!D44/'Revenue Hours-25'!D43</f>
        <v>126.23027057650225</v>
      </c>
      <c r="AA51" s="178">
        <f>'Op Cost-25'!E44/'Revenue Hours-25'!E43</f>
        <v>117.50453980589081</v>
      </c>
      <c r="AB51" s="174"/>
      <c r="AC51" s="175">
        <f>SUM(AC11:AC50)</f>
        <v>0.93741876127340851</v>
      </c>
      <c r="AD51" s="176">
        <f>SUM(AD11:AD50)</f>
        <v>1.0000000000000002</v>
      </c>
      <c r="AE51" s="177">
        <f>'Op Cost-25'!B44/'Revenue Miles-25'!B43</f>
        <v>7.2084107413060252</v>
      </c>
      <c r="AF51" s="178">
        <f>'Op Cost-25'!C44/'Revenue Miles-25'!C43</f>
        <v>8.9330461372962819</v>
      </c>
      <c r="AG51" s="178">
        <f>'Op Cost-25'!D44/'Revenue Miles-25'!D43</f>
        <v>8.7383358378650051</v>
      </c>
      <c r="AH51" s="178">
        <f>'Op Cost-25'!E44/'Revenue Miles-25'!E43</f>
        <v>8.1438782184524161</v>
      </c>
      <c r="AI51" s="174"/>
      <c r="AJ51" s="175">
        <f>SUM(AJ11:AJ50)</f>
        <v>0.93962789630160004</v>
      </c>
      <c r="AK51" s="176">
        <f>SUM(AK11:AK50)</f>
        <v>1.0000000000000002</v>
      </c>
      <c r="AL51" s="177">
        <f>'Op Cost-25'!B44/'Ridership-25'!B43</f>
        <v>7.6266177880429513</v>
      </c>
      <c r="AM51" s="178">
        <f>'Op Cost-25'!C44/'Ridership-25'!C43</f>
        <v>18.125822857085176</v>
      </c>
      <c r="AN51" s="178">
        <f>'Op Cost-25'!D44/'Ridership-25'!D43</f>
        <v>14.098265696868143</v>
      </c>
      <c r="AO51" s="178">
        <f>'Op Cost-25'!E44/'Ridership-25'!E43</f>
        <v>10.97655666591031</v>
      </c>
      <c r="AP51" s="179"/>
      <c r="AQ51" s="175">
        <f>SUM(AQ11:AQ50)</f>
        <v>0.92103997671808457</v>
      </c>
      <c r="AR51" s="176">
        <f>SUM(AR11:AR50)</f>
        <v>1</v>
      </c>
      <c r="AT51" s="180">
        <f>SUM(AT11:AT50)</f>
        <v>0</v>
      </c>
      <c r="AU51" s="181">
        <f>SUM(AU11:AU50)</f>
        <v>0</v>
      </c>
      <c r="AV51" s="181">
        <f>SUM(AV11:AV50)</f>
        <v>0</v>
      </c>
      <c r="AW51" s="181">
        <f>SUM(AW11:AW50)</f>
        <v>0</v>
      </c>
      <c r="AX51" s="182">
        <f>SUM(AX11:AX50)</f>
        <v>0</v>
      </c>
      <c r="AZ51" s="183">
        <f t="shared" si="21"/>
        <v>0</v>
      </c>
      <c r="BA51" s="184">
        <f t="shared" si="21"/>
        <v>0</v>
      </c>
      <c r="BB51" s="184">
        <f t="shared" si="21"/>
        <v>0</v>
      </c>
      <c r="BC51" s="184">
        <f t="shared" si="21"/>
        <v>0</v>
      </c>
      <c r="BD51" s="184">
        <f t="shared" si="21"/>
        <v>0</v>
      </c>
      <c r="BE51" s="185">
        <f t="shared" ref="BE51" si="60">SUM(AZ51:BD51)</f>
        <v>0</v>
      </c>
      <c r="BG51" s="186">
        <f>'Op Cost-25'!E44</f>
        <v>535846200</v>
      </c>
      <c r="BH51" s="187"/>
      <c r="BI51" s="188">
        <f>SUM(BI11:BI50)</f>
        <v>120079596.49410993</v>
      </c>
      <c r="BJ51" s="189">
        <f>SUM(BJ11:BJ50)</f>
        <v>2160903.9558901167</v>
      </c>
      <c r="BK51" s="1"/>
      <c r="BO51" s="190">
        <f t="shared" ref="BO51:BT51" si="61">SUM(BO11:BO50)</f>
        <v>110099308.21738325</v>
      </c>
      <c r="BP51" s="192">
        <f t="shared" si="61"/>
        <v>33.604487850243814</v>
      </c>
      <c r="BQ51" s="305">
        <f t="shared" si="61"/>
        <v>1.1380608600556743</v>
      </c>
      <c r="BR51" s="305">
        <f t="shared" si="61"/>
        <v>0.88610885523886618</v>
      </c>
      <c r="BS51" s="191">
        <f t="shared" si="61"/>
        <v>1.0000000000000004</v>
      </c>
      <c r="BT51" s="192">
        <f t="shared" si="61"/>
        <v>128674211</v>
      </c>
      <c r="BU51" s="192"/>
      <c r="BV51" s="192">
        <f t="shared" ref="BV51:CC51" si="62">SUM(BV11:BV50)</f>
        <v>127779897.06719156</v>
      </c>
      <c r="BW51" s="192">
        <f t="shared" si="62"/>
        <v>894313.9328084311</v>
      </c>
      <c r="BX51" s="306">
        <f t="shared" si="62"/>
        <v>0.49676568515060004</v>
      </c>
      <c r="BY51" s="192">
        <f t="shared" si="62"/>
        <v>1</v>
      </c>
      <c r="BZ51" s="192">
        <f t="shared" si="62"/>
        <v>128674210.99999999</v>
      </c>
      <c r="CA51" s="307">
        <f t="shared" si="62"/>
        <v>0.99999999999999978</v>
      </c>
      <c r="CB51" s="194">
        <f t="shared" si="62"/>
        <v>8594614.5058901161</v>
      </c>
      <c r="CC51" s="189">
        <f t="shared" si="62"/>
        <v>128674209</v>
      </c>
      <c r="CE51" s="195">
        <f>SUM(CE11:CE50)</f>
        <v>2</v>
      </c>
      <c r="CG51" s="196">
        <f>SUM(CG11:CG50)</f>
        <v>535846200</v>
      </c>
      <c r="CH51" s="197"/>
      <c r="CI51" s="198">
        <f>SUM(CI11:CI50)</f>
        <v>127779897.06719156</v>
      </c>
      <c r="CJ51" s="308">
        <f>SUM(CJ11:CJ50)</f>
        <v>894313.9328084311</v>
      </c>
      <c r="CK51" s="1"/>
      <c r="CL51" s="200">
        <f>SUM(CL11:CL50)</f>
        <v>85895625.070505798</v>
      </c>
      <c r="CM51" s="201">
        <f t="shared" si="52"/>
        <v>1</v>
      </c>
      <c r="CN51" s="202">
        <f t="shared" si="53"/>
        <v>894313.9328084311</v>
      </c>
      <c r="CO51" s="203">
        <f>SUM(CO11:CO50)</f>
        <v>128674211</v>
      </c>
      <c r="CP51" s="1"/>
      <c r="CQ51" s="131">
        <f t="shared" si="54"/>
        <v>0.24013273024983658</v>
      </c>
      <c r="CR51" s="309"/>
    </row>
    <row r="53" spans="1:96">
      <c r="CR53" s="301"/>
    </row>
    <row r="58" spans="1:96">
      <c r="B58" s="1">
        <v>1</v>
      </c>
      <c r="C58" s="1">
        <f>B58+1</f>
        <v>2</v>
      </c>
      <c r="D58" s="1">
        <f t="shared" ref="D58:BO58" si="63">C58+1</f>
        <v>3</v>
      </c>
      <c r="E58" s="1">
        <f t="shared" si="63"/>
        <v>4</v>
      </c>
      <c r="F58" s="1">
        <f t="shared" si="63"/>
        <v>5</v>
      </c>
      <c r="G58" s="1">
        <f t="shared" si="63"/>
        <v>6</v>
      </c>
      <c r="H58" s="1">
        <f t="shared" si="63"/>
        <v>7</v>
      </c>
      <c r="I58" s="1">
        <f t="shared" si="63"/>
        <v>8</v>
      </c>
      <c r="J58" s="1">
        <f t="shared" si="63"/>
        <v>9</v>
      </c>
      <c r="K58" s="1">
        <f t="shared" si="63"/>
        <v>10</v>
      </c>
      <c r="L58" s="1">
        <f t="shared" si="63"/>
        <v>11</v>
      </c>
      <c r="M58" s="1">
        <f t="shared" si="63"/>
        <v>12</v>
      </c>
      <c r="N58" s="1">
        <f t="shared" si="63"/>
        <v>13</v>
      </c>
      <c r="O58" s="1">
        <f t="shared" si="63"/>
        <v>14</v>
      </c>
      <c r="P58" s="1">
        <f t="shared" si="63"/>
        <v>15</v>
      </c>
      <c r="Q58" s="1">
        <f t="shared" si="63"/>
        <v>16</v>
      </c>
      <c r="R58" s="1">
        <f t="shared" si="63"/>
        <v>17</v>
      </c>
      <c r="S58" s="1">
        <f t="shared" si="63"/>
        <v>18</v>
      </c>
      <c r="T58" s="1">
        <f t="shared" si="63"/>
        <v>19</v>
      </c>
      <c r="U58" s="1">
        <f t="shared" si="63"/>
        <v>20</v>
      </c>
      <c r="V58" s="1">
        <f t="shared" si="63"/>
        <v>21</v>
      </c>
      <c r="W58" s="1">
        <f t="shared" si="63"/>
        <v>22</v>
      </c>
      <c r="X58" s="1">
        <f t="shared" si="63"/>
        <v>23</v>
      </c>
      <c r="Y58" s="1">
        <f t="shared" si="63"/>
        <v>24</v>
      </c>
      <c r="Z58" s="1">
        <f t="shared" si="63"/>
        <v>25</v>
      </c>
      <c r="AA58" s="1">
        <f t="shared" si="63"/>
        <v>26</v>
      </c>
      <c r="AB58" s="1">
        <f t="shared" si="63"/>
        <v>27</v>
      </c>
      <c r="AC58" s="1">
        <f t="shared" si="63"/>
        <v>28</v>
      </c>
      <c r="AD58" s="1">
        <f t="shared" si="63"/>
        <v>29</v>
      </c>
      <c r="AE58" s="1">
        <f t="shared" si="63"/>
        <v>30</v>
      </c>
      <c r="AF58" s="1">
        <f t="shared" si="63"/>
        <v>31</v>
      </c>
      <c r="AG58" s="1">
        <f t="shared" si="63"/>
        <v>32</v>
      </c>
      <c r="AH58" s="1">
        <f t="shared" si="63"/>
        <v>33</v>
      </c>
      <c r="AI58" s="1">
        <f t="shared" si="63"/>
        <v>34</v>
      </c>
      <c r="AJ58" s="1">
        <f t="shared" si="63"/>
        <v>35</v>
      </c>
      <c r="AK58" s="1">
        <f t="shared" si="63"/>
        <v>36</v>
      </c>
      <c r="AL58" s="1">
        <f t="shared" si="63"/>
        <v>37</v>
      </c>
      <c r="AM58" s="1">
        <f t="shared" si="63"/>
        <v>38</v>
      </c>
      <c r="AN58" s="1">
        <f t="shared" si="63"/>
        <v>39</v>
      </c>
      <c r="AO58" s="1">
        <f t="shared" si="63"/>
        <v>40</v>
      </c>
      <c r="AP58" s="1">
        <f t="shared" si="63"/>
        <v>41</v>
      </c>
      <c r="AQ58" s="1">
        <f t="shared" si="63"/>
        <v>42</v>
      </c>
      <c r="AR58" s="1">
        <f t="shared" si="63"/>
        <v>43</v>
      </c>
      <c r="AS58" s="1">
        <f t="shared" si="63"/>
        <v>44</v>
      </c>
      <c r="AT58" s="1">
        <f t="shared" si="63"/>
        <v>45</v>
      </c>
      <c r="AU58" s="1">
        <f t="shared" si="63"/>
        <v>46</v>
      </c>
      <c r="AV58" s="1">
        <f t="shared" si="63"/>
        <v>47</v>
      </c>
      <c r="AW58" s="1">
        <f t="shared" si="63"/>
        <v>48</v>
      </c>
      <c r="AX58" s="1">
        <f t="shared" si="63"/>
        <v>49</v>
      </c>
      <c r="AY58" s="1">
        <f t="shared" si="63"/>
        <v>50</v>
      </c>
      <c r="AZ58" s="1">
        <f t="shared" si="63"/>
        <v>51</v>
      </c>
      <c r="BA58" s="1">
        <f t="shared" si="63"/>
        <v>52</v>
      </c>
      <c r="BB58" s="1">
        <f t="shared" si="63"/>
        <v>53</v>
      </c>
      <c r="BC58" s="1">
        <f t="shared" si="63"/>
        <v>54</v>
      </c>
      <c r="BD58" s="1">
        <f t="shared" si="63"/>
        <v>55</v>
      </c>
      <c r="BE58" s="1">
        <f t="shared" si="63"/>
        <v>56</v>
      </c>
      <c r="BF58" s="1">
        <f t="shared" si="63"/>
        <v>57</v>
      </c>
      <c r="BG58" s="1">
        <f t="shared" si="63"/>
        <v>58</v>
      </c>
      <c r="BH58" s="1">
        <f t="shared" si="63"/>
        <v>59</v>
      </c>
      <c r="BI58" s="1">
        <f t="shared" si="63"/>
        <v>60</v>
      </c>
      <c r="BJ58" s="1">
        <f t="shared" si="63"/>
        <v>61</v>
      </c>
      <c r="BK58" s="1">
        <f t="shared" si="63"/>
        <v>62</v>
      </c>
      <c r="BL58" s="1">
        <f t="shared" si="63"/>
        <v>63</v>
      </c>
      <c r="BM58" s="1">
        <f t="shared" si="63"/>
        <v>64</v>
      </c>
      <c r="BN58" s="1">
        <f t="shared" si="63"/>
        <v>65</v>
      </c>
      <c r="BO58" s="1">
        <f t="shared" si="63"/>
        <v>66</v>
      </c>
      <c r="BP58" s="1">
        <f t="shared" ref="BP58:BQ58" si="64">BO58+1</f>
        <v>67</v>
      </c>
      <c r="BQ58" s="1">
        <f t="shared" si="64"/>
        <v>68</v>
      </c>
      <c r="CA58" s="1">
        <f>BO58+1</f>
        <v>67</v>
      </c>
      <c r="CB58" s="1">
        <f t="shared" ref="CB58:CO58" si="65">CA58+1</f>
        <v>68</v>
      </c>
      <c r="CC58" s="1">
        <f t="shared" si="65"/>
        <v>69</v>
      </c>
      <c r="CD58" s="1">
        <f t="shared" si="65"/>
        <v>70</v>
      </c>
      <c r="CE58" s="1">
        <f t="shared" si="65"/>
        <v>71</v>
      </c>
      <c r="CF58" s="1">
        <f t="shared" si="65"/>
        <v>72</v>
      </c>
      <c r="CG58" s="1">
        <f t="shared" si="65"/>
        <v>73</v>
      </c>
      <c r="CH58" s="1">
        <f t="shared" si="65"/>
        <v>74</v>
      </c>
      <c r="CI58" s="1">
        <f t="shared" si="65"/>
        <v>75</v>
      </c>
      <c r="CJ58" s="1">
        <f t="shared" si="65"/>
        <v>76</v>
      </c>
      <c r="CK58" s="1">
        <f t="shared" si="65"/>
        <v>77</v>
      </c>
      <c r="CL58" s="1">
        <f t="shared" si="65"/>
        <v>78</v>
      </c>
      <c r="CM58" s="1">
        <f t="shared" si="65"/>
        <v>79</v>
      </c>
      <c r="CN58" s="1">
        <f t="shared" si="65"/>
        <v>80</v>
      </c>
      <c r="CO58" s="1">
        <f t="shared" si="65"/>
        <v>81</v>
      </c>
    </row>
  </sheetData>
  <autoFilter ref="A10:CQ10" xr:uid="{00000000-0001-0000-0F00-000000000000}"/>
  <mergeCells count="1">
    <mergeCell ref="CL3:CO3"/>
  </mergeCells>
  <conditionalFormatting sqref="BK11:BK50">
    <cfRule type="cellIs" dxfId="26" priority="2" operator="greaterThan">
      <formula>0.93</formula>
    </cfRule>
  </conditionalFormatting>
  <conditionalFormatting sqref="BS11:BS50">
    <cfRule type="cellIs" dxfId="25" priority="1" operator="between">
      <formula>3</formula>
      <formula>30</formula>
    </cfRule>
  </conditionalFormatting>
  <conditionalFormatting sqref="CE51">
    <cfRule type="cellIs" dxfId="24" priority="3" operator="notEqual">
      <formula>0</formula>
    </cfRule>
  </conditionalFormatting>
  <printOptions horizontalCentered="1"/>
  <pageMargins left="0.25" right="0.25" top="0.75" bottom="0.75" header="0.3" footer="0.3"/>
  <pageSetup paperSize="17" scale="18" orientation="landscape" r:id="rId1"/>
  <headerFooter alignWithMargins="0">
    <oddFooter>&amp;L&amp;F&amp;R&amp;D</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A047E-B781-495E-88AA-E211D56B5306}">
  <sheetPr>
    <tabColor theme="6" tint="0.39997558519241921"/>
    <pageSetUpPr fitToPage="1"/>
  </sheetPr>
  <dimension ref="A1:CR58"/>
  <sheetViews>
    <sheetView zoomScale="80" zoomScaleNormal="80" workbookViewId="0">
      <pane xSplit="2" topLeftCell="C1" activePane="topRight" state="frozen"/>
      <selection activeCell="A2" sqref="A2"/>
      <selection pane="topRight" activeCell="A2" sqref="A2"/>
    </sheetView>
  </sheetViews>
  <sheetFormatPr defaultColWidth="9.42578125" defaultRowHeight="14.25"/>
  <cols>
    <col min="1" max="1" width="13.42578125" style="10" customWidth="1"/>
    <col min="2" max="2" width="40.140625" style="1" customWidth="1"/>
    <col min="3" max="3" width="21.42578125" style="1" customWidth="1"/>
    <col min="4" max="4" width="17.42578125" style="1" customWidth="1"/>
    <col min="5" max="5" width="14.42578125" style="1" customWidth="1"/>
    <col min="6" max="6" width="17.85546875" style="1" customWidth="1"/>
    <col min="7" max="7" width="14.5703125" style="1" customWidth="1"/>
    <col min="8" max="8" width="17.42578125" style="4" customWidth="1"/>
    <col min="9" max="9" width="9.42578125" style="1" customWidth="1"/>
    <col min="10" max="10" width="8.5703125" style="1" customWidth="1"/>
    <col min="11" max="11" width="11.5703125" style="1" customWidth="1"/>
    <col min="12" max="13" width="8.5703125" style="1" customWidth="1"/>
    <col min="14" max="16" width="15.5703125" style="1" customWidth="1"/>
    <col min="17" max="20" width="8.5703125" style="1" customWidth="1"/>
    <col min="21" max="22" width="15.5703125" style="1" customWidth="1"/>
    <col min="23" max="23" width="15.5703125" style="5" customWidth="1"/>
    <col min="24" max="27" width="10.5703125" style="1" customWidth="1"/>
    <col min="28" max="29" width="15.5703125" style="1" customWidth="1"/>
    <col min="30" max="30" width="15.5703125" style="5" customWidth="1"/>
    <col min="31" max="34" width="8.5703125" style="1" customWidth="1"/>
    <col min="35" max="36" width="15.5703125" style="1" customWidth="1"/>
    <col min="37" max="37" width="15.5703125" style="5" customWidth="1"/>
    <col min="38" max="40" width="8.5703125" style="1" customWidth="1"/>
    <col min="41" max="41" width="9.42578125" style="1" customWidth="1"/>
    <col min="42" max="43" width="15.5703125" style="1" customWidth="1"/>
    <col min="44" max="44" width="15.5703125" style="5" customWidth="1"/>
    <col min="45" max="45" width="9.42578125" style="1" customWidth="1"/>
    <col min="46" max="50" width="17.5703125" style="1" customWidth="1"/>
    <col min="51" max="51" width="9.42578125" style="1" customWidth="1"/>
    <col min="52" max="52" width="20.42578125" style="1" customWidth="1"/>
    <col min="53" max="57" width="17.5703125" style="1" customWidth="1"/>
    <col min="58" max="58" width="14.42578125" style="1" bestFit="1" customWidth="1"/>
    <col min="59" max="59" width="21" style="6" customWidth="1"/>
    <col min="60" max="60" width="18.5703125" style="1" customWidth="1"/>
    <col min="61" max="61" width="23.5703125" style="1" customWidth="1"/>
    <col min="62" max="62" width="15" style="1" customWidth="1"/>
    <col min="63" max="63" width="15.28515625" style="1" customWidth="1"/>
    <col min="64" max="66" width="16.5703125" style="1" customWidth="1"/>
    <col min="67" max="79" width="21.5703125" style="1" customWidth="1"/>
    <col min="80" max="80" width="18.42578125" style="1" customWidth="1"/>
    <col min="81" max="81" width="18.42578125" style="8" customWidth="1"/>
    <col min="82" max="82" width="10" style="1" customWidth="1"/>
    <col min="83" max="83" width="23.5703125" style="1" customWidth="1"/>
    <col min="84" max="84" width="12.42578125" style="1" customWidth="1"/>
    <col min="85" max="85" width="14.85546875" style="1" customWidth="1"/>
    <col min="86" max="86" width="15.140625" style="1" customWidth="1"/>
    <col min="87" max="87" width="18.42578125" style="1" customWidth="1"/>
    <col min="88" max="88" width="15.85546875" style="1" customWidth="1"/>
    <col min="89" max="89" width="9.42578125" style="1" customWidth="1"/>
    <col min="90" max="91" width="21.5703125" style="1" customWidth="1"/>
    <col min="92" max="92" width="18.42578125" style="1" customWidth="1"/>
    <col min="93" max="93" width="18.42578125" style="8" customWidth="1"/>
    <col min="94" max="94" width="9.42578125" style="1"/>
    <col min="95" max="95" width="9.42578125" style="9"/>
    <col min="96" max="96" width="18.42578125" style="1" customWidth="1"/>
    <col min="97" max="16384" width="9.42578125" style="1"/>
  </cols>
  <sheetData>
    <row r="1" spans="1:96" ht="20.25">
      <c r="A1" s="370" t="s">
        <v>156</v>
      </c>
    </row>
    <row r="2" spans="1:96" ht="17.25">
      <c r="A2" s="1149" t="str" cm="1">
        <f t="array" aca="1" ref="A2" ca="1">"Scenario "&amp;MID(CELL("filename",A1),FIND("]",CELL("filename",A1))+1,500)</f>
        <v>Scenario S6C-Avg-25</v>
      </c>
      <c r="B2" s="11"/>
    </row>
    <row r="3" spans="1:96" ht="15" customHeight="1">
      <c r="A3" s="11"/>
      <c r="B3" s="11"/>
      <c r="C3" s="2" t="s">
        <v>0</v>
      </c>
      <c r="F3" s="3"/>
      <c r="BO3" s="7" t="s">
        <v>1</v>
      </c>
      <c r="BP3" s="7"/>
      <c r="BQ3" s="7"/>
      <c r="BR3" s="7"/>
      <c r="BS3" s="7"/>
      <c r="BT3" s="7"/>
      <c r="BU3" s="7"/>
      <c r="BV3" s="7"/>
      <c r="BW3" s="7"/>
      <c r="BX3" s="7"/>
      <c r="BY3" s="7"/>
      <c r="BZ3" s="7"/>
      <c r="CL3" s="1166" t="s">
        <v>2</v>
      </c>
      <c r="CM3" s="1166"/>
      <c r="CN3" s="1166"/>
      <c r="CO3" s="1166"/>
    </row>
    <row r="4" spans="1:96" ht="15" customHeight="1">
      <c r="A4" s="11"/>
      <c r="B4" s="11"/>
      <c r="C4" s="12">
        <v>0</v>
      </c>
      <c r="D4" s="13"/>
      <c r="E4" s="10"/>
      <c r="F4" s="14"/>
      <c r="H4" s="15"/>
      <c r="L4" s="16"/>
      <c r="N4" s="17"/>
      <c r="O4" s="17"/>
      <c r="R4" s="16"/>
      <c r="Y4" s="16"/>
      <c r="AF4" s="16"/>
      <c r="AM4" s="16"/>
    </row>
    <row r="5" spans="1:96" ht="15" customHeight="1">
      <c r="A5" s="11"/>
      <c r="B5" s="11"/>
      <c r="C5" s="18" t="s">
        <v>3</v>
      </c>
      <c r="D5" s="19"/>
      <c r="E5" s="20"/>
      <c r="F5" s="21"/>
      <c r="H5" s="15"/>
      <c r="L5" s="16"/>
      <c r="N5" s="17"/>
      <c r="O5" s="17"/>
      <c r="R5" s="16"/>
      <c r="Y5" s="16"/>
      <c r="AF5" s="16"/>
      <c r="AM5" s="16"/>
      <c r="AT5" s="22" t="s">
        <v>4</v>
      </c>
      <c r="AU5" s="23"/>
      <c r="AV5" s="23"/>
      <c r="AW5" s="23"/>
      <c r="AX5" s="24"/>
      <c r="AZ5" s="25" t="s">
        <v>5</v>
      </c>
      <c r="BI5" s="25" t="s">
        <v>6</v>
      </c>
      <c r="BO5" s="25" t="s">
        <v>7</v>
      </c>
      <c r="BP5" s="7"/>
      <c r="BQ5" s="7"/>
      <c r="BR5" s="7"/>
      <c r="BS5" s="7"/>
      <c r="BT5" s="7"/>
      <c r="BU5" s="283" t="s">
        <v>142</v>
      </c>
      <c r="BV5" s="7"/>
      <c r="BW5" s="7"/>
      <c r="BX5" s="7"/>
      <c r="BY5" s="7"/>
      <c r="BZ5" s="7"/>
      <c r="CM5" s="25" t="s">
        <v>7</v>
      </c>
    </row>
    <row r="6" spans="1:96">
      <c r="B6" s="26"/>
      <c r="C6" s="27">
        <v>0.35</v>
      </c>
      <c r="D6" s="27">
        <v>0.35</v>
      </c>
      <c r="E6" s="27">
        <v>0.15</v>
      </c>
      <c r="F6" s="27">
        <v>0.15</v>
      </c>
      <c r="H6" s="15"/>
      <c r="L6" s="16"/>
      <c r="N6" s="17"/>
      <c r="O6" s="17"/>
      <c r="R6" s="16"/>
      <c r="Y6" s="16"/>
      <c r="AF6" s="16"/>
      <c r="AM6" s="16"/>
      <c r="AT6" s="28">
        <v>0</v>
      </c>
      <c r="AU6" s="28">
        <v>0</v>
      </c>
      <c r="AV6" s="28">
        <v>0</v>
      </c>
      <c r="AW6" s="28">
        <v>0</v>
      </c>
      <c r="AX6" s="28">
        <v>0</v>
      </c>
      <c r="AY6" s="29"/>
      <c r="AZ6" s="30">
        <f>128674211*(1-AY8)</f>
        <v>122240500.44999999</v>
      </c>
      <c r="BA6" s="1" t="s">
        <v>8</v>
      </c>
      <c r="BI6" s="284">
        <v>0.3</v>
      </c>
      <c r="BO6" s="31">
        <f>$BJ$51+AZ8</f>
        <v>8594614.505890118</v>
      </c>
      <c r="BP6" s="32"/>
      <c r="BQ6" s="32"/>
      <c r="BR6" s="32"/>
      <c r="BS6" s="32"/>
      <c r="BT6" s="32"/>
      <c r="BU6" s="285">
        <v>0.3</v>
      </c>
      <c r="BV6" s="32"/>
      <c r="BW6" s="32"/>
      <c r="BX6" s="32"/>
      <c r="BY6" s="32"/>
      <c r="BZ6" s="32"/>
      <c r="CM6" s="31">
        <f>CJ51</f>
        <v>848336.15787194623</v>
      </c>
    </row>
    <row r="7" spans="1:96" ht="15" customHeight="1" thickBot="1">
      <c r="A7" s="34" t="s">
        <v>143</v>
      </c>
      <c r="G7" s="35"/>
      <c r="BO7" s="286" t="s">
        <v>144</v>
      </c>
      <c r="BP7" s="286" t="s">
        <v>145</v>
      </c>
      <c r="BQ7" s="286" t="s">
        <v>146</v>
      </c>
    </row>
    <row r="8" spans="1:96" s="29" customFormat="1">
      <c r="A8" s="36"/>
      <c r="B8" s="37"/>
      <c r="C8" s="38" t="s">
        <v>10</v>
      </c>
      <c r="D8" s="39"/>
      <c r="E8" s="39"/>
      <c r="F8" s="39"/>
      <c r="G8" s="40"/>
      <c r="H8" s="41"/>
      <c r="J8" s="42" t="s">
        <v>11</v>
      </c>
      <c r="K8" s="43"/>
      <c r="L8" s="43"/>
      <c r="M8" s="43"/>
      <c r="N8" s="43"/>
      <c r="O8" s="43"/>
      <c r="P8" s="44"/>
      <c r="Q8" s="42" t="s">
        <v>12</v>
      </c>
      <c r="R8" s="43"/>
      <c r="S8" s="43"/>
      <c r="T8" s="43"/>
      <c r="U8" s="43"/>
      <c r="V8" s="43"/>
      <c r="W8" s="44"/>
      <c r="X8" s="42" t="s">
        <v>13</v>
      </c>
      <c r="Y8" s="43"/>
      <c r="Z8" s="43"/>
      <c r="AA8" s="43"/>
      <c r="AB8" s="43"/>
      <c r="AC8" s="43"/>
      <c r="AD8" s="44"/>
      <c r="AE8" s="42" t="s">
        <v>14</v>
      </c>
      <c r="AF8" s="43"/>
      <c r="AG8" s="43"/>
      <c r="AH8" s="43"/>
      <c r="AI8" s="43"/>
      <c r="AJ8" s="43"/>
      <c r="AK8" s="44"/>
      <c r="AL8" s="42" t="s">
        <v>15</v>
      </c>
      <c r="AM8" s="43"/>
      <c r="AN8" s="43"/>
      <c r="AO8" s="43"/>
      <c r="AP8" s="43"/>
      <c r="AQ8" s="43"/>
      <c r="AR8" s="44"/>
      <c r="AX8" s="287" t="s">
        <v>16</v>
      </c>
      <c r="AY8" s="288">
        <v>0.05</v>
      </c>
      <c r="AZ8" s="46">
        <f>128674211*AY8</f>
        <v>6433710.5500000007</v>
      </c>
      <c r="BA8" s="46"/>
      <c r="BB8" s="46"/>
      <c r="BC8" s="46"/>
      <c r="BD8" s="46"/>
      <c r="BG8" s="47"/>
      <c r="BO8" s="289">
        <v>0.25</v>
      </c>
      <c r="BP8" s="289">
        <v>0.25</v>
      </c>
      <c r="BQ8" s="289">
        <v>0.5</v>
      </c>
      <c r="BR8" s="48"/>
      <c r="BS8" s="48"/>
      <c r="BT8" s="48"/>
      <c r="BU8" s="48"/>
      <c r="BV8" s="48"/>
      <c r="BW8" s="48"/>
      <c r="BX8" s="48"/>
      <c r="BY8" s="48"/>
      <c r="BZ8" s="48"/>
      <c r="CA8" s="48"/>
      <c r="CB8" s="48"/>
      <c r="CC8" s="49" t="s">
        <v>18</v>
      </c>
      <c r="CD8" s="50">
        <f>AZ6-CC51</f>
        <v>-6433708.5500000119</v>
      </c>
      <c r="CL8" s="48" t="s">
        <v>17</v>
      </c>
      <c r="CM8" s="48"/>
      <c r="CN8" s="48"/>
      <c r="CO8" s="49" t="s">
        <v>18</v>
      </c>
      <c r="CQ8" s="51"/>
    </row>
    <row r="9" spans="1:96" s="29" customFormat="1" ht="15" thickBot="1">
      <c r="A9" s="52"/>
      <c r="B9" s="53" t="s">
        <v>19</v>
      </c>
      <c r="C9" s="54">
        <f>C$6</f>
        <v>0.35</v>
      </c>
      <c r="D9" s="54">
        <f>D$6</f>
        <v>0.35</v>
      </c>
      <c r="E9" s="54">
        <f>E$6</f>
        <v>0.15</v>
      </c>
      <c r="F9" s="54">
        <f>F$6</f>
        <v>0.15</v>
      </c>
      <c r="G9" s="54"/>
      <c r="H9" s="55"/>
      <c r="J9" s="56" t="s">
        <v>20</v>
      </c>
      <c r="K9" s="57"/>
      <c r="L9" s="57"/>
      <c r="M9" s="57"/>
      <c r="N9" s="57"/>
      <c r="O9" s="57"/>
      <c r="P9" s="58"/>
      <c r="Q9" s="56" t="s">
        <v>21</v>
      </c>
      <c r="R9" s="57"/>
      <c r="S9" s="57"/>
      <c r="T9" s="57"/>
      <c r="U9" s="57"/>
      <c r="V9" s="57"/>
      <c r="W9" s="58"/>
      <c r="X9" s="56" t="s">
        <v>22</v>
      </c>
      <c r="Y9" s="57"/>
      <c r="Z9" s="57"/>
      <c r="AA9" s="57"/>
      <c r="AB9" s="57"/>
      <c r="AC9" s="57"/>
      <c r="AD9" s="58"/>
      <c r="AE9" s="56" t="s">
        <v>23</v>
      </c>
      <c r="AF9" s="57"/>
      <c r="AG9" s="57"/>
      <c r="AH9" s="57"/>
      <c r="AI9" s="57"/>
      <c r="AJ9" s="57"/>
      <c r="AK9" s="58"/>
      <c r="AL9" s="56" t="s">
        <v>24</v>
      </c>
      <c r="AM9" s="57"/>
      <c r="AN9" s="57"/>
      <c r="AO9" s="57"/>
      <c r="AP9" s="57"/>
      <c r="AQ9" s="57"/>
      <c r="AR9" s="58"/>
      <c r="BG9" s="59" t="s">
        <v>25</v>
      </c>
      <c r="BO9" s="59" t="s">
        <v>26</v>
      </c>
      <c r="BP9" s="59"/>
      <c r="BQ9" s="59"/>
      <c r="BR9" s="59"/>
      <c r="BS9" s="59"/>
      <c r="BT9" s="59"/>
      <c r="BU9" s="59"/>
      <c r="BV9" s="59"/>
      <c r="BW9" s="59"/>
      <c r="BX9" s="59"/>
      <c r="BY9" s="59"/>
      <c r="BZ9" s="59"/>
      <c r="CC9" s="60"/>
      <c r="CG9" s="59" t="s">
        <v>27</v>
      </c>
      <c r="CL9" s="59" t="s">
        <v>28</v>
      </c>
      <c r="CO9" s="60"/>
      <c r="CQ9" s="51"/>
    </row>
    <row r="10" spans="1:96" s="45" customFormat="1" ht="101.25" customHeight="1">
      <c r="A10" s="61" t="s">
        <v>29</v>
      </c>
      <c r="B10" s="62" t="s">
        <v>30</v>
      </c>
      <c r="C10" s="63" t="s">
        <v>147</v>
      </c>
      <c r="D10" s="64" t="s">
        <v>148</v>
      </c>
      <c r="E10" s="64" t="s">
        <v>149</v>
      </c>
      <c r="F10" s="64" t="s">
        <v>150</v>
      </c>
      <c r="G10" s="64" t="s">
        <v>35</v>
      </c>
      <c r="H10" s="65" t="s">
        <v>36</v>
      </c>
      <c r="J10" s="66">
        <v>2019</v>
      </c>
      <c r="K10" s="66">
        <v>2021</v>
      </c>
      <c r="L10" s="66">
        <v>2022</v>
      </c>
      <c r="M10" s="66">
        <v>2023</v>
      </c>
      <c r="N10" s="67" t="s">
        <v>37</v>
      </c>
      <c r="O10" s="67" t="s">
        <v>38</v>
      </c>
      <c r="P10" s="68" t="s">
        <v>39</v>
      </c>
      <c r="Q10" s="66">
        <v>2019</v>
      </c>
      <c r="R10" s="66">
        <v>2021</v>
      </c>
      <c r="S10" s="66">
        <v>2022</v>
      </c>
      <c r="T10" s="66">
        <v>2023</v>
      </c>
      <c r="U10" s="67" t="s">
        <v>40</v>
      </c>
      <c r="V10" s="67" t="s">
        <v>41</v>
      </c>
      <c r="W10" s="68" t="s">
        <v>39</v>
      </c>
      <c r="X10" s="66">
        <v>2019</v>
      </c>
      <c r="Y10" s="66">
        <v>2021</v>
      </c>
      <c r="Z10" s="66">
        <v>2022</v>
      </c>
      <c r="AA10" s="66">
        <v>2023</v>
      </c>
      <c r="AB10" s="67" t="s">
        <v>42</v>
      </c>
      <c r="AC10" s="67" t="s">
        <v>43</v>
      </c>
      <c r="AD10" s="68" t="s">
        <v>39</v>
      </c>
      <c r="AE10" s="66">
        <v>2019</v>
      </c>
      <c r="AF10" s="66">
        <v>2021</v>
      </c>
      <c r="AG10" s="66">
        <v>2022</v>
      </c>
      <c r="AH10" s="66">
        <v>2023</v>
      </c>
      <c r="AI10" s="67" t="s">
        <v>44</v>
      </c>
      <c r="AJ10" s="67" t="s">
        <v>45</v>
      </c>
      <c r="AK10" s="68" t="s">
        <v>39</v>
      </c>
      <c r="AL10" s="66">
        <v>2019</v>
      </c>
      <c r="AM10" s="66">
        <v>2021</v>
      </c>
      <c r="AN10" s="66">
        <v>2022</v>
      </c>
      <c r="AO10" s="66">
        <v>2023</v>
      </c>
      <c r="AP10" s="67" t="s">
        <v>46</v>
      </c>
      <c r="AQ10" s="67" t="s">
        <v>47</v>
      </c>
      <c r="AR10" s="68" t="s">
        <v>39</v>
      </c>
      <c r="AT10" s="69" t="s">
        <v>48</v>
      </c>
      <c r="AU10" s="70" t="s">
        <v>49</v>
      </c>
      <c r="AV10" s="70" t="s">
        <v>50</v>
      </c>
      <c r="AW10" s="70" t="s">
        <v>51</v>
      </c>
      <c r="AX10" s="71" t="s">
        <v>52</v>
      </c>
      <c r="AZ10" s="72" t="s">
        <v>53</v>
      </c>
      <c r="BA10" s="73" t="s">
        <v>54</v>
      </c>
      <c r="BB10" s="73" t="s">
        <v>55</v>
      </c>
      <c r="BC10" s="73" t="s">
        <v>56</v>
      </c>
      <c r="BD10" s="73" t="s">
        <v>57</v>
      </c>
      <c r="BE10" s="74" t="s">
        <v>58</v>
      </c>
      <c r="BG10" s="75" t="s">
        <v>59</v>
      </c>
      <c r="BH10" s="76" t="s">
        <v>60</v>
      </c>
      <c r="BI10" s="76" t="s">
        <v>61</v>
      </c>
      <c r="BJ10" s="77" t="s">
        <v>62</v>
      </c>
      <c r="BL10" s="290" t="s">
        <v>63</v>
      </c>
      <c r="BM10" s="290" t="s">
        <v>64</v>
      </c>
      <c r="BN10" s="290" t="s">
        <v>65</v>
      </c>
      <c r="BO10" s="75" t="s">
        <v>66</v>
      </c>
      <c r="BP10" s="291" t="s">
        <v>151</v>
      </c>
      <c r="BQ10" s="291" t="s">
        <v>152</v>
      </c>
      <c r="BR10" s="291" t="s">
        <v>153</v>
      </c>
      <c r="BS10" s="291" t="s">
        <v>154</v>
      </c>
      <c r="BT10" s="291" t="s">
        <v>76</v>
      </c>
      <c r="BU10" s="291" t="s">
        <v>71</v>
      </c>
      <c r="BV10" s="292" t="s">
        <v>72</v>
      </c>
      <c r="BW10" s="292" t="s">
        <v>73</v>
      </c>
      <c r="BX10" s="291" t="s">
        <v>74</v>
      </c>
      <c r="BY10" s="291" t="s">
        <v>75</v>
      </c>
      <c r="BZ10" s="291" t="s">
        <v>76</v>
      </c>
      <c r="CA10" s="76" t="s">
        <v>80</v>
      </c>
      <c r="CB10" s="76" t="s">
        <v>77</v>
      </c>
      <c r="CC10" s="81" t="s">
        <v>78</v>
      </c>
      <c r="CE10" s="82" t="s">
        <v>79</v>
      </c>
      <c r="CG10" s="83" t="s">
        <v>59</v>
      </c>
      <c r="CH10" s="84" t="s">
        <v>60</v>
      </c>
      <c r="CI10" s="84" t="s">
        <v>61</v>
      </c>
      <c r="CJ10" s="85" t="s">
        <v>62</v>
      </c>
      <c r="CL10" s="86" t="s">
        <v>66</v>
      </c>
      <c r="CM10" s="87" t="s">
        <v>80</v>
      </c>
      <c r="CN10" s="87" t="s">
        <v>77</v>
      </c>
      <c r="CO10" s="88" t="s">
        <v>78</v>
      </c>
      <c r="CQ10" s="51" t="s">
        <v>81</v>
      </c>
    </row>
    <row r="11" spans="1:96">
      <c r="A11" s="89" t="s">
        <v>82</v>
      </c>
      <c r="B11" s="90" t="s">
        <v>83</v>
      </c>
      <c r="C11" s="91">
        <f>'Sizing - Reimb Exp-25'!B4</f>
        <v>2496704</v>
      </c>
      <c r="D11" s="92">
        <f>'Ridership-25'!$E3</f>
        <v>121717</v>
      </c>
      <c r="E11" s="92">
        <f>'Revenue Hours-25'!$E3</f>
        <v>32940</v>
      </c>
      <c r="F11" s="92">
        <f>'Revenue Miles-25'!$E3</f>
        <v>692104</v>
      </c>
      <c r="G11" s="93">
        <f t="shared" ref="G11:G33" si="0">IFERROR($C$9*(C11/C$51),0) + IFERROR($D$9*(D11/D$51),0) + IFERROR($E$9*(E11/E$51),0) + IFERROR($F$9*(F11/F$51),0)</f>
        <v>5.3033180765238389E-3</v>
      </c>
      <c r="H11" s="94">
        <f t="shared" ref="H11:H33" si="1">G11/(SUM($G$11:$G$50)-$G$34)*(1-$G$34)</f>
        <v>5.3033180765238398E-3</v>
      </c>
      <c r="J11" s="95">
        <f>'Ridership-25'!B3/'Revenue Hours-25'!B3</f>
        <v>4.5693508022964817</v>
      </c>
      <c r="K11" s="96">
        <f>'Ridership-25'!C3/'Revenue Hours-25'!C3</f>
        <v>3.0233116215289679</v>
      </c>
      <c r="L11" s="96">
        <f>'Ridership-25'!D3/'Revenue Hours-25'!D3</f>
        <v>3.1691372472531043</v>
      </c>
      <c r="M11" s="96">
        <f>'Ridership-25'!E3/'Revenue Hours-25'!E3</f>
        <v>3.6951123254401943</v>
      </c>
      <c r="N11" s="97">
        <f t="shared" ref="N11:N50" si="2">IF(J11=0,IF(K11=0,1,AVERAGE(1,(L11/K11)/($L$51/$K$51),(M11/L11)/($M$51/$L$51))), AVERAGE((K11/J11)/($K$51/$J$51),(L11/K11)/($L$51/$K$51),(M11/L11)/($M$51/$L$51)))</f>
        <v>1.0255640826158483</v>
      </c>
      <c r="O11" s="98">
        <f t="shared" ref="O11:O50" si="3">$H11*N11</f>
        <v>5.4388925379702168E-3</v>
      </c>
      <c r="P11" s="99">
        <f t="shared" ref="P11:P50" si="4">O11/SUM($O$11:$O$50)</f>
        <v>5.1378596170449219E-3</v>
      </c>
      <c r="Q11" s="95">
        <f>'Ridership-25'!B3/'Revenue Miles-25'!B3</f>
        <v>0.21529352848722441</v>
      </c>
      <c r="R11" s="96">
        <f>'Ridership-25'!C3/'Revenue Miles-25'!C3</f>
        <v>0.1472857600940598</v>
      </c>
      <c r="S11" s="96">
        <f>'Ridership-25'!D3/'Revenue Miles-25'!D3</f>
        <v>0.15372497942218116</v>
      </c>
      <c r="T11" s="96">
        <f>'Ridership-25'!E3/'Revenue Miles-25'!E3</f>
        <v>0.17586518789083722</v>
      </c>
      <c r="U11" s="97">
        <f t="shared" ref="U11:U50" si="5">IF(Q11=0,IF(R11=0,1,AVERAGE(1,(S11/R11)/($S$51/$R$51),(T11/S11)/($T$51/$S$51))), AVERAGE((R11/Q11)/($R$51/$Q$51),(S11/R11)/($S$51/$R$51),(T11/S11)/($T$51/$S$51)))</f>
        <v>1.0325415201368429</v>
      </c>
      <c r="V11" s="98">
        <f t="shared" ref="V11:V50" si="6">$H11*U11</f>
        <v>5.4758961085031232E-3</v>
      </c>
      <c r="W11" s="99">
        <f t="shared" ref="W11:W50" si="7">V11/SUM($V$11:$V$50)</f>
        <v>5.1919663924141386E-3</v>
      </c>
      <c r="X11" s="95">
        <f>'Op Cost-25'!B4/'Revenue Hours-25'!B3</f>
        <v>50.181245399676136</v>
      </c>
      <c r="Y11" s="96">
        <f>'Op Cost-25'!C4/'Revenue Hours-25'!C3</f>
        <v>64.628076791223862</v>
      </c>
      <c r="Z11" s="96">
        <f>'Op Cost-25'!D4/'Revenue Hours-25'!D3</f>
        <v>74.945094597230351</v>
      </c>
      <c r="AA11" s="96">
        <f>'Op Cost-25'!E4/'Revenue Hours-25'!E3</f>
        <v>75.894444444444446</v>
      </c>
      <c r="AB11" s="97">
        <f t="shared" ref="AB11:AB50" si="8">IF(X11=0,IF(Y11=0,1,AVERAGE(1,(Z11/Y11)/($Z$51/$Z$51),(AA11/Z11)/($AA$51/$Z$51))), AVERAGE((Y11/X11)/($Y$51/$X$51),(Z11/Y11)/($Z$51/$Y$51),(AA11/Z11)/($AA$51/$Z$51)))</f>
        <v>1.0999423299281934</v>
      </c>
      <c r="AC11" s="98">
        <f t="shared" ref="AC11:AC50" si="9">$H11*(1/AB11)</f>
        <v>4.8214510272279925E-3</v>
      </c>
      <c r="AD11" s="99">
        <f t="shared" ref="AD11:AD50" si="10">AC11/SUM($AC$11:$AC$50)</f>
        <v>5.1433267888498797E-3</v>
      </c>
      <c r="AE11" s="95">
        <f>'Op Cost-25'!B4/'Revenue Miles-25'!B3</f>
        <v>2.3643834438252824</v>
      </c>
      <c r="AF11" s="96">
        <f>'Op Cost-25'!C4/'Revenue Miles-25'!C3</f>
        <v>3.148466517916789</v>
      </c>
      <c r="AG11" s="96">
        <f>'Op Cost-25'!D4/'Revenue Miles-25'!D3</f>
        <v>3.6353531658304137</v>
      </c>
      <c r="AH11" s="96">
        <f>'Op Cost-25'!E4/'Revenue Miles-25'!E3</f>
        <v>3.61212043276733</v>
      </c>
      <c r="AI11" s="97">
        <f t="shared" ref="AI11:AI50" si="11">IF(AE11=0,IF(AF11=0,1,AVERAGE(1,(AG11/AF11)/($AG$51/$AF$51),(AH11/AG11)/($AH$51/$AG$51))), AVERAGE((AF11/AE11)/($AF$51/$AE$51),(AG11/AF11)/($AG$51/$AF$51),(AH11/AG11)/($AH$51/$AG$51)))</f>
        <v>1.1070146946084785</v>
      </c>
      <c r="AJ11" s="98">
        <f t="shared" ref="AJ11:AJ50" si="12">$H11*(1/AI11)</f>
        <v>4.7906483105894827E-3</v>
      </c>
      <c r="AK11" s="99">
        <f t="shared" ref="AK11:AK50" si="13">AJ11/SUM($AJ$11:$AJ$50)</f>
        <v>5.0984526209211112E-3</v>
      </c>
      <c r="AL11" s="95">
        <f>'Op Cost-25'!B4/'Ridership-25'!B3</f>
        <v>10.982138945089499</v>
      </c>
      <c r="AM11" s="96">
        <f>'Op Cost-25'!C4/'Ridership-25'!C3</f>
        <v>21.37658464678535</v>
      </c>
      <c r="AN11" s="96">
        <f>'Op Cost-25'!D4/'Ridership-25'!D3</f>
        <v>23.64842187323698</v>
      </c>
      <c r="AO11" s="96">
        <f>'Op Cost-25'!E4/'Ridership-25'!E3</f>
        <v>20.53914408012028</v>
      </c>
      <c r="AP11" s="100">
        <f t="shared" ref="AP11:AP50" si="14">IF(AL11=0,IF(AM11=0,1,AVERAGE(1,(AN11/AM11)/($AN$51/$AM$51),(AO11/AN11)/($AO$51/$AN$51))), AVERAGE((AM11/AL11)/($AM$51/$AL$51),(AN11/AM11)/($AN$51/$AM$51),(AO11/AN11)/($AO$51/$AN$51)))</f>
        <v>1.1189482347230808</v>
      </c>
      <c r="AQ11" s="98">
        <f t="shared" ref="AQ11:AQ50" si="15">$H11*(1/AP11)</f>
        <v>4.7395562296376594E-3</v>
      </c>
      <c r="AR11" s="99">
        <f t="shared" ref="AR11:AR50" si="16">AQ11/SUM($AQ$11:$AQ$50)</f>
        <v>5.1458746085332636E-3</v>
      </c>
      <c r="AT11" s="101">
        <f>P11*AT$6</f>
        <v>0</v>
      </c>
      <c r="AU11" s="102">
        <f t="shared" ref="AU11:AU50" si="17">W11*AU$6</f>
        <v>0</v>
      </c>
      <c r="AV11" s="102">
        <f t="shared" ref="AV11:AV50" si="18">AD11*AV$6</f>
        <v>0</v>
      </c>
      <c r="AW11" s="102">
        <f t="shared" ref="AW11:AW50" si="19">AK11*AW$6</f>
        <v>0</v>
      </c>
      <c r="AX11" s="103">
        <f t="shared" ref="AX11:AX50" si="20">AR11*AX$6</f>
        <v>0</v>
      </c>
      <c r="AY11" s="293">
        <f>(SUM(AT11:AX11)-H11)/H11</f>
        <v>-1</v>
      </c>
      <c r="AZ11" s="105">
        <f t="shared" ref="AZ11:BD51" si="21">AT11*$AZ$6</f>
        <v>0</v>
      </c>
      <c r="BA11" s="106">
        <f t="shared" si="21"/>
        <v>0</v>
      </c>
      <c r="BB11" s="106">
        <f t="shared" si="21"/>
        <v>0</v>
      </c>
      <c r="BC11" s="106">
        <f t="shared" si="21"/>
        <v>0</v>
      </c>
      <c r="BD11" s="106">
        <f t="shared" si="21"/>
        <v>0</v>
      </c>
      <c r="BE11" s="107">
        <f>$AZ$6*H11</f>
        <v>648280.25571980549</v>
      </c>
      <c r="BG11" s="108">
        <f>'Op Cost-25'!E4</f>
        <v>2499963</v>
      </c>
      <c r="BH11" s="109">
        <f t="shared" ref="BH11:BH50" si="22">BE11/BG11</f>
        <v>0.25931594016383663</v>
      </c>
      <c r="BI11" s="110">
        <f t="shared" ref="BI11:BI50" si="23">IF(BE11&gt;BG11*$BI$6,BG11*$BI$6,BE11)</f>
        <v>648280.25571980549</v>
      </c>
      <c r="BJ11" s="111">
        <f t="shared" ref="BJ11:BJ50" si="24">BE11-BI11</f>
        <v>0</v>
      </c>
      <c r="BK11" s="1">
        <f>BL11*$BO$8+BM11*$BP$8+BN11*$BQ$8</f>
        <v>0.48959295184548379</v>
      </c>
      <c r="BL11" s="294">
        <f>AVERAGE(M11/$M$51,L11/$L$51,K11/$K$51)</f>
        <v>0.37806202130016259</v>
      </c>
      <c r="BM11" s="294">
        <f>AVERAGE(T11/$T$51,S11/$S$51,R11/$R$51)</f>
        <v>0.26130236510471577</v>
      </c>
      <c r="BN11" s="295">
        <f>AVERAGE((1/AO11)/(1/$AO$51),(1/AN11)/(1/$AN$51), (1/AM11)/(1/$AM$51))</f>
        <v>0.65950371048852841</v>
      </c>
      <c r="BO11" s="114">
        <f t="shared" ref="BO11:BO50" si="25">IF(OR(BJ11&gt;0,BH11&gt;=0.294),0,BI11)</f>
        <v>648280.25571980549</v>
      </c>
      <c r="BP11" s="296">
        <f>BL11*$BO$8+BM11*$BP$8+BN11*$BQ$8</f>
        <v>0.48959295184548379</v>
      </c>
      <c r="BQ11" s="116">
        <f>BP11*H11</f>
        <v>2.5964671516608201E-3</v>
      </c>
      <c r="BR11" s="297">
        <f>IF(BO11=0,0,BQ11)</f>
        <v>2.5964671516608201E-3</v>
      </c>
      <c r="BS11" s="117">
        <f>BR11/$BR$51</f>
        <v>2.7222391099848918E-3</v>
      </c>
      <c r="BT11" s="298">
        <f>$BO$6*BS11+BI11</f>
        <v>671676.85146298306</v>
      </c>
      <c r="BU11" s="119">
        <f>BG11*$BU$6</f>
        <v>749988.9</v>
      </c>
      <c r="BV11" s="119">
        <f>IF(BT11&lt;BU11,BT11, BU11)</f>
        <v>671676.85146298306</v>
      </c>
      <c r="BW11" s="119">
        <f>BT11-BV11</f>
        <v>0</v>
      </c>
      <c r="BX11" s="120">
        <f>IF(AND(BW11=0, BJ11=0),BQ11,0)</f>
        <v>2.5964671516608201E-3</v>
      </c>
      <c r="BY11" s="121">
        <f>IF($BX$51=0,1, BX11/$BX$51)</f>
        <v>4.8083727936184791E-3</v>
      </c>
      <c r="BZ11" s="299">
        <f>$BW$51*BY11+BV11</f>
        <v>675755.96796433732</v>
      </c>
      <c r="CA11" s="109">
        <f t="shared" ref="CA11:CA50" si="26">BO11/$BO$51</f>
        <v>5.8881410448085852E-3</v>
      </c>
      <c r="CB11" s="123">
        <f t="shared" ref="CB11:CB16" si="27">CA11*$BO$6</f>
        <v>50606.302436438862</v>
      </c>
      <c r="CC11" s="111">
        <f>ROUND((CB11+BI11),0)</f>
        <v>698887</v>
      </c>
      <c r="CE11" s="124">
        <f t="shared" ref="CE11:CE50" si="28">IF(CC11&gt;($BI$6*BG11),1,0)</f>
        <v>0</v>
      </c>
      <c r="CF11" s="17"/>
      <c r="CG11" s="108">
        <f>BG11</f>
        <v>2499963</v>
      </c>
      <c r="CH11" s="125">
        <f>CC11/BG11</f>
        <v>0.27955893747227462</v>
      </c>
      <c r="CI11" s="110">
        <f>IF(BT11&gt;BG11*$BI$6,BG11*$BI$6,BT11)</f>
        <v>671676.85146298306</v>
      </c>
      <c r="CJ11" s="300">
        <f>BT11-CI11</f>
        <v>0</v>
      </c>
      <c r="CL11" s="127">
        <f>IF(OR(CJ11&gt;0,CH11&gt;=0.294),0,CI11)</f>
        <v>671676.85146298306</v>
      </c>
      <c r="CM11" s="128">
        <f>CL11/$CL$51</f>
        <v>7.8154602223269413E-3</v>
      </c>
      <c r="CN11" s="129">
        <f>CM11*$CM$6</f>
        <v>6630.1374970098641</v>
      </c>
      <c r="CO11" s="130">
        <f>ROUND((CN11+CI11),0)</f>
        <v>678307</v>
      </c>
      <c r="CQ11" s="131">
        <f>BZ11/CG11</f>
        <v>0.27030638772027321</v>
      </c>
      <c r="CR11" s="301"/>
    </row>
    <row r="12" spans="1:96">
      <c r="A12" s="133" t="s">
        <v>82</v>
      </c>
      <c r="B12" s="90" t="s">
        <v>84</v>
      </c>
      <c r="C12" s="91">
        <f>'Sizing - Reimb Exp-25'!B5</f>
        <v>397573</v>
      </c>
      <c r="D12" s="92">
        <f>'Ridership-25'!$E4</f>
        <v>43762</v>
      </c>
      <c r="E12" s="92">
        <f>'Revenue Hours-25'!$E4</f>
        <v>7886</v>
      </c>
      <c r="F12" s="92">
        <f>'Revenue Miles-25'!$E4</f>
        <v>94333</v>
      </c>
      <c r="G12" s="134">
        <f t="shared" si="0"/>
        <v>1.0755177539715083E-3</v>
      </c>
      <c r="H12" s="94">
        <f t="shared" si="1"/>
        <v>1.0755177539715085E-3</v>
      </c>
      <c r="J12" s="95">
        <f>'Ridership-25'!B4/'Revenue Hours-25'!B4</f>
        <v>7.0756269072575293</v>
      </c>
      <c r="K12" s="96">
        <f>'Ridership-25'!C4/'Revenue Hours-25'!C4</f>
        <v>3.8435006435006436</v>
      </c>
      <c r="L12" s="96">
        <f>'Ridership-25'!D4/'Revenue Hours-25'!D4</f>
        <v>4.8354101054361225</v>
      </c>
      <c r="M12" s="96">
        <f>'Ridership-25'!E4/'Revenue Hours-25'!E4</f>
        <v>5.5493279229013446</v>
      </c>
      <c r="N12" s="97">
        <f t="shared" si="2"/>
        <v>0.99788982541066573</v>
      </c>
      <c r="O12" s="98">
        <f t="shared" si="3"/>
        <v>1.0732482237366999E-3</v>
      </c>
      <c r="P12" s="99">
        <f t="shared" si="4"/>
        <v>1.0138458646325582E-3</v>
      </c>
      <c r="Q12" s="95">
        <f>'Ridership-25'!B4/'Revenue Miles-25'!B4</f>
        <v>0.61203433791631279</v>
      </c>
      <c r="R12" s="96">
        <f>'Ridership-25'!C4/'Revenue Miles-25'!C4</f>
        <v>0.31931227680003421</v>
      </c>
      <c r="S12" s="96">
        <f>'Ridership-25'!D4/'Revenue Miles-25'!D4</f>
        <v>0.41985803797543603</v>
      </c>
      <c r="T12" s="96">
        <f>'Ridership-25'!E4/'Revenue Miles-25'!E4</f>
        <v>0.46390976646560589</v>
      </c>
      <c r="U12" s="97">
        <f t="shared" si="5"/>
        <v>0.98970909906924531</v>
      </c>
      <c r="V12" s="98">
        <f t="shared" si="6"/>
        <v>1.0644497073161198E-3</v>
      </c>
      <c r="W12" s="99">
        <f t="shared" si="7"/>
        <v>1.0092571146882285E-3</v>
      </c>
      <c r="X12" s="95">
        <f>'Op Cost-25'!B5/'Revenue Hours-25'!B4</f>
        <v>54.185219583388616</v>
      </c>
      <c r="Y12" s="96">
        <f>'Op Cost-25'!C5/'Revenue Hours-25'!C4</f>
        <v>108.14491634491634</v>
      </c>
      <c r="Z12" s="96">
        <f>'Op Cost-25'!D5/'Revenue Hours-25'!D4</f>
        <v>62.039983568396551</v>
      </c>
      <c r="AA12" s="96">
        <f>'Op Cost-25'!E5/'Revenue Hours-25'!E4</f>
        <v>50.572406796855184</v>
      </c>
      <c r="AB12" s="97">
        <f t="shared" si="8"/>
        <v>1.0275887811661744</v>
      </c>
      <c r="AC12" s="98">
        <f t="shared" si="9"/>
        <v>1.0466421721254501E-3</v>
      </c>
      <c r="AD12" s="99">
        <f t="shared" si="10"/>
        <v>1.1165150681469937E-3</v>
      </c>
      <c r="AE12" s="95">
        <f>'Op Cost-25'!B5/'Revenue Miles-25'!B4</f>
        <v>4.6869649046296509</v>
      </c>
      <c r="AF12" s="96">
        <f>'Op Cost-25'!C5/'Revenue Miles-25'!C4</f>
        <v>8.9845176742296253</v>
      </c>
      <c r="AG12" s="96">
        <f>'Op Cost-25'!D5/'Revenue Miles-25'!D4</f>
        <v>5.3869237994459436</v>
      </c>
      <c r="AH12" s="96">
        <f>'Op Cost-25'!E5/'Revenue Miles-25'!E4</f>
        <v>4.2277251863080787</v>
      </c>
      <c r="AI12" s="97">
        <f t="shared" si="11"/>
        <v>1.0006231580562883</v>
      </c>
      <c r="AJ12" s="98">
        <f t="shared" si="12"/>
        <v>1.0748479538098068E-3</v>
      </c>
      <c r="AK12" s="99">
        <f t="shared" si="13"/>
        <v>1.1439080917461438E-3</v>
      </c>
      <c r="AL12" s="95">
        <f>'Op Cost-25'!B5/'Ridership-25'!B4</f>
        <v>7.6580097132892044</v>
      </c>
      <c r="AM12" s="96">
        <f>'Op Cost-25'!C5/'Ridership-25'!C4</f>
        <v>28.137088132869007</v>
      </c>
      <c r="AN12" s="96">
        <f>'Op Cost-25'!D5/'Ridership-25'!D4</f>
        <v>12.830345765015716</v>
      </c>
      <c r="AO12" s="96">
        <f>'Op Cost-25'!E5/'Ridership-25'!E4</f>
        <v>9.1132489374343031</v>
      </c>
      <c r="AP12" s="100">
        <f t="shared" si="14"/>
        <v>1.0148372723489094</v>
      </c>
      <c r="AQ12" s="98">
        <f t="shared" si="15"/>
        <v>1.0597933119682824E-3</v>
      </c>
      <c r="AR12" s="99">
        <f t="shared" si="16"/>
        <v>1.1506485481168945E-3</v>
      </c>
      <c r="AT12" s="101">
        <f t="shared" ref="AT12:AT50" si="29">P12*AT$6</f>
        <v>0</v>
      </c>
      <c r="AU12" s="102">
        <f t="shared" si="17"/>
        <v>0</v>
      </c>
      <c r="AV12" s="102">
        <f t="shared" si="18"/>
        <v>0</v>
      </c>
      <c r="AW12" s="102">
        <f t="shared" si="19"/>
        <v>0</v>
      </c>
      <c r="AX12" s="103">
        <f t="shared" si="20"/>
        <v>0</v>
      </c>
      <c r="AY12" s="293">
        <f t="shared" ref="AY12:AY50" si="30">(SUM(AT12:AX12)-H12)/H12</f>
        <v>-1</v>
      </c>
      <c r="AZ12" s="105">
        <f t="shared" si="21"/>
        <v>0</v>
      </c>
      <c r="BA12" s="106">
        <f t="shared" si="21"/>
        <v>0</v>
      </c>
      <c r="BB12" s="106">
        <f t="shared" si="21"/>
        <v>0</v>
      </c>
      <c r="BC12" s="106">
        <f t="shared" si="21"/>
        <v>0</v>
      </c>
      <c r="BD12" s="106">
        <f t="shared" si="21"/>
        <v>0</v>
      </c>
      <c r="BE12" s="107">
        <f t="shared" ref="BE12:BE49" si="31">$AZ$6*H12</f>
        <v>131471.82848833717</v>
      </c>
      <c r="BG12" s="108">
        <f>'Op Cost-25'!E5</f>
        <v>398814</v>
      </c>
      <c r="BH12" s="109">
        <f t="shared" si="22"/>
        <v>0.32965700423840982</v>
      </c>
      <c r="BI12" s="110">
        <f t="shared" si="23"/>
        <v>119644.2</v>
      </c>
      <c r="BJ12" s="111">
        <f t="shared" si="24"/>
        <v>11827.62848833717</v>
      </c>
      <c r="BK12" s="1">
        <f t="shared" ref="BK12:BK50" si="32">BL12*$BO$8+BM12*$BP$8+BN12*$BQ$8</f>
        <v>0.78808785661339509</v>
      </c>
      <c r="BL12" s="294">
        <f t="shared" ref="BL12:BL50" si="33">AVERAGE(M12/$M$51,L12/$L$51,K12/$K$51)</f>
        <v>0.53717437140581448</v>
      </c>
      <c r="BM12" s="294">
        <f t="shared" ref="BM12:BM50" si="34">AVERAGE(T12/$T$51,S12/$S$51,R12/$R$51)</f>
        <v>0.65019025707333755</v>
      </c>
      <c r="BN12" s="295">
        <f t="shared" ref="BN12:BN50" si="35">AVERAGE((1/AO12)/(1/$AO$51),(1/AN12)/(1/$AN$51), (1/AM12)/(1/$AM$51))</f>
        <v>0.98249339898721433</v>
      </c>
      <c r="BO12" s="114">
        <f t="shared" si="25"/>
        <v>0</v>
      </c>
      <c r="BP12" s="296">
        <f t="shared" ref="BP12:BP50" si="36">BL12*$BO$8+BM12*$BP$8+BN12*$BQ$8</f>
        <v>0.78808785661339509</v>
      </c>
      <c r="BQ12" s="116">
        <f t="shared" ref="BQ12:BQ50" si="37">BP12*H12</f>
        <v>8.4760248147705889E-4</v>
      </c>
      <c r="BR12" s="297">
        <f t="shared" ref="BR12:BR50" si="38">IF(BO12=0,0,BQ12)</f>
        <v>0</v>
      </c>
      <c r="BS12" s="117">
        <f t="shared" ref="BS12:BS50" si="39">BR12/$BR$51</f>
        <v>0</v>
      </c>
      <c r="BT12" s="298">
        <f t="shared" ref="BT12:BT50" si="40">$BO$6*BS12+BI12</f>
        <v>119644.2</v>
      </c>
      <c r="BU12" s="119">
        <f t="shared" ref="BU12:BU50" si="41">BG12*$BU$6</f>
        <v>119644.2</v>
      </c>
      <c r="BV12" s="119">
        <f t="shared" ref="BV12:BV50" si="42">IF(BT12&lt;BU12,BT12, BU12)</f>
        <v>119644.2</v>
      </c>
      <c r="BW12" s="119">
        <f t="shared" ref="BW12:BW50" si="43">BT12-BV12</f>
        <v>0</v>
      </c>
      <c r="BX12" s="120">
        <f t="shared" ref="BX12:BX50" si="44">IF(AND(BW12=0, BJ12=0),BQ12,0)</f>
        <v>0</v>
      </c>
      <c r="BY12" s="121">
        <f t="shared" ref="BY12:BY50" si="45">IF($BX$51=0,1, BX12/$BX$51)</f>
        <v>0</v>
      </c>
      <c r="BZ12" s="299">
        <f t="shared" ref="BZ12:BZ50" si="46">$BW$51*BY12+BV12</f>
        <v>119644.2</v>
      </c>
      <c r="CA12" s="109">
        <f t="shared" si="26"/>
        <v>0</v>
      </c>
      <c r="CB12" s="123">
        <f t="shared" si="27"/>
        <v>0</v>
      </c>
      <c r="CC12" s="135">
        <f>ROUND((CB12+BI12),0)</f>
        <v>119644</v>
      </c>
      <c r="CE12" s="124">
        <f t="shared" si="28"/>
        <v>0</v>
      </c>
      <c r="CF12" s="17"/>
      <c r="CG12" s="108">
        <f t="shared" ref="CG12:CG50" si="47">BG12</f>
        <v>398814</v>
      </c>
      <c r="CH12" s="125">
        <f t="shared" ref="CH12:CH50" si="48">CC12/BG12</f>
        <v>0.29999949851309132</v>
      </c>
      <c r="CI12" s="110">
        <f t="shared" ref="CI12:CI50" si="49">IF(BT12&gt;BG12*$BI$6,BG12*$BI$6,BT12)</f>
        <v>119644.2</v>
      </c>
      <c r="CJ12" s="300">
        <f t="shared" ref="CJ12:CJ50" si="50">BT12-CI12</f>
        <v>0</v>
      </c>
      <c r="CL12" s="127">
        <f t="shared" ref="CL12:CL50" si="51">IF(OR(CJ12&gt;0,CH12&gt;=0.294),0,CI12)</f>
        <v>0</v>
      </c>
      <c r="CM12" s="128">
        <f t="shared" ref="CM12:CM51" si="52">CL12/$CL$51</f>
        <v>0</v>
      </c>
      <c r="CN12" s="129">
        <f t="shared" ref="CN12:CN51" si="53">CM12*$CM$6</f>
        <v>0</v>
      </c>
      <c r="CO12" s="130">
        <f>ROUND((CN12+CI12),0)</f>
        <v>119644</v>
      </c>
      <c r="CQ12" s="131">
        <f t="shared" ref="CQ12:CQ51" si="54">BZ12/CG12</f>
        <v>0.3</v>
      </c>
      <c r="CR12" s="301"/>
    </row>
    <row r="13" spans="1:96">
      <c r="A13" s="133" t="s">
        <v>82</v>
      </c>
      <c r="B13" s="90" t="s">
        <v>85</v>
      </c>
      <c r="C13" s="91">
        <f>'Sizing - Reimb Exp-25'!B6</f>
        <v>2696243</v>
      </c>
      <c r="D13" s="92">
        <f>'Ridership-25'!$E5</f>
        <v>162649</v>
      </c>
      <c r="E13" s="92">
        <f>'Revenue Hours-25'!$E5</f>
        <v>46711</v>
      </c>
      <c r="F13" s="92">
        <f>'Revenue Miles-25'!$E5</f>
        <v>490148</v>
      </c>
      <c r="G13" s="93">
        <f t="shared" si="0"/>
        <v>5.7217969398773178E-3</v>
      </c>
      <c r="H13" s="94">
        <f t="shared" si="1"/>
        <v>5.7217969398773187E-3</v>
      </c>
      <c r="J13" s="95">
        <f>'Ridership-25'!B5/'Revenue Hours-25'!B5</f>
        <v>3.5903165735567972</v>
      </c>
      <c r="K13" s="96">
        <f>'Ridership-25'!C5/'Revenue Hours-25'!C5</f>
        <v>3.0037184124655352</v>
      </c>
      <c r="L13" s="96">
        <f>'Ridership-25'!D5/'Revenue Hours-25'!D5</f>
        <v>3.0190503841343577</v>
      </c>
      <c r="M13" s="96">
        <f>'Ridership-25'!E5/'Revenue Hours-25'!E5</f>
        <v>3.4820277878872212</v>
      </c>
      <c r="N13" s="97">
        <f t="shared" si="2"/>
        <v>1.1244143405144138</v>
      </c>
      <c r="O13" s="98">
        <f t="shared" si="3"/>
        <v>6.4336705327095465E-3</v>
      </c>
      <c r="P13" s="99">
        <f t="shared" si="4"/>
        <v>6.0775784387379047E-3</v>
      </c>
      <c r="Q13" s="95">
        <f>'Ridership-25'!B5/'Revenue Miles-25'!B5</f>
        <v>0.34236028901498144</v>
      </c>
      <c r="R13" s="96">
        <f>'Ridership-25'!C5/'Revenue Miles-25'!C5</f>
        <v>0.30898734605406614</v>
      </c>
      <c r="S13" s="96">
        <f>'Ridership-25'!D5/'Revenue Miles-25'!D5</f>
        <v>0.30702858129224508</v>
      </c>
      <c r="T13" s="96">
        <f>'Ridership-25'!E5/'Revenue Miles-25'!E5</f>
        <v>0.33183650652455993</v>
      </c>
      <c r="U13" s="97">
        <f t="shared" si="5"/>
        <v>1.1412874554012273</v>
      </c>
      <c r="V13" s="98">
        <f t="shared" si="6"/>
        <v>6.5302150698351141E-3</v>
      </c>
      <c r="W13" s="99">
        <f t="shared" si="7"/>
        <v>6.1916180486280897E-3</v>
      </c>
      <c r="X13" s="95">
        <f>'Op Cost-25'!B6/'Revenue Hours-25'!B5</f>
        <v>45.864958582161435</v>
      </c>
      <c r="Y13" s="96">
        <f>'Op Cost-25'!C6/'Revenue Hours-25'!C5</f>
        <v>61.145979308425872</v>
      </c>
      <c r="Z13" s="96">
        <f>'Op Cost-25'!D6/'Revenue Hours-25'!D5</f>
        <v>58.62645167053779</v>
      </c>
      <c r="AA13" s="96">
        <f>'Op Cost-25'!E6/'Revenue Hours-25'!E5</f>
        <v>57.842499625355913</v>
      </c>
      <c r="AB13" s="97">
        <f t="shared" si="8"/>
        <v>1.0361763312133343</v>
      </c>
      <c r="AC13" s="98">
        <f t="shared" si="9"/>
        <v>5.5220301482637128E-3</v>
      </c>
      <c r="AD13" s="99">
        <f t="shared" si="10"/>
        <v>5.8906759458947416E-3</v>
      </c>
      <c r="AE13" s="95">
        <f>'Op Cost-25'!B6/'Revenue Miles-25'!B5</f>
        <v>4.3735253296321996</v>
      </c>
      <c r="AF13" s="96">
        <f>'Op Cost-25'!C6/'Revenue Miles-25'!C5</f>
        <v>6.2899817073329398</v>
      </c>
      <c r="AG13" s="96">
        <f>'Op Cost-25'!D6/'Revenue Miles-25'!D5</f>
        <v>5.9621384184897162</v>
      </c>
      <c r="AH13" s="96">
        <f>'Op Cost-25'!E6/'Revenue Miles-25'!E5</f>
        <v>5.5123778940238459</v>
      </c>
      <c r="AI13" s="97">
        <f t="shared" si="11"/>
        <v>1.0405282730301624</v>
      </c>
      <c r="AJ13" s="98">
        <f t="shared" si="12"/>
        <v>5.4989346163700622E-3</v>
      </c>
      <c r="AK13" s="99">
        <f t="shared" si="13"/>
        <v>5.8522470842064314E-3</v>
      </c>
      <c r="AL13" s="95">
        <f>'Op Cost-25'!B6/'Ridership-25'!B5</f>
        <v>12.774627986836457</v>
      </c>
      <c r="AM13" s="96">
        <f>'Op Cost-25'!C6/'Ridership-25'!C5</f>
        <v>20.356761490913378</v>
      </c>
      <c r="AN13" s="96">
        <f>'Op Cost-25'!D6/'Ridership-25'!D5</f>
        <v>19.418838446231348</v>
      </c>
      <c r="AO13" s="96">
        <f>'Op Cost-25'!E6/'Ridership-25'!E5</f>
        <v>16.611728322953109</v>
      </c>
      <c r="AP13" s="100">
        <f t="shared" si="14"/>
        <v>0.99855496234877406</v>
      </c>
      <c r="AQ13" s="98">
        <f t="shared" si="15"/>
        <v>5.7300771170558928E-3</v>
      </c>
      <c r="AR13" s="99">
        <f t="shared" si="16"/>
        <v>6.2213120623425197E-3</v>
      </c>
      <c r="AT13" s="101">
        <f t="shared" si="29"/>
        <v>0</v>
      </c>
      <c r="AU13" s="102">
        <f t="shared" si="17"/>
        <v>0</v>
      </c>
      <c r="AV13" s="102">
        <f t="shared" si="18"/>
        <v>0</v>
      </c>
      <c r="AW13" s="102">
        <f t="shared" si="19"/>
        <v>0</v>
      </c>
      <c r="AX13" s="103">
        <f t="shared" si="20"/>
        <v>0</v>
      </c>
      <c r="AY13" s="293">
        <f t="shared" si="30"/>
        <v>-1</v>
      </c>
      <c r="AZ13" s="105">
        <f t="shared" si="21"/>
        <v>0</v>
      </c>
      <c r="BA13" s="106">
        <f t="shared" si="21"/>
        <v>0</v>
      </c>
      <c r="BB13" s="106">
        <f t="shared" si="21"/>
        <v>0</v>
      </c>
      <c r="BC13" s="106">
        <f t="shared" si="21"/>
        <v>0</v>
      </c>
      <c r="BD13" s="106">
        <f t="shared" si="21"/>
        <v>0</v>
      </c>
      <c r="BE13" s="107">
        <f t="shared" si="31"/>
        <v>699435.32140388188</v>
      </c>
      <c r="BG13" s="108">
        <f>'Op Cost-25'!E6</f>
        <v>2701881</v>
      </c>
      <c r="BH13" s="109">
        <f t="shared" si="22"/>
        <v>0.25886977309655085</v>
      </c>
      <c r="BI13" s="110">
        <f t="shared" si="23"/>
        <v>699435.32140388188</v>
      </c>
      <c r="BJ13" s="111">
        <f t="shared" si="24"/>
        <v>0</v>
      </c>
      <c r="BK13" s="1">
        <f t="shared" si="32"/>
        <v>0.60155406709132531</v>
      </c>
      <c r="BL13" s="294">
        <f t="shared" si="33"/>
        <v>0.36489959133381439</v>
      </c>
      <c r="BM13" s="294">
        <f t="shared" si="34"/>
        <v>0.5231905353943489</v>
      </c>
      <c r="BN13" s="295">
        <f t="shared" si="35"/>
        <v>0.75906307081856894</v>
      </c>
      <c r="BO13" s="114">
        <f t="shared" si="25"/>
        <v>699435.32140388188</v>
      </c>
      <c r="BP13" s="296">
        <f t="shared" si="36"/>
        <v>0.60155406709132531</v>
      </c>
      <c r="BQ13" s="116">
        <f t="shared" si="37"/>
        <v>3.4419702202539005E-3</v>
      </c>
      <c r="BR13" s="297">
        <f t="shared" si="38"/>
        <v>3.4419702202539005E-3</v>
      </c>
      <c r="BS13" s="117">
        <f t="shared" si="39"/>
        <v>3.608698050728307E-3</v>
      </c>
      <c r="BT13" s="298">
        <f t="shared" si="40"/>
        <v>730450.69001804874</v>
      </c>
      <c r="BU13" s="119">
        <f t="shared" si="41"/>
        <v>810564.29999999993</v>
      </c>
      <c r="BV13" s="119">
        <f t="shared" si="42"/>
        <v>730450.69001804874</v>
      </c>
      <c r="BW13" s="119">
        <f t="shared" si="43"/>
        <v>0</v>
      </c>
      <c r="BX13" s="120">
        <f t="shared" si="44"/>
        <v>3.4419702202539005E-3</v>
      </c>
      <c r="BY13" s="121">
        <f t="shared" si="45"/>
        <v>6.3741518751460188E-3</v>
      </c>
      <c r="BZ13" s="299">
        <f t="shared" si="46"/>
        <v>735858.11352950241</v>
      </c>
      <c r="CA13" s="109">
        <f t="shared" si="26"/>
        <v>6.35276763068208E-3</v>
      </c>
      <c r="CB13" s="123">
        <f t="shared" si="27"/>
        <v>54599.588831209403</v>
      </c>
      <c r="CC13" s="111">
        <f>ROUND((CB13+BI13),0)</f>
        <v>754035</v>
      </c>
      <c r="CE13" s="124">
        <f t="shared" si="28"/>
        <v>0</v>
      </c>
      <c r="CF13" s="17"/>
      <c r="CG13" s="108">
        <f t="shared" si="47"/>
        <v>2701881</v>
      </c>
      <c r="CH13" s="125">
        <f t="shared" si="48"/>
        <v>0.27907779802293292</v>
      </c>
      <c r="CI13" s="110">
        <f t="shared" si="49"/>
        <v>730450.69001804874</v>
      </c>
      <c r="CJ13" s="300">
        <f t="shared" si="50"/>
        <v>0</v>
      </c>
      <c r="CL13" s="127">
        <f t="shared" si="51"/>
        <v>730450.69001804874</v>
      </c>
      <c r="CM13" s="128">
        <f t="shared" si="52"/>
        <v>8.4993375903500909E-3</v>
      </c>
      <c r="CN13" s="129">
        <f t="shared" si="53"/>
        <v>7210.2953958542021</v>
      </c>
      <c r="CO13" s="130">
        <f t="shared" ref="CO13:CO50" si="55">ROUND((CN13+CI13),0)</f>
        <v>737661</v>
      </c>
      <c r="CQ13" s="131">
        <f t="shared" si="54"/>
        <v>0.27235030466904442</v>
      </c>
      <c r="CR13" s="301"/>
    </row>
    <row r="14" spans="1:96">
      <c r="A14" s="133" t="s">
        <v>82</v>
      </c>
      <c r="B14" s="90" t="s">
        <v>86</v>
      </c>
      <c r="C14" s="91">
        <f>'Sizing - Reimb Exp-25'!B7</f>
        <v>2111050</v>
      </c>
      <c r="D14" s="92">
        <f>'Ridership-25'!$E6</f>
        <v>131743</v>
      </c>
      <c r="E14" s="92">
        <f>'Revenue Hours-25'!$E6</f>
        <v>47343</v>
      </c>
      <c r="F14" s="92">
        <f>'Revenue Miles-25'!$E6</f>
        <v>800372</v>
      </c>
      <c r="G14" s="93">
        <f t="shared" si="0"/>
        <v>5.8588613671572021E-3</v>
      </c>
      <c r="H14" s="94">
        <f t="shared" si="1"/>
        <v>5.858861367157203E-3</v>
      </c>
      <c r="J14" s="95">
        <f>'Ridership-25'!B6/'Revenue Hours-25'!B6</f>
        <v>1.8670980965213595</v>
      </c>
      <c r="K14" s="96">
        <f>'Ridership-25'!C6/'Revenue Hours-25'!C6</f>
        <v>1.3455313359222201</v>
      </c>
      <c r="L14" s="96">
        <f>'Ridership-25'!D6/'Revenue Hours-25'!D6</f>
        <v>2.5156324194636741</v>
      </c>
      <c r="M14" s="96">
        <f>'Ridership-25'!E6/'Revenue Hours-25'!E6</f>
        <v>2.7827345119658662</v>
      </c>
      <c r="N14" s="97">
        <f t="shared" si="2"/>
        <v>1.2596800836704516</v>
      </c>
      <c r="O14" s="98">
        <f t="shared" si="3"/>
        <v>7.3802909771941618E-3</v>
      </c>
      <c r="P14" s="99">
        <f t="shared" si="4"/>
        <v>6.9718051439784734E-3</v>
      </c>
      <c r="Q14" s="95">
        <f>'Ridership-25'!B6/'Revenue Miles-25'!B6</f>
        <v>0.11380730389718556</v>
      </c>
      <c r="R14" s="96">
        <f>'Ridership-25'!C6/'Revenue Miles-25'!C6</f>
        <v>8.6154544217069737E-2</v>
      </c>
      <c r="S14" s="96">
        <f>'Ridership-25'!D6/'Revenue Miles-25'!D6</f>
        <v>0.15736959607772016</v>
      </c>
      <c r="T14" s="96">
        <f>'Ridership-25'!E6/'Revenue Miles-25'!E6</f>
        <v>0.16460220997236286</v>
      </c>
      <c r="U14" s="97">
        <f t="shared" si="5"/>
        <v>1.2593362033437594</v>
      </c>
      <c r="V14" s="98">
        <f t="shared" si="6"/>
        <v>7.3782762300331796E-3</v>
      </c>
      <c r="W14" s="99">
        <f t="shared" si="7"/>
        <v>6.9957065403039699E-3</v>
      </c>
      <c r="X14" s="95">
        <f>'Op Cost-25'!B7/'Revenue Hours-25'!B6</f>
        <v>28.535460118042245</v>
      </c>
      <c r="Y14" s="96">
        <f>'Op Cost-25'!C7/'Revenue Hours-25'!C6</f>
        <v>42.25856741971144</v>
      </c>
      <c r="Z14" s="96">
        <f>'Op Cost-25'!D7/'Revenue Hours-25'!D6</f>
        <v>54.154224876915002</v>
      </c>
      <c r="AA14" s="96">
        <f>'Op Cost-25'!E7/'Revenue Hours-25'!E6</f>
        <v>45.459899034704179</v>
      </c>
      <c r="AB14" s="97">
        <f t="shared" si="8"/>
        <v>1.131145514490173</v>
      </c>
      <c r="AC14" s="98">
        <f t="shared" si="9"/>
        <v>5.1795823721211449E-3</v>
      </c>
      <c r="AD14" s="99">
        <f t="shared" si="10"/>
        <v>5.5253666622642542E-3</v>
      </c>
      <c r="AE14" s="95">
        <f>'Op Cost-25'!B7/'Revenue Miles-25'!B6</f>
        <v>1.7393535923745185</v>
      </c>
      <c r="AF14" s="96">
        <f>'Op Cost-25'!C7/'Revenue Miles-25'!C6</f>
        <v>2.7058214982530968</v>
      </c>
      <c r="AG14" s="96">
        <f>'Op Cost-25'!D7/'Revenue Miles-25'!D6</f>
        <v>3.3877081678725758</v>
      </c>
      <c r="AH14" s="96">
        <f>'Op Cost-25'!E7/'Revenue Miles-25'!E6</f>
        <v>2.689009610531103</v>
      </c>
      <c r="AI14" s="97">
        <f t="shared" si="11"/>
        <v>1.1289699957487576</v>
      </c>
      <c r="AJ14" s="98">
        <f t="shared" si="12"/>
        <v>5.1895633978044546E-3</v>
      </c>
      <c r="AK14" s="99">
        <f t="shared" si="13"/>
        <v>5.5229984318587305E-3</v>
      </c>
      <c r="AL14" s="95">
        <f>'Op Cost-25'!B7/'Ridership-25'!B6</f>
        <v>15.283321305510098</v>
      </c>
      <c r="AM14" s="96">
        <f>'Op Cost-25'!C7/'Ridership-25'!C6</f>
        <v>31.406602203543365</v>
      </c>
      <c r="AN14" s="96">
        <f>'Op Cost-25'!D7/'Ridership-25'!D6</f>
        <v>21.527081801744522</v>
      </c>
      <c r="AO14" s="96">
        <f>'Op Cost-25'!E7/'Ridership-25'!E6</f>
        <v>16.33641256081917</v>
      </c>
      <c r="AP14" s="100">
        <f t="shared" si="14"/>
        <v>0.9068629018501454</v>
      </c>
      <c r="AQ14" s="98">
        <f t="shared" si="15"/>
        <v>6.4605811476069743E-3</v>
      </c>
      <c r="AR14" s="99">
        <f t="shared" si="16"/>
        <v>7.0144416213374127E-3</v>
      </c>
      <c r="AT14" s="101">
        <f t="shared" si="29"/>
        <v>0</v>
      </c>
      <c r="AU14" s="102">
        <f t="shared" si="17"/>
        <v>0</v>
      </c>
      <c r="AV14" s="102">
        <f t="shared" si="18"/>
        <v>0</v>
      </c>
      <c r="AW14" s="102">
        <f t="shared" si="19"/>
        <v>0</v>
      </c>
      <c r="AX14" s="103">
        <f t="shared" si="20"/>
        <v>0</v>
      </c>
      <c r="AY14" s="293">
        <f t="shared" si="30"/>
        <v>-1</v>
      </c>
      <c r="AZ14" s="105">
        <f t="shared" si="21"/>
        <v>0</v>
      </c>
      <c r="BA14" s="106">
        <f t="shared" si="21"/>
        <v>0</v>
      </c>
      <c r="BB14" s="106">
        <f t="shared" si="21"/>
        <v>0</v>
      </c>
      <c r="BC14" s="106">
        <f t="shared" si="21"/>
        <v>0</v>
      </c>
      <c r="BD14" s="106">
        <f t="shared" si="21"/>
        <v>0</v>
      </c>
      <c r="BE14" s="107">
        <f t="shared" si="31"/>
        <v>716190.1455884676</v>
      </c>
      <c r="BG14" s="108">
        <f>'Op Cost-25'!E7</f>
        <v>2152208</v>
      </c>
      <c r="BH14" s="109">
        <f t="shared" si="22"/>
        <v>0.33276994862414211</v>
      </c>
      <c r="BI14" s="110">
        <f t="shared" si="23"/>
        <v>645662.4</v>
      </c>
      <c r="BJ14" s="111">
        <f t="shared" si="24"/>
        <v>70527.745588467573</v>
      </c>
      <c r="BK14" s="1">
        <f t="shared" si="32"/>
        <v>0.43275003011830826</v>
      </c>
      <c r="BL14" s="294">
        <f t="shared" si="33"/>
        <v>0.24484455918712109</v>
      </c>
      <c r="BM14" s="294">
        <f t="shared" si="34"/>
        <v>0.21685561441924597</v>
      </c>
      <c r="BN14" s="295">
        <f t="shared" si="35"/>
        <v>0.63464997343343299</v>
      </c>
      <c r="BO14" s="114">
        <f t="shared" si="25"/>
        <v>0</v>
      </c>
      <c r="BP14" s="296">
        <f t="shared" si="36"/>
        <v>0.43275003011830826</v>
      </c>
      <c r="BQ14" s="116">
        <f t="shared" si="37"/>
        <v>2.5354224330962722E-3</v>
      </c>
      <c r="BR14" s="297">
        <f t="shared" si="38"/>
        <v>0</v>
      </c>
      <c r="BS14" s="117">
        <f t="shared" si="39"/>
        <v>0</v>
      </c>
      <c r="BT14" s="298">
        <f t="shared" si="40"/>
        <v>645662.4</v>
      </c>
      <c r="BU14" s="119">
        <f t="shared" si="41"/>
        <v>645662.4</v>
      </c>
      <c r="BV14" s="119">
        <f t="shared" si="42"/>
        <v>645662.4</v>
      </c>
      <c r="BW14" s="119">
        <f t="shared" si="43"/>
        <v>0</v>
      </c>
      <c r="BX14" s="120">
        <f t="shared" si="44"/>
        <v>0</v>
      </c>
      <c r="BY14" s="121">
        <f t="shared" si="45"/>
        <v>0</v>
      </c>
      <c r="BZ14" s="299">
        <f t="shared" si="46"/>
        <v>645662.4</v>
      </c>
      <c r="CA14" s="109">
        <f t="shared" si="26"/>
        <v>0</v>
      </c>
      <c r="CB14" s="123">
        <f t="shared" si="27"/>
        <v>0</v>
      </c>
      <c r="CC14" s="111">
        <f t="shared" ref="CC14:CC50" si="56">ROUND((CB14+BI14),0)</f>
        <v>645662</v>
      </c>
      <c r="CE14" s="124">
        <f t="shared" si="28"/>
        <v>0</v>
      </c>
      <c r="CF14" s="17"/>
      <c r="CG14" s="108">
        <f t="shared" si="47"/>
        <v>2152208</v>
      </c>
      <c r="CH14" s="125">
        <f t="shared" si="48"/>
        <v>0.29999981414435778</v>
      </c>
      <c r="CI14" s="110">
        <f t="shared" si="49"/>
        <v>645662.4</v>
      </c>
      <c r="CJ14" s="300">
        <f t="shared" si="50"/>
        <v>0</v>
      </c>
      <c r="CL14" s="127">
        <f t="shared" si="51"/>
        <v>0</v>
      </c>
      <c r="CM14" s="128">
        <f t="shared" si="52"/>
        <v>0</v>
      </c>
      <c r="CN14" s="129">
        <f t="shared" si="53"/>
        <v>0</v>
      </c>
      <c r="CO14" s="130">
        <f t="shared" si="55"/>
        <v>645662</v>
      </c>
      <c r="CQ14" s="131">
        <f t="shared" si="54"/>
        <v>0.3</v>
      </c>
      <c r="CR14" s="301"/>
    </row>
    <row r="15" spans="1:96">
      <c r="A15" s="133" t="s">
        <v>82</v>
      </c>
      <c r="B15" s="90" t="s">
        <v>87</v>
      </c>
      <c r="C15" s="91">
        <f>'Sizing - Reimb Exp-25'!B8</f>
        <v>450961</v>
      </c>
      <c r="D15" s="92">
        <f>'Ridership-25'!$E7</f>
        <v>31171</v>
      </c>
      <c r="E15" s="92">
        <f>'Revenue Hours-25'!$E7</f>
        <v>8170</v>
      </c>
      <c r="F15" s="92">
        <f>'Revenue Miles-25'!$E7</f>
        <v>132943</v>
      </c>
      <c r="G15" s="93">
        <f t="shared" si="0"/>
        <v>1.118893298237163E-3</v>
      </c>
      <c r="H15" s="94">
        <f t="shared" si="1"/>
        <v>1.1188932982371632E-3</v>
      </c>
      <c r="J15" s="95">
        <f>'Ridership-25'!B7/'Revenue Hours-25'!B7</f>
        <v>5.5566235366605055</v>
      </c>
      <c r="K15" s="96">
        <f>'Ridership-25'!C7/'Revenue Hours-25'!C7</f>
        <v>3.8071505958829901</v>
      </c>
      <c r="L15" s="96">
        <f>'Ridership-25'!D7/'Revenue Hours-25'!D7</f>
        <v>3.650582779796967</v>
      </c>
      <c r="M15" s="96">
        <f>'Ridership-25'!E7/'Revenue Hours-25'!E7</f>
        <v>3.815299877600979</v>
      </c>
      <c r="N15" s="97">
        <f t="shared" si="2"/>
        <v>0.98400547632215163</v>
      </c>
      <c r="O15" s="98">
        <f t="shared" si="3"/>
        <v>1.1009971328855229E-3</v>
      </c>
      <c r="P15" s="99">
        <f t="shared" si="4"/>
        <v>1.0400589215623416E-3</v>
      </c>
      <c r="Q15" s="95">
        <f>'Ridership-25'!B7/'Revenue Miles-25'!B7</f>
        <v>0.3373331737387037</v>
      </c>
      <c r="R15" s="96">
        <f>'Ridership-25'!C7/'Revenue Miles-25'!C7</f>
        <v>0.2437813629741542</v>
      </c>
      <c r="S15" s="96">
        <f>'Ridership-25'!D7/'Revenue Miles-25'!D7</f>
        <v>0.22496138399752857</v>
      </c>
      <c r="T15" s="96">
        <f>'Ridership-25'!E7/'Revenue Miles-25'!E7</f>
        <v>0.23446890772737189</v>
      </c>
      <c r="U15" s="97">
        <f t="shared" si="5"/>
        <v>0.9968029568907818</v>
      </c>
      <c r="V15" s="98">
        <f t="shared" si="6"/>
        <v>1.1153161481280837E-3</v>
      </c>
      <c r="W15" s="99">
        <f t="shared" si="7"/>
        <v>1.0574860887163043E-3</v>
      </c>
      <c r="X15" s="95">
        <f>'Op Cost-25'!B8/'Revenue Hours-25'!B7</f>
        <v>38.559704251386322</v>
      </c>
      <c r="Y15" s="96">
        <f>'Op Cost-25'!C8/'Revenue Hours-25'!C7</f>
        <v>43.683519922956542</v>
      </c>
      <c r="Z15" s="96">
        <f>'Op Cost-25'!D8/'Revenue Hours-25'!D7</f>
        <v>59.664118310565236</v>
      </c>
      <c r="AA15" s="96">
        <f>'Op Cost-25'!E8/'Revenue Hours-25'!E7</f>
        <v>55.822399020807836</v>
      </c>
      <c r="AB15" s="97">
        <f t="shared" si="8"/>
        <v>1.0986125400469504</v>
      </c>
      <c r="AC15" s="98">
        <f t="shared" si="9"/>
        <v>1.0184603374264651E-3</v>
      </c>
      <c r="AD15" s="99">
        <f t="shared" si="10"/>
        <v>1.0864518393497568E-3</v>
      </c>
      <c r="AE15" s="95">
        <f>'Op Cost-25'!B8/'Revenue Miles-25'!B7</f>
        <v>2.340894128912562</v>
      </c>
      <c r="AF15" s="96">
        <f>'Op Cost-25'!C8/'Revenue Miles-25'!C7</f>
        <v>2.7971649027603269</v>
      </c>
      <c r="AG15" s="96">
        <f>'Op Cost-25'!D8/'Revenue Miles-25'!D7</f>
        <v>3.6767068273092369</v>
      </c>
      <c r="AH15" s="96">
        <f>'Op Cost-25'!E8/'Revenue Miles-25'!E7</f>
        <v>3.4305604657635227</v>
      </c>
      <c r="AI15" s="97">
        <f t="shared" si="11"/>
        <v>1.1030365413985617</v>
      </c>
      <c r="AJ15" s="98">
        <f t="shared" si="12"/>
        <v>1.0143755498965578E-3</v>
      </c>
      <c r="AK15" s="99">
        <f t="shared" si="13"/>
        <v>1.0795502707924771E-3</v>
      </c>
      <c r="AL15" s="95">
        <f>'Op Cost-25'!B8/'Ridership-25'!B7</f>
        <v>6.9394127561429961</v>
      </c>
      <c r="AM15" s="96">
        <f>'Op Cost-25'!C8/'Ridership-25'!C7</f>
        <v>11.474071966103839</v>
      </c>
      <c r="AN15" s="96">
        <f>'Op Cost-25'!D8/'Ridership-25'!D7</f>
        <v>16.343724251579236</v>
      </c>
      <c r="AO15" s="96">
        <f>'Op Cost-25'!E8/'Ridership-25'!E7</f>
        <v>14.631195662635141</v>
      </c>
      <c r="AP15" s="100">
        <f t="shared" si="14"/>
        <v>1.2256175688486206</v>
      </c>
      <c r="AQ15" s="98">
        <f t="shared" si="15"/>
        <v>9.1292204573102101E-4</v>
      </c>
      <c r="AR15" s="99">
        <f t="shared" si="16"/>
        <v>9.9118612525811315E-4</v>
      </c>
      <c r="AT15" s="101">
        <f t="shared" si="29"/>
        <v>0</v>
      </c>
      <c r="AU15" s="102">
        <f t="shared" si="17"/>
        <v>0</v>
      </c>
      <c r="AV15" s="102">
        <f t="shared" si="18"/>
        <v>0</v>
      </c>
      <c r="AW15" s="102">
        <f t="shared" si="19"/>
        <v>0</v>
      </c>
      <c r="AX15" s="103">
        <f t="shared" si="20"/>
        <v>0</v>
      </c>
      <c r="AY15" s="293">
        <f t="shared" si="30"/>
        <v>-1</v>
      </c>
      <c r="AZ15" s="105">
        <f t="shared" si="21"/>
        <v>0</v>
      </c>
      <c r="BA15" s="106">
        <f t="shared" si="21"/>
        <v>0</v>
      </c>
      <c r="BB15" s="106">
        <f t="shared" si="21"/>
        <v>0</v>
      </c>
      <c r="BC15" s="106">
        <f t="shared" si="21"/>
        <v>0</v>
      </c>
      <c r="BD15" s="106">
        <f t="shared" si="21"/>
        <v>0</v>
      </c>
      <c r="BE15" s="107">
        <f t="shared" si="31"/>
        <v>136774.07672666191</v>
      </c>
      <c r="BG15" s="108">
        <f>'Op Cost-25'!E8</f>
        <v>456069</v>
      </c>
      <c r="BH15" s="109">
        <f t="shared" si="22"/>
        <v>0.29989777144831575</v>
      </c>
      <c r="BI15" s="110">
        <f t="shared" si="23"/>
        <v>136774.07672666191</v>
      </c>
      <c r="BJ15" s="111">
        <f t="shared" si="24"/>
        <v>0</v>
      </c>
      <c r="BK15" s="1">
        <f t="shared" si="32"/>
        <v>0.73922470559427067</v>
      </c>
      <c r="BL15" s="294">
        <f t="shared" si="33"/>
        <v>0.43732676301715251</v>
      </c>
      <c r="BM15" s="294">
        <f t="shared" si="34"/>
        <v>0.39120773527810115</v>
      </c>
      <c r="BN15" s="295">
        <f t="shared" si="35"/>
        <v>1.0641821620409144</v>
      </c>
      <c r="BO15" s="114">
        <f t="shared" si="25"/>
        <v>0</v>
      </c>
      <c r="BP15" s="296">
        <f t="shared" si="36"/>
        <v>0.73922470559427067</v>
      </c>
      <c r="BQ15" s="116">
        <f t="shared" si="37"/>
        <v>8.2711356898076949E-4</v>
      </c>
      <c r="BR15" s="297">
        <f t="shared" si="38"/>
        <v>0</v>
      </c>
      <c r="BS15" s="117">
        <f t="shared" si="39"/>
        <v>0</v>
      </c>
      <c r="BT15" s="298">
        <f t="shared" si="40"/>
        <v>136774.07672666191</v>
      </c>
      <c r="BU15" s="119">
        <f t="shared" si="41"/>
        <v>136820.69999999998</v>
      </c>
      <c r="BV15" s="119">
        <f t="shared" si="42"/>
        <v>136774.07672666191</v>
      </c>
      <c r="BW15" s="119">
        <f t="shared" si="43"/>
        <v>0</v>
      </c>
      <c r="BX15" s="120">
        <f t="shared" si="44"/>
        <v>8.2711356898076949E-4</v>
      </c>
      <c r="BY15" s="121">
        <f t="shared" si="45"/>
        <v>1.5317237423072714E-3</v>
      </c>
      <c r="BZ15" s="299">
        <f t="shared" si="46"/>
        <v>138073.4933611321</v>
      </c>
      <c r="CA15" s="109">
        <f t="shared" si="26"/>
        <v>0</v>
      </c>
      <c r="CB15" s="123">
        <f t="shared" si="27"/>
        <v>0</v>
      </c>
      <c r="CC15" s="111">
        <f t="shared" si="56"/>
        <v>136774</v>
      </c>
      <c r="CE15" s="124">
        <f t="shared" si="28"/>
        <v>0</v>
      </c>
      <c r="CF15" s="17"/>
      <c r="CG15" s="108">
        <f t="shared" si="47"/>
        <v>456069</v>
      </c>
      <c r="CH15" s="125">
        <f t="shared" si="48"/>
        <v>0.2998976032135488</v>
      </c>
      <c r="CI15" s="110">
        <f t="shared" si="49"/>
        <v>136774.07672666191</v>
      </c>
      <c r="CJ15" s="300">
        <f t="shared" si="50"/>
        <v>0</v>
      </c>
      <c r="CL15" s="127">
        <f t="shared" si="51"/>
        <v>0</v>
      </c>
      <c r="CM15" s="128">
        <f t="shared" si="52"/>
        <v>0</v>
      </c>
      <c r="CN15" s="129">
        <f t="shared" si="53"/>
        <v>0</v>
      </c>
      <c r="CO15" s="130">
        <f>ROUND((CN15+CI15),0)</f>
        <v>136774</v>
      </c>
      <c r="CQ15" s="131">
        <f t="shared" si="54"/>
        <v>0.30274693820700838</v>
      </c>
      <c r="CR15" s="301"/>
    </row>
    <row r="16" spans="1:96">
      <c r="A16" s="133" t="s">
        <v>88</v>
      </c>
      <c r="B16" s="90" t="s">
        <v>89</v>
      </c>
      <c r="C16" s="91">
        <f>'Sizing - Reimb Exp-25'!B9</f>
        <v>10488989</v>
      </c>
      <c r="D16" s="92">
        <f>'Ridership-25'!$E8</f>
        <v>1147018</v>
      </c>
      <c r="E16" s="92">
        <f>'Revenue Hours-25'!$E8</f>
        <v>73719</v>
      </c>
      <c r="F16" s="92">
        <f>'Revenue Miles-25'!$E8</f>
        <v>782454</v>
      </c>
      <c r="G16" s="93">
        <f t="shared" si="0"/>
        <v>1.9784629132311826E-2</v>
      </c>
      <c r="H16" s="94">
        <f t="shared" si="1"/>
        <v>1.978462913231183E-2</v>
      </c>
      <c r="J16" s="95">
        <f>'Ridership-25'!B8/'Revenue Hours-25'!B8</f>
        <v>17.327594346172003</v>
      </c>
      <c r="K16" s="96">
        <f>'Ridership-25'!C8/'Revenue Hours-25'!C8</f>
        <v>8.228226225879153</v>
      </c>
      <c r="L16" s="96">
        <f>'Ridership-25'!D8/'Revenue Hours-25'!D8</f>
        <v>19.647103879082909</v>
      </c>
      <c r="M16" s="96">
        <f>'Ridership-25'!E8/'Revenue Hours-25'!E8</f>
        <v>15.559326632211507</v>
      </c>
      <c r="N16" s="97">
        <f t="shared" si="2"/>
        <v>1.146642827024652</v>
      </c>
      <c r="O16" s="98">
        <f t="shared" si="3"/>
        <v>2.2685903079908323E-2</v>
      </c>
      <c r="P16" s="99">
        <f t="shared" si="4"/>
        <v>2.1430279141708291E-2</v>
      </c>
      <c r="Q16" s="95">
        <f>'Ridership-25'!B8/'Revenue Miles-25'!B8</f>
        <v>1.9171644901717197</v>
      </c>
      <c r="R16" s="96">
        <f>'Ridership-25'!C8/'Revenue Miles-25'!C8</f>
        <v>0.84464065708418889</v>
      </c>
      <c r="S16" s="96">
        <f>'Ridership-25'!D8/'Revenue Miles-25'!D8</f>
        <v>1.4289408659654961</v>
      </c>
      <c r="T16" s="96">
        <f>'Ridership-25'!E8/'Revenue Miles-25'!E8</f>
        <v>1.465923875397148</v>
      </c>
      <c r="U16" s="97">
        <f t="shared" si="5"/>
        <v>1.0157118214755225</v>
      </c>
      <c r="V16" s="98">
        <f t="shared" si="6"/>
        <v>2.0095481693198136E-2</v>
      </c>
      <c r="W16" s="99">
        <f t="shared" si="7"/>
        <v>1.9053514442767441E-2</v>
      </c>
      <c r="X16" s="95">
        <f>'Op Cost-25'!B9/'Revenue Hours-25'!B8</f>
        <v>81.344653948330603</v>
      </c>
      <c r="Y16" s="96">
        <f>'Op Cost-25'!C9/'Revenue Hours-25'!C8</f>
        <v>121.31553469268006</v>
      </c>
      <c r="Z16" s="96">
        <f>'Op Cost-25'!D9/'Revenue Hours-25'!D8</f>
        <v>156.54829705026299</v>
      </c>
      <c r="AA16" s="96">
        <f>'Op Cost-25'!E9/'Revenue Hours-25'!E8</f>
        <v>142.28338691517791</v>
      </c>
      <c r="AB16" s="97">
        <f t="shared" si="8"/>
        <v>1.1618312176531347</v>
      </c>
      <c r="AC16" s="98">
        <f t="shared" si="9"/>
        <v>1.7028832442870838E-2</v>
      </c>
      <c r="AD16" s="99">
        <f t="shared" si="10"/>
        <v>1.8165662078000796E-2</v>
      </c>
      <c r="AE16" s="95">
        <f>'Op Cost-25'!B9/'Revenue Miles-25'!B8</f>
        <v>9.0001577194989437</v>
      </c>
      <c r="AF16" s="96">
        <f>'Op Cost-25'!C9/'Revenue Miles-25'!C8</f>
        <v>12.453234770704997</v>
      </c>
      <c r="AG16" s="96">
        <f>'Op Cost-25'!D9/'Revenue Miles-25'!D8</f>
        <v>11.385813427218888</v>
      </c>
      <c r="AH16" s="96">
        <f>'Op Cost-25'!E9/'Revenue Miles-25'!E8</f>
        <v>13.405246826011497</v>
      </c>
      <c r="AI16" s="97">
        <f t="shared" si="11"/>
        <v>1.1048323787932597</v>
      </c>
      <c r="AJ16" s="98">
        <f t="shared" si="12"/>
        <v>1.7907358176741127E-2</v>
      </c>
      <c r="AK16" s="99">
        <f t="shared" si="13"/>
        <v>1.905792521403947E-2</v>
      </c>
      <c r="AL16" s="95">
        <f>'Op Cost-25'!B9/'Ridership-25'!B8</f>
        <v>4.6945151371402689</v>
      </c>
      <c r="AM16" s="96">
        <f>'Op Cost-25'!C9/'Ridership-25'!C8</f>
        <v>14.743825869921071</v>
      </c>
      <c r="AN16" s="96">
        <f>'Op Cost-25'!D9/'Ridership-25'!D8</f>
        <v>7.9680088227624495</v>
      </c>
      <c r="AO16" s="96">
        <f>'Op Cost-25'!E9/'Ridership-25'!E8</f>
        <v>9.1445722734952728</v>
      </c>
      <c r="AP16" s="97">
        <f t="shared" si="14"/>
        <v>1.1634437228193528</v>
      </c>
      <c r="AQ16" s="98">
        <f t="shared" si="15"/>
        <v>1.7005230888493761E-2</v>
      </c>
      <c r="AR16" s="99">
        <f t="shared" si="16"/>
        <v>1.8463075782104502E-2</v>
      </c>
      <c r="AT16" s="101">
        <f t="shared" si="29"/>
        <v>0</v>
      </c>
      <c r="AU16" s="102">
        <f t="shared" si="17"/>
        <v>0</v>
      </c>
      <c r="AV16" s="102">
        <f t="shared" si="18"/>
        <v>0</v>
      </c>
      <c r="AW16" s="102">
        <f t="shared" si="19"/>
        <v>0</v>
      </c>
      <c r="AX16" s="103">
        <f t="shared" si="20"/>
        <v>0</v>
      </c>
      <c r="AY16" s="293">
        <f t="shared" si="30"/>
        <v>-1</v>
      </c>
      <c r="AZ16" s="105">
        <f t="shared" si="21"/>
        <v>0</v>
      </c>
      <c r="BA16" s="106">
        <f t="shared" si="21"/>
        <v>0</v>
      </c>
      <c r="BB16" s="106">
        <f t="shared" si="21"/>
        <v>0</v>
      </c>
      <c r="BC16" s="106">
        <f t="shared" si="21"/>
        <v>0</v>
      </c>
      <c r="BD16" s="106">
        <f t="shared" si="21"/>
        <v>0</v>
      </c>
      <c r="BE16" s="107">
        <f t="shared" si="31"/>
        <v>2418482.9663514472</v>
      </c>
      <c r="BG16" s="108">
        <f>'Op Cost-25'!E9</f>
        <v>10488989</v>
      </c>
      <c r="BH16" s="109">
        <f t="shared" si="22"/>
        <v>0.23057350583087152</v>
      </c>
      <c r="BI16" s="110">
        <f t="shared" si="23"/>
        <v>2418482.9663514472</v>
      </c>
      <c r="BJ16" s="111">
        <f t="shared" si="24"/>
        <v>0</v>
      </c>
      <c r="BK16" s="1">
        <f t="shared" si="32"/>
        <v>1.6020896223371766</v>
      </c>
      <c r="BL16" s="294">
        <f t="shared" si="33"/>
        <v>1.6106127262124401</v>
      </c>
      <c r="BM16" s="294">
        <f t="shared" si="34"/>
        <v>1.9983601930987263</v>
      </c>
      <c r="BN16" s="295">
        <f t="shared" si="35"/>
        <v>1.3996927850187699</v>
      </c>
      <c r="BO16" s="114">
        <f t="shared" si="25"/>
        <v>2418482.9663514472</v>
      </c>
      <c r="BP16" s="296">
        <f t="shared" si="36"/>
        <v>1.6020896223371766</v>
      </c>
      <c r="BQ16" s="116">
        <f t="shared" si="37"/>
        <v>3.1696749014666563E-2</v>
      </c>
      <c r="BR16" s="297">
        <f t="shared" si="38"/>
        <v>3.1696749014666563E-2</v>
      </c>
      <c r="BS16" s="302">
        <f t="shared" si="39"/>
        <v>3.3232128421847286E-2</v>
      </c>
      <c r="BT16" s="298">
        <f t="shared" si="40"/>
        <v>2704100.2993474593</v>
      </c>
      <c r="BU16" s="119">
        <f t="shared" si="41"/>
        <v>3146696.6999999997</v>
      </c>
      <c r="BV16" s="119">
        <f t="shared" si="42"/>
        <v>2704100.2993474593</v>
      </c>
      <c r="BW16" s="119">
        <f t="shared" si="43"/>
        <v>0</v>
      </c>
      <c r="BX16" s="120">
        <f t="shared" si="44"/>
        <v>3.1696749014666563E-2</v>
      </c>
      <c r="BY16" s="121">
        <f t="shared" si="45"/>
        <v>5.8698907671829281E-2</v>
      </c>
      <c r="BZ16" s="299">
        <f t="shared" si="46"/>
        <v>2753896.7051530592</v>
      </c>
      <c r="CA16" s="109">
        <f t="shared" si="26"/>
        <v>2.1966377495999563E-2</v>
      </c>
      <c r="CB16" s="123">
        <f t="shared" si="27"/>
        <v>188792.54666897608</v>
      </c>
      <c r="CC16" s="111">
        <f>ROUND((CB16+BI16),0)</f>
        <v>2607276</v>
      </c>
      <c r="CE16" s="124">
        <f t="shared" si="28"/>
        <v>0</v>
      </c>
      <c r="CF16" s="17"/>
      <c r="CG16" s="108">
        <f t="shared" si="47"/>
        <v>10488989</v>
      </c>
      <c r="CH16" s="125">
        <f t="shared" si="48"/>
        <v>0.24857266987314031</v>
      </c>
      <c r="CI16" s="110">
        <f t="shared" si="49"/>
        <v>2704100.2993474593</v>
      </c>
      <c r="CJ16" s="300">
        <f t="shared" si="50"/>
        <v>0</v>
      </c>
      <c r="CL16" s="127">
        <f t="shared" si="51"/>
        <v>2704100.2993474593</v>
      </c>
      <c r="CM16" s="128">
        <f t="shared" si="52"/>
        <v>3.1464220153933874E-2</v>
      </c>
      <c r="CN16" s="129">
        <f t="shared" si="53"/>
        <v>26692.23563582532</v>
      </c>
      <c r="CO16" s="130">
        <f>ROUND((CN16+CI16),0)</f>
        <v>2730793</v>
      </c>
      <c r="CQ16" s="131">
        <f t="shared" si="54"/>
        <v>0.26255120537861742</v>
      </c>
      <c r="CR16" s="301"/>
    </row>
    <row r="17" spans="1:96">
      <c r="A17" s="136"/>
      <c r="B17" s="137"/>
      <c r="C17" s="138"/>
      <c r="D17" s="139"/>
      <c r="E17" s="139"/>
      <c r="F17" s="139"/>
      <c r="G17" s="140"/>
      <c r="H17" s="141"/>
      <c r="J17" s="142"/>
      <c r="K17" s="143"/>
      <c r="L17" s="143"/>
      <c r="M17" s="143"/>
      <c r="N17" s="144"/>
      <c r="O17" s="145"/>
      <c r="P17" s="146"/>
      <c r="Q17" s="142"/>
      <c r="R17" s="143"/>
      <c r="S17" s="143"/>
      <c r="T17" s="143"/>
      <c r="U17" s="144"/>
      <c r="V17" s="145"/>
      <c r="W17" s="146"/>
      <c r="X17" s="142"/>
      <c r="Y17" s="143"/>
      <c r="Z17" s="143"/>
      <c r="AA17" s="143"/>
      <c r="AB17" s="144"/>
      <c r="AC17" s="145"/>
      <c r="AD17" s="146"/>
      <c r="AE17" s="142"/>
      <c r="AF17" s="143"/>
      <c r="AG17" s="143"/>
      <c r="AH17" s="143"/>
      <c r="AI17" s="144"/>
      <c r="AJ17" s="145"/>
      <c r="AK17" s="146"/>
      <c r="AL17" s="142"/>
      <c r="AM17" s="143"/>
      <c r="AN17" s="143"/>
      <c r="AO17" s="143"/>
      <c r="AP17" s="147"/>
      <c r="AQ17" s="145"/>
      <c r="AR17" s="146"/>
      <c r="AT17" s="148"/>
      <c r="AU17" s="149"/>
      <c r="AV17" s="149"/>
      <c r="AW17" s="149"/>
      <c r="AX17" s="150"/>
      <c r="AY17" s="293" t="e">
        <f t="shared" si="30"/>
        <v>#DIV/0!</v>
      </c>
      <c r="AZ17" s="151"/>
      <c r="BA17" s="152"/>
      <c r="BB17" s="152"/>
      <c r="BC17" s="152"/>
      <c r="BD17" s="152"/>
      <c r="BE17" s="107">
        <f t="shared" si="31"/>
        <v>0</v>
      </c>
      <c r="BG17" s="153"/>
      <c r="BH17" s="154"/>
      <c r="BI17" s="155"/>
      <c r="BJ17" s="156"/>
      <c r="BK17" s="1">
        <f t="shared" si="32"/>
        <v>0</v>
      </c>
      <c r="BL17" s="294">
        <f t="shared" si="33"/>
        <v>0</v>
      </c>
      <c r="BM17" s="294">
        <f t="shared" si="34"/>
        <v>0</v>
      </c>
      <c r="BN17" s="295">
        <v>0</v>
      </c>
      <c r="BO17" s="157"/>
      <c r="BP17" s="296">
        <f t="shared" si="36"/>
        <v>0</v>
      </c>
      <c r="BQ17" s="116">
        <f t="shared" si="37"/>
        <v>0</v>
      </c>
      <c r="BR17" s="297">
        <f t="shared" si="38"/>
        <v>0</v>
      </c>
      <c r="BS17" s="117">
        <f t="shared" si="39"/>
        <v>0</v>
      </c>
      <c r="BT17" s="298">
        <f t="shared" si="40"/>
        <v>0</v>
      </c>
      <c r="BU17" s="119">
        <f t="shared" si="41"/>
        <v>0</v>
      </c>
      <c r="BV17" s="119">
        <f t="shared" si="42"/>
        <v>0</v>
      </c>
      <c r="BW17" s="119">
        <f t="shared" si="43"/>
        <v>0</v>
      </c>
      <c r="BX17" s="120">
        <f t="shared" si="44"/>
        <v>0</v>
      </c>
      <c r="BY17" s="121">
        <f t="shared" si="45"/>
        <v>0</v>
      </c>
      <c r="BZ17" s="299">
        <f t="shared" si="46"/>
        <v>0</v>
      </c>
      <c r="CA17" s="154"/>
      <c r="CB17" s="158"/>
      <c r="CC17" s="156"/>
      <c r="CE17" s="159"/>
      <c r="CF17" s="17"/>
      <c r="CG17" s="153"/>
      <c r="CH17" s="160"/>
      <c r="CI17" s="110">
        <f t="shared" si="49"/>
        <v>0</v>
      </c>
      <c r="CJ17" s="300">
        <f t="shared" si="50"/>
        <v>0</v>
      </c>
      <c r="CL17" s="127"/>
      <c r="CM17" s="128">
        <f t="shared" si="52"/>
        <v>0</v>
      </c>
      <c r="CN17" s="129">
        <f t="shared" si="53"/>
        <v>0</v>
      </c>
      <c r="CO17" s="162"/>
      <c r="CQ17" s="131" t="e">
        <f t="shared" si="54"/>
        <v>#DIV/0!</v>
      </c>
      <c r="CR17" s="301"/>
    </row>
    <row r="18" spans="1:96">
      <c r="A18" s="133" t="s">
        <v>90</v>
      </c>
      <c r="B18" s="90" t="s">
        <v>91</v>
      </c>
      <c r="C18" s="91">
        <f>'Sizing - Reimb Exp-25'!B11</f>
        <v>4150901</v>
      </c>
      <c r="D18" s="92">
        <f>'Ridership-25'!$E10</f>
        <v>288349</v>
      </c>
      <c r="E18" s="92">
        <f>'Revenue Hours-25'!$E10</f>
        <v>37181</v>
      </c>
      <c r="F18" s="92">
        <f>'Revenue Miles-25'!$E10</f>
        <v>548622</v>
      </c>
      <c r="G18" s="134">
        <f t="shared" si="0"/>
        <v>7.4393007947873352E-3</v>
      </c>
      <c r="H18" s="94">
        <f t="shared" si="1"/>
        <v>7.439300794787336E-3</v>
      </c>
      <c r="J18" s="95">
        <f>'Ridership-25'!B10/'Revenue Hours-25'!B10</f>
        <v>5.5934530095036958</v>
      </c>
      <c r="K18" s="96">
        <f>'Ridership-25'!C10/'Revenue Hours-25'!C10</f>
        <v>3.4815432129025932</v>
      </c>
      <c r="L18" s="96">
        <f>'Ridership-25'!D10/'Revenue Hours-25'!D10</f>
        <v>4.4669216251117509</v>
      </c>
      <c r="M18" s="96">
        <f>'Ridership-25'!E10/'Revenue Hours-25'!E10</f>
        <v>7.7552782335063606</v>
      </c>
      <c r="N18" s="97">
        <f t="shared" si="2"/>
        <v>1.2198287632498523</v>
      </c>
      <c r="O18" s="98">
        <f t="shared" si="3"/>
        <v>9.0746730879490804E-3</v>
      </c>
      <c r="P18" s="99">
        <f t="shared" si="4"/>
        <v>8.5724062520010826E-3</v>
      </c>
      <c r="Q18" s="95">
        <f>'Ridership-25'!B10/'Revenue Miles-25'!B10</f>
        <v>0.3427235145820865</v>
      </c>
      <c r="R18" s="96">
        <f>'Ridership-25'!C10/'Revenue Miles-25'!C10</f>
        <v>0.23255357049300571</v>
      </c>
      <c r="S18" s="96">
        <f>'Ridership-25'!D10/'Revenue Miles-25'!D10</f>
        <v>0.30066694525699961</v>
      </c>
      <c r="T18" s="96">
        <f>'Ridership-25'!E10/'Revenue Miles-25'!E10</f>
        <v>0.52558774529639718</v>
      </c>
      <c r="U18" s="97">
        <f t="shared" si="5"/>
        <v>1.2632311762484385</v>
      </c>
      <c r="V18" s="98">
        <f t="shared" si="6"/>
        <v>9.3975566934651495E-3</v>
      </c>
      <c r="W18" s="99">
        <f t="shared" si="7"/>
        <v>8.9102856512402306E-3</v>
      </c>
      <c r="X18" s="95">
        <f>'Op Cost-25'!B11/'Revenue Hours-25'!B10</f>
        <v>71.54291748378337</v>
      </c>
      <c r="Y18" s="96">
        <f>'Op Cost-25'!C11/'Revenue Hours-25'!C10</f>
        <v>97.854576204715912</v>
      </c>
      <c r="Z18" s="96">
        <f>'Op Cost-25'!D11/'Revenue Hours-25'!D10</f>
        <v>112.67122777391477</v>
      </c>
      <c r="AA18" s="96">
        <f>'Op Cost-25'!E11/'Revenue Hours-25'!E10</f>
        <v>122.86288695839272</v>
      </c>
      <c r="AB18" s="97">
        <f t="shared" si="8"/>
        <v>1.1468704387138906</v>
      </c>
      <c r="AC18" s="98">
        <f t="shared" si="9"/>
        <v>6.4866095974448739E-3</v>
      </c>
      <c r="AD18" s="99">
        <f t="shared" si="10"/>
        <v>6.9196498570535678E-3</v>
      </c>
      <c r="AE18" s="95">
        <f>'Op Cost-25'!B11/'Revenue Miles-25'!B10</f>
        <v>4.38359633697433</v>
      </c>
      <c r="AF18" s="96">
        <f>'Op Cost-25'!C11/'Revenue Miles-25'!C10</f>
        <v>6.5363057971394145</v>
      </c>
      <c r="AG18" s="96">
        <f>'Op Cost-25'!D11/'Revenue Miles-25'!D10</f>
        <v>7.5838612620142083</v>
      </c>
      <c r="AH18" s="96">
        <f>'Op Cost-25'!E11/'Revenue Miles-25'!E10</f>
        <v>8.3266165046243135</v>
      </c>
      <c r="AI18" s="97">
        <f t="shared" si="11"/>
        <v>1.1891379558716986</v>
      </c>
      <c r="AJ18" s="98">
        <f t="shared" si="12"/>
        <v>6.2560451948015993E-3</v>
      </c>
      <c r="AK18" s="99">
        <f t="shared" si="13"/>
        <v>6.6580028322121522E-3</v>
      </c>
      <c r="AL18" s="95">
        <f>'Op Cost-25'!B11/'Ridership-25'!B10</f>
        <v>12.790474392513282</v>
      </c>
      <c r="AM18" s="96">
        <f>'Op Cost-25'!C11/'Ridership-25'!C10</f>
        <v>28.106667136018022</v>
      </c>
      <c r="AN18" s="96">
        <f>'Op Cost-25'!D11/'Ridership-25'!D10</f>
        <v>25.223461978940815</v>
      </c>
      <c r="AO18" s="96">
        <f>'Op Cost-25'!E11/'Ridership-25'!E10</f>
        <v>15.842486015210735</v>
      </c>
      <c r="AP18" s="100">
        <f t="shared" si="14"/>
        <v>0.96170318816631051</v>
      </c>
      <c r="AQ18" s="98">
        <f t="shared" si="15"/>
        <v>7.7355476058802814E-3</v>
      </c>
      <c r="AR18" s="99">
        <f t="shared" si="16"/>
        <v>8.3987099381333443E-3</v>
      </c>
      <c r="AT18" s="101">
        <f t="shared" si="29"/>
        <v>0</v>
      </c>
      <c r="AU18" s="102">
        <f t="shared" si="17"/>
        <v>0</v>
      </c>
      <c r="AV18" s="102">
        <f t="shared" si="18"/>
        <v>0</v>
      </c>
      <c r="AW18" s="102">
        <f t="shared" si="19"/>
        <v>0</v>
      </c>
      <c r="AX18" s="103">
        <f t="shared" si="20"/>
        <v>0</v>
      </c>
      <c r="AY18" s="293">
        <f t="shared" si="30"/>
        <v>-1</v>
      </c>
      <c r="AZ18" s="105">
        <f t="shared" si="21"/>
        <v>0</v>
      </c>
      <c r="BA18" s="106">
        <f t="shared" si="21"/>
        <v>0</v>
      </c>
      <c r="BB18" s="106">
        <f t="shared" si="21"/>
        <v>0</v>
      </c>
      <c r="BC18" s="106">
        <f t="shared" si="21"/>
        <v>0</v>
      </c>
      <c r="BD18" s="106">
        <f t="shared" si="21"/>
        <v>0</v>
      </c>
      <c r="BE18" s="107">
        <f t="shared" si="31"/>
        <v>909383.85215288657</v>
      </c>
      <c r="BG18" s="108">
        <f>'Op Cost-25'!E11</f>
        <v>4568165</v>
      </c>
      <c r="BH18" s="109">
        <f t="shared" si="22"/>
        <v>0.19906983485773533</v>
      </c>
      <c r="BI18" s="110">
        <f t="shared" si="23"/>
        <v>909383.85215288657</v>
      </c>
      <c r="BJ18" s="111">
        <f t="shared" si="24"/>
        <v>0</v>
      </c>
      <c r="BK18" s="1">
        <f t="shared" si="32"/>
        <v>0.59858984391509074</v>
      </c>
      <c r="BL18" s="294">
        <f t="shared" si="33"/>
        <v>0.57478261519705454</v>
      </c>
      <c r="BM18" s="294">
        <f t="shared" si="34"/>
        <v>0.55512051762645409</v>
      </c>
      <c r="BN18" s="295">
        <f t="shared" si="35"/>
        <v>0.6322281214184271</v>
      </c>
      <c r="BO18" s="114">
        <f t="shared" si="25"/>
        <v>909383.85215288657</v>
      </c>
      <c r="BP18" s="296">
        <f t="shared" si="36"/>
        <v>0.59858984391509074</v>
      </c>
      <c r="BQ18" s="116">
        <f t="shared" si="37"/>
        <v>4.4530899015891622E-3</v>
      </c>
      <c r="BR18" s="297">
        <f t="shared" si="38"/>
        <v>4.4530899015891622E-3</v>
      </c>
      <c r="BS18" s="117">
        <f t="shared" si="39"/>
        <v>4.6687960148584055E-3</v>
      </c>
      <c r="BT18" s="298">
        <f t="shared" si="40"/>
        <v>949510.35410723055</v>
      </c>
      <c r="BU18" s="119">
        <f t="shared" si="41"/>
        <v>1370449.5</v>
      </c>
      <c r="BV18" s="119">
        <f t="shared" si="42"/>
        <v>949510.35410723055</v>
      </c>
      <c r="BW18" s="119">
        <f t="shared" si="43"/>
        <v>0</v>
      </c>
      <c r="BX18" s="120">
        <f t="shared" si="44"/>
        <v>4.4530899015891622E-3</v>
      </c>
      <c r="BY18" s="121">
        <f t="shared" si="45"/>
        <v>8.2466347847467824E-3</v>
      </c>
      <c r="BZ18" s="299">
        <f t="shared" si="46"/>
        <v>956506.27257589577</v>
      </c>
      <c r="CA18" s="109">
        <f t="shared" si="26"/>
        <v>8.2596690830915379E-3</v>
      </c>
      <c r="CB18" s="123">
        <f t="shared" ref="CB18:CB50" si="57">CA18*$BO$6</f>
        <v>70988.671715390665</v>
      </c>
      <c r="CC18" s="111">
        <f t="shared" si="56"/>
        <v>980373</v>
      </c>
      <c r="CE18" s="124">
        <f t="shared" si="28"/>
        <v>0</v>
      </c>
      <c r="CF18" s="17"/>
      <c r="CG18" s="108">
        <f t="shared" si="47"/>
        <v>4568165</v>
      </c>
      <c r="CH18" s="125">
        <f t="shared" si="48"/>
        <v>0.21460980503112301</v>
      </c>
      <c r="CI18" s="110">
        <f t="shared" si="49"/>
        <v>949510.35410723055</v>
      </c>
      <c r="CJ18" s="300">
        <f t="shared" si="50"/>
        <v>0</v>
      </c>
      <c r="CL18" s="127">
        <f t="shared" si="51"/>
        <v>949510.35410723055</v>
      </c>
      <c r="CM18" s="128">
        <f t="shared" si="52"/>
        <v>1.1048259869383932E-2</v>
      </c>
      <c r="CN18" s="129">
        <f t="shared" si="53"/>
        <v>9372.6383287639765</v>
      </c>
      <c r="CO18" s="130">
        <f t="shared" si="55"/>
        <v>958883</v>
      </c>
      <c r="CQ18" s="131">
        <f t="shared" si="54"/>
        <v>0.20938522854929623</v>
      </c>
      <c r="CR18" s="301"/>
    </row>
    <row r="19" spans="1:96">
      <c r="A19" s="133" t="s">
        <v>92</v>
      </c>
      <c r="B19" s="90" t="s">
        <v>93</v>
      </c>
      <c r="C19" s="91">
        <f>'Sizing - Reimb Exp-25'!B12</f>
        <v>1970225</v>
      </c>
      <c r="D19" s="92">
        <f>'Ridership-25'!$E11</f>
        <v>75077</v>
      </c>
      <c r="E19" s="92">
        <f>'Revenue Hours-25'!$E11</f>
        <v>22410</v>
      </c>
      <c r="F19" s="92">
        <f>'Revenue Miles-25'!$E11</f>
        <v>442128</v>
      </c>
      <c r="G19" s="134">
        <f t="shared" si="0"/>
        <v>3.6638163806052642E-3</v>
      </c>
      <c r="H19" s="94">
        <f t="shared" si="1"/>
        <v>3.6638163806052646E-3</v>
      </c>
      <c r="J19" s="95">
        <f>'Ridership-25'!B11/'Revenue Hours-25'!B11</f>
        <v>6.7021276595744679</v>
      </c>
      <c r="K19" s="96">
        <f>'Ridership-25'!C11/'Revenue Hours-25'!C11</f>
        <v>5.361326293975428</v>
      </c>
      <c r="L19" s="96">
        <f>'Ridership-25'!D11/'Revenue Hours-25'!D11</f>
        <v>3.4816356739753909</v>
      </c>
      <c r="M19" s="96">
        <f>'Ridership-25'!E11/'Revenue Hours-25'!E11</f>
        <v>3.3501561802766622</v>
      </c>
      <c r="N19" s="97">
        <f t="shared" si="2"/>
        <v>0.9553120857071894</v>
      </c>
      <c r="O19" s="98">
        <f t="shared" si="3"/>
        <v>3.5000880682041812E-3</v>
      </c>
      <c r="P19" s="99">
        <f t="shared" si="4"/>
        <v>3.3063644880246593E-3</v>
      </c>
      <c r="Q19" s="95">
        <f>'Ridership-25'!B11/'Revenue Miles-25'!B11</f>
        <v>0.35838935027674113</v>
      </c>
      <c r="R19" s="96">
        <f>'Ridership-25'!C11/'Revenue Miles-25'!C11</f>
        <v>0.29459705668644059</v>
      </c>
      <c r="S19" s="96">
        <f>'Ridership-25'!D11/'Revenue Miles-25'!D11</f>
        <v>0.18135424146189841</v>
      </c>
      <c r="T19" s="96">
        <f>'Ridership-25'!E11/'Revenue Miles-25'!E11</f>
        <v>0.16980829081171064</v>
      </c>
      <c r="U19" s="97">
        <f t="shared" si="5"/>
        <v>0.94938316718089533</v>
      </c>
      <c r="V19" s="98">
        <f t="shared" si="6"/>
        <v>3.4783655993882705E-3</v>
      </c>
      <c r="W19" s="99">
        <f t="shared" si="7"/>
        <v>3.2980094827785322E-3</v>
      </c>
      <c r="X19" s="95">
        <f>'Op Cost-25'!B12/'Revenue Hours-25'!B11</f>
        <v>66.919313392948922</v>
      </c>
      <c r="Y19" s="96">
        <f>'Op Cost-25'!C12/'Revenue Hours-25'!C11</f>
        <v>71.305225243005879</v>
      </c>
      <c r="Z19" s="96">
        <f>'Op Cost-25'!D12/'Revenue Hours-25'!D11</f>
        <v>79.874363955962622</v>
      </c>
      <c r="AA19" s="96">
        <f>'Op Cost-25'!E12/'Revenue Hours-25'!E11</f>
        <v>87.91722445336903</v>
      </c>
      <c r="AB19" s="97">
        <f t="shared" si="8"/>
        <v>1.0576341091476011</v>
      </c>
      <c r="AC19" s="98">
        <f t="shared" si="9"/>
        <v>3.4641624631018306E-3</v>
      </c>
      <c r="AD19" s="99">
        <f t="shared" si="10"/>
        <v>3.6954268531985027E-3</v>
      </c>
      <c r="AE19" s="95">
        <f>'Op Cost-25'!B12/'Revenue Miles-25'!B11</f>
        <v>3.578441125871858</v>
      </c>
      <c r="AF19" s="96">
        <f>'Op Cost-25'!C12/'Revenue Miles-25'!C11</f>
        <v>3.9181180795800845</v>
      </c>
      <c r="AG19" s="96">
        <f>'Op Cost-25'!D12/'Revenue Miles-25'!D11</f>
        <v>4.1605601630756928</v>
      </c>
      <c r="AH19" s="96">
        <f>'Op Cost-25'!E12/'Revenue Miles-25'!E11</f>
        <v>4.456232131871313</v>
      </c>
      <c r="AI19" s="97">
        <f t="shared" si="11"/>
        <v>1.0394400432187054</v>
      </c>
      <c r="AJ19" s="98">
        <f t="shared" si="12"/>
        <v>3.5247981877434484E-3</v>
      </c>
      <c r="AK19" s="99">
        <f t="shared" si="13"/>
        <v>3.7512702651944945E-3</v>
      </c>
      <c r="AL19" s="95">
        <f>'Op Cost-25'!B12/'Ridership-25'!B11</f>
        <v>9.9847864427574571</v>
      </c>
      <c r="AM19" s="96">
        <f>'Op Cost-25'!C12/'Ridership-25'!C11</f>
        <v>13.299922693220932</v>
      </c>
      <c r="AN19" s="96">
        <f>'Op Cost-25'!D12/'Ridership-25'!D11</f>
        <v>22.941620386363031</v>
      </c>
      <c r="AO19" s="96">
        <f>'Op Cost-25'!E12/'Ridership-25'!E11</f>
        <v>26.242724136553139</v>
      </c>
      <c r="AP19" s="100">
        <f t="shared" si="14"/>
        <v>1.4157977453231483</v>
      </c>
      <c r="AQ19" s="98">
        <f t="shared" si="15"/>
        <v>2.5878105772579956E-3</v>
      </c>
      <c r="AR19" s="99">
        <f t="shared" si="16"/>
        <v>2.8096615159735705E-3</v>
      </c>
      <c r="AT19" s="101">
        <f t="shared" si="29"/>
        <v>0</v>
      </c>
      <c r="AU19" s="102">
        <f t="shared" si="17"/>
        <v>0</v>
      </c>
      <c r="AV19" s="102">
        <f t="shared" si="18"/>
        <v>0</v>
      </c>
      <c r="AW19" s="102">
        <f t="shared" si="19"/>
        <v>0</v>
      </c>
      <c r="AX19" s="103">
        <f t="shared" si="20"/>
        <v>0</v>
      </c>
      <c r="AY19" s="293">
        <f t="shared" si="30"/>
        <v>-1</v>
      </c>
      <c r="AZ19" s="105">
        <f t="shared" si="21"/>
        <v>0</v>
      </c>
      <c r="BA19" s="106">
        <f t="shared" si="21"/>
        <v>0</v>
      </c>
      <c r="BB19" s="106">
        <f t="shared" si="21"/>
        <v>0</v>
      </c>
      <c r="BC19" s="106">
        <f t="shared" si="21"/>
        <v>0</v>
      </c>
      <c r="BD19" s="106">
        <f t="shared" si="21"/>
        <v>0</v>
      </c>
      <c r="BE19" s="107">
        <f t="shared" si="31"/>
        <v>447866.74792209518</v>
      </c>
      <c r="BG19" s="108">
        <f>'Op Cost-25'!E12</f>
        <v>1970225</v>
      </c>
      <c r="BH19" s="109">
        <f t="shared" si="22"/>
        <v>0.227317564198046</v>
      </c>
      <c r="BI19" s="110">
        <f t="shared" si="23"/>
        <v>447866.74792209518</v>
      </c>
      <c r="BJ19" s="111">
        <f t="shared" si="24"/>
        <v>0</v>
      </c>
      <c r="BK19" s="1">
        <f t="shared" si="32"/>
        <v>0.61531957501235046</v>
      </c>
      <c r="BL19" s="294">
        <f t="shared" si="33"/>
        <v>0.49110300070115631</v>
      </c>
      <c r="BM19" s="294">
        <f t="shared" si="34"/>
        <v>0.37307522260053227</v>
      </c>
      <c r="BN19" s="295">
        <f t="shared" si="35"/>
        <v>0.79855003837385663</v>
      </c>
      <c r="BO19" s="114">
        <f t="shared" si="25"/>
        <v>447866.74792209518</v>
      </c>
      <c r="BP19" s="296">
        <f t="shared" si="36"/>
        <v>0.61531957501235046</v>
      </c>
      <c r="BQ19" s="116">
        <f t="shared" si="37"/>
        <v>2.2544179382373193E-3</v>
      </c>
      <c r="BR19" s="297">
        <f t="shared" si="38"/>
        <v>2.2544179382373193E-3</v>
      </c>
      <c r="BS19" s="117">
        <f t="shared" si="39"/>
        <v>2.3636211526094548E-3</v>
      </c>
      <c r="BT19" s="298">
        <f t="shared" si="40"/>
        <v>468181.16056674113</v>
      </c>
      <c r="BU19" s="119">
        <f t="shared" si="41"/>
        <v>591067.5</v>
      </c>
      <c r="BV19" s="119">
        <f t="shared" si="42"/>
        <v>468181.16056674113</v>
      </c>
      <c r="BW19" s="119">
        <f t="shared" si="43"/>
        <v>0</v>
      </c>
      <c r="BX19" s="120">
        <f t="shared" si="44"/>
        <v>2.2544179382373193E-3</v>
      </c>
      <c r="BY19" s="121">
        <f t="shared" si="45"/>
        <v>4.1749351124014704E-3</v>
      </c>
      <c r="BZ19" s="299">
        <f t="shared" si="46"/>
        <v>471722.90897936048</v>
      </c>
      <c r="CA19" s="109">
        <f t="shared" si="26"/>
        <v>4.0678434331105342E-3</v>
      </c>
      <c r="CB19" s="123">
        <f t="shared" si="57"/>
        <v>34961.546177901655</v>
      </c>
      <c r="CC19" s="111">
        <f t="shared" si="56"/>
        <v>482828</v>
      </c>
      <c r="CE19" s="124">
        <f t="shared" si="28"/>
        <v>0</v>
      </c>
      <c r="CF19" s="17"/>
      <c r="CG19" s="108">
        <f t="shared" si="47"/>
        <v>1970225</v>
      </c>
      <c r="CH19" s="125">
        <f t="shared" si="48"/>
        <v>0.24506236597342942</v>
      </c>
      <c r="CI19" s="110">
        <f t="shared" si="49"/>
        <v>468181.16056674113</v>
      </c>
      <c r="CJ19" s="300">
        <f t="shared" si="50"/>
        <v>0</v>
      </c>
      <c r="CL19" s="127">
        <f t="shared" si="51"/>
        <v>468181.16056674113</v>
      </c>
      <c r="CM19" s="128">
        <f t="shared" si="52"/>
        <v>5.4476363585888483E-3</v>
      </c>
      <c r="CN19" s="129">
        <f t="shared" si="53"/>
        <v>4621.4268979287835</v>
      </c>
      <c r="CO19" s="130">
        <f t="shared" si="55"/>
        <v>472803</v>
      </c>
      <c r="CQ19" s="131">
        <f t="shared" si="54"/>
        <v>0.23942590769042138</v>
      </c>
      <c r="CR19" s="301"/>
    </row>
    <row r="20" spans="1:96">
      <c r="A20" s="133" t="s">
        <v>92</v>
      </c>
      <c r="B20" s="90" t="s">
        <v>94</v>
      </c>
      <c r="C20" s="91">
        <f>'Sizing - Reimb Exp-25'!B13</f>
        <v>192534</v>
      </c>
      <c r="D20" s="92">
        <f>'Ridership-25'!$E12</f>
        <v>10861</v>
      </c>
      <c r="E20" s="92">
        <f>'Revenue Hours-25'!$E12</f>
        <v>3108</v>
      </c>
      <c r="F20" s="92">
        <f>'Revenue Miles-25'!$E12</f>
        <v>54991</v>
      </c>
      <c r="G20" s="134">
        <f t="shared" si="0"/>
        <v>4.4270615944580407E-4</v>
      </c>
      <c r="H20" s="94">
        <f t="shared" si="1"/>
        <v>4.4270615944580412E-4</v>
      </c>
      <c r="J20" s="95">
        <f>'Ridership-25'!B12/'Revenue Hours-25'!B12</f>
        <v>2.5672572178477688</v>
      </c>
      <c r="K20" s="96">
        <f>'Ridership-25'!C12/'Revenue Hours-25'!C12</f>
        <v>1.3415032679738561</v>
      </c>
      <c r="L20" s="96">
        <f>'Ridership-25'!D12/'Revenue Hours-25'!D12</f>
        <v>1.759546925566343</v>
      </c>
      <c r="M20" s="96">
        <f>'Ridership-25'!E12/'Revenue Hours-25'!E12</f>
        <v>3.4945302445302446</v>
      </c>
      <c r="N20" s="97">
        <f t="shared" si="2"/>
        <v>1.2320810455604696</v>
      </c>
      <c r="O20" s="98">
        <f t="shared" si="3"/>
        <v>5.4544986780604636E-4</v>
      </c>
      <c r="P20" s="99">
        <f t="shared" si="4"/>
        <v>5.1526019853465304E-4</v>
      </c>
      <c r="Q20" s="95">
        <f>'Ridership-25'!B12/'Revenue Miles-25'!B12</f>
        <v>0.14723314580314975</v>
      </c>
      <c r="R20" s="96">
        <f>'Ridership-25'!C12/'Revenue Miles-25'!C12</f>
        <v>8.4451119157340354E-2</v>
      </c>
      <c r="S20" s="96">
        <f>'Ridership-25'!D12/'Revenue Miles-25'!D12</f>
        <v>0.10382691059084138</v>
      </c>
      <c r="T20" s="96">
        <f>'Ridership-25'!E12/'Revenue Miles-25'!E12</f>
        <v>0.19750504628030041</v>
      </c>
      <c r="U20" s="97">
        <f t="shared" si="5"/>
        <v>1.2222489720634329</v>
      </c>
      <c r="V20" s="98">
        <f t="shared" si="6"/>
        <v>5.4109714830878435E-4</v>
      </c>
      <c r="W20" s="99">
        <f t="shared" si="7"/>
        <v>5.1304081622145607E-4</v>
      </c>
      <c r="X20" s="95">
        <f>'Op Cost-25'!B13/'Revenue Hours-25'!B12</f>
        <v>44.952755905511808</v>
      </c>
      <c r="Y20" s="96">
        <f>'Op Cost-25'!C13/'Revenue Hours-25'!C12</f>
        <v>49.306209150326801</v>
      </c>
      <c r="Z20" s="96">
        <f>'Op Cost-25'!D13/'Revenue Hours-25'!D12</f>
        <v>54.219417475728157</v>
      </c>
      <c r="AA20" s="96">
        <f>'Op Cost-25'!E13/'Revenue Hours-25'!E12</f>
        <v>62.816602316602314</v>
      </c>
      <c r="AB20" s="97">
        <f t="shared" si="8"/>
        <v>1.0800743947036444</v>
      </c>
      <c r="AC20" s="98">
        <f t="shared" si="9"/>
        <v>4.0988487609436921E-4</v>
      </c>
      <c r="AD20" s="99">
        <f t="shared" si="10"/>
        <v>4.3724842410618425E-4</v>
      </c>
      <c r="AE20" s="95">
        <f>'Op Cost-25'!B13/'Revenue Miles-25'!B12</f>
        <v>2.5780570869475228</v>
      </c>
      <c r="AF20" s="96">
        <f>'Op Cost-25'!C13/'Revenue Miles-25'!C12</f>
        <v>3.103954081632653</v>
      </c>
      <c r="AG20" s="96">
        <f>'Op Cost-25'!D13/'Revenue Miles-25'!D12</f>
        <v>3.1993660008402398</v>
      </c>
      <c r="AH20" s="96">
        <f>'Op Cost-25'!E13/'Revenue Miles-25'!E12</f>
        <v>3.5502900474623118</v>
      </c>
      <c r="AI20" s="97">
        <f t="shared" si="11"/>
        <v>1.0719789765841485</v>
      </c>
      <c r="AJ20" s="98">
        <f t="shared" si="12"/>
        <v>4.1298026278134987E-4</v>
      </c>
      <c r="AK20" s="99">
        <f t="shared" si="13"/>
        <v>4.395146891730769E-4</v>
      </c>
      <c r="AL20" s="95">
        <f>'Op Cost-25'!B13/'Ridership-25'!B12</f>
        <v>17.510031948881789</v>
      </c>
      <c r="AM20" s="96">
        <f>'Op Cost-25'!C13/'Ridership-25'!C12</f>
        <v>36.754445797807549</v>
      </c>
      <c r="AN20" s="96">
        <f>'Op Cost-25'!D13/'Ridership-25'!D12</f>
        <v>30.814419716755562</v>
      </c>
      <c r="AO20" s="96">
        <f>'Op Cost-25'!E13/'Ridership-25'!E12</f>
        <v>17.97569284596262</v>
      </c>
      <c r="AP20" s="100">
        <f t="shared" si="14"/>
        <v>0.90344938129174057</v>
      </c>
      <c r="AQ20" s="98">
        <f t="shared" si="15"/>
        <v>4.9001766851932359E-4</v>
      </c>
      <c r="AR20" s="99">
        <f t="shared" si="16"/>
        <v>5.3202649277547061E-4</v>
      </c>
      <c r="AT20" s="101">
        <f t="shared" si="29"/>
        <v>0</v>
      </c>
      <c r="AU20" s="102">
        <f t="shared" si="17"/>
        <v>0</v>
      </c>
      <c r="AV20" s="102">
        <f t="shared" si="18"/>
        <v>0</v>
      </c>
      <c r="AW20" s="102">
        <f t="shared" si="19"/>
        <v>0</v>
      </c>
      <c r="AX20" s="103">
        <f t="shared" si="20"/>
        <v>0</v>
      </c>
      <c r="AY20" s="293">
        <f t="shared" si="30"/>
        <v>-1</v>
      </c>
      <c r="AZ20" s="105">
        <f t="shared" si="21"/>
        <v>0</v>
      </c>
      <c r="BA20" s="106">
        <f t="shared" si="21"/>
        <v>0</v>
      </c>
      <c r="BB20" s="106">
        <f t="shared" si="21"/>
        <v>0</v>
      </c>
      <c r="BC20" s="106">
        <f t="shared" si="21"/>
        <v>0</v>
      </c>
      <c r="BD20" s="106">
        <f t="shared" si="21"/>
        <v>0</v>
      </c>
      <c r="BE20" s="107">
        <f t="shared" si="31"/>
        <v>54116.622482952582</v>
      </c>
      <c r="BG20" s="108">
        <f>'Op Cost-25'!E13</f>
        <v>195234</v>
      </c>
      <c r="BH20" s="109">
        <f t="shared" si="22"/>
        <v>0.27718851472055372</v>
      </c>
      <c r="BI20" s="110">
        <f t="shared" si="23"/>
        <v>54116.622482952582</v>
      </c>
      <c r="BJ20" s="111">
        <f t="shared" si="24"/>
        <v>0</v>
      </c>
      <c r="BK20" s="1">
        <f t="shared" si="32"/>
        <v>0.37030866204173679</v>
      </c>
      <c r="BL20" s="294">
        <f t="shared" si="33"/>
        <v>0.23866693631272037</v>
      </c>
      <c r="BM20" s="294">
        <f t="shared" si="34"/>
        <v>0.20169103757110482</v>
      </c>
      <c r="BN20" s="295">
        <f t="shared" si="35"/>
        <v>0.52043833714156096</v>
      </c>
      <c r="BO20" s="114">
        <f t="shared" si="25"/>
        <v>54116.622482952582</v>
      </c>
      <c r="BP20" s="296">
        <f t="shared" si="36"/>
        <v>0.37030866204173679</v>
      </c>
      <c r="BQ20" s="116">
        <f t="shared" si="37"/>
        <v>1.6393792558201152E-4</v>
      </c>
      <c r="BR20" s="297">
        <f t="shared" si="38"/>
        <v>1.6393792558201152E-4</v>
      </c>
      <c r="BS20" s="117">
        <f t="shared" si="39"/>
        <v>1.7187902120913964E-4</v>
      </c>
      <c r="BT20" s="298">
        <f t="shared" si="40"/>
        <v>55593.856411894849</v>
      </c>
      <c r="BU20" s="119">
        <f t="shared" si="41"/>
        <v>58570.2</v>
      </c>
      <c r="BV20" s="119">
        <f t="shared" si="42"/>
        <v>55593.856411894849</v>
      </c>
      <c r="BW20" s="119">
        <f t="shared" si="43"/>
        <v>0</v>
      </c>
      <c r="BX20" s="120">
        <f t="shared" si="44"/>
        <v>1.6393792558201152E-4</v>
      </c>
      <c r="BY20" s="121">
        <f t="shared" si="45"/>
        <v>3.0359508330639893E-4</v>
      </c>
      <c r="BZ20" s="299">
        <f t="shared" si="46"/>
        <v>55851.40709841581</v>
      </c>
      <c r="CA20" s="109">
        <f t="shared" si="26"/>
        <v>4.9152554506612487E-4</v>
      </c>
      <c r="CB20" s="123">
        <f t="shared" si="57"/>
        <v>4224.4725796408638</v>
      </c>
      <c r="CC20" s="111">
        <f t="shared" si="56"/>
        <v>58341</v>
      </c>
      <c r="CE20" s="124">
        <f t="shared" si="28"/>
        <v>0</v>
      </c>
      <c r="CF20" s="17"/>
      <c r="CG20" s="108">
        <f t="shared" si="47"/>
        <v>195234</v>
      </c>
      <c r="CH20" s="125">
        <f t="shared" si="48"/>
        <v>0.29882602415562864</v>
      </c>
      <c r="CI20" s="110">
        <f t="shared" si="49"/>
        <v>55593.856411894849</v>
      </c>
      <c r="CJ20" s="300">
        <f t="shared" si="50"/>
        <v>0</v>
      </c>
      <c r="CL20" s="127">
        <f t="shared" si="51"/>
        <v>0</v>
      </c>
      <c r="CM20" s="128">
        <f t="shared" si="52"/>
        <v>0</v>
      </c>
      <c r="CN20" s="129">
        <f t="shared" si="53"/>
        <v>0</v>
      </c>
      <c r="CO20" s="130">
        <f t="shared" si="55"/>
        <v>55594</v>
      </c>
      <c r="CQ20" s="131">
        <f t="shared" si="54"/>
        <v>0.28607418327963269</v>
      </c>
      <c r="CR20" s="301"/>
    </row>
    <row r="21" spans="1:96">
      <c r="A21" s="133" t="s">
        <v>92</v>
      </c>
      <c r="B21" s="90" t="s">
        <v>95</v>
      </c>
      <c r="C21" s="91">
        <f>'Sizing - Reimb Exp-25'!B14</f>
        <v>119888784</v>
      </c>
      <c r="D21" s="92">
        <f>'Ridership-25'!$E13</f>
        <v>7133773</v>
      </c>
      <c r="E21" s="92">
        <f>'Revenue Hours-25'!$E13</f>
        <v>955047</v>
      </c>
      <c r="F21" s="92">
        <f>'Revenue Miles-25'!$E13</f>
        <v>13757219</v>
      </c>
      <c r="G21" s="134">
        <f t="shared" si="0"/>
        <v>0.19711693032351923</v>
      </c>
      <c r="H21" s="94">
        <f t="shared" si="1"/>
        <v>0.19711693032351926</v>
      </c>
      <c r="J21" s="95">
        <f>'Ridership-25'!B13/'Revenue Hours-25'!B13</f>
        <v>12.193537039037592</v>
      </c>
      <c r="K21" s="96">
        <f>'Ridership-25'!C13/'Revenue Hours-25'!C13</f>
        <v>6.640780447028594</v>
      </c>
      <c r="L21" s="96">
        <f>'Ridership-25'!D13/'Revenue Hours-25'!D13</f>
        <v>7.1961861955660096</v>
      </c>
      <c r="M21" s="96">
        <f>'Ridership-25'!E13/'Revenue Hours-25'!E13</f>
        <v>7.4695517602798605</v>
      </c>
      <c r="N21" s="97">
        <f t="shared" si="2"/>
        <v>0.92310493377221914</v>
      </c>
      <c r="O21" s="98">
        <f t="shared" si="3"/>
        <v>0.1819596109116754</v>
      </c>
      <c r="P21" s="99">
        <f t="shared" si="4"/>
        <v>0.17188847367541479</v>
      </c>
      <c r="Q21" s="95">
        <f>'Ridership-25'!B13/'Revenue Miles-25'!B13</f>
        <v>0.90434093823673278</v>
      </c>
      <c r="R21" s="96">
        <f>'Ridership-25'!C13/'Revenue Miles-25'!C13</f>
        <v>0.46622665154015291</v>
      </c>
      <c r="S21" s="96">
        <f>'Ridership-25'!D13/'Revenue Miles-25'!D13</f>
        <v>0.49455273703023678</v>
      </c>
      <c r="T21" s="96">
        <f>'Ridership-25'!E13/'Revenue Miles-25'!E13</f>
        <v>0.51854760762331398</v>
      </c>
      <c r="U21" s="97">
        <f t="shared" si="5"/>
        <v>0.90269772340845067</v>
      </c>
      <c r="V21" s="98">
        <f t="shared" si="6"/>
        <v>0.17793700424830303</v>
      </c>
      <c r="W21" s="99">
        <f t="shared" si="7"/>
        <v>0.16871082425933395</v>
      </c>
      <c r="X21" s="95">
        <f>'Op Cost-25'!B14/'Revenue Hours-25'!B13</f>
        <v>89.156752379659721</v>
      </c>
      <c r="Y21" s="96">
        <f>'Op Cost-25'!C14/'Revenue Hours-25'!C13</f>
        <v>107.97198556298591</v>
      </c>
      <c r="Z21" s="96">
        <f>'Op Cost-25'!D14/'Revenue Hours-25'!D13</f>
        <v>112.49719845156518</v>
      </c>
      <c r="AA21" s="96">
        <f>'Op Cost-25'!E14/'Revenue Hours-25'!E13</f>
        <v>125.82563161812979</v>
      </c>
      <c r="AB21" s="97">
        <f t="shared" si="8"/>
        <v>1.0776912350820134</v>
      </c>
      <c r="AC21" s="98">
        <f t="shared" si="9"/>
        <v>0.18290668412879732</v>
      </c>
      <c r="AD21" s="99">
        <f t="shared" si="10"/>
        <v>0.19511737089658115</v>
      </c>
      <c r="AE21" s="95">
        <f>'Op Cost-25'!B14/'Revenue Miles-25'!B13</f>
        <v>6.6123636512548227</v>
      </c>
      <c r="AF21" s="96">
        <f>'Op Cost-25'!C14/'Revenue Miles-25'!C13</f>
        <v>7.5803465708156237</v>
      </c>
      <c r="AG21" s="96">
        <f>'Op Cost-25'!D14/'Revenue Miles-25'!D13</f>
        <v>7.7312893094311175</v>
      </c>
      <c r="AH21" s="96">
        <f>'Op Cost-25'!E14/'Revenue Miles-25'!E13</f>
        <v>8.735006108429328</v>
      </c>
      <c r="AI21" s="97">
        <f t="shared" si="11"/>
        <v>1.0599998872255201</v>
      </c>
      <c r="AJ21" s="98">
        <f t="shared" si="12"/>
        <v>0.18595938801414388</v>
      </c>
      <c r="AK21" s="99">
        <f t="shared" si="13"/>
        <v>0.19790747884996274</v>
      </c>
      <c r="AL21" s="95">
        <f>'Op Cost-25'!B14/'Ridership-25'!B13</f>
        <v>7.311803957639567</v>
      </c>
      <c r="AM21" s="96">
        <f>'Op Cost-25'!C14/'Ridership-25'!C13</f>
        <v>16.258930170067252</v>
      </c>
      <c r="AN21" s="96">
        <f>'Op Cost-25'!D14/'Ridership-25'!D13</f>
        <v>15.632891561488677</v>
      </c>
      <c r="AO21" s="96">
        <f>'Op Cost-25'!E14/'Ridership-25'!E13</f>
        <v>16.845138189847084</v>
      </c>
      <c r="AP21" s="97">
        <f t="shared" si="14"/>
        <v>1.1852646901926562</v>
      </c>
      <c r="AQ21" s="98">
        <f t="shared" si="15"/>
        <v>0.16630625374613947</v>
      </c>
      <c r="AR21" s="99">
        <f t="shared" si="16"/>
        <v>0.18056355636020685</v>
      </c>
      <c r="AT21" s="101">
        <f t="shared" si="29"/>
        <v>0</v>
      </c>
      <c r="AU21" s="102">
        <f t="shared" si="17"/>
        <v>0</v>
      </c>
      <c r="AV21" s="102">
        <f t="shared" si="18"/>
        <v>0</v>
      </c>
      <c r="AW21" s="102">
        <f t="shared" si="19"/>
        <v>0</v>
      </c>
      <c r="AX21" s="103">
        <f t="shared" si="20"/>
        <v>0</v>
      </c>
      <c r="AY21" s="293">
        <f t="shared" si="30"/>
        <v>-1</v>
      </c>
      <c r="AZ21" s="105">
        <f t="shared" si="21"/>
        <v>0</v>
      </c>
      <c r="BA21" s="106">
        <f t="shared" si="21"/>
        <v>0</v>
      </c>
      <c r="BB21" s="106">
        <f t="shared" si="21"/>
        <v>0</v>
      </c>
      <c r="BC21" s="106">
        <f t="shared" si="21"/>
        <v>0</v>
      </c>
      <c r="BD21" s="106">
        <f t="shared" si="21"/>
        <v>0</v>
      </c>
      <c r="BE21" s="107">
        <f t="shared" si="31"/>
        <v>24095672.209914774</v>
      </c>
      <c r="BG21" s="108">
        <f>'Op Cost-25'!E14</f>
        <v>120169392</v>
      </c>
      <c r="BH21" s="109">
        <f t="shared" si="22"/>
        <v>0.20051422253941981</v>
      </c>
      <c r="BI21" s="110">
        <f t="shared" si="23"/>
        <v>24095672.209914774</v>
      </c>
      <c r="BJ21" s="111">
        <f t="shared" si="24"/>
        <v>0</v>
      </c>
      <c r="BK21" s="1">
        <f t="shared" si="32"/>
        <v>0.85303903763670119</v>
      </c>
      <c r="BL21" s="294">
        <f t="shared" si="33"/>
        <v>0.81903339799544062</v>
      </c>
      <c r="BM21" s="294">
        <f t="shared" si="34"/>
        <v>0.81427486130925164</v>
      </c>
      <c r="BN21" s="295">
        <f t="shared" si="35"/>
        <v>0.88942394562105631</v>
      </c>
      <c r="BO21" s="114">
        <f t="shared" si="25"/>
        <v>24095672.209914774</v>
      </c>
      <c r="BP21" s="296">
        <f t="shared" si="36"/>
        <v>0.85303903763670119</v>
      </c>
      <c r="BQ21" s="116">
        <f t="shared" si="37"/>
        <v>0.16814843654507555</v>
      </c>
      <c r="BR21" s="297">
        <f t="shared" si="38"/>
        <v>0.16814843654507555</v>
      </c>
      <c r="BS21" s="302">
        <f t="shared" si="39"/>
        <v>0.17629348784675586</v>
      </c>
      <c r="BT21" s="298">
        <f t="shared" si="40"/>
        <v>25610846.777856465</v>
      </c>
      <c r="BU21" s="119">
        <f t="shared" si="41"/>
        <v>36050817.600000001</v>
      </c>
      <c r="BV21" s="119">
        <f t="shared" si="42"/>
        <v>25610846.777856465</v>
      </c>
      <c r="BW21" s="119">
        <f t="shared" si="43"/>
        <v>0</v>
      </c>
      <c r="BX21" s="120">
        <f t="shared" si="44"/>
        <v>0.16814843654507555</v>
      </c>
      <c r="BY21" s="121">
        <f t="shared" si="45"/>
        <v>0.31139248846481943</v>
      </c>
      <c r="BZ21" s="299">
        <f t="shared" si="46"/>
        <v>25875012.285110895</v>
      </c>
      <c r="CA21" s="109">
        <f t="shared" si="26"/>
        <v>0.21885398373566148</v>
      </c>
      <c r="CB21" s="123">
        <f t="shared" si="57"/>
        <v>1880965.623286356</v>
      </c>
      <c r="CC21" s="111">
        <f>ROUND((CB21+BI21),0)</f>
        <v>25976638</v>
      </c>
      <c r="CE21" s="124">
        <f t="shared" si="28"/>
        <v>0</v>
      </c>
      <c r="CF21" s="17"/>
      <c r="CG21" s="108">
        <f t="shared" si="47"/>
        <v>120169392</v>
      </c>
      <c r="CH21" s="125">
        <f t="shared" si="48"/>
        <v>0.21616684221885721</v>
      </c>
      <c r="CI21" s="110">
        <f t="shared" si="49"/>
        <v>25610846.777856465</v>
      </c>
      <c r="CJ21" s="300">
        <f t="shared" si="50"/>
        <v>0</v>
      </c>
      <c r="CL21" s="127">
        <f t="shared" si="51"/>
        <v>25610846.777856465</v>
      </c>
      <c r="CM21" s="128">
        <f t="shared" si="52"/>
        <v>0.29800126923605674</v>
      </c>
      <c r="CN21" s="129">
        <f t="shared" si="53"/>
        <v>252805.25178467977</v>
      </c>
      <c r="CO21" s="130">
        <f t="shared" si="55"/>
        <v>25863652</v>
      </c>
      <c r="CQ21" s="131">
        <f t="shared" si="54"/>
        <v>0.21532115503347887</v>
      </c>
      <c r="CR21" s="301"/>
    </row>
    <row r="22" spans="1:96">
      <c r="A22" s="133" t="s">
        <v>92</v>
      </c>
      <c r="B22" s="90" t="s">
        <v>96</v>
      </c>
      <c r="C22" s="91">
        <f>'Sizing - Reimb Exp-25'!B15</f>
        <v>1246809</v>
      </c>
      <c r="D22" s="92">
        <f>'Ridership-25'!$E14</f>
        <v>91713</v>
      </c>
      <c r="E22" s="92">
        <f>'Revenue Hours-25'!$E14</f>
        <v>20260</v>
      </c>
      <c r="F22" s="92">
        <f>'Revenue Miles-25'!$E14</f>
        <v>510877</v>
      </c>
      <c r="G22" s="134">
        <f t="shared" si="0"/>
        <v>3.3956274807346006E-3</v>
      </c>
      <c r="H22" s="94">
        <f t="shared" si="1"/>
        <v>3.395627480734601E-3</v>
      </c>
      <c r="J22" s="95">
        <f>'Ridership-25'!B14/'Revenue Hours-25'!B14</f>
        <v>5.1587647801630121</v>
      </c>
      <c r="K22" s="96">
        <f>'Ridership-25'!C14/'Revenue Hours-25'!C14</f>
        <v>2.5445369916707494</v>
      </c>
      <c r="L22" s="96">
        <f>'Ridership-25'!D14/'Revenue Hours-25'!D14</f>
        <v>3.1323175227328584</v>
      </c>
      <c r="M22" s="96">
        <f>'Ridership-25'!E14/'Revenue Hours-25'!E14</f>
        <v>4.5268015794669303</v>
      </c>
      <c r="N22" s="97">
        <f t="shared" si="2"/>
        <v>1.0414257978498263</v>
      </c>
      <c r="O22" s="98">
        <f t="shared" si="3"/>
        <v>3.5362940583248273E-3</v>
      </c>
      <c r="P22" s="99">
        <f t="shared" si="4"/>
        <v>3.3405665417032965E-3</v>
      </c>
      <c r="Q22" s="95">
        <f>'Ridership-25'!B14/'Revenue Miles-25'!B14</f>
        <v>0.22008311029377553</v>
      </c>
      <c r="R22" s="96">
        <f>'Ridership-25'!C14/'Revenue Miles-25'!C14</f>
        <v>0.1120356208297289</v>
      </c>
      <c r="S22" s="96">
        <f>'Ridership-25'!D14/'Revenue Miles-25'!D14</f>
        <v>0.13193504175827817</v>
      </c>
      <c r="T22" s="96">
        <f>'Ridership-25'!E14/'Revenue Miles-25'!E14</f>
        <v>0.17952070654971744</v>
      </c>
      <c r="U22" s="97">
        <f t="shared" si="5"/>
        <v>1.0164527966738026</v>
      </c>
      <c r="V22" s="98">
        <f t="shared" si="6"/>
        <v>3.4514950492551041E-3</v>
      </c>
      <c r="W22" s="99">
        <f t="shared" si="7"/>
        <v>3.272532192765589E-3</v>
      </c>
      <c r="X22" s="95">
        <f>'Op Cost-25'!B15/'Revenue Hours-25'!B14</f>
        <v>42.671162897485935</v>
      </c>
      <c r="Y22" s="96">
        <f>'Op Cost-25'!C15/'Revenue Hours-25'!C14</f>
        <v>48.696570308672221</v>
      </c>
      <c r="Z22" s="96">
        <f>'Op Cost-25'!D15/'Revenue Hours-25'!D14</f>
        <v>59.030916687146721</v>
      </c>
      <c r="AA22" s="96">
        <f>'Op Cost-25'!E15/'Revenue Hours-25'!E14</f>
        <v>61.540424481737411</v>
      </c>
      <c r="AB22" s="97">
        <f t="shared" si="8"/>
        <v>1.0880724721451041</v>
      </c>
      <c r="AC22" s="98">
        <f t="shared" si="9"/>
        <v>3.1207732643398446E-3</v>
      </c>
      <c r="AD22" s="99">
        <f t="shared" si="10"/>
        <v>3.3291132984158791E-3</v>
      </c>
      <c r="AE22" s="95">
        <f>'Op Cost-25'!B15/'Revenue Miles-25'!B14</f>
        <v>1.8204362188489445</v>
      </c>
      <c r="AF22" s="96">
        <f>'Op Cost-25'!C15/'Revenue Miles-25'!C14</f>
        <v>2.1441034281165527</v>
      </c>
      <c r="AG22" s="96">
        <f>'Op Cost-25'!D15/'Revenue Miles-25'!D14</f>
        <v>2.4864166552799274</v>
      </c>
      <c r="AH22" s="96">
        <f>'Op Cost-25'!E15/'Revenue Miles-25'!E14</f>
        <v>2.4405267804187702</v>
      </c>
      <c r="AI22" s="97">
        <f t="shared" si="11"/>
        <v>1.063030778927097</v>
      </c>
      <c r="AJ22" s="98">
        <f t="shared" si="12"/>
        <v>3.1942889594991438E-3</v>
      </c>
      <c r="AK22" s="99">
        <f t="shared" si="13"/>
        <v>3.3995254632945113E-3</v>
      </c>
      <c r="AL22" s="95">
        <f>'Op Cost-25'!B15/'Ridership-25'!B14</f>
        <v>8.2715852952957416</v>
      </c>
      <c r="AM22" s="96">
        <f>'Op Cost-25'!C15/'Ridership-25'!C14</f>
        <v>19.13769399622598</v>
      </c>
      <c r="AN22" s="96">
        <f>'Op Cost-25'!D15/'Ridership-25'!D14</f>
        <v>18.84576396189998</v>
      </c>
      <c r="AO22" s="96">
        <f>'Op Cost-25'!E15/'Ridership-25'!E14</f>
        <v>13.594681233849073</v>
      </c>
      <c r="AP22" s="100">
        <f t="shared" si="14"/>
        <v>1.0553612396000409</v>
      </c>
      <c r="AQ22" s="98">
        <f t="shared" si="15"/>
        <v>3.2175025510899663E-3</v>
      </c>
      <c r="AR22" s="99">
        <f t="shared" si="16"/>
        <v>3.4933364809579723E-3</v>
      </c>
      <c r="AT22" s="101">
        <f t="shared" si="29"/>
        <v>0</v>
      </c>
      <c r="AU22" s="102">
        <f t="shared" si="17"/>
        <v>0</v>
      </c>
      <c r="AV22" s="102">
        <f t="shared" si="18"/>
        <v>0</v>
      </c>
      <c r="AW22" s="102">
        <f t="shared" si="19"/>
        <v>0</v>
      </c>
      <c r="AX22" s="103">
        <f t="shared" si="20"/>
        <v>0</v>
      </c>
      <c r="AY22" s="293">
        <f t="shared" si="30"/>
        <v>-1</v>
      </c>
      <c r="AZ22" s="105">
        <f t="shared" si="21"/>
        <v>0</v>
      </c>
      <c r="BA22" s="106">
        <f t="shared" si="21"/>
        <v>0</v>
      </c>
      <c r="BB22" s="106">
        <f t="shared" si="21"/>
        <v>0</v>
      </c>
      <c r="BC22" s="106">
        <f t="shared" si="21"/>
        <v>0</v>
      </c>
      <c r="BD22" s="106">
        <f t="shared" si="21"/>
        <v>0</v>
      </c>
      <c r="BE22" s="107">
        <f t="shared" si="31"/>
        <v>415083.20258677035</v>
      </c>
      <c r="BG22" s="108">
        <f>'Op Cost-25'!E15</f>
        <v>1246809</v>
      </c>
      <c r="BH22" s="109">
        <f t="shared" si="22"/>
        <v>0.33291643113481723</v>
      </c>
      <c r="BI22" s="110">
        <f t="shared" si="23"/>
        <v>374042.7</v>
      </c>
      <c r="BJ22" s="111">
        <f t="shared" si="24"/>
        <v>41040.502586770337</v>
      </c>
      <c r="BK22" s="1">
        <f t="shared" si="32"/>
        <v>0.56885667396453543</v>
      </c>
      <c r="BL22" s="294">
        <f t="shared" si="33"/>
        <v>0.37962285202296436</v>
      </c>
      <c r="BM22" s="294">
        <f t="shared" si="34"/>
        <v>0.22738448387341545</v>
      </c>
      <c r="BN22" s="295">
        <f t="shared" si="35"/>
        <v>0.83420967998088091</v>
      </c>
      <c r="BO22" s="114">
        <f t="shared" si="25"/>
        <v>0</v>
      </c>
      <c r="BP22" s="296">
        <f t="shared" si="36"/>
        <v>0.56885667396453543</v>
      </c>
      <c r="BQ22" s="116">
        <f t="shared" si="37"/>
        <v>1.9316253547132598E-3</v>
      </c>
      <c r="BR22" s="297">
        <f t="shared" si="38"/>
        <v>0</v>
      </c>
      <c r="BS22" s="117">
        <f t="shared" si="39"/>
        <v>0</v>
      </c>
      <c r="BT22" s="298">
        <f t="shared" si="40"/>
        <v>374042.7</v>
      </c>
      <c r="BU22" s="119">
        <f t="shared" si="41"/>
        <v>374042.7</v>
      </c>
      <c r="BV22" s="119">
        <f t="shared" si="42"/>
        <v>374042.7</v>
      </c>
      <c r="BW22" s="119">
        <f t="shared" si="43"/>
        <v>0</v>
      </c>
      <c r="BX22" s="120">
        <f t="shared" si="44"/>
        <v>0</v>
      </c>
      <c r="BY22" s="121">
        <f t="shared" si="45"/>
        <v>0</v>
      </c>
      <c r="BZ22" s="299">
        <f t="shared" si="46"/>
        <v>374042.7</v>
      </c>
      <c r="CA22" s="109">
        <f t="shared" si="26"/>
        <v>0</v>
      </c>
      <c r="CB22" s="123">
        <f t="shared" si="57"/>
        <v>0</v>
      </c>
      <c r="CC22" s="111">
        <f t="shared" si="56"/>
        <v>374043</v>
      </c>
      <c r="CE22" s="124">
        <f t="shared" si="28"/>
        <v>1</v>
      </c>
      <c r="CF22" s="17"/>
      <c r="CG22" s="108">
        <f t="shared" si="47"/>
        <v>1246809</v>
      </c>
      <c r="CH22" s="125">
        <f t="shared" si="48"/>
        <v>0.30000024061424002</v>
      </c>
      <c r="CI22" s="110">
        <f t="shared" si="49"/>
        <v>374042.7</v>
      </c>
      <c r="CJ22" s="300">
        <f t="shared" si="50"/>
        <v>0</v>
      </c>
      <c r="CL22" s="127">
        <f t="shared" si="51"/>
        <v>0</v>
      </c>
      <c r="CM22" s="128">
        <f t="shared" si="52"/>
        <v>0</v>
      </c>
      <c r="CN22" s="129">
        <f t="shared" si="53"/>
        <v>0</v>
      </c>
      <c r="CO22" s="130">
        <f t="shared" si="55"/>
        <v>374043</v>
      </c>
      <c r="CQ22" s="131">
        <f t="shared" si="54"/>
        <v>0.3</v>
      </c>
      <c r="CR22" s="301"/>
    </row>
    <row r="23" spans="1:96">
      <c r="A23" s="133" t="s">
        <v>92</v>
      </c>
      <c r="B23" s="90" t="s">
        <v>97</v>
      </c>
      <c r="C23" s="91">
        <f>'Sizing - Reimb Exp-25'!B16</f>
        <v>50424</v>
      </c>
      <c r="D23" s="92">
        <f>'Ridership-25'!$E15</f>
        <v>3145</v>
      </c>
      <c r="E23" s="92">
        <f>'Revenue Hours-25'!$E15</f>
        <v>502</v>
      </c>
      <c r="F23" s="92">
        <f>'Revenue Miles-25'!$E15</f>
        <v>4641</v>
      </c>
      <c r="G23" s="93">
        <f t="shared" si="0"/>
        <v>8.4622050029392335E-5</v>
      </c>
      <c r="H23" s="94">
        <f t="shared" si="1"/>
        <v>8.4622050029392349E-5</v>
      </c>
      <c r="J23" s="95">
        <f>'Ridership-25'!B15/'Revenue Hours-25'!B15</f>
        <v>8.9790310918293557</v>
      </c>
      <c r="K23" s="96">
        <f>'Ridership-25'!C15/'Revenue Hours-25'!C15</f>
        <v>1.0119225037257824</v>
      </c>
      <c r="L23" s="96">
        <f>'Ridership-25'!D15/'Revenue Hours-25'!D15</f>
        <v>3.4102272727272727</v>
      </c>
      <c r="M23" s="96">
        <f>'Ridership-25'!E15/'Revenue Hours-25'!E15</f>
        <v>6.2649402390438249</v>
      </c>
      <c r="N23" s="97">
        <f t="shared" si="2"/>
        <v>1.4571700207400993</v>
      </c>
      <c r="O23" s="98">
        <f t="shared" si="3"/>
        <v>1.2330871439639936E-4</v>
      </c>
      <c r="P23" s="99">
        <f t="shared" si="4"/>
        <v>1.1648379880721507E-4</v>
      </c>
      <c r="Q23" s="95">
        <f>'Ridership-25'!B15/'Revenue Miles-25'!B15</f>
        <v>0.71335018382352944</v>
      </c>
      <c r="R23" s="96">
        <f>'Ridership-25'!C15/'Revenue Miles-25'!C15</f>
        <v>0.14279705573080967</v>
      </c>
      <c r="S23" s="96">
        <f>'Ridership-25'!D15/'Revenue Miles-25'!D15</f>
        <v>0.44282130736314002</v>
      </c>
      <c r="T23" s="96">
        <f>'Ridership-25'!E15/'Revenue Miles-25'!E15</f>
        <v>0.67765567765567769</v>
      </c>
      <c r="U23" s="97">
        <f t="shared" si="5"/>
        <v>1.3760274920295139</v>
      </c>
      <c r="V23" s="98">
        <f t="shared" si="6"/>
        <v>1.1644226727234081E-4</v>
      </c>
      <c r="W23" s="99">
        <f t="shared" si="7"/>
        <v>1.1040463996307636E-4</v>
      </c>
      <c r="X23" s="95">
        <f>'Op Cost-25'!B16/'Revenue Hours-25'!B15</f>
        <v>67.96963123644251</v>
      </c>
      <c r="Y23" s="96">
        <f>'Op Cost-25'!C16/'Revenue Hours-25'!C15</f>
        <v>58.488077496274215</v>
      </c>
      <c r="Z23" s="96">
        <f>'Op Cost-25'!D16/'Revenue Hours-25'!D15</f>
        <v>76.226136363636357</v>
      </c>
      <c r="AA23" s="96">
        <f>'Op Cost-25'!E16/'Revenue Hours-25'!E15</f>
        <v>100.44621513944223</v>
      </c>
      <c r="AB23" s="97">
        <f t="shared" si="8"/>
        <v>1.1402815557474089</v>
      </c>
      <c r="AC23" s="98">
        <f t="shared" si="9"/>
        <v>7.4211539775302239E-5</v>
      </c>
      <c r="AD23" s="99">
        <f t="shared" si="10"/>
        <v>7.9165835847462443E-5</v>
      </c>
      <c r="AE23" s="95">
        <f>'Op Cost-25'!B16/'Revenue Miles-25'!B15</f>
        <v>5.399931066176471</v>
      </c>
      <c r="AF23" s="96">
        <f>'Op Cost-25'!C16/'Revenue Miles-25'!C15</f>
        <v>8.2535226077812833</v>
      </c>
      <c r="AG23" s="96">
        <f>'Op Cost-25'!D16/'Revenue Miles-25'!D15</f>
        <v>9.8980374797107871</v>
      </c>
      <c r="AH23" s="96">
        <f>'Op Cost-25'!E16/'Revenue Miles-25'!E15</f>
        <v>10.864899806076277</v>
      </c>
      <c r="AI23" s="97">
        <f t="shared" si="11"/>
        <v>1.2123808252271491</v>
      </c>
      <c r="AJ23" s="98">
        <f t="shared" si="12"/>
        <v>6.9798241830109565E-5</v>
      </c>
      <c r="AK23" s="99">
        <f t="shared" si="13"/>
        <v>7.4282853994477244E-5</v>
      </c>
      <c r="AL23" s="95">
        <f>'Op Cost-25'!B16/'Ridership-25'!B15</f>
        <v>7.5698180061201485</v>
      </c>
      <c r="AM23" s="96">
        <f>'Op Cost-25'!C16/'Ridership-25'!C15</f>
        <v>57.798969072164951</v>
      </c>
      <c r="AN23" s="96">
        <f>'Op Cost-25'!D16/'Ridership-25'!D15</f>
        <v>22.352215928023991</v>
      </c>
      <c r="AO23" s="96">
        <f>'Op Cost-25'!E16/'Ridership-25'!E15</f>
        <v>16.033068362480126</v>
      </c>
      <c r="AP23" s="100">
        <f t="shared" si="14"/>
        <v>1.5437268946082094</v>
      </c>
      <c r="AQ23" s="98">
        <f t="shared" si="15"/>
        <v>5.4816723297982717E-5</v>
      </c>
      <c r="AR23" s="99">
        <f t="shared" si="16"/>
        <v>5.951611730612343E-5</v>
      </c>
      <c r="AT23" s="101">
        <f t="shared" si="29"/>
        <v>0</v>
      </c>
      <c r="AU23" s="102">
        <f t="shared" si="17"/>
        <v>0</v>
      </c>
      <c r="AV23" s="102">
        <f t="shared" si="18"/>
        <v>0</v>
      </c>
      <c r="AW23" s="102">
        <f t="shared" si="19"/>
        <v>0</v>
      </c>
      <c r="AX23" s="103">
        <f t="shared" si="20"/>
        <v>0</v>
      </c>
      <c r="AY23" s="293">
        <f t="shared" si="30"/>
        <v>-1</v>
      </c>
      <c r="AZ23" s="105">
        <f t="shared" si="21"/>
        <v>0</v>
      </c>
      <c r="BA23" s="106">
        <f t="shared" si="21"/>
        <v>0</v>
      </c>
      <c r="BB23" s="106">
        <f t="shared" si="21"/>
        <v>0</v>
      </c>
      <c r="BC23" s="106">
        <f t="shared" si="21"/>
        <v>0</v>
      </c>
      <c r="BD23" s="106">
        <f t="shared" si="21"/>
        <v>0</v>
      </c>
      <c r="BE23" s="107">
        <f t="shared" si="31"/>
        <v>10344.241744697856</v>
      </c>
      <c r="BG23" s="108">
        <f>'Op Cost-25'!E16</f>
        <v>50424</v>
      </c>
      <c r="BH23" s="109">
        <f t="shared" si="22"/>
        <v>0.20514520356770299</v>
      </c>
      <c r="BI23" s="110">
        <f t="shared" si="23"/>
        <v>10344.241744697856</v>
      </c>
      <c r="BJ23" s="111">
        <f t="shared" si="24"/>
        <v>0</v>
      </c>
      <c r="BK23" s="1">
        <f t="shared" si="32"/>
        <v>0.52393199225951492</v>
      </c>
      <c r="BL23" s="294">
        <f t="shared" si="33"/>
        <v>0.3705758854826231</v>
      </c>
      <c r="BM23" s="294">
        <f t="shared" si="34"/>
        <v>0.63918319462014006</v>
      </c>
      <c r="BN23" s="295">
        <f t="shared" si="35"/>
        <v>0.54298444446764838</v>
      </c>
      <c r="BO23" s="114">
        <f t="shared" si="25"/>
        <v>10344.241744697856</v>
      </c>
      <c r="BP23" s="296">
        <f t="shared" si="36"/>
        <v>0.52393199225951492</v>
      </c>
      <c r="BQ23" s="116">
        <f t="shared" si="37"/>
        <v>4.4336199260983876E-5</v>
      </c>
      <c r="BR23" s="297">
        <f t="shared" si="38"/>
        <v>4.4336199260983876E-5</v>
      </c>
      <c r="BS23" s="117">
        <f t="shared" si="39"/>
        <v>4.648382920582388E-5</v>
      </c>
      <c r="BT23" s="298">
        <f t="shared" si="40"/>
        <v>10743.752337479549</v>
      </c>
      <c r="BU23" s="119">
        <f t="shared" si="41"/>
        <v>15127.199999999999</v>
      </c>
      <c r="BV23" s="119">
        <f t="shared" si="42"/>
        <v>10743.752337479549</v>
      </c>
      <c r="BW23" s="119">
        <f t="shared" si="43"/>
        <v>0</v>
      </c>
      <c r="BX23" s="120">
        <f t="shared" si="44"/>
        <v>4.4336199260983876E-5</v>
      </c>
      <c r="BY23" s="121">
        <f t="shared" si="45"/>
        <v>8.210578522535887E-5</v>
      </c>
      <c r="BZ23" s="299">
        <f t="shared" si="46"/>
        <v>10813.405643856689</v>
      </c>
      <c r="CA23" s="109">
        <f t="shared" si="26"/>
        <v>9.3953739693567248E-5</v>
      </c>
      <c r="CB23" s="123">
        <f t="shared" si="57"/>
        <v>807.49617405295726</v>
      </c>
      <c r="CC23" s="111">
        <f t="shared" si="56"/>
        <v>11152</v>
      </c>
      <c r="CE23" s="124">
        <f t="shared" si="28"/>
        <v>0</v>
      </c>
      <c r="CF23" s="17"/>
      <c r="CG23" s="108">
        <f t="shared" si="47"/>
        <v>50424</v>
      </c>
      <c r="CH23" s="125">
        <f t="shared" si="48"/>
        <v>0.22116452482944629</v>
      </c>
      <c r="CI23" s="110">
        <f t="shared" si="49"/>
        <v>10743.752337479549</v>
      </c>
      <c r="CJ23" s="300">
        <f t="shared" si="50"/>
        <v>0</v>
      </c>
      <c r="CL23" s="127">
        <f t="shared" si="51"/>
        <v>10743.752337479549</v>
      </c>
      <c r="CM23" s="128">
        <f t="shared" si="52"/>
        <v>1.2501155704445333E-4</v>
      </c>
      <c r="CN23" s="129">
        <f t="shared" si="53"/>
        <v>106.05182399268116</v>
      </c>
      <c r="CO23" s="130">
        <f t="shared" si="55"/>
        <v>10850</v>
      </c>
      <c r="CQ23" s="131">
        <f t="shared" si="54"/>
        <v>0.21444958043504461</v>
      </c>
      <c r="CR23" s="301"/>
    </row>
    <row r="24" spans="1:96">
      <c r="A24" s="133" t="s">
        <v>92</v>
      </c>
      <c r="B24" s="90" t="s">
        <v>98</v>
      </c>
      <c r="C24" s="91">
        <f>'Sizing - Reimb Exp-25'!B17</f>
        <v>7910674</v>
      </c>
      <c r="D24" s="92">
        <f>'Ridership-25'!$E16</f>
        <v>1655082</v>
      </c>
      <c r="E24" s="92">
        <f>'Revenue Hours-25'!$E16</f>
        <v>71283</v>
      </c>
      <c r="F24" s="92">
        <f>'Revenue Miles-25'!$E16</f>
        <v>1099660</v>
      </c>
      <c r="G24" s="134">
        <f t="shared" si="0"/>
        <v>2.2491692379718854E-2</v>
      </c>
      <c r="H24" s="94">
        <f t="shared" si="1"/>
        <v>2.2491692379718858E-2</v>
      </c>
      <c r="J24" s="95">
        <f>'Ridership-25'!B16/'Revenue Hours-25'!B16</f>
        <v>23.310953988801508</v>
      </c>
      <c r="K24" s="96">
        <f>'Ridership-25'!C16/'Revenue Hours-25'!C16</f>
        <v>14.316342020333447</v>
      </c>
      <c r="L24" s="96">
        <f>'Ridership-25'!D16/'Revenue Hours-25'!D16</f>
        <v>19.466079261836335</v>
      </c>
      <c r="M24" s="96">
        <f>'Ridership-25'!E16/'Revenue Hours-25'!E16</f>
        <v>23.218467236227433</v>
      </c>
      <c r="N24" s="97">
        <f t="shared" si="2"/>
        <v>1.0827952067365614</v>
      </c>
      <c r="O24" s="98">
        <f t="shared" si="3"/>
        <v>2.4353896700152821E-2</v>
      </c>
      <c r="P24" s="99">
        <f t="shared" si="4"/>
        <v>2.3005952314714397E-2</v>
      </c>
      <c r="Q24" s="95">
        <f>'Ridership-25'!B16/'Revenue Miles-25'!B16</f>
        <v>1.6285925776934442</v>
      </c>
      <c r="R24" s="96">
        <f>'Ridership-25'!C16/'Revenue Miles-25'!C16</f>
        <v>1.0462325686324412</v>
      </c>
      <c r="S24" s="96">
        <f>'Ridership-25'!D16/'Revenue Miles-25'!D16</f>
        <v>1.4050534441156883</v>
      </c>
      <c r="T24" s="96">
        <f>'Ridership-25'!E16/'Revenue Miles-25'!E16</f>
        <v>1.5050852081552479</v>
      </c>
      <c r="U24" s="97">
        <f t="shared" si="5"/>
        <v>1.0649155001693644</v>
      </c>
      <c r="V24" s="98">
        <f t="shared" si="6"/>
        <v>2.3951751840203789E-2</v>
      </c>
      <c r="W24" s="99">
        <f t="shared" si="7"/>
        <v>2.2709833811616158E-2</v>
      </c>
      <c r="X24" s="95">
        <f>'Op Cost-25'!B17/'Revenue Hours-25'!B16</f>
        <v>79.983720905617247</v>
      </c>
      <c r="Y24" s="96">
        <f>'Op Cost-25'!C17/'Revenue Hours-25'!C16</f>
        <v>90.654407919074401</v>
      </c>
      <c r="Z24" s="96">
        <f>'Op Cost-25'!D17/'Revenue Hours-25'!D16</f>
        <v>94.089194776382797</v>
      </c>
      <c r="AA24" s="96">
        <f>'Op Cost-25'!E17/'Revenue Hours-25'!E16</f>
        <v>110.97560428152575</v>
      </c>
      <c r="AB24" s="97">
        <f t="shared" si="8"/>
        <v>1.0770025946706425</v>
      </c>
      <c r="AC24" s="98">
        <f t="shared" si="9"/>
        <v>2.0883600922611545E-2</v>
      </c>
      <c r="AD24" s="99">
        <f t="shared" si="10"/>
        <v>2.227777145642236E-2</v>
      </c>
      <c r="AE24" s="95">
        <f>'Op Cost-25'!B17/'Revenue Miles-25'!B16</f>
        <v>5.5879692553882192</v>
      </c>
      <c r="AF24" s="96">
        <f>'Op Cost-25'!C17/'Revenue Miles-25'!C16</f>
        <v>6.6249879976545323</v>
      </c>
      <c r="AG24" s="96">
        <f>'Op Cost-25'!D17/'Revenue Miles-25'!D16</f>
        <v>6.7913186521237527</v>
      </c>
      <c r="AH24" s="96">
        <f>'Op Cost-25'!E17/'Revenue Miles-25'!E16</f>
        <v>7.1937453394685633</v>
      </c>
      <c r="AI24" s="97">
        <f t="shared" si="11"/>
        <v>1.0470712277412029</v>
      </c>
      <c r="AJ24" s="98">
        <f t="shared" si="12"/>
        <v>2.1480575326512524E-2</v>
      </c>
      <c r="AK24" s="99">
        <f t="shared" si="13"/>
        <v>2.2860725411687571E-2</v>
      </c>
      <c r="AL24" s="95">
        <f>'Op Cost-25'!B17/'Ridership-25'!B16</f>
        <v>3.4311646337614974</v>
      </c>
      <c r="AM24" s="96">
        <f>'Op Cost-25'!C17/'Ridership-25'!C16</f>
        <v>6.3322326185221254</v>
      </c>
      <c r="AN24" s="96">
        <f>'Op Cost-25'!D17/'Ridership-25'!D16</f>
        <v>4.833494896984555</v>
      </c>
      <c r="AO24" s="96">
        <f>'Op Cost-25'!E17/'Ridership-25'!E16</f>
        <v>4.779626628771263</v>
      </c>
      <c r="AP24" s="97">
        <f t="shared" si="14"/>
        <v>1.0093254200826904</v>
      </c>
      <c r="AQ24" s="98">
        <f t="shared" si="15"/>
        <v>2.2283885783711058E-2</v>
      </c>
      <c r="AR24" s="99">
        <f t="shared" si="16"/>
        <v>2.4194265555241793E-2</v>
      </c>
      <c r="AT24" s="101">
        <f t="shared" si="29"/>
        <v>0</v>
      </c>
      <c r="AU24" s="102">
        <f t="shared" si="17"/>
        <v>0</v>
      </c>
      <c r="AV24" s="102">
        <f t="shared" si="18"/>
        <v>0</v>
      </c>
      <c r="AW24" s="102">
        <f t="shared" si="19"/>
        <v>0</v>
      </c>
      <c r="AX24" s="103">
        <f t="shared" si="20"/>
        <v>0</v>
      </c>
      <c r="AY24" s="293">
        <f t="shared" si="30"/>
        <v>-1</v>
      </c>
      <c r="AZ24" s="105">
        <f t="shared" si="21"/>
        <v>0</v>
      </c>
      <c r="BA24" s="106">
        <f t="shared" si="21"/>
        <v>0</v>
      </c>
      <c r="BB24" s="106">
        <f t="shared" si="21"/>
        <v>0</v>
      </c>
      <c r="BC24" s="106">
        <f t="shared" si="21"/>
        <v>0</v>
      </c>
      <c r="BD24" s="106">
        <f t="shared" si="21"/>
        <v>0</v>
      </c>
      <c r="BE24" s="107">
        <f t="shared" si="31"/>
        <v>2749395.7324642842</v>
      </c>
      <c r="BG24" s="108">
        <f>'Op Cost-25'!E17</f>
        <v>7910674</v>
      </c>
      <c r="BH24" s="109">
        <f t="shared" si="22"/>
        <v>0.34755518081825698</v>
      </c>
      <c r="BI24" s="110">
        <f t="shared" si="23"/>
        <v>2373202.1999999997</v>
      </c>
      <c r="BJ24" s="111">
        <f t="shared" si="24"/>
        <v>376193.53246428445</v>
      </c>
      <c r="BK24" s="1">
        <f t="shared" si="32"/>
        <v>2.4144266589887478</v>
      </c>
      <c r="BL24" s="294">
        <f t="shared" si="33"/>
        <v>2.134393812952601</v>
      </c>
      <c r="BM24" s="294">
        <f t="shared" si="34"/>
        <v>2.1394563369285962</v>
      </c>
      <c r="BN24" s="295">
        <f t="shared" si="35"/>
        <v>2.6919282430368967</v>
      </c>
      <c r="BO24" s="114">
        <f t="shared" si="25"/>
        <v>0</v>
      </c>
      <c r="BP24" s="296">
        <f t="shared" si="36"/>
        <v>2.4144266589887478</v>
      </c>
      <c r="BQ24" s="116">
        <f t="shared" si="37"/>
        <v>5.4304541687367279E-2</v>
      </c>
      <c r="BR24" s="297">
        <f t="shared" si="38"/>
        <v>0</v>
      </c>
      <c r="BS24" s="117">
        <f t="shared" si="39"/>
        <v>0</v>
      </c>
      <c r="BT24" s="298">
        <f t="shared" si="40"/>
        <v>2373202.1999999997</v>
      </c>
      <c r="BU24" s="119">
        <f t="shared" si="41"/>
        <v>2373202.1999999997</v>
      </c>
      <c r="BV24" s="119">
        <f t="shared" si="42"/>
        <v>2373202.1999999997</v>
      </c>
      <c r="BW24" s="119">
        <f t="shared" si="43"/>
        <v>0</v>
      </c>
      <c r="BX24" s="120">
        <f t="shared" si="44"/>
        <v>0</v>
      </c>
      <c r="BY24" s="121">
        <f t="shared" si="45"/>
        <v>0</v>
      </c>
      <c r="BZ24" s="299">
        <f t="shared" si="46"/>
        <v>2373202.1999999997</v>
      </c>
      <c r="CA24" s="109">
        <f t="shared" si="26"/>
        <v>0</v>
      </c>
      <c r="CB24" s="123">
        <f t="shared" si="57"/>
        <v>0</v>
      </c>
      <c r="CC24" s="111">
        <f t="shared" si="56"/>
        <v>2373202</v>
      </c>
      <c r="CE24" s="124">
        <f t="shared" si="28"/>
        <v>0</v>
      </c>
      <c r="CF24" s="17"/>
      <c r="CG24" s="108">
        <f t="shared" si="47"/>
        <v>7910674</v>
      </c>
      <c r="CH24" s="125">
        <f t="shared" si="48"/>
        <v>0.29999997471770423</v>
      </c>
      <c r="CI24" s="110">
        <f t="shared" si="49"/>
        <v>2373202.1999999997</v>
      </c>
      <c r="CJ24" s="300">
        <f t="shared" si="50"/>
        <v>0</v>
      </c>
      <c r="CL24" s="127">
        <f t="shared" si="51"/>
        <v>0</v>
      </c>
      <c r="CM24" s="128">
        <f t="shared" si="52"/>
        <v>0</v>
      </c>
      <c r="CN24" s="129">
        <f t="shared" si="53"/>
        <v>0</v>
      </c>
      <c r="CO24" s="130">
        <f t="shared" si="55"/>
        <v>2373202</v>
      </c>
      <c r="CQ24" s="131">
        <f t="shared" si="54"/>
        <v>0.3</v>
      </c>
      <c r="CR24" s="301"/>
    </row>
    <row r="25" spans="1:96">
      <c r="A25" s="133" t="s">
        <v>99</v>
      </c>
      <c r="B25" s="90" t="s">
        <v>100</v>
      </c>
      <c r="C25" s="91">
        <f>'Sizing - Reimb Exp-25'!B18</f>
        <v>3419477</v>
      </c>
      <c r="D25" s="92">
        <f>'Ridership-25'!$E17</f>
        <v>235586</v>
      </c>
      <c r="E25" s="92">
        <f>'Revenue Hours-25'!$E17</f>
        <v>29937</v>
      </c>
      <c r="F25" s="92">
        <f>'Revenue Miles-25'!$E17</f>
        <v>470807</v>
      </c>
      <c r="G25" s="93">
        <f t="shared" si="0"/>
        <v>6.1354436726635013E-3</v>
      </c>
      <c r="H25" s="94">
        <f t="shared" si="1"/>
        <v>6.1354436726635021E-3</v>
      </c>
      <c r="J25" s="95">
        <f>'Ridership-25'!B17/'Revenue Hours-25'!B17</f>
        <v>8.8925454444382677</v>
      </c>
      <c r="K25" s="96">
        <f>'Ridership-25'!C17/'Revenue Hours-25'!C17</f>
        <v>5.7639186016175321</v>
      </c>
      <c r="L25" s="96">
        <f>'Ridership-25'!D17/'Revenue Hours-25'!D17</f>
        <v>6.4797153630255435</v>
      </c>
      <c r="M25" s="96">
        <f>'Ridership-25'!E17/'Revenue Hours-25'!E17</f>
        <v>7.8693923906871097</v>
      </c>
      <c r="N25" s="97">
        <f t="shared" si="2"/>
        <v>1.0499909933163976</v>
      </c>
      <c r="O25" s="98">
        <f t="shared" si="3"/>
        <v>6.4421605962967574E-3</v>
      </c>
      <c r="P25" s="99">
        <f t="shared" si="4"/>
        <v>6.0855985925736987E-3</v>
      </c>
      <c r="Q25" s="95">
        <f>'Ridership-25'!B17/'Revenue Miles-25'!B17</f>
        <v>0.59288580032429927</v>
      </c>
      <c r="R25" s="96">
        <f>'Ridership-25'!C17/'Revenue Miles-25'!C17</f>
        <v>0.39323250859241093</v>
      </c>
      <c r="S25" s="96">
        <f>'Ridership-25'!D17/'Revenue Miles-25'!D17</f>
        <v>0.42963025620782347</v>
      </c>
      <c r="T25" s="96">
        <f>'Ridership-25'!E17/'Revenue Miles-25'!E17</f>
        <v>0.50038763229943484</v>
      </c>
      <c r="U25" s="97">
        <f t="shared" si="5"/>
        <v>1.0379042251721813</v>
      </c>
      <c r="V25" s="98">
        <f t="shared" si="6"/>
        <v>6.3680029111633741E-3</v>
      </c>
      <c r="W25" s="99">
        <f t="shared" si="7"/>
        <v>6.0378167237715372E-3</v>
      </c>
      <c r="X25" s="95">
        <f>'Op Cost-25'!B18/'Revenue Hours-25'!B17</f>
        <v>81.611429206737455</v>
      </c>
      <c r="Y25" s="96">
        <f>'Op Cost-25'!C18/'Revenue Hours-25'!C17</f>
        <v>72.997808505087406</v>
      </c>
      <c r="Z25" s="96">
        <f>'Op Cost-25'!D18/'Revenue Hours-25'!D17</f>
        <v>89.842457403679873</v>
      </c>
      <c r="AA25" s="96">
        <f>'Op Cost-25'!E18/'Revenue Hours-25'!E17</f>
        <v>122.89167251227578</v>
      </c>
      <c r="AB25" s="97">
        <f t="shared" si="8"/>
        <v>1.1433754529366269</v>
      </c>
      <c r="AC25" s="98">
        <f t="shared" si="9"/>
        <v>5.3660795820876933E-3</v>
      </c>
      <c r="AD25" s="99">
        <f t="shared" si="10"/>
        <v>5.7243142592946434E-3</v>
      </c>
      <c r="AE25" s="95">
        <f>'Op Cost-25'!B18/'Revenue Miles-25'!B17</f>
        <v>5.4412156590224692</v>
      </c>
      <c r="AF25" s="96">
        <f>'Op Cost-25'!C18/'Revenue Miles-25'!C17</f>
        <v>4.9801382261276927</v>
      </c>
      <c r="AG25" s="96">
        <f>'Op Cost-25'!D18/'Revenue Miles-25'!D17</f>
        <v>5.9569033252504751</v>
      </c>
      <c r="AH25" s="96">
        <f>'Op Cost-25'!E18/'Revenue Miles-25'!E17</f>
        <v>7.8142593461864411</v>
      </c>
      <c r="AI25" s="97">
        <f t="shared" si="11"/>
        <v>1.1229656613500592</v>
      </c>
      <c r="AJ25" s="98">
        <f t="shared" si="12"/>
        <v>5.4636075561627665E-3</v>
      </c>
      <c r="AK25" s="99">
        <f t="shared" si="13"/>
        <v>5.8146502223568163E-3</v>
      </c>
      <c r="AL25" s="95">
        <f>'Op Cost-25'!B18/'Ridership-25'!B17</f>
        <v>9.1775105021004197</v>
      </c>
      <c r="AM25" s="96">
        <f>'Op Cost-25'!C18/'Ridership-25'!C17</f>
        <v>12.664614743969837</v>
      </c>
      <c r="AN25" s="96">
        <f>'Op Cost-25'!D18/'Ridership-25'!D17</f>
        <v>13.865185794477576</v>
      </c>
      <c r="AO25" s="96">
        <f>'Op Cost-25'!E18/'Ridership-25'!E17</f>
        <v>15.616411841111102</v>
      </c>
      <c r="AP25" s="100">
        <f t="shared" si="14"/>
        <v>1.1449369771833227</v>
      </c>
      <c r="AQ25" s="98">
        <f t="shared" si="15"/>
        <v>5.3587610453087152E-3</v>
      </c>
      <c r="AR25" s="99">
        <f t="shared" si="16"/>
        <v>5.8181633596442088E-3</v>
      </c>
      <c r="AT25" s="101">
        <f t="shared" si="29"/>
        <v>0</v>
      </c>
      <c r="AU25" s="102">
        <f t="shared" si="17"/>
        <v>0</v>
      </c>
      <c r="AV25" s="102">
        <f t="shared" si="18"/>
        <v>0</v>
      </c>
      <c r="AW25" s="102">
        <f t="shared" si="19"/>
        <v>0</v>
      </c>
      <c r="AX25" s="103">
        <f t="shared" si="20"/>
        <v>0</v>
      </c>
      <c r="AY25" s="293">
        <f t="shared" si="30"/>
        <v>-1</v>
      </c>
      <c r="AZ25" s="105">
        <f t="shared" si="21"/>
        <v>0</v>
      </c>
      <c r="BA25" s="106">
        <f t="shared" si="21"/>
        <v>0</v>
      </c>
      <c r="BB25" s="106">
        <f t="shared" si="21"/>
        <v>0</v>
      </c>
      <c r="BC25" s="106">
        <f t="shared" si="21"/>
        <v>0</v>
      </c>
      <c r="BD25" s="106">
        <f t="shared" si="21"/>
        <v>0</v>
      </c>
      <c r="BE25" s="107">
        <f t="shared" si="31"/>
        <v>749999.70502917236</v>
      </c>
      <c r="BG25" s="108">
        <f>'Op Cost-25'!E18</f>
        <v>3679008</v>
      </c>
      <c r="BH25" s="109">
        <f t="shared" si="22"/>
        <v>0.20385922102620391</v>
      </c>
      <c r="BI25" s="110">
        <f t="shared" si="23"/>
        <v>749999.70502917236</v>
      </c>
      <c r="BJ25" s="111">
        <f t="shared" si="24"/>
        <v>0</v>
      </c>
      <c r="BK25" s="1">
        <f t="shared" si="32"/>
        <v>0.8962974735801128</v>
      </c>
      <c r="BL25" s="294">
        <f t="shared" si="33"/>
        <v>0.7627494729256652</v>
      </c>
      <c r="BM25" s="294">
        <f t="shared" si="34"/>
        <v>0.72183090937394212</v>
      </c>
      <c r="BN25" s="295">
        <f t="shared" si="35"/>
        <v>1.0503047560104219</v>
      </c>
      <c r="BO25" s="114">
        <f t="shared" si="25"/>
        <v>749999.70502917236</v>
      </c>
      <c r="BP25" s="296">
        <f t="shared" si="36"/>
        <v>0.8962974735801128</v>
      </c>
      <c r="BQ25" s="116">
        <f t="shared" si="37"/>
        <v>5.4991826631013855E-3</v>
      </c>
      <c r="BR25" s="297">
        <f t="shared" si="38"/>
        <v>5.4991826631013855E-3</v>
      </c>
      <c r="BS25" s="117">
        <f t="shared" si="39"/>
        <v>5.7655611429052369E-3</v>
      </c>
      <c r="BT25" s="298">
        <f t="shared" si="40"/>
        <v>799552.48046258208</v>
      </c>
      <c r="BU25" s="119">
        <f t="shared" si="41"/>
        <v>1103702.3999999999</v>
      </c>
      <c r="BV25" s="119">
        <f t="shared" si="42"/>
        <v>799552.48046258208</v>
      </c>
      <c r="BW25" s="119">
        <f t="shared" si="43"/>
        <v>0</v>
      </c>
      <c r="BX25" s="120">
        <f t="shared" si="44"/>
        <v>5.4991826631013855E-3</v>
      </c>
      <c r="BY25" s="121">
        <f t="shared" si="45"/>
        <v>1.0183884008500364E-2</v>
      </c>
      <c r="BZ25" s="299">
        <f t="shared" si="46"/>
        <v>808191.8374945668</v>
      </c>
      <c r="CA25" s="109">
        <f t="shared" si="26"/>
        <v>6.8120292231841394E-3</v>
      </c>
      <c r="CB25" s="123">
        <f t="shared" si="57"/>
        <v>58546.765176125795</v>
      </c>
      <c r="CC25" s="111">
        <f t="shared" si="56"/>
        <v>808546</v>
      </c>
      <c r="CE25" s="124">
        <f t="shared" si="28"/>
        <v>0</v>
      </c>
      <c r="CF25" s="17"/>
      <c r="CG25" s="108">
        <f t="shared" si="47"/>
        <v>3679008</v>
      </c>
      <c r="CH25" s="125">
        <f t="shared" si="48"/>
        <v>0.21977283006723553</v>
      </c>
      <c r="CI25" s="110">
        <f t="shared" si="49"/>
        <v>799552.48046258208</v>
      </c>
      <c r="CJ25" s="300">
        <f t="shared" si="50"/>
        <v>0</v>
      </c>
      <c r="CL25" s="127">
        <f t="shared" si="51"/>
        <v>799552.48046258208</v>
      </c>
      <c r="CM25" s="128">
        <f t="shared" si="52"/>
        <v>9.3033883676465097E-3</v>
      </c>
      <c r="CN25" s="129">
        <f t="shared" si="53"/>
        <v>7892.4007429997973</v>
      </c>
      <c r="CO25" s="130">
        <f t="shared" si="55"/>
        <v>807445</v>
      </c>
      <c r="CQ25" s="131">
        <f t="shared" si="54"/>
        <v>0.21967656430607566</v>
      </c>
      <c r="CR25" s="301"/>
    </row>
    <row r="26" spans="1:96">
      <c r="A26" s="133" t="s">
        <v>99</v>
      </c>
      <c r="B26" s="90" t="s">
        <v>101</v>
      </c>
      <c r="C26" s="91">
        <f>'Sizing - Reimb Exp-25'!B19</f>
        <v>703038</v>
      </c>
      <c r="D26" s="92">
        <f>'Ridership-25'!$E18</f>
        <v>90145</v>
      </c>
      <c r="E26" s="92">
        <f>'Revenue Hours-25'!$E18</f>
        <v>11560</v>
      </c>
      <c r="F26" s="92">
        <f>'Revenue Miles-25'!$E18</f>
        <v>171222</v>
      </c>
      <c r="G26" s="93">
        <f t="shared" si="0"/>
        <v>1.9267836815085944E-3</v>
      </c>
      <c r="H26" s="94">
        <f t="shared" si="1"/>
        <v>1.9267836815085946E-3</v>
      </c>
      <c r="J26" s="95">
        <f>'Ridership-25'!B18/'Revenue Hours-25'!B18</f>
        <v>12.121389319430746</v>
      </c>
      <c r="K26" s="96">
        <f>'Ridership-25'!C18/'Revenue Hours-25'!C18</f>
        <v>6.5520235467255334</v>
      </c>
      <c r="L26" s="96">
        <f>'Ridership-25'!D18/'Revenue Hours-25'!D18</f>
        <v>6.5625580805947452</v>
      </c>
      <c r="M26" s="96">
        <f>'Ridership-25'!E18/'Revenue Hours-25'!E18</f>
        <v>7.7980103806228378</v>
      </c>
      <c r="N26" s="97">
        <f t="shared" si="2"/>
        <v>0.9411305771415881</v>
      </c>
      <c r="O26" s="98">
        <f t="shared" si="3"/>
        <v>1.8133550382051775E-3</v>
      </c>
      <c r="P26" s="99">
        <f t="shared" si="4"/>
        <v>1.7129890978938758E-3</v>
      </c>
      <c r="Q26" s="95">
        <f>'Ridership-25'!B18/'Revenue Miles-25'!B18</f>
        <v>0.79351997048242784</v>
      </c>
      <c r="R26" s="96">
        <f>'Ridership-25'!C18/'Revenue Miles-25'!C18</f>
        <v>0.47317713453679738</v>
      </c>
      <c r="S26" s="96">
        <f>'Ridership-25'!D18/'Revenue Miles-25'!D18</f>
        <v>0.44629120011030743</v>
      </c>
      <c r="T26" s="96">
        <f>'Ridership-25'!E18/'Revenue Miles-25'!E18</f>
        <v>0.52648024202497345</v>
      </c>
      <c r="U26" s="97">
        <f t="shared" si="5"/>
        <v>0.95968549774921197</v>
      </c>
      <c r="V26" s="98">
        <f t="shared" si="6"/>
        <v>1.8491063564436347E-3</v>
      </c>
      <c r="W26" s="99">
        <f t="shared" si="7"/>
        <v>1.7532286713304861E-3</v>
      </c>
      <c r="X26" s="95">
        <f>'Op Cost-25'!B19/'Revenue Hours-25'!B18</f>
        <v>47.958362688459914</v>
      </c>
      <c r="Y26" s="96">
        <f>'Op Cost-25'!C19/'Revenue Hours-25'!C18</f>
        <v>45.519278881530539</v>
      </c>
      <c r="Z26" s="96">
        <f>'Op Cost-25'!D19/'Revenue Hours-25'!D18</f>
        <v>51.194390470558417</v>
      </c>
      <c r="AA26" s="96">
        <f>'Op Cost-25'!E19/'Revenue Hours-25'!E18</f>
        <v>60.816435986159171</v>
      </c>
      <c r="AB26" s="97">
        <f t="shared" si="8"/>
        <v>1.0585987264876684</v>
      </c>
      <c r="AC26" s="98">
        <f t="shared" si="9"/>
        <v>1.8201265817704908E-3</v>
      </c>
      <c r="AD26" s="99">
        <f t="shared" si="10"/>
        <v>1.9416366057128985E-3</v>
      </c>
      <c r="AE26" s="95">
        <f>'Op Cost-25'!B19/'Revenue Miles-25'!B18</f>
        <v>3.1395673830827415</v>
      </c>
      <c r="AF26" s="96">
        <f>'Op Cost-25'!C19/'Revenue Miles-25'!C18</f>
        <v>3.2873328054671349</v>
      </c>
      <c r="AG26" s="96">
        <f>'Op Cost-25'!D19/'Revenue Miles-25'!D18</f>
        <v>3.4815091434513583</v>
      </c>
      <c r="AH26" s="96">
        <f>'Op Cost-25'!E19/'Revenue Miles-25'!E18</f>
        <v>4.1060027332936189</v>
      </c>
      <c r="AI26" s="97">
        <f t="shared" si="11"/>
        <v>1.0643484033760391</v>
      </c>
      <c r="AJ26" s="98">
        <f t="shared" si="12"/>
        <v>1.8102941437192661E-3</v>
      </c>
      <c r="AK26" s="99">
        <f t="shared" si="13"/>
        <v>1.9266074909489504E-3</v>
      </c>
      <c r="AL26" s="95">
        <f>'Op Cost-25'!B19/'Ridership-25'!B18</f>
        <v>3.95650708220237</v>
      </c>
      <c r="AM26" s="96">
        <f>'Op Cost-25'!C19/'Ridership-25'!C18</f>
        <v>6.9473619190943596</v>
      </c>
      <c r="AN26" s="96">
        <f>'Op Cost-25'!D19/'Ridership-25'!D18</f>
        <v>7.8009809348489334</v>
      </c>
      <c r="AO26" s="96">
        <f>'Op Cost-25'!E19/'Ridership-25'!E18</f>
        <v>7.7989683288035945</v>
      </c>
      <c r="AP26" s="100">
        <f t="shared" si="14"/>
        <v>1.1555135455372394</v>
      </c>
      <c r="AQ26" s="98">
        <f t="shared" si="15"/>
        <v>1.6674695757138566E-3</v>
      </c>
      <c r="AR26" s="99">
        <f t="shared" si="16"/>
        <v>1.8104204137322066E-3</v>
      </c>
      <c r="AT26" s="101">
        <f t="shared" si="29"/>
        <v>0</v>
      </c>
      <c r="AU26" s="102">
        <f t="shared" si="17"/>
        <v>0</v>
      </c>
      <c r="AV26" s="102">
        <f t="shared" si="18"/>
        <v>0</v>
      </c>
      <c r="AW26" s="102">
        <f t="shared" si="19"/>
        <v>0</v>
      </c>
      <c r="AX26" s="103">
        <f t="shared" si="20"/>
        <v>0</v>
      </c>
      <c r="AY26" s="293">
        <f t="shared" si="30"/>
        <v>-1</v>
      </c>
      <c r="AZ26" s="105">
        <f t="shared" si="21"/>
        <v>0</v>
      </c>
      <c r="BA26" s="106">
        <f t="shared" si="21"/>
        <v>0</v>
      </c>
      <c r="BB26" s="106">
        <f t="shared" si="21"/>
        <v>0</v>
      </c>
      <c r="BC26" s="106">
        <f t="shared" si="21"/>
        <v>0</v>
      </c>
      <c r="BD26" s="106">
        <f t="shared" si="21"/>
        <v>0</v>
      </c>
      <c r="BE26" s="107">
        <f t="shared" si="31"/>
        <v>235531.00148650398</v>
      </c>
      <c r="BG26" s="108">
        <f>'Op Cost-25'!E19</f>
        <v>703038</v>
      </c>
      <c r="BH26" s="109">
        <f t="shared" si="22"/>
        <v>0.33501887733878394</v>
      </c>
      <c r="BI26" s="110">
        <f t="shared" si="23"/>
        <v>210911.4</v>
      </c>
      <c r="BJ26" s="111">
        <f t="shared" si="24"/>
        <v>24619.601486503991</v>
      </c>
      <c r="BK26" s="1">
        <f t="shared" si="32"/>
        <v>1.3701168300378255</v>
      </c>
      <c r="BL26" s="294">
        <f t="shared" si="33"/>
        <v>0.8014141865012383</v>
      </c>
      <c r="BM26" s="294">
        <f t="shared" si="34"/>
        <v>0.79658507419540747</v>
      </c>
      <c r="BN26" s="295">
        <f t="shared" si="35"/>
        <v>1.9412340297273281</v>
      </c>
      <c r="BO26" s="114">
        <f t="shared" si="25"/>
        <v>0</v>
      </c>
      <c r="BP26" s="296">
        <f t="shared" si="36"/>
        <v>1.3701168300378255</v>
      </c>
      <c r="BQ26" s="116">
        <f t="shared" si="37"/>
        <v>2.6399187498771667E-3</v>
      </c>
      <c r="BR26" s="297">
        <f t="shared" si="38"/>
        <v>0</v>
      </c>
      <c r="BS26" s="117">
        <f t="shared" si="39"/>
        <v>0</v>
      </c>
      <c r="BT26" s="298">
        <f t="shared" si="40"/>
        <v>210911.4</v>
      </c>
      <c r="BU26" s="119">
        <f t="shared" si="41"/>
        <v>210911.4</v>
      </c>
      <c r="BV26" s="119">
        <f t="shared" si="42"/>
        <v>210911.4</v>
      </c>
      <c r="BW26" s="119">
        <f t="shared" si="43"/>
        <v>0</v>
      </c>
      <c r="BX26" s="120">
        <f t="shared" si="44"/>
        <v>0</v>
      </c>
      <c r="BY26" s="121">
        <f t="shared" si="45"/>
        <v>0</v>
      </c>
      <c r="BZ26" s="299">
        <f t="shared" si="46"/>
        <v>210911.4</v>
      </c>
      <c r="CA26" s="109">
        <f t="shared" si="26"/>
        <v>0</v>
      </c>
      <c r="CB26" s="123">
        <f t="shared" si="57"/>
        <v>0</v>
      </c>
      <c r="CC26" s="111">
        <f t="shared" si="56"/>
        <v>210911</v>
      </c>
      <c r="CE26" s="124">
        <f t="shared" si="28"/>
        <v>0</v>
      </c>
      <c r="CF26" s="17"/>
      <c r="CG26" s="108">
        <f t="shared" si="47"/>
        <v>703038</v>
      </c>
      <c r="CH26" s="125">
        <f t="shared" si="48"/>
        <v>0.29999943104071186</v>
      </c>
      <c r="CI26" s="110">
        <f t="shared" si="49"/>
        <v>210911.4</v>
      </c>
      <c r="CJ26" s="300">
        <f t="shared" si="50"/>
        <v>0</v>
      </c>
      <c r="CL26" s="127">
        <f t="shared" si="51"/>
        <v>0</v>
      </c>
      <c r="CM26" s="128">
        <f t="shared" si="52"/>
        <v>0</v>
      </c>
      <c r="CN26" s="129">
        <f t="shared" si="53"/>
        <v>0</v>
      </c>
      <c r="CO26" s="130">
        <f t="shared" si="55"/>
        <v>210911</v>
      </c>
      <c r="CQ26" s="131">
        <f t="shared" si="54"/>
        <v>0.3</v>
      </c>
      <c r="CR26" s="301"/>
    </row>
    <row r="27" spans="1:96">
      <c r="A27" s="133" t="s">
        <v>99</v>
      </c>
      <c r="B27" s="90" t="s">
        <v>102</v>
      </c>
      <c r="C27" s="91">
        <f>'Sizing - Reimb Exp-25'!B20</f>
        <v>8312589</v>
      </c>
      <c r="D27" s="92">
        <f>'Ridership-25'!$E19</f>
        <v>519342</v>
      </c>
      <c r="E27" s="92">
        <f>'Revenue Hours-25'!$E19</f>
        <v>79599</v>
      </c>
      <c r="F27" s="92">
        <f>'Revenue Miles-25'!$E19</f>
        <v>1150861</v>
      </c>
      <c r="G27" s="93">
        <f t="shared" si="0"/>
        <v>1.4764019756276369E-2</v>
      </c>
      <c r="H27" s="94">
        <f t="shared" si="1"/>
        <v>1.4764019756276371E-2</v>
      </c>
      <c r="J27" s="95">
        <f>'Ridership-25'!B19/'Revenue Hours-25'!B19</f>
        <v>21.272344057919085</v>
      </c>
      <c r="K27" s="96">
        <f>'Ridership-25'!C19/'Revenue Hours-25'!C19</f>
        <v>6.2106387495687709</v>
      </c>
      <c r="L27" s="96">
        <f>'Ridership-25'!D19/'Revenue Hours-25'!D19</f>
        <v>5.9993407953505891</v>
      </c>
      <c r="M27" s="96">
        <f>'Ridership-25'!E19/'Revenue Hours-25'!E19</f>
        <v>6.5244789507405869</v>
      </c>
      <c r="N27" s="97">
        <f t="shared" si="2"/>
        <v>0.74254458405060142</v>
      </c>
      <c r="O27" s="98">
        <f t="shared" si="3"/>
        <v>1.0962942908839099E-2</v>
      </c>
      <c r="P27" s="99">
        <f t="shared" si="4"/>
        <v>1.0356163734081455E-2</v>
      </c>
      <c r="Q27" s="95">
        <f>'Ridership-25'!B19/'Revenue Miles-25'!B19</f>
        <v>1.6130997617774709</v>
      </c>
      <c r="R27" s="96">
        <f>'Ridership-25'!C19/'Revenue Miles-25'!C19</f>
        <v>0.43710720015539234</v>
      </c>
      <c r="S27" s="96">
        <f>'Ridership-25'!D19/'Revenue Miles-25'!D19</f>
        <v>0.41539215330115964</v>
      </c>
      <c r="T27" s="96">
        <f>'Ridership-25'!E19/'Revenue Miles-25'!E19</f>
        <v>0.45126387982562621</v>
      </c>
      <c r="U27" s="97">
        <f t="shared" si="5"/>
        <v>0.72761827424943293</v>
      </c>
      <c r="V27" s="98">
        <f t="shared" si="6"/>
        <v>1.0742570576046346E-2</v>
      </c>
      <c r="W27" s="99">
        <f t="shared" si="7"/>
        <v>1.0185559457996391E-2</v>
      </c>
      <c r="X27" s="95">
        <f>'Op Cost-25'!B20/'Revenue Hours-25'!B19</f>
        <v>85.260382965718563</v>
      </c>
      <c r="Y27" s="96">
        <f>'Op Cost-25'!C20/'Revenue Hours-25'!C19</f>
        <v>88.890998593530242</v>
      </c>
      <c r="Z27" s="96">
        <f>'Op Cost-25'!D20/'Revenue Hours-25'!D19</f>
        <v>103.53699617930367</v>
      </c>
      <c r="AA27" s="96">
        <f>'Op Cost-25'!E20/'Revenue Hours-25'!E19</f>
        <v>108.98527619693715</v>
      </c>
      <c r="AB27" s="97">
        <f t="shared" si="8"/>
        <v>1.0489833242149993</v>
      </c>
      <c r="AC27" s="98">
        <f t="shared" si="9"/>
        <v>1.4074599105114414E-2</v>
      </c>
      <c r="AD27" s="99">
        <f t="shared" si="10"/>
        <v>1.5014206762829448E-2</v>
      </c>
      <c r="AE27" s="95">
        <f>'Op Cost-25'!B20/'Revenue Miles-25'!B19</f>
        <v>6.465366631744411</v>
      </c>
      <c r="AF27" s="96">
        <f>'Op Cost-25'!C20/'Revenue Miles-25'!C19</f>
        <v>6.2561834749980854</v>
      </c>
      <c r="AG27" s="96">
        <f>'Op Cost-25'!D20/'Revenue Miles-25'!D19</f>
        <v>7.168863589577354</v>
      </c>
      <c r="AH27" s="96">
        <f>'Op Cost-25'!E20/'Revenue Miles-25'!E19</f>
        <v>7.537938117635405</v>
      </c>
      <c r="AI27" s="97">
        <f t="shared" si="11"/>
        <v>1.026827470444114</v>
      </c>
      <c r="AJ27" s="98">
        <f t="shared" si="12"/>
        <v>1.437828669493111E-2</v>
      </c>
      <c r="AK27" s="99">
        <f t="shared" si="13"/>
        <v>1.5302107091035102E-2</v>
      </c>
      <c r="AL27" s="95">
        <f>'Op Cost-25'!B20/'Ridership-25'!B19</f>
        <v>4.008038922912144</v>
      </c>
      <c r="AM27" s="96">
        <f>'Op Cost-25'!C20/'Ridership-25'!C19</f>
        <v>14.312698287225656</v>
      </c>
      <c r="AN27" s="96">
        <f>'Op Cost-25'!D20/'Ridership-25'!D19</f>
        <v>17.258062129016487</v>
      </c>
      <c r="AO27" s="96">
        <f>'Op Cost-25'!E20/'Ridership-25'!E19</f>
        <v>16.704058212122263</v>
      </c>
      <c r="AP27" s="97">
        <f t="shared" si="14"/>
        <v>1.4319841470376262</v>
      </c>
      <c r="AQ27" s="98">
        <f t="shared" si="15"/>
        <v>1.031018380113983E-2</v>
      </c>
      <c r="AR27" s="99">
        <f t="shared" si="16"/>
        <v>1.1194067642837625E-2</v>
      </c>
      <c r="AT27" s="101">
        <f t="shared" si="29"/>
        <v>0</v>
      </c>
      <c r="AU27" s="102">
        <f t="shared" si="17"/>
        <v>0</v>
      </c>
      <c r="AV27" s="102">
        <f t="shared" si="18"/>
        <v>0</v>
      </c>
      <c r="AW27" s="102">
        <f t="shared" si="19"/>
        <v>0</v>
      </c>
      <c r="AX27" s="103">
        <f t="shared" si="20"/>
        <v>0</v>
      </c>
      <c r="AY27" s="293">
        <f t="shared" si="30"/>
        <v>-1</v>
      </c>
      <c r="AZ27" s="105">
        <f t="shared" si="21"/>
        <v>0</v>
      </c>
      <c r="BA27" s="106">
        <f t="shared" si="21"/>
        <v>0</v>
      </c>
      <c r="BB27" s="106">
        <f t="shared" si="21"/>
        <v>0</v>
      </c>
      <c r="BC27" s="106">
        <f t="shared" si="21"/>
        <v>0</v>
      </c>
      <c r="BD27" s="106">
        <f t="shared" si="21"/>
        <v>0</v>
      </c>
      <c r="BE27" s="107">
        <f t="shared" si="31"/>
        <v>1804761.1636609104</v>
      </c>
      <c r="BG27" s="108">
        <f>'Op Cost-25'!E20</f>
        <v>8675119</v>
      </c>
      <c r="BH27" s="109">
        <f t="shared" si="22"/>
        <v>0.2080387789102271</v>
      </c>
      <c r="BI27" s="110">
        <f t="shared" si="23"/>
        <v>1804761.1636609104</v>
      </c>
      <c r="BJ27" s="111">
        <f t="shared" si="24"/>
        <v>0</v>
      </c>
      <c r="BK27" s="1">
        <f t="shared" si="32"/>
        <v>0.81828918657254812</v>
      </c>
      <c r="BL27" s="294">
        <f t="shared" si="33"/>
        <v>0.72441571260263238</v>
      </c>
      <c r="BM27" s="294">
        <f t="shared" si="34"/>
        <v>0.72177862213712718</v>
      </c>
      <c r="BN27" s="295">
        <f t="shared" si="35"/>
        <v>0.9134812057752163</v>
      </c>
      <c r="BO27" s="114">
        <f t="shared" si="25"/>
        <v>1804761.1636609104</v>
      </c>
      <c r="BP27" s="296">
        <f t="shared" si="36"/>
        <v>0.81828918657254812</v>
      </c>
      <c r="BQ27" s="116">
        <f t="shared" si="37"/>
        <v>1.2081237716904421E-2</v>
      </c>
      <c r="BR27" s="297">
        <f t="shared" si="38"/>
        <v>1.2081237716904421E-2</v>
      </c>
      <c r="BS27" s="117">
        <f t="shared" si="39"/>
        <v>1.2666448635387167E-2</v>
      </c>
      <c r="BT27" s="298">
        <f t="shared" si="40"/>
        <v>1913624.4068407211</v>
      </c>
      <c r="BU27" s="119">
        <f t="shared" si="41"/>
        <v>2602535.6999999997</v>
      </c>
      <c r="BV27" s="119">
        <f t="shared" si="42"/>
        <v>1913624.4068407211</v>
      </c>
      <c r="BW27" s="119">
        <f t="shared" si="43"/>
        <v>0</v>
      </c>
      <c r="BX27" s="120">
        <f t="shared" si="44"/>
        <v>1.2081237716904421E-2</v>
      </c>
      <c r="BY27" s="121">
        <f t="shared" si="45"/>
        <v>2.2373129085820672E-2</v>
      </c>
      <c r="BZ27" s="299">
        <f t="shared" si="46"/>
        <v>1932604.3412089592</v>
      </c>
      <c r="CA27" s="109">
        <f t="shared" si="26"/>
        <v>1.6392120830564513E-2</v>
      </c>
      <c r="CB27" s="123">
        <f t="shared" si="57"/>
        <v>140883.95947267333</v>
      </c>
      <c r="CC27" s="111">
        <f t="shared" si="56"/>
        <v>1945645</v>
      </c>
      <c r="CE27" s="124">
        <f t="shared" si="28"/>
        <v>0</v>
      </c>
      <c r="CF27" s="17"/>
      <c r="CG27" s="108">
        <f t="shared" si="47"/>
        <v>8675119</v>
      </c>
      <c r="CH27" s="125">
        <f t="shared" si="48"/>
        <v>0.22427876781863165</v>
      </c>
      <c r="CI27" s="110">
        <f t="shared" si="49"/>
        <v>1913624.4068407211</v>
      </c>
      <c r="CJ27" s="300">
        <f t="shared" si="50"/>
        <v>0</v>
      </c>
      <c r="CL27" s="127">
        <f t="shared" si="51"/>
        <v>1913624.4068407211</v>
      </c>
      <c r="CM27" s="128">
        <f t="shared" si="52"/>
        <v>2.2266444644567118E-2</v>
      </c>
      <c r="CN27" s="129">
        <f t="shared" si="53"/>
        <v>18889.430099240442</v>
      </c>
      <c r="CO27" s="130">
        <f t="shared" si="55"/>
        <v>1932514</v>
      </c>
      <c r="CQ27" s="131">
        <f t="shared" si="54"/>
        <v>0.22277554246909573</v>
      </c>
      <c r="CR27" s="301"/>
    </row>
    <row r="28" spans="1:96">
      <c r="A28" s="133" t="s">
        <v>99</v>
      </c>
      <c r="B28" s="90" t="s">
        <v>103</v>
      </c>
      <c r="C28" s="91">
        <f>'Sizing - Reimb Exp-25'!B21</f>
        <v>177126</v>
      </c>
      <c r="D28" s="92">
        <f>'Ridership-25'!$E20</f>
        <v>14298</v>
      </c>
      <c r="E28" s="92">
        <f>'Revenue Hours-25'!$E20</f>
        <v>3028</v>
      </c>
      <c r="F28" s="92">
        <f>'Revenue Miles-25'!$E20</f>
        <v>48742</v>
      </c>
      <c r="G28" s="134">
        <f t="shared" si="0"/>
        <v>4.4038078920761829E-4</v>
      </c>
      <c r="H28" s="94">
        <f t="shared" si="1"/>
        <v>4.4038078920761835E-4</v>
      </c>
      <c r="J28" s="95">
        <f>'Ridership-25'!B20/'Revenue Hours-25'!B20</f>
        <v>5.9558432934926957</v>
      </c>
      <c r="K28" s="96">
        <f>'Ridership-25'!C20/'Revenue Hours-25'!C20</f>
        <v>4.686815011624045</v>
      </c>
      <c r="L28" s="96">
        <f>'Ridership-25'!D20/'Revenue Hours-25'!D20</f>
        <v>4.8892540256325994</v>
      </c>
      <c r="M28" s="96">
        <f>'Ridership-25'!E20/'Revenue Hours-25'!E20</f>
        <v>4.7219286657859971</v>
      </c>
      <c r="N28" s="97">
        <f t="shared" si="2"/>
        <v>1.0497324316835372</v>
      </c>
      <c r="O28" s="98">
        <f t="shared" si="3"/>
        <v>4.6228199672162845E-4</v>
      </c>
      <c r="P28" s="99">
        <f t="shared" si="4"/>
        <v>4.3669551954952674E-4</v>
      </c>
      <c r="Q28" s="95">
        <f>'Ridership-25'!B20/'Revenue Miles-25'!B20</f>
        <v>0.37067112984544176</v>
      </c>
      <c r="R28" s="96">
        <f>'Ridership-25'!C20/'Revenue Miles-25'!C20</f>
        <v>0.28707433174661295</v>
      </c>
      <c r="S28" s="96">
        <f>'Ridership-25'!D20/'Revenue Miles-25'!D20</f>
        <v>0.30552817479875144</v>
      </c>
      <c r="T28" s="96">
        <f>'Ridership-25'!E20/'Revenue Miles-25'!E20</f>
        <v>0.29334044561158756</v>
      </c>
      <c r="U28" s="97">
        <f t="shared" si="5"/>
        <v>1.0445386621931119</v>
      </c>
      <c r="V28" s="98">
        <f t="shared" si="6"/>
        <v>4.5999476041447247E-4</v>
      </c>
      <c r="W28" s="99">
        <f t="shared" si="7"/>
        <v>4.3614365383045733E-4</v>
      </c>
      <c r="X28" s="95">
        <f>'Op Cost-25'!B21/'Revenue Hours-25'!B20</f>
        <v>35.128818061088978</v>
      </c>
      <c r="Y28" s="96">
        <f>'Op Cost-25'!C21/'Revenue Hours-25'!C20</f>
        <v>38.42344735968117</v>
      </c>
      <c r="Z28" s="96">
        <f>'Op Cost-25'!D21/'Revenue Hours-25'!D20</f>
        <v>35.43739730529083</v>
      </c>
      <c r="AA28" s="96">
        <f>'Op Cost-25'!E21/'Revenue Hours-25'!E20</f>
        <v>58.537318361955087</v>
      </c>
      <c r="AB28" s="97">
        <f t="shared" si="8"/>
        <v>1.1968858090440895</v>
      </c>
      <c r="AC28" s="98">
        <f t="shared" si="9"/>
        <v>3.6793885087444973E-4</v>
      </c>
      <c r="AD28" s="99">
        <f t="shared" si="10"/>
        <v>3.9250211972996377E-4</v>
      </c>
      <c r="AE28" s="95">
        <f>'Op Cost-25'!B21/'Revenue Miles-25'!B20</f>
        <v>2.1862963881312507</v>
      </c>
      <c r="AF28" s="96">
        <f>'Op Cost-25'!C21/'Revenue Miles-25'!C20</f>
        <v>2.3534928190731925</v>
      </c>
      <c r="AG28" s="96">
        <f>'Op Cost-25'!D21/'Revenue Miles-25'!D20</f>
        <v>2.2144734680466569</v>
      </c>
      <c r="AH28" s="96">
        <f>'Op Cost-25'!E21/'Revenue Miles-25'!E20</f>
        <v>3.6365147101062738</v>
      </c>
      <c r="AI28" s="97">
        <f t="shared" si="11"/>
        <v>1.1975235749946818</v>
      </c>
      <c r="AJ28" s="98">
        <f t="shared" si="12"/>
        <v>3.6774289742861564E-4</v>
      </c>
      <c r="AK28" s="99">
        <f t="shared" si="13"/>
        <v>3.9137077440555063E-4</v>
      </c>
      <c r="AL28" s="95">
        <f>'Op Cost-25'!B21/'Ridership-25'!B20</f>
        <v>5.8982106025976924</v>
      </c>
      <c r="AM28" s="96">
        <f>'Op Cost-25'!C21/'Ridership-25'!C20</f>
        <v>8.1982001133786842</v>
      </c>
      <c r="AN28" s="96">
        <f>'Op Cost-25'!D21/'Ridership-25'!D20</f>
        <v>7.2480172066137918</v>
      </c>
      <c r="AO28" s="96">
        <f>'Op Cost-25'!E21/'Ridership-25'!E20</f>
        <v>12.396908658553643</v>
      </c>
      <c r="AP28" s="100">
        <f t="shared" si="14"/>
        <v>1.3061052839788061</v>
      </c>
      <c r="AQ28" s="98">
        <f t="shared" si="15"/>
        <v>3.3717097282240556E-4</v>
      </c>
      <c r="AR28" s="99">
        <f t="shared" si="16"/>
        <v>3.6607637165092142E-4</v>
      </c>
      <c r="AT28" s="101">
        <f t="shared" si="29"/>
        <v>0</v>
      </c>
      <c r="AU28" s="102">
        <f t="shared" si="17"/>
        <v>0</v>
      </c>
      <c r="AV28" s="102">
        <f t="shared" si="18"/>
        <v>0</v>
      </c>
      <c r="AW28" s="102">
        <f t="shared" si="19"/>
        <v>0</v>
      </c>
      <c r="AX28" s="103">
        <f t="shared" si="20"/>
        <v>0</v>
      </c>
      <c r="AY28" s="293">
        <f t="shared" si="30"/>
        <v>-1</v>
      </c>
      <c r="AZ28" s="105">
        <f t="shared" si="21"/>
        <v>0</v>
      </c>
      <c r="BA28" s="106">
        <f t="shared" si="21"/>
        <v>0</v>
      </c>
      <c r="BB28" s="106">
        <f t="shared" si="21"/>
        <v>0</v>
      </c>
      <c r="BC28" s="106">
        <f t="shared" si="21"/>
        <v>0</v>
      </c>
      <c r="BD28" s="106">
        <f t="shared" si="21"/>
        <v>0</v>
      </c>
      <c r="BE28" s="107">
        <f t="shared" si="31"/>
        <v>53832.36806130522</v>
      </c>
      <c r="BG28" s="108">
        <f>'Op Cost-25'!E21</f>
        <v>177251</v>
      </c>
      <c r="BH28" s="109">
        <f t="shared" si="22"/>
        <v>0.30370699212588487</v>
      </c>
      <c r="BI28" s="110">
        <f t="shared" si="23"/>
        <v>53175.299999999996</v>
      </c>
      <c r="BJ28" s="111">
        <f t="shared" si="24"/>
        <v>657.06806130522455</v>
      </c>
      <c r="BK28" s="1">
        <f t="shared" si="32"/>
        <v>1.1012833192239984</v>
      </c>
      <c r="BL28" s="294">
        <f t="shared" si="33"/>
        <v>0.55386689766944885</v>
      </c>
      <c r="BM28" s="294">
        <f t="shared" si="34"/>
        <v>0.49026720320843387</v>
      </c>
      <c r="BN28" s="295">
        <f t="shared" si="35"/>
        <v>1.6804995880090552</v>
      </c>
      <c r="BO28" s="114">
        <f t="shared" si="25"/>
        <v>0</v>
      </c>
      <c r="BP28" s="296">
        <f t="shared" si="36"/>
        <v>1.1012833192239984</v>
      </c>
      <c r="BQ28" s="116">
        <f t="shared" si="37"/>
        <v>4.8498401726104989E-4</v>
      </c>
      <c r="BR28" s="297">
        <f t="shared" si="38"/>
        <v>0</v>
      </c>
      <c r="BS28" s="117">
        <f t="shared" si="39"/>
        <v>0</v>
      </c>
      <c r="BT28" s="298">
        <f t="shared" si="40"/>
        <v>53175.299999999996</v>
      </c>
      <c r="BU28" s="119">
        <f t="shared" si="41"/>
        <v>53175.299999999996</v>
      </c>
      <c r="BV28" s="119">
        <f t="shared" si="42"/>
        <v>53175.299999999996</v>
      </c>
      <c r="BW28" s="119">
        <f t="shared" si="43"/>
        <v>0</v>
      </c>
      <c r="BX28" s="120">
        <f t="shared" si="44"/>
        <v>0</v>
      </c>
      <c r="BY28" s="121">
        <f t="shared" si="45"/>
        <v>0</v>
      </c>
      <c r="BZ28" s="299">
        <f t="shared" si="46"/>
        <v>53175.299999999996</v>
      </c>
      <c r="CA28" s="109">
        <f t="shared" si="26"/>
        <v>0</v>
      </c>
      <c r="CB28" s="123">
        <f t="shared" si="57"/>
        <v>0</v>
      </c>
      <c r="CC28" s="111">
        <f t="shared" si="56"/>
        <v>53175</v>
      </c>
      <c r="CE28" s="124">
        <f t="shared" si="28"/>
        <v>0</v>
      </c>
      <c r="CF28" s="17"/>
      <c r="CG28" s="108">
        <f t="shared" si="47"/>
        <v>177251</v>
      </c>
      <c r="CH28" s="125">
        <f t="shared" si="48"/>
        <v>0.29999830748486611</v>
      </c>
      <c r="CI28" s="110">
        <f t="shared" si="49"/>
        <v>53175.299999999996</v>
      </c>
      <c r="CJ28" s="300">
        <f t="shared" si="50"/>
        <v>0</v>
      </c>
      <c r="CL28" s="127">
        <f t="shared" si="51"/>
        <v>0</v>
      </c>
      <c r="CM28" s="128">
        <f t="shared" si="52"/>
        <v>0</v>
      </c>
      <c r="CN28" s="129">
        <f t="shared" si="53"/>
        <v>0</v>
      </c>
      <c r="CO28" s="130">
        <f t="shared" si="55"/>
        <v>53175</v>
      </c>
      <c r="CQ28" s="131">
        <f t="shared" si="54"/>
        <v>0.3</v>
      </c>
      <c r="CR28" s="301"/>
    </row>
    <row r="29" spans="1:96">
      <c r="A29" s="133" t="s">
        <v>104</v>
      </c>
      <c r="B29" s="90" t="s">
        <v>105</v>
      </c>
      <c r="C29" s="91">
        <f>'Sizing - Reimb Exp-25'!B22</f>
        <v>18874570</v>
      </c>
      <c r="D29" s="92">
        <f>'Ridership-25'!$E21</f>
        <v>527426</v>
      </c>
      <c r="E29" s="92">
        <f>'Revenue Hours-25'!$E21</f>
        <v>118492</v>
      </c>
      <c r="F29" s="92">
        <f>'Revenue Miles-25'!$E21</f>
        <v>2591443</v>
      </c>
      <c r="G29" s="134">
        <f t="shared" si="0"/>
        <v>2.6570525216407369E-2</v>
      </c>
      <c r="H29" s="94">
        <f t="shared" si="1"/>
        <v>2.6570525216407372E-2</v>
      </c>
      <c r="J29" s="95">
        <f>'Ridership-25'!B21/'Revenue Hours-25'!B21</f>
        <v>9.5977192221126977</v>
      </c>
      <c r="K29" s="96">
        <f>'Ridership-25'!C21/'Revenue Hours-25'!C21</f>
        <v>3.470492023892092</v>
      </c>
      <c r="L29" s="96">
        <f>'Ridership-25'!D21/'Revenue Hours-25'!D21</f>
        <v>4.2679119210326499</v>
      </c>
      <c r="M29" s="96">
        <f>'Ridership-25'!E21/'Revenue Hours-25'!E21</f>
        <v>4.451152820443574</v>
      </c>
      <c r="N29" s="97">
        <f t="shared" si="2"/>
        <v>0.84354045251780463</v>
      </c>
      <c r="O29" s="98">
        <f t="shared" si="3"/>
        <v>2.2413312864684013E-2</v>
      </c>
      <c r="P29" s="99">
        <f t="shared" si="4"/>
        <v>2.1172776304683082E-2</v>
      </c>
      <c r="Q29" s="95">
        <f>'Ridership-25'!B21/'Revenue Miles-25'!B21</f>
        <v>0.37124438856652447</v>
      </c>
      <c r="R29" s="96">
        <f>'Ridership-25'!C21/'Revenue Miles-25'!C21</f>
        <v>0.16305901321605187</v>
      </c>
      <c r="S29" s="96">
        <f>'Ridership-25'!D21/'Revenue Miles-25'!D21</f>
        <v>0.18749795684455406</v>
      </c>
      <c r="T29" s="96">
        <f>'Ridership-25'!E21/'Revenue Miles-25'!E21</f>
        <v>0.20352598918826306</v>
      </c>
      <c r="U29" s="97">
        <f t="shared" si="5"/>
        <v>0.88782342910654022</v>
      </c>
      <c r="V29" s="98">
        <f t="shared" si="6"/>
        <v>2.3589934810792589E-2</v>
      </c>
      <c r="W29" s="99">
        <f t="shared" si="7"/>
        <v>2.2366777292704303E-2</v>
      </c>
      <c r="X29" s="95">
        <f>'Op Cost-25'!B22/'Revenue Hours-25'!B21</f>
        <v>112.24563612250527</v>
      </c>
      <c r="Y29" s="96">
        <f>'Op Cost-25'!C22/'Revenue Hours-25'!C21</f>
        <v>179.69728056645377</v>
      </c>
      <c r="Z29" s="96">
        <f>'Op Cost-25'!D22/'Revenue Hours-25'!D21</f>
        <v>158.41301948873704</v>
      </c>
      <c r="AA29" s="96">
        <f>'Op Cost-25'!E22/'Revenue Hours-25'!E21</f>
        <v>159.2898254734497</v>
      </c>
      <c r="AB29" s="97">
        <f t="shared" si="8"/>
        <v>1.0903539930795201</v>
      </c>
      <c r="AC29" s="98">
        <f t="shared" si="9"/>
        <v>2.4368714550550161E-2</v>
      </c>
      <c r="AD29" s="99">
        <f t="shared" si="10"/>
        <v>2.5995548155497986E-2</v>
      </c>
      <c r="AE29" s="95">
        <f>'Op Cost-25'!B22/'Revenue Miles-25'!B21</f>
        <v>4.3417151082679135</v>
      </c>
      <c r="AF29" s="96">
        <f>'Op Cost-25'!C22/'Revenue Miles-25'!C21</f>
        <v>8.4429703468712045</v>
      </c>
      <c r="AG29" s="96">
        <f>'Op Cost-25'!D22/'Revenue Miles-25'!D21</f>
        <v>6.9594026402794391</v>
      </c>
      <c r="AH29" s="96">
        <f>'Op Cost-25'!E22/'Revenue Miles-25'!E21</f>
        <v>7.2834208585718461</v>
      </c>
      <c r="AI29" s="97">
        <f t="shared" si="11"/>
        <v>1.1782619786185278</v>
      </c>
      <c r="AJ29" s="98">
        <f t="shared" si="12"/>
        <v>2.2550609031414568E-2</v>
      </c>
      <c r="AK29" s="99">
        <f t="shared" si="13"/>
        <v>2.3999509933851852E-2</v>
      </c>
      <c r="AL29" s="95">
        <f>'Op Cost-25'!B22/'Ridership-25'!B21</f>
        <v>11.695032280575219</v>
      </c>
      <c r="AM29" s="96">
        <f>'Op Cost-25'!C22/'Ridership-25'!C21</f>
        <v>51.778617939287642</v>
      </c>
      <c r="AN29" s="96">
        <f>'Op Cost-25'!D22/'Ridership-25'!D21</f>
        <v>37.117218541475417</v>
      </c>
      <c r="AO29" s="96">
        <f>'Op Cost-25'!E22/'Ridership-25'!E21</f>
        <v>35.786195599003463</v>
      </c>
      <c r="AP29" s="97">
        <f t="shared" si="14"/>
        <v>1.3409477845398807</v>
      </c>
      <c r="AQ29" s="98">
        <f t="shared" si="15"/>
        <v>1.9814735161760615E-2</v>
      </c>
      <c r="AR29" s="99">
        <f t="shared" si="16"/>
        <v>2.1513436617991214E-2</v>
      </c>
      <c r="AT29" s="101">
        <f t="shared" si="29"/>
        <v>0</v>
      </c>
      <c r="AU29" s="102">
        <f t="shared" si="17"/>
        <v>0</v>
      </c>
      <c r="AV29" s="102">
        <f t="shared" si="18"/>
        <v>0</v>
      </c>
      <c r="AW29" s="102">
        <f t="shared" si="19"/>
        <v>0</v>
      </c>
      <c r="AX29" s="103">
        <f t="shared" si="20"/>
        <v>0</v>
      </c>
      <c r="AY29" s="293">
        <f t="shared" si="30"/>
        <v>-1</v>
      </c>
      <c r="AZ29" s="105">
        <f t="shared" si="21"/>
        <v>0</v>
      </c>
      <c r="BA29" s="106">
        <f t="shared" si="21"/>
        <v>0</v>
      </c>
      <c r="BB29" s="106">
        <f t="shared" si="21"/>
        <v>0</v>
      </c>
      <c r="BC29" s="106">
        <f t="shared" si="21"/>
        <v>0</v>
      </c>
      <c r="BD29" s="106">
        <f t="shared" si="21"/>
        <v>0</v>
      </c>
      <c r="BE29" s="107">
        <f t="shared" si="31"/>
        <v>3247994.2996729813</v>
      </c>
      <c r="BG29" s="108">
        <f>'Op Cost-25'!E22</f>
        <v>18874570</v>
      </c>
      <c r="BH29" s="109">
        <f t="shared" si="22"/>
        <v>0.17208308849806811</v>
      </c>
      <c r="BI29" s="110">
        <f t="shared" si="23"/>
        <v>3247994.2996729813</v>
      </c>
      <c r="BJ29" s="111">
        <f t="shared" si="24"/>
        <v>0</v>
      </c>
      <c r="BK29" s="1">
        <f t="shared" si="32"/>
        <v>0.36440033088714474</v>
      </c>
      <c r="BL29" s="294">
        <f t="shared" si="33"/>
        <v>0.46395985427047082</v>
      </c>
      <c r="BM29" s="294">
        <f t="shared" si="34"/>
        <v>0.30256097687894939</v>
      </c>
      <c r="BN29" s="295">
        <f t="shared" si="35"/>
        <v>0.34554024619957929</v>
      </c>
      <c r="BO29" s="114">
        <f t="shared" si="25"/>
        <v>3247994.2996729813</v>
      </c>
      <c r="BP29" s="296">
        <f t="shared" si="36"/>
        <v>0.36440033088714474</v>
      </c>
      <c r="BQ29" s="116">
        <f t="shared" si="37"/>
        <v>9.6823081807040703E-3</v>
      </c>
      <c r="BR29" s="297">
        <f t="shared" si="38"/>
        <v>9.6823081807040703E-3</v>
      </c>
      <c r="BS29" s="117">
        <f t="shared" si="39"/>
        <v>1.0151315793685192E-2</v>
      </c>
      <c r="BT29" s="298">
        <f t="shared" si="40"/>
        <v>3335240.9456472592</v>
      </c>
      <c r="BU29" s="119">
        <f t="shared" si="41"/>
        <v>5662371</v>
      </c>
      <c r="BV29" s="119">
        <f t="shared" si="42"/>
        <v>3335240.9456472592</v>
      </c>
      <c r="BW29" s="119">
        <f t="shared" si="43"/>
        <v>0</v>
      </c>
      <c r="BX29" s="120">
        <f t="shared" si="44"/>
        <v>9.6823081807040703E-3</v>
      </c>
      <c r="BY29" s="121">
        <f t="shared" si="45"/>
        <v>1.7930574321245552E-2</v>
      </c>
      <c r="BZ29" s="299">
        <f t="shared" si="46"/>
        <v>3350452.1001753821</v>
      </c>
      <c r="CA29" s="109">
        <f t="shared" si="26"/>
        <v>2.9500587717227501E-2</v>
      </c>
      <c r="CB29" s="123">
        <f t="shared" si="57"/>
        <v>253546.17912676733</v>
      </c>
      <c r="CC29" s="111">
        <f t="shared" si="56"/>
        <v>3501540</v>
      </c>
      <c r="CE29" s="124">
        <f t="shared" si="28"/>
        <v>0</v>
      </c>
      <c r="CF29" s="17"/>
      <c r="CG29" s="108">
        <f t="shared" si="47"/>
        <v>18874570</v>
      </c>
      <c r="CH29" s="125">
        <f t="shared" si="48"/>
        <v>0.18551627931126377</v>
      </c>
      <c r="CI29" s="110">
        <f t="shared" si="49"/>
        <v>3335240.9456472592</v>
      </c>
      <c r="CJ29" s="300">
        <f t="shared" si="50"/>
        <v>0</v>
      </c>
      <c r="CL29" s="127">
        <f t="shared" si="51"/>
        <v>3335240.9456472592</v>
      </c>
      <c r="CM29" s="128">
        <f t="shared" si="52"/>
        <v>3.8808011450456842E-2</v>
      </c>
      <c r="CN29" s="129">
        <f t="shared" si="53"/>
        <v>32922.239328531054</v>
      </c>
      <c r="CO29" s="130">
        <f t="shared" si="55"/>
        <v>3368163</v>
      </c>
      <c r="CQ29" s="131">
        <f t="shared" si="54"/>
        <v>0.1775114400050111</v>
      </c>
      <c r="CR29" s="301"/>
    </row>
    <row r="30" spans="1:96">
      <c r="A30" s="133" t="s">
        <v>104</v>
      </c>
      <c r="B30" s="90" t="s">
        <v>106</v>
      </c>
      <c r="C30" s="91">
        <f>'Sizing - Reimb Exp-25'!B23</f>
        <v>23750125</v>
      </c>
      <c r="D30" s="92">
        <f>'Ridership-25'!$E22</f>
        <v>2106063</v>
      </c>
      <c r="E30" s="92">
        <f>'Revenue Hours-25'!$E22</f>
        <v>216250</v>
      </c>
      <c r="F30" s="92">
        <f>'Revenue Miles-25'!$E22</f>
        <v>2205880</v>
      </c>
      <c r="G30" s="134">
        <f t="shared" si="0"/>
        <v>4.384667664976441E-2</v>
      </c>
      <c r="H30" s="94">
        <f t="shared" si="1"/>
        <v>4.3846676649764417E-2</v>
      </c>
      <c r="J30" s="95">
        <f>'Ridership-25'!B22/'Revenue Hours-25'!B22</f>
        <v>12.903471027599291</v>
      </c>
      <c r="K30" s="96">
        <f>'Ridership-25'!C22/'Revenue Hours-25'!C22</f>
        <v>7.8216167510040826</v>
      </c>
      <c r="L30" s="96">
        <f>'Ridership-25'!D22/'Revenue Hours-25'!D22</f>
        <v>8.8817225863249529</v>
      </c>
      <c r="M30" s="96">
        <f>'Ridership-25'!E22/'Revenue Hours-25'!E22</f>
        <v>9.7390196531791915</v>
      </c>
      <c r="N30" s="97">
        <f t="shared" si="2"/>
        <v>0.99278724982653765</v>
      </c>
      <c r="O30" s="98">
        <f t="shared" si="3"/>
        <v>4.353042152515308E-2</v>
      </c>
      <c r="P30" s="99">
        <f t="shared" si="4"/>
        <v>4.1121090976821165E-2</v>
      </c>
      <c r="Q30" s="95">
        <f>'Ridership-25'!B22/'Revenue Miles-25'!B22</f>
        <v>1.2587048387152435</v>
      </c>
      <c r="R30" s="96">
        <f>'Ridership-25'!C22/'Revenue Miles-25'!C22</f>
        <v>0.78433143162528551</v>
      </c>
      <c r="S30" s="96">
        <f>'Ridership-25'!D22/'Revenue Miles-25'!D22</f>
        <v>0.87157122671755427</v>
      </c>
      <c r="T30" s="96">
        <f>'Ridership-25'!E22/'Revenue Miles-25'!E22</f>
        <v>0.95474957839955032</v>
      </c>
      <c r="U30" s="97">
        <f t="shared" si="5"/>
        <v>0.99791433128261009</v>
      </c>
      <c r="V30" s="98">
        <f t="shared" si="6"/>
        <v>4.3755227007914496E-2</v>
      </c>
      <c r="W30" s="99">
        <f t="shared" si="7"/>
        <v>4.1486482507361457E-2</v>
      </c>
      <c r="X30" s="95">
        <f>'Op Cost-25'!B23/'Revenue Hours-25'!B22</f>
        <v>70.784446046283321</v>
      </c>
      <c r="Y30" s="96">
        <f>'Op Cost-25'!C23/'Revenue Hours-25'!C22</f>
        <v>115.12446224595757</v>
      </c>
      <c r="Z30" s="96">
        <f>'Op Cost-25'!D23/'Revenue Hours-25'!D22</f>
        <v>128.33355179497212</v>
      </c>
      <c r="AA30" s="96">
        <f>'Op Cost-25'!E23/'Revenue Hours-25'!E22</f>
        <v>109.8271676300578</v>
      </c>
      <c r="AB30" s="97">
        <f t="shared" si="8"/>
        <v>1.1212511733586463</v>
      </c>
      <c r="AC30" s="98">
        <f t="shared" si="9"/>
        <v>3.9105133347084133E-2</v>
      </c>
      <c r="AD30" s="99">
        <f t="shared" si="10"/>
        <v>4.1715757100874461E-2</v>
      </c>
      <c r="AE30" s="95">
        <f>'Op Cost-25'!B23/'Revenue Miles-25'!B22</f>
        <v>6.9048649432129956</v>
      </c>
      <c r="AF30" s="96">
        <f>'Op Cost-25'!C23/'Revenue Miles-25'!C22</f>
        <v>11.544382339734495</v>
      </c>
      <c r="AG30" s="96">
        <f>'Op Cost-25'!D23/'Revenue Miles-25'!D22</f>
        <v>12.593483986899244</v>
      </c>
      <c r="AH30" s="96">
        <f>'Op Cost-25'!E23/'Revenue Miles-25'!E22</f>
        <v>10.766734817850473</v>
      </c>
      <c r="AI30" s="97">
        <f t="shared" si="11"/>
        <v>1.1272229978943926</v>
      </c>
      <c r="AJ30" s="98">
        <f t="shared" si="12"/>
        <v>3.8897961389776692E-2</v>
      </c>
      <c r="AK30" s="99">
        <f t="shared" si="13"/>
        <v>4.1397197276581595E-2</v>
      </c>
      <c r="AL30" s="95">
        <f>'Op Cost-25'!B23/'Ridership-25'!B22</f>
        <v>5.485690315023156</v>
      </c>
      <c r="AM30" s="96">
        <f>'Op Cost-25'!C23/'Ridership-25'!C22</f>
        <v>14.718755202519828</v>
      </c>
      <c r="AN30" s="96">
        <f>'Op Cost-25'!D23/'Ridership-25'!D22</f>
        <v>14.449173631313958</v>
      </c>
      <c r="AO30" s="96">
        <f>'Op Cost-25'!E23/'Ridership-25'!E22</f>
        <v>11.277024951295379</v>
      </c>
      <c r="AP30" s="97">
        <f t="shared" si="14"/>
        <v>1.1311670338589401</v>
      </c>
      <c r="AQ30" s="98">
        <f t="shared" si="15"/>
        <v>3.8762336009901983E-2</v>
      </c>
      <c r="AR30" s="99">
        <f t="shared" si="16"/>
        <v>4.20854001886245E-2</v>
      </c>
      <c r="AT30" s="101">
        <f t="shared" si="29"/>
        <v>0</v>
      </c>
      <c r="AU30" s="102">
        <f t="shared" si="17"/>
        <v>0</v>
      </c>
      <c r="AV30" s="102">
        <f t="shared" si="18"/>
        <v>0</v>
      </c>
      <c r="AW30" s="102">
        <f t="shared" si="19"/>
        <v>0</v>
      </c>
      <c r="AX30" s="103">
        <f t="shared" si="20"/>
        <v>0</v>
      </c>
      <c r="AY30" s="293">
        <f t="shared" si="30"/>
        <v>-1</v>
      </c>
      <c r="AZ30" s="105">
        <f t="shared" si="21"/>
        <v>0</v>
      </c>
      <c r="BA30" s="106">
        <f t="shared" si="21"/>
        <v>0</v>
      </c>
      <c r="BB30" s="106">
        <f t="shared" si="21"/>
        <v>0</v>
      </c>
      <c r="BC30" s="106">
        <f t="shared" si="21"/>
        <v>0</v>
      </c>
      <c r="BD30" s="106">
        <f t="shared" si="21"/>
        <v>0</v>
      </c>
      <c r="BE30" s="107">
        <f t="shared" si="31"/>
        <v>5359839.6967365313</v>
      </c>
      <c r="BG30" s="108">
        <f>'Op Cost-25'!E23</f>
        <v>23750125</v>
      </c>
      <c r="BH30" s="109">
        <f t="shared" si="22"/>
        <v>0.2256762731453637</v>
      </c>
      <c r="BI30" s="110">
        <f t="shared" si="23"/>
        <v>5359839.6967365313</v>
      </c>
      <c r="BJ30" s="111">
        <f t="shared" si="24"/>
        <v>0</v>
      </c>
      <c r="BK30" s="1">
        <f t="shared" si="32"/>
        <v>1.1394046888170006</v>
      </c>
      <c r="BL30" s="294">
        <f t="shared" si="33"/>
        <v>1.0090922922875845</v>
      </c>
      <c r="BM30" s="294">
        <f t="shared" si="34"/>
        <v>1.4281611204696791</v>
      </c>
      <c r="BN30" s="295">
        <f t="shared" si="35"/>
        <v>1.0601826712553695</v>
      </c>
      <c r="BO30" s="114">
        <f t="shared" si="25"/>
        <v>5359839.6967365313</v>
      </c>
      <c r="BP30" s="296">
        <f t="shared" si="36"/>
        <v>1.1394046888170006</v>
      </c>
      <c r="BQ30" s="116">
        <f t="shared" si="37"/>
        <v>4.9959108963784471E-2</v>
      </c>
      <c r="BR30" s="297">
        <f t="shared" si="38"/>
        <v>4.9959108963784471E-2</v>
      </c>
      <c r="BS30" s="302">
        <f t="shared" si="39"/>
        <v>5.2379110682844031E-2</v>
      </c>
      <c r="BT30" s="298">
        <f t="shared" si="40"/>
        <v>5810017.9612169266</v>
      </c>
      <c r="BU30" s="119">
        <f t="shared" si="41"/>
        <v>7125037.5</v>
      </c>
      <c r="BV30" s="119">
        <f t="shared" si="42"/>
        <v>5810017.9612169266</v>
      </c>
      <c r="BW30" s="119">
        <f t="shared" si="43"/>
        <v>0</v>
      </c>
      <c r="BX30" s="120">
        <f t="shared" si="44"/>
        <v>4.9959108963784471E-2</v>
      </c>
      <c r="BY30" s="121">
        <f t="shared" si="45"/>
        <v>9.2518798160502527E-2</v>
      </c>
      <c r="BZ30" s="299">
        <f t="shared" si="46"/>
        <v>5888505.0029793372</v>
      </c>
      <c r="CA30" s="109">
        <f t="shared" si="26"/>
        <v>4.8681865340642373E-2</v>
      </c>
      <c r="CB30" s="123">
        <f t="shared" si="57"/>
        <v>418401.86603047431</v>
      </c>
      <c r="CC30" s="111">
        <f t="shared" si="56"/>
        <v>5778242</v>
      </c>
      <c r="CE30" s="124">
        <f t="shared" si="28"/>
        <v>0</v>
      </c>
      <c r="CF30" s="17"/>
      <c r="CG30" s="108">
        <f t="shared" si="47"/>
        <v>23750125</v>
      </c>
      <c r="CH30" s="125">
        <f t="shared" si="48"/>
        <v>0.24329311950989732</v>
      </c>
      <c r="CI30" s="110">
        <f t="shared" si="49"/>
        <v>5810017.9612169266</v>
      </c>
      <c r="CJ30" s="300">
        <f t="shared" si="50"/>
        <v>0</v>
      </c>
      <c r="CL30" s="127">
        <f t="shared" si="51"/>
        <v>5810017.9612169266</v>
      </c>
      <c r="CM30" s="128">
        <f t="shared" si="52"/>
        <v>6.760388446913515E-2</v>
      </c>
      <c r="CN30" s="129">
        <f t="shared" si="53"/>
        <v>57350.81960776505</v>
      </c>
      <c r="CO30" s="130">
        <f t="shared" si="55"/>
        <v>5867369</v>
      </c>
      <c r="CQ30" s="131">
        <f t="shared" si="54"/>
        <v>0.24793574783203615</v>
      </c>
      <c r="CR30" s="301"/>
    </row>
    <row r="31" spans="1:96">
      <c r="A31" s="133" t="s">
        <v>104</v>
      </c>
      <c r="B31" s="90" t="s">
        <v>107</v>
      </c>
      <c r="C31" s="91">
        <f>'Sizing - Reimb Exp-25'!B24</f>
        <v>31898625</v>
      </c>
      <c r="D31" s="92">
        <f>'Ridership-25'!$E23</f>
        <v>4580046</v>
      </c>
      <c r="E31" s="92">
        <f>'Revenue Hours-25'!$E23</f>
        <v>310607</v>
      </c>
      <c r="F31" s="92">
        <f>'Revenue Miles-25'!$E23</f>
        <v>3036654</v>
      </c>
      <c r="G31" s="134">
        <f t="shared" si="0"/>
        <v>7.2685784455415361E-2</v>
      </c>
      <c r="H31" s="94">
        <f t="shared" si="1"/>
        <v>7.2685784455415375E-2</v>
      </c>
      <c r="J31" s="95">
        <f>'Ridership-25'!B23/'Revenue Hours-25'!B23</f>
        <v>15.892603773584906</v>
      </c>
      <c r="K31" s="96">
        <f>'Ridership-25'!C23/'Revenue Hours-25'!C23</f>
        <v>7.2218469159098948</v>
      </c>
      <c r="L31" s="96">
        <f>'Ridership-25'!D23/'Revenue Hours-25'!D23</f>
        <v>11.021126607734487</v>
      </c>
      <c r="M31" s="96">
        <f>'Ridership-25'!E23/'Revenue Hours-25'!E23</f>
        <v>14.745469355165852</v>
      </c>
      <c r="N31" s="97">
        <f t="shared" si="2"/>
        <v>1.0626677883283782</v>
      </c>
      <c r="O31" s="98">
        <f t="shared" si="3"/>
        <v>7.7240841810149466E-2</v>
      </c>
      <c r="P31" s="99">
        <f t="shared" si="4"/>
        <v>7.2965700122294835E-2</v>
      </c>
      <c r="Q31" s="95">
        <f>'Ridership-25'!B23/'Revenue Miles-25'!B23</f>
        <v>1.6926824335930128</v>
      </c>
      <c r="R31" s="96">
        <f>'Ridership-25'!C23/'Revenue Miles-25'!C23</f>
        <v>0.80452628182287345</v>
      </c>
      <c r="S31" s="96">
        <f>'Ridership-25'!D23/'Revenue Miles-25'!D23</f>
        <v>1.2173072182855937</v>
      </c>
      <c r="T31" s="96">
        <f>'Ridership-25'!E23/'Revenue Miles-25'!E23</f>
        <v>1.5082541507857004</v>
      </c>
      <c r="U31" s="97">
        <f t="shared" si="5"/>
        <v>1.0498988916910428</v>
      </c>
      <c r="V31" s="98">
        <f t="shared" si="6"/>
        <v>7.6312724541434632E-2</v>
      </c>
      <c r="W31" s="99">
        <f t="shared" si="7"/>
        <v>7.2355847021537828E-2</v>
      </c>
      <c r="X31" s="95">
        <f>'Op Cost-25'!B24/'Revenue Hours-25'!B23</f>
        <v>83.128810327706063</v>
      </c>
      <c r="Y31" s="96">
        <f>'Op Cost-25'!C24/'Revenue Hours-25'!C23</f>
        <v>113.69054841372804</v>
      </c>
      <c r="Z31" s="96">
        <f>'Op Cost-25'!D24/'Revenue Hours-25'!D23</f>
        <v>98.632543150219192</v>
      </c>
      <c r="AA31" s="96">
        <f>'Op Cost-25'!E24/'Revenue Hours-25'!E23</f>
        <v>103.11566062580688</v>
      </c>
      <c r="AB31" s="97">
        <f t="shared" si="8"/>
        <v>1.0363020583866838</v>
      </c>
      <c r="AC31" s="98">
        <f t="shared" si="9"/>
        <v>7.0139573560794324E-2</v>
      </c>
      <c r="AD31" s="99">
        <f t="shared" si="10"/>
        <v>7.4822028807611352E-2</v>
      </c>
      <c r="AE31" s="95">
        <f>'Op Cost-25'!B24/'Revenue Miles-25'!B23</f>
        <v>8.8538466680374093</v>
      </c>
      <c r="AF31" s="96">
        <f>'Op Cost-25'!C24/'Revenue Miles-25'!C23</f>
        <v>12.665324432756394</v>
      </c>
      <c r="AG31" s="96">
        <f>'Op Cost-25'!D24/'Revenue Miles-25'!D23</f>
        <v>10.894177247756708</v>
      </c>
      <c r="AH31" s="96">
        <f>'Op Cost-25'!E24/'Revenue Miles-25'!E23</f>
        <v>10.547281975490128</v>
      </c>
      <c r="AI31" s="97">
        <f t="shared" si="11"/>
        <v>1.0241555778199913</v>
      </c>
      <c r="AJ31" s="98">
        <f t="shared" si="12"/>
        <v>7.0971428589134578E-2</v>
      </c>
      <c r="AK31" s="99">
        <f t="shared" si="13"/>
        <v>7.5531419265519872E-2</v>
      </c>
      <c r="AL31" s="95">
        <f>'Op Cost-25'!B24/'Ridership-25'!B23</f>
        <v>5.2306602185523836</v>
      </c>
      <c r="AM31" s="96">
        <f>'Op Cost-25'!C24/'Ridership-25'!C23</f>
        <v>15.742586313102974</v>
      </c>
      <c r="AN31" s="96">
        <f>'Op Cost-25'!D24/'Ridership-25'!D23</f>
        <v>8.9494065952386492</v>
      </c>
      <c r="AO31" s="96">
        <f>'Op Cost-25'!E24/'Ridership-25'!E23</f>
        <v>6.9930402445739626</v>
      </c>
      <c r="AP31" s="97">
        <f t="shared" si="14"/>
        <v>1.0002872892817887</v>
      </c>
      <c r="AQ31" s="98">
        <f t="shared" si="15"/>
        <v>7.2664908606010714E-2</v>
      </c>
      <c r="AR31" s="99">
        <f t="shared" si="16"/>
        <v>7.8894413318448459E-2</v>
      </c>
      <c r="AT31" s="101">
        <f t="shared" si="29"/>
        <v>0</v>
      </c>
      <c r="AU31" s="102">
        <f t="shared" si="17"/>
        <v>0</v>
      </c>
      <c r="AV31" s="102">
        <f t="shared" si="18"/>
        <v>0</v>
      </c>
      <c r="AW31" s="102">
        <f t="shared" si="19"/>
        <v>0</v>
      </c>
      <c r="AX31" s="103">
        <f t="shared" si="20"/>
        <v>0</v>
      </c>
      <c r="AY31" s="293">
        <f t="shared" si="30"/>
        <v>-1</v>
      </c>
      <c r="AZ31" s="105">
        <f t="shared" si="21"/>
        <v>0</v>
      </c>
      <c r="BA31" s="106">
        <f t="shared" si="21"/>
        <v>0</v>
      </c>
      <c r="BB31" s="106">
        <f t="shared" si="21"/>
        <v>0</v>
      </c>
      <c r="BC31" s="106">
        <f t="shared" si="21"/>
        <v>0</v>
      </c>
      <c r="BD31" s="106">
        <f t="shared" si="21"/>
        <v>0</v>
      </c>
      <c r="BE31" s="107">
        <f t="shared" si="31"/>
        <v>8885146.667430805</v>
      </c>
      <c r="BG31" s="108">
        <f>'Op Cost-25'!E24</f>
        <v>32028446</v>
      </c>
      <c r="BH31" s="109">
        <f t="shared" si="22"/>
        <v>0.27741422944562483</v>
      </c>
      <c r="BI31" s="110">
        <f t="shared" si="23"/>
        <v>8885146.667430805</v>
      </c>
      <c r="BJ31" s="111">
        <f t="shared" si="24"/>
        <v>0</v>
      </c>
      <c r="BK31" s="1">
        <f t="shared" si="32"/>
        <v>1.4891327757088955</v>
      </c>
      <c r="BL31" s="294">
        <f t="shared" si="33"/>
        <v>1.215861405442985</v>
      </c>
      <c r="BM31" s="294">
        <f t="shared" si="34"/>
        <v>1.8764312502052896</v>
      </c>
      <c r="BN31" s="295">
        <f t="shared" si="35"/>
        <v>1.4321192235936533</v>
      </c>
      <c r="BO31" s="114">
        <f t="shared" si="25"/>
        <v>8885146.667430805</v>
      </c>
      <c r="BP31" s="296">
        <f t="shared" si="36"/>
        <v>1.4891327757088955</v>
      </c>
      <c r="BQ31" s="116">
        <f t="shared" si="37"/>
        <v>0.10823878396067119</v>
      </c>
      <c r="BR31" s="297">
        <f t="shared" si="38"/>
        <v>0.10823878396067119</v>
      </c>
      <c r="BS31" s="302">
        <f t="shared" si="39"/>
        <v>0.11348183269966332</v>
      </c>
      <c r="BT31" s="298">
        <f t="shared" si="40"/>
        <v>9860479.2729063276</v>
      </c>
      <c r="BU31" s="119">
        <f t="shared" si="41"/>
        <v>9608533.7999999989</v>
      </c>
      <c r="BV31" s="119">
        <f t="shared" si="42"/>
        <v>9608533.7999999989</v>
      </c>
      <c r="BW31" s="119">
        <f t="shared" si="43"/>
        <v>251945.47290632874</v>
      </c>
      <c r="BX31" s="120">
        <f t="shared" si="44"/>
        <v>0</v>
      </c>
      <c r="BY31" s="121">
        <f t="shared" si="45"/>
        <v>0</v>
      </c>
      <c r="BZ31" s="299">
        <f t="shared" si="46"/>
        <v>9608533.7999999989</v>
      </c>
      <c r="CA31" s="109">
        <f t="shared" si="26"/>
        <v>8.0701203407088765E-2</v>
      </c>
      <c r="CB31" s="123">
        <f t="shared" si="57"/>
        <v>693595.73344535416</v>
      </c>
      <c r="CC31" s="111">
        <f t="shared" si="56"/>
        <v>9578742</v>
      </c>
      <c r="CE31" s="124">
        <f t="shared" si="28"/>
        <v>0</v>
      </c>
      <c r="CF31" s="17"/>
      <c r="CG31" s="108">
        <f t="shared" si="47"/>
        <v>32028446</v>
      </c>
      <c r="CH31" s="125">
        <f t="shared" si="48"/>
        <v>0.29906983311022955</v>
      </c>
      <c r="CI31" s="110">
        <f t="shared" si="49"/>
        <v>9608533.7999999989</v>
      </c>
      <c r="CJ31" s="300">
        <f t="shared" si="50"/>
        <v>251945.47290632874</v>
      </c>
      <c r="CL31" s="127">
        <f t="shared" si="51"/>
        <v>0</v>
      </c>
      <c r="CM31" s="128">
        <f t="shared" si="52"/>
        <v>0</v>
      </c>
      <c r="CN31" s="129">
        <f t="shared" si="53"/>
        <v>0</v>
      </c>
      <c r="CO31" s="130">
        <f t="shared" si="55"/>
        <v>9608534</v>
      </c>
      <c r="CQ31" s="131">
        <f t="shared" si="54"/>
        <v>0.3</v>
      </c>
      <c r="CR31" s="301"/>
    </row>
    <row r="32" spans="1:96">
      <c r="A32" s="133" t="s">
        <v>104</v>
      </c>
      <c r="B32" s="90" t="s">
        <v>108</v>
      </c>
      <c r="C32" s="91">
        <f>'Sizing - Reimb Exp-25'!B25</f>
        <v>5328325</v>
      </c>
      <c r="D32" s="92">
        <f>'Ridership-25'!$E24</f>
        <v>847511</v>
      </c>
      <c r="E32" s="92">
        <f>'Revenue Hours-25'!$E24</f>
        <v>34638</v>
      </c>
      <c r="F32" s="92">
        <f>'Revenue Miles-25'!$E24</f>
        <v>439291</v>
      </c>
      <c r="G32" s="134">
        <f t="shared" si="0"/>
        <v>1.2012856017456658E-2</v>
      </c>
      <c r="H32" s="94">
        <f t="shared" si="1"/>
        <v>1.201285601745666E-2</v>
      </c>
      <c r="J32" s="95">
        <f>'Ridership-25'!B24/'Revenue Hours-25'!B24</f>
        <v>17.559390774078722</v>
      </c>
      <c r="K32" s="96">
        <f>'Ridership-25'!C24/'Revenue Hours-25'!C24</f>
        <v>9.5356184364060681</v>
      </c>
      <c r="L32" s="96">
        <f>'Ridership-25'!D24/'Revenue Hours-25'!D24</f>
        <v>13.465131541402728</v>
      </c>
      <c r="M32" s="96">
        <f>'Ridership-25'!E24/'Revenue Hours-25'!E24</f>
        <v>24.467665569605636</v>
      </c>
      <c r="N32" s="97">
        <f t="shared" si="2"/>
        <v>1.2242812771624043</v>
      </c>
      <c r="O32" s="98">
        <f t="shared" si="3"/>
        <v>1.4707114707419913E-2</v>
      </c>
      <c r="P32" s="99">
        <f t="shared" si="4"/>
        <v>1.3893102356955227E-2</v>
      </c>
      <c r="Q32" s="95">
        <f>'Ridership-25'!B24/'Revenue Miles-25'!B24</f>
        <v>1.3807895890071515</v>
      </c>
      <c r="R32" s="96">
        <f>'Ridership-25'!C24/'Revenue Miles-25'!C24</f>
        <v>0.74451206457520036</v>
      </c>
      <c r="S32" s="96">
        <f>'Ridership-25'!D24/'Revenue Miles-25'!D24</f>
        <v>1.0865963144527517</v>
      </c>
      <c r="T32" s="96">
        <f>'Ridership-25'!E24/'Revenue Miles-25'!E24</f>
        <v>1.9292701193514095</v>
      </c>
      <c r="U32" s="97">
        <f t="shared" si="5"/>
        <v>1.2259407232504442</v>
      </c>
      <c r="V32" s="98">
        <f t="shared" si="6"/>
        <v>1.4727049394344268E-2</v>
      </c>
      <c r="W32" s="99">
        <f t="shared" si="7"/>
        <v>1.3963439773104092E-2</v>
      </c>
      <c r="X32" s="95">
        <f>'Op Cost-25'!B25/'Revenue Hours-25'!B24</f>
        <v>115.9866367111137</v>
      </c>
      <c r="Y32" s="96">
        <f>'Op Cost-25'!C25/'Revenue Hours-25'!C24</f>
        <v>133.20037922987166</v>
      </c>
      <c r="Z32" s="96">
        <f>'Op Cost-25'!D25/'Revenue Hours-25'!D24</f>
        <v>152.54685270786965</v>
      </c>
      <c r="AA32" s="96">
        <f>'Op Cost-25'!E25/'Revenue Hours-25'!E24</f>
        <v>153.82888734915412</v>
      </c>
      <c r="AB32" s="97">
        <f t="shared" si="8"/>
        <v>1.0555488667259996</v>
      </c>
      <c r="AC32" s="98">
        <f t="shared" si="9"/>
        <v>1.138067255447584E-2</v>
      </c>
      <c r="AD32" s="99">
        <f t="shared" si="10"/>
        <v>1.2140436083246409E-2</v>
      </c>
      <c r="AE32" s="95">
        <f>'Op Cost-25'!B25/'Revenue Miles-25'!B24</f>
        <v>9.1206547251673182</v>
      </c>
      <c r="AF32" s="96">
        <f>'Op Cost-25'!C25/'Revenue Miles-25'!C24</f>
        <v>10.399880196968939</v>
      </c>
      <c r="AG32" s="96">
        <f>'Op Cost-25'!D25/'Revenue Miles-25'!D24</f>
        <v>12.310080107577638</v>
      </c>
      <c r="AH32" s="96">
        <f>'Op Cost-25'!E25/'Revenue Miles-25'!E24</f>
        <v>12.129374378259513</v>
      </c>
      <c r="AI32" s="97">
        <f t="shared" si="11"/>
        <v>1.0624696456281881</v>
      </c>
      <c r="AJ32" s="98">
        <f t="shared" si="12"/>
        <v>1.1306540442719214E-2</v>
      </c>
      <c r="AK32" s="99">
        <f t="shared" si="13"/>
        <v>1.2032997835868914E-2</v>
      </c>
      <c r="AL32" s="95">
        <f>'Op Cost-25'!B25/'Ridership-25'!B24</f>
        <v>6.6053907110680559</v>
      </c>
      <c r="AM32" s="96">
        <f>'Op Cost-25'!C25/'Ridership-25'!C24</f>
        <v>13.968719503427852</v>
      </c>
      <c r="AN32" s="96">
        <f>'Op Cost-25'!D25/'Ridership-25'!D24</f>
        <v>11.329028033541075</v>
      </c>
      <c r="AO32" s="96">
        <f>'Op Cost-25'!E25/'Ridership-25'!E24</f>
        <v>6.2870275430053413</v>
      </c>
      <c r="AP32" s="100">
        <f t="shared" si="14"/>
        <v>0.88176517012639621</v>
      </c>
      <c r="AQ32" s="98">
        <f t="shared" si="15"/>
        <v>1.362364541540542E-2</v>
      </c>
      <c r="AR32" s="99">
        <f t="shared" si="16"/>
        <v>1.4791589680993183E-2</v>
      </c>
      <c r="AT32" s="101">
        <f t="shared" si="29"/>
        <v>0</v>
      </c>
      <c r="AU32" s="102">
        <f t="shared" si="17"/>
        <v>0</v>
      </c>
      <c r="AV32" s="102">
        <f t="shared" si="18"/>
        <v>0</v>
      </c>
      <c r="AW32" s="102">
        <f t="shared" si="19"/>
        <v>0</v>
      </c>
      <c r="AX32" s="103">
        <f t="shared" si="20"/>
        <v>0</v>
      </c>
      <c r="AY32" s="293">
        <f t="shared" si="30"/>
        <v>-1</v>
      </c>
      <c r="AZ32" s="105">
        <f t="shared" si="21"/>
        <v>0</v>
      </c>
      <c r="BA32" s="106">
        <f t="shared" si="21"/>
        <v>0</v>
      </c>
      <c r="BB32" s="106">
        <f t="shared" si="21"/>
        <v>0</v>
      </c>
      <c r="BC32" s="106">
        <f t="shared" si="21"/>
        <v>0</v>
      </c>
      <c r="BD32" s="106">
        <f t="shared" si="21"/>
        <v>0</v>
      </c>
      <c r="BE32" s="107">
        <f t="shared" si="31"/>
        <v>1468457.531407696</v>
      </c>
      <c r="BG32" s="108">
        <f>'Op Cost-25'!E25</f>
        <v>5328325</v>
      </c>
      <c r="BH32" s="109">
        <f t="shared" si="22"/>
        <v>0.27559458768143758</v>
      </c>
      <c r="BI32" s="110">
        <f t="shared" si="23"/>
        <v>1468457.531407696</v>
      </c>
      <c r="BJ32" s="111">
        <f t="shared" si="24"/>
        <v>0</v>
      </c>
      <c r="BK32" s="1">
        <f t="shared" si="32"/>
        <v>1.6334725798386767</v>
      </c>
      <c r="BL32" s="294">
        <f t="shared" si="33"/>
        <v>1.7205639161822599</v>
      </c>
      <c r="BM32" s="294">
        <f t="shared" si="34"/>
        <v>1.9546971648033509</v>
      </c>
      <c r="BN32" s="295">
        <f t="shared" si="35"/>
        <v>1.4293146191845478</v>
      </c>
      <c r="BO32" s="114">
        <f t="shared" si="25"/>
        <v>1468457.531407696</v>
      </c>
      <c r="BP32" s="296">
        <f t="shared" si="36"/>
        <v>1.6334725798386767</v>
      </c>
      <c r="BQ32" s="116">
        <f t="shared" si="37"/>
        <v>1.96226709100655E-2</v>
      </c>
      <c r="BR32" s="297">
        <f t="shared" si="38"/>
        <v>1.96226709100655E-2</v>
      </c>
      <c r="BS32" s="117">
        <f t="shared" si="39"/>
        <v>2.0573186207872792E-2</v>
      </c>
      <c r="BT32" s="298">
        <f t="shared" si="40"/>
        <v>1645276.1360222581</v>
      </c>
      <c r="BU32" s="119">
        <f t="shared" si="41"/>
        <v>1598497.5</v>
      </c>
      <c r="BV32" s="119">
        <f t="shared" si="42"/>
        <v>1598497.5</v>
      </c>
      <c r="BW32" s="119">
        <f t="shared" si="43"/>
        <v>46778.636022258084</v>
      </c>
      <c r="BX32" s="120">
        <f t="shared" si="44"/>
        <v>0</v>
      </c>
      <c r="BY32" s="121">
        <f t="shared" si="45"/>
        <v>0</v>
      </c>
      <c r="BZ32" s="299">
        <f t="shared" si="46"/>
        <v>1598497.5</v>
      </c>
      <c r="CA32" s="109">
        <f t="shared" si="26"/>
        <v>1.3337572734865246E-2</v>
      </c>
      <c r="CB32" s="123">
        <f t="shared" si="57"/>
        <v>114631.29610043738</v>
      </c>
      <c r="CC32" s="111">
        <f t="shared" si="56"/>
        <v>1583089</v>
      </c>
      <c r="CE32" s="124">
        <f t="shared" si="28"/>
        <v>0</v>
      </c>
      <c r="CF32" s="17"/>
      <c r="CG32" s="108">
        <f t="shared" si="47"/>
        <v>5328325</v>
      </c>
      <c r="CH32" s="125">
        <f t="shared" si="48"/>
        <v>0.29710819066029193</v>
      </c>
      <c r="CI32" s="110">
        <f t="shared" si="49"/>
        <v>1598497.5</v>
      </c>
      <c r="CJ32" s="300">
        <f t="shared" si="50"/>
        <v>46778.636022258084</v>
      </c>
      <c r="CL32" s="127">
        <f t="shared" si="51"/>
        <v>0</v>
      </c>
      <c r="CM32" s="128">
        <f t="shared" si="52"/>
        <v>0</v>
      </c>
      <c r="CN32" s="129">
        <f t="shared" si="53"/>
        <v>0</v>
      </c>
      <c r="CO32" s="130">
        <f t="shared" si="55"/>
        <v>1598498</v>
      </c>
      <c r="CQ32" s="131">
        <f t="shared" si="54"/>
        <v>0.3</v>
      </c>
      <c r="CR32" s="301"/>
    </row>
    <row r="33" spans="1:96">
      <c r="A33" s="133" t="s">
        <v>104</v>
      </c>
      <c r="B33" s="90" t="s">
        <v>109</v>
      </c>
      <c r="C33" s="91">
        <f>'Sizing - Reimb Exp-25'!B26</f>
        <v>108069575</v>
      </c>
      <c r="D33" s="92">
        <f>'Ridership-25'!$E25</f>
        <v>8365287</v>
      </c>
      <c r="E33" s="92">
        <f>'Revenue Hours-25'!$E25</f>
        <v>848788</v>
      </c>
      <c r="F33" s="92">
        <f>'Revenue Miles-25'!$E25</f>
        <v>11068404</v>
      </c>
      <c r="G33" s="134">
        <f t="shared" si="0"/>
        <v>0.18842659681657439</v>
      </c>
      <c r="H33" s="94">
        <f t="shared" si="1"/>
        <v>0.18842659681657442</v>
      </c>
      <c r="J33" s="95">
        <f>'Ridership-25'!B25/'Revenue Hours-25'!B25</f>
        <v>10.935817531005453</v>
      </c>
      <c r="K33" s="96">
        <f>'Ridership-25'!C25/'Revenue Hours-25'!C25</f>
        <v>5.8735316212753474</v>
      </c>
      <c r="L33" s="96">
        <f>'Ridership-25'!D25/'Revenue Hours-25'!D25</f>
        <v>6.1587343955565519</v>
      </c>
      <c r="M33" s="96">
        <f>'Ridership-25'!E25/'Revenue Hours-25'!E25</f>
        <v>9.8555669967058908</v>
      </c>
      <c r="N33" s="97">
        <f t="shared" si="2"/>
        <v>1.0659076257589852</v>
      </c>
      <c r="O33" s="98">
        <f t="shared" si="3"/>
        <v>0.20084534644260041</v>
      </c>
      <c r="P33" s="99">
        <f t="shared" si="4"/>
        <v>0.18972891770793143</v>
      </c>
      <c r="Q33" s="95">
        <f>'Ridership-25'!B25/'Revenue Miles-25'!B25</f>
        <v>0.82322383518472986</v>
      </c>
      <c r="R33" s="96">
        <f>'Ridership-25'!C25/'Revenue Miles-25'!C25</f>
        <v>0.454872375587629</v>
      </c>
      <c r="S33" s="96">
        <f>'Ridership-25'!D25/'Revenue Miles-25'!D25</f>
        <v>0.47446458788106716</v>
      </c>
      <c r="T33" s="96">
        <f>'Ridership-25'!E25/'Revenue Miles-25'!E25</f>
        <v>0.7557807792342961</v>
      </c>
      <c r="U33" s="97">
        <f t="shared" si="5"/>
        <v>1.0732650953909619</v>
      </c>
      <c r="V33" s="98">
        <f t="shared" si="6"/>
        <v>0.20223168940653508</v>
      </c>
      <c r="W33" s="99">
        <f t="shared" si="7"/>
        <v>0.19174581001444244</v>
      </c>
      <c r="X33" s="95">
        <f>'Op Cost-25'!B26/'Revenue Hours-25'!B25</f>
        <v>111.12397982480542</v>
      </c>
      <c r="Y33" s="96">
        <f>'Op Cost-25'!C26/'Revenue Hours-25'!C25</f>
        <v>123.96447205256577</v>
      </c>
      <c r="Z33" s="96">
        <f>'Op Cost-25'!D26/'Revenue Hours-25'!D25</f>
        <v>123.17011468072208</v>
      </c>
      <c r="AA33" s="96">
        <f>'Op Cost-25'!E26/'Revenue Hours-25'!E25</f>
        <v>127.77476943594867</v>
      </c>
      <c r="AB33" s="97">
        <f t="shared" si="8"/>
        <v>1.0065131598163113</v>
      </c>
      <c r="AC33" s="98">
        <f t="shared" si="9"/>
        <v>0.1872072858450875</v>
      </c>
      <c r="AD33" s="99">
        <f t="shared" si="10"/>
        <v>0.19970507693998077</v>
      </c>
      <c r="AE33" s="95">
        <f>'Op Cost-25'!B26/'Revenue Miles-25'!B25</f>
        <v>8.3651641583266318</v>
      </c>
      <c r="AF33" s="96">
        <f>'Op Cost-25'!C26/'Revenue Miles-25'!C25</f>
        <v>9.6003592943580749</v>
      </c>
      <c r="AG33" s="96">
        <f>'Op Cost-25'!D26/'Revenue Miles-25'!D25</f>
        <v>9.4889394391510358</v>
      </c>
      <c r="AH33" s="96">
        <f>'Op Cost-25'!E26/'Revenue Miles-25'!E25</f>
        <v>9.7984940737616739</v>
      </c>
      <c r="AI33" s="97">
        <f t="shared" si="11"/>
        <v>1.0148352621303056</v>
      </c>
      <c r="AJ33" s="98">
        <f t="shared" si="12"/>
        <v>0.18567210250561858</v>
      </c>
      <c r="AK33" s="99">
        <f t="shared" si="13"/>
        <v>0.19760173493829719</v>
      </c>
      <c r="AL33" s="95">
        <f>'Op Cost-25'!B26/'Ridership-25'!B25</f>
        <v>10.161469822420175</v>
      </c>
      <c r="AM33" s="96">
        <f>'Op Cost-25'!C26/'Ridership-25'!C25</f>
        <v>21.10561073742015</v>
      </c>
      <c r="AN33" s="96">
        <f>'Op Cost-25'!D26/'Ridership-25'!D25</f>
        <v>19.999257439903197</v>
      </c>
      <c r="AO33" s="96">
        <f>'Op Cost-25'!E26/'Ridership-25'!E25</f>
        <v>12.964730439015423</v>
      </c>
      <c r="AP33" s="97">
        <f t="shared" si="14"/>
        <v>0.97494497637420541</v>
      </c>
      <c r="AQ33" s="98">
        <f t="shared" si="15"/>
        <v>0.19326895505152297</v>
      </c>
      <c r="AR33" s="99">
        <f t="shared" si="16"/>
        <v>0.2098377485635235</v>
      </c>
      <c r="AT33" s="101">
        <f t="shared" si="29"/>
        <v>0</v>
      </c>
      <c r="AU33" s="102">
        <f t="shared" si="17"/>
        <v>0</v>
      </c>
      <c r="AV33" s="102">
        <f t="shared" si="18"/>
        <v>0</v>
      </c>
      <c r="AW33" s="102">
        <f t="shared" si="19"/>
        <v>0</v>
      </c>
      <c r="AX33" s="103">
        <f t="shared" si="20"/>
        <v>0</v>
      </c>
      <c r="AY33" s="293">
        <f t="shared" si="30"/>
        <v>-1</v>
      </c>
      <c r="AZ33" s="105">
        <f t="shared" si="21"/>
        <v>0</v>
      </c>
      <c r="BA33" s="106">
        <f t="shared" si="21"/>
        <v>0</v>
      </c>
      <c r="BB33" s="106">
        <f t="shared" si="21"/>
        <v>0</v>
      </c>
      <c r="BC33" s="106">
        <f t="shared" si="21"/>
        <v>0</v>
      </c>
      <c r="BD33" s="106">
        <f t="shared" si="21"/>
        <v>0</v>
      </c>
      <c r="BE33" s="107">
        <f t="shared" si="31"/>
        <v>23033361.492948432</v>
      </c>
      <c r="BG33" s="108">
        <f>'Op Cost-25'!E26</f>
        <v>108453691</v>
      </c>
      <c r="BH33" s="109">
        <f t="shared" si="22"/>
        <v>0.21237969201941159</v>
      </c>
      <c r="BI33" s="110">
        <f t="shared" si="23"/>
        <v>23033361.492948432</v>
      </c>
      <c r="BJ33" s="111">
        <f t="shared" si="24"/>
        <v>0</v>
      </c>
      <c r="BK33" s="1">
        <f t="shared" si="32"/>
        <v>0.83180328255213032</v>
      </c>
      <c r="BL33" s="294">
        <f t="shared" si="33"/>
        <v>0.81790295885938891</v>
      </c>
      <c r="BM33" s="294">
        <f t="shared" si="34"/>
        <v>0.90237528465553851</v>
      </c>
      <c r="BN33" s="295">
        <f t="shared" si="35"/>
        <v>0.80346744334679698</v>
      </c>
      <c r="BO33" s="114">
        <f t="shared" si="25"/>
        <v>23033361.492948432</v>
      </c>
      <c r="BP33" s="296">
        <f t="shared" si="36"/>
        <v>0.83180328255213032</v>
      </c>
      <c r="BQ33" s="116">
        <f t="shared" si="37"/>
        <v>0.1567338617521534</v>
      </c>
      <c r="BR33" s="297">
        <f t="shared" si="38"/>
        <v>0.1567338617521534</v>
      </c>
      <c r="BS33" s="302">
        <f t="shared" si="39"/>
        <v>0.16432599505361015</v>
      </c>
      <c r="BT33" s="298">
        <f t="shared" si="40"/>
        <v>24445680.073731016</v>
      </c>
      <c r="BU33" s="119">
        <f t="shared" si="41"/>
        <v>32536107.299999997</v>
      </c>
      <c r="BV33" s="119">
        <f t="shared" si="42"/>
        <v>24445680.073731016</v>
      </c>
      <c r="BW33" s="119">
        <f t="shared" si="43"/>
        <v>0</v>
      </c>
      <c r="BX33" s="120">
        <f t="shared" si="44"/>
        <v>0.1567338617521534</v>
      </c>
      <c r="BY33" s="121">
        <f t="shared" si="45"/>
        <v>0.29025394609970501</v>
      </c>
      <c r="BZ33" s="299">
        <f t="shared" si="46"/>
        <v>24691912.991172411</v>
      </c>
      <c r="CA33" s="109">
        <f t="shared" si="26"/>
        <v>0.20920532441012887</v>
      </c>
      <c r="CB33" s="123">
        <f t="shared" si="57"/>
        <v>1798039.1158847415</v>
      </c>
      <c r="CC33" s="111">
        <f>ROUND((CB33+BI33),0)</f>
        <v>24831401</v>
      </c>
      <c r="CE33" s="124">
        <f t="shared" si="28"/>
        <v>0</v>
      </c>
      <c r="CF33" s="17"/>
      <c r="CG33" s="108">
        <f t="shared" si="47"/>
        <v>108453691</v>
      </c>
      <c r="CH33" s="125">
        <f t="shared" si="48"/>
        <v>0.22895856075566851</v>
      </c>
      <c r="CI33" s="110">
        <f t="shared" si="49"/>
        <v>24445680.073731016</v>
      </c>
      <c r="CJ33" s="300">
        <f t="shared" si="50"/>
        <v>0</v>
      </c>
      <c r="CL33" s="127">
        <f t="shared" si="51"/>
        <v>24445680.073731016</v>
      </c>
      <c r="CM33" s="128">
        <f t="shared" si="52"/>
        <v>0.28444368718058211</v>
      </c>
      <c r="CN33" s="129">
        <f t="shared" si="53"/>
        <v>241303.8647137048</v>
      </c>
      <c r="CO33" s="130">
        <f t="shared" si="55"/>
        <v>24686984</v>
      </c>
      <c r="CQ33" s="131">
        <f t="shared" si="54"/>
        <v>0.22767240804347</v>
      </c>
      <c r="CR33" s="301"/>
    </row>
    <row r="34" spans="1:96">
      <c r="A34" s="133" t="s">
        <v>104</v>
      </c>
      <c r="B34" s="90" t="s">
        <v>110</v>
      </c>
      <c r="C34" s="91"/>
      <c r="D34" s="92">
        <v>0</v>
      </c>
      <c r="E34" s="92">
        <v>0</v>
      </c>
      <c r="F34" s="92">
        <v>0</v>
      </c>
      <c r="G34" s="163">
        <f>$C$4</f>
        <v>0</v>
      </c>
      <c r="H34" s="164">
        <f>$C$4</f>
        <v>0</v>
      </c>
      <c r="J34" s="95">
        <v>0</v>
      </c>
      <c r="K34" s="96">
        <v>0</v>
      </c>
      <c r="L34" s="96">
        <v>0</v>
      </c>
      <c r="M34" s="96">
        <v>0</v>
      </c>
      <c r="N34" s="97">
        <f t="shared" si="2"/>
        <v>1</v>
      </c>
      <c r="O34" s="98">
        <f t="shared" si="3"/>
        <v>0</v>
      </c>
      <c r="P34" s="99">
        <f t="shared" si="4"/>
        <v>0</v>
      </c>
      <c r="Q34" s="95">
        <v>0</v>
      </c>
      <c r="R34" s="96">
        <v>0</v>
      </c>
      <c r="S34" s="96">
        <v>0</v>
      </c>
      <c r="T34" s="96">
        <v>0</v>
      </c>
      <c r="U34" s="97">
        <f t="shared" si="5"/>
        <v>1</v>
      </c>
      <c r="V34" s="98">
        <f t="shared" si="6"/>
        <v>0</v>
      </c>
      <c r="W34" s="99">
        <f t="shared" si="7"/>
        <v>0</v>
      </c>
      <c r="X34" s="95">
        <v>0</v>
      </c>
      <c r="Y34" s="96">
        <v>0</v>
      </c>
      <c r="Z34" s="96">
        <v>0</v>
      </c>
      <c r="AA34" s="96">
        <v>0</v>
      </c>
      <c r="AB34" s="97">
        <f t="shared" si="8"/>
        <v>1</v>
      </c>
      <c r="AC34" s="98">
        <f t="shared" si="9"/>
        <v>0</v>
      </c>
      <c r="AD34" s="99">
        <f t="shared" si="10"/>
        <v>0</v>
      </c>
      <c r="AE34" s="95">
        <v>0</v>
      </c>
      <c r="AF34" s="96">
        <v>0</v>
      </c>
      <c r="AG34" s="96">
        <v>0</v>
      </c>
      <c r="AH34" s="96">
        <v>0</v>
      </c>
      <c r="AI34" s="97">
        <f t="shared" si="11"/>
        <v>1</v>
      </c>
      <c r="AJ34" s="98">
        <f t="shared" si="12"/>
        <v>0</v>
      </c>
      <c r="AK34" s="99">
        <f t="shared" si="13"/>
        <v>0</v>
      </c>
      <c r="AL34" s="95">
        <v>0</v>
      </c>
      <c r="AM34" s="96">
        <v>0</v>
      </c>
      <c r="AN34" s="96">
        <v>0</v>
      </c>
      <c r="AO34" s="96">
        <v>0</v>
      </c>
      <c r="AP34" s="97">
        <f t="shared" si="14"/>
        <v>1</v>
      </c>
      <c r="AQ34" s="98">
        <f t="shared" si="15"/>
        <v>0</v>
      </c>
      <c r="AR34" s="99">
        <f t="shared" si="16"/>
        <v>0</v>
      </c>
      <c r="AT34" s="101">
        <f t="shared" si="29"/>
        <v>0</v>
      </c>
      <c r="AU34" s="102">
        <f t="shared" si="17"/>
        <v>0</v>
      </c>
      <c r="AV34" s="102">
        <f t="shared" si="18"/>
        <v>0</v>
      </c>
      <c r="AW34" s="102">
        <f t="shared" si="19"/>
        <v>0</v>
      </c>
      <c r="AX34" s="103">
        <f t="shared" si="20"/>
        <v>0</v>
      </c>
      <c r="AY34" s="293" t="e">
        <f t="shared" si="30"/>
        <v>#DIV/0!</v>
      </c>
      <c r="AZ34" s="105">
        <f t="shared" si="21"/>
        <v>0</v>
      </c>
      <c r="BA34" s="106">
        <f t="shared" si="21"/>
        <v>0</v>
      </c>
      <c r="BB34" s="106">
        <f t="shared" si="21"/>
        <v>0</v>
      </c>
      <c r="BC34" s="106">
        <f t="shared" si="21"/>
        <v>0</v>
      </c>
      <c r="BD34" s="106">
        <f t="shared" si="21"/>
        <v>0</v>
      </c>
      <c r="BE34" s="107">
        <f t="shared" si="31"/>
        <v>0</v>
      </c>
      <c r="BG34" s="108">
        <v>0</v>
      </c>
      <c r="BH34" s="109">
        <v>0</v>
      </c>
      <c r="BI34" s="110">
        <f t="shared" si="23"/>
        <v>0</v>
      </c>
      <c r="BJ34" s="111">
        <f t="shared" si="24"/>
        <v>0</v>
      </c>
      <c r="BK34" s="1">
        <f t="shared" si="32"/>
        <v>0</v>
      </c>
      <c r="BL34" s="294">
        <f t="shared" si="33"/>
        <v>0</v>
      </c>
      <c r="BM34" s="294">
        <f t="shared" si="34"/>
        <v>0</v>
      </c>
      <c r="BN34" s="295">
        <v>0</v>
      </c>
      <c r="BO34" s="114">
        <f t="shared" si="25"/>
        <v>0</v>
      </c>
      <c r="BP34" s="296">
        <f t="shared" si="36"/>
        <v>0</v>
      </c>
      <c r="BQ34" s="116">
        <f t="shared" si="37"/>
        <v>0</v>
      </c>
      <c r="BR34" s="297">
        <f t="shared" si="38"/>
        <v>0</v>
      </c>
      <c r="BS34" s="117">
        <f t="shared" si="39"/>
        <v>0</v>
      </c>
      <c r="BT34" s="298">
        <f t="shared" si="40"/>
        <v>0</v>
      </c>
      <c r="BU34" s="119">
        <f t="shared" si="41"/>
        <v>0</v>
      </c>
      <c r="BV34" s="119">
        <f t="shared" si="42"/>
        <v>0</v>
      </c>
      <c r="BW34" s="119">
        <f t="shared" si="43"/>
        <v>0</v>
      </c>
      <c r="BX34" s="120">
        <f t="shared" si="44"/>
        <v>0</v>
      </c>
      <c r="BY34" s="121">
        <f t="shared" si="45"/>
        <v>0</v>
      </c>
      <c r="BZ34" s="299">
        <f t="shared" si="46"/>
        <v>0</v>
      </c>
      <c r="CA34" s="109">
        <f t="shared" si="26"/>
        <v>0</v>
      </c>
      <c r="CB34" s="123">
        <f t="shared" si="57"/>
        <v>0</v>
      </c>
      <c r="CC34" s="111">
        <f>ROUND((CB34+BI34),0)</f>
        <v>0</v>
      </c>
      <c r="CE34" s="124">
        <f t="shared" si="28"/>
        <v>0</v>
      </c>
      <c r="CF34" s="17"/>
      <c r="CG34" s="108">
        <f t="shared" si="47"/>
        <v>0</v>
      </c>
      <c r="CH34" s="125">
        <v>0</v>
      </c>
      <c r="CI34" s="110">
        <f t="shared" si="49"/>
        <v>0</v>
      </c>
      <c r="CJ34" s="300">
        <f t="shared" si="50"/>
        <v>0</v>
      </c>
      <c r="CL34" s="127">
        <f t="shared" si="51"/>
        <v>0</v>
      </c>
      <c r="CM34" s="128">
        <f t="shared" si="52"/>
        <v>0</v>
      </c>
      <c r="CN34" s="129">
        <f t="shared" si="53"/>
        <v>0</v>
      </c>
      <c r="CO34" s="130">
        <f t="shared" si="55"/>
        <v>0</v>
      </c>
      <c r="CQ34" s="131" t="e">
        <f t="shared" si="54"/>
        <v>#DIV/0!</v>
      </c>
      <c r="CR34" s="301"/>
    </row>
    <row r="35" spans="1:96">
      <c r="A35" s="133" t="s">
        <v>104</v>
      </c>
      <c r="B35" s="90" t="s">
        <v>111</v>
      </c>
      <c r="C35" s="91">
        <f>'Sizing - Reimb Exp-25'!B28</f>
        <v>41578430</v>
      </c>
      <c r="D35" s="92">
        <f>'Ridership-25'!$E27</f>
        <v>1572283</v>
      </c>
      <c r="E35" s="92">
        <f>'Revenue Hours-25'!$E27</f>
        <v>207877</v>
      </c>
      <c r="F35" s="92">
        <f>'Revenue Miles-25'!$E27</f>
        <v>5086977</v>
      </c>
      <c r="G35" s="134">
        <f t="shared" ref="G35:G50" si="58">IFERROR($C$9*(C35/C$51),0) + IFERROR($D$9*(D35/D$51),0) + IFERROR($E$9*(E35/E$51),0) + IFERROR($F$9*(F35/F$51),0)</f>
        <v>5.831523176862316E-2</v>
      </c>
      <c r="H35" s="94">
        <f t="shared" ref="H35:H50" si="59">G35/(SUM($G$11:$G$50)-$G$34)*(1-$G$34)</f>
        <v>5.8315231768623167E-2</v>
      </c>
      <c r="J35" s="95">
        <f>'Ridership-25'!B27/'Revenue Hours-25'!B27</f>
        <v>10.619348493496171</v>
      </c>
      <c r="K35" s="96">
        <f>'Ridership-25'!C27/'Revenue Hours-25'!C27</f>
        <v>3.1822121529637459</v>
      </c>
      <c r="L35" s="96">
        <f>'Ridership-25'!D27/'Revenue Hours-25'!D27</f>
        <v>5.6143685300207036</v>
      </c>
      <c r="M35" s="96">
        <f>'Ridership-25'!E27/'Revenue Hours-25'!E27</f>
        <v>7.5635255463567397</v>
      </c>
      <c r="N35" s="97">
        <f t="shared" si="2"/>
        <v>1.0264635833767835</v>
      </c>
      <c r="O35" s="98">
        <f t="shared" si="3"/>
        <v>5.9858461766668578E-2</v>
      </c>
      <c r="P35" s="99">
        <f t="shared" si="4"/>
        <v>5.6545403554556874E-2</v>
      </c>
      <c r="Q35" s="95">
        <f>'Ridership-25'!B27/'Revenue Miles-25'!B27</f>
        <v>0.5403360203480656</v>
      </c>
      <c r="R35" s="96">
        <f>'Ridership-25'!C27/'Revenue Miles-25'!C27</f>
        <v>0.14309026388335411</v>
      </c>
      <c r="S35" s="96">
        <f>'Ridership-25'!D27/'Revenue Miles-25'!D27</f>
        <v>0.23387194455837201</v>
      </c>
      <c r="T35" s="96">
        <f>'Ridership-25'!E27/'Revenue Miles-25'!E27</f>
        <v>0.3090800292590275</v>
      </c>
      <c r="U35" s="97">
        <f t="shared" si="5"/>
        <v>0.97050521546232849</v>
      </c>
      <c r="V35" s="98">
        <f t="shared" si="6"/>
        <v>5.6595236572343249E-2</v>
      </c>
      <c r="W35" s="99">
        <f t="shared" si="7"/>
        <v>5.3660727017455633E-2</v>
      </c>
      <c r="X35" s="95">
        <f>'Op Cost-25'!B28/'Revenue Hours-25'!B27</f>
        <v>147.42823097382487</v>
      </c>
      <c r="Y35" s="96">
        <f>'Op Cost-25'!C28/'Revenue Hours-25'!C27</f>
        <v>162.67460550900779</v>
      </c>
      <c r="Z35" s="96">
        <f>'Op Cost-25'!D28/'Revenue Hours-25'!D27</f>
        <v>182.82648723257418</v>
      </c>
      <c r="AA35" s="96">
        <f>'Op Cost-25'!E28/'Revenue Hours-25'!E27</f>
        <v>219.6294299032601</v>
      </c>
      <c r="AB35" s="97">
        <f t="shared" si="8"/>
        <v>1.1052316025815632</v>
      </c>
      <c r="AC35" s="98">
        <f t="shared" si="9"/>
        <v>5.2762906554981226E-2</v>
      </c>
      <c r="AD35" s="99">
        <f t="shared" si="10"/>
        <v>5.6285311042107836E-2</v>
      </c>
      <c r="AE35" s="95">
        <f>'Op Cost-25'!B28/'Revenue Miles-25'!B27</f>
        <v>7.5014755999523217</v>
      </c>
      <c r="AF35" s="96">
        <f>'Op Cost-25'!C28/'Revenue Miles-25'!C27</f>
        <v>7.31477070368339</v>
      </c>
      <c r="AG35" s="96">
        <f>'Op Cost-25'!D28/'Revenue Miles-25'!D27</f>
        <v>7.6158139347686928</v>
      </c>
      <c r="AH35" s="96">
        <f>'Op Cost-25'!E28/'Revenue Miles-25'!E27</f>
        <v>8.9750566987033746</v>
      </c>
      <c r="AI35" s="97">
        <f t="shared" si="11"/>
        <v>1.0385690261414711</v>
      </c>
      <c r="AJ35" s="98">
        <f t="shared" si="12"/>
        <v>5.6149596512884668E-2</v>
      </c>
      <c r="AK35" s="99">
        <f t="shared" si="13"/>
        <v>5.9757268525009684E-2</v>
      </c>
      <c r="AL35" s="95">
        <f>'Op Cost-25'!B28/'Ridership-25'!B27</f>
        <v>13.882982657939651</v>
      </c>
      <c r="AM35" s="96">
        <f>'Op Cost-25'!C28/'Ridership-25'!C27</f>
        <v>51.119974938660576</v>
      </c>
      <c r="AN35" s="96">
        <f>'Op Cost-25'!D28/'Ridership-25'!D27</f>
        <v>32.564033916722593</v>
      </c>
      <c r="AO35" s="96">
        <f>'Op Cost-25'!E28/'Ridership-25'!E27</f>
        <v>29.037970263623023</v>
      </c>
      <c r="AP35" s="97">
        <f t="shared" si="14"/>
        <v>1.17121247832242</v>
      </c>
      <c r="AQ35" s="98">
        <f t="shared" si="15"/>
        <v>4.9790480248426555E-2</v>
      </c>
      <c r="AR35" s="99">
        <f t="shared" si="16"/>
        <v>5.4058978445043773E-2</v>
      </c>
      <c r="AT35" s="101">
        <f t="shared" si="29"/>
        <v>0</v>
      </c>
      <c r="AU35" s="102">
        <f t="shared" si="17"/>
        <v>0</v>
      </c>
      <c r="AV35" s="102">
        <f t="shared" si="18"/>
        <v>0</v>
      </c>
      <c r="AW35" s="102">
        <f t="shared" si="19"/>
        <v>0</v>
      </c>
      <c r="AX35" s="103">
        <f t="shared" si="20"/>
        <v>0</v>
      </c>
      <c r="AY35" s="293">
        <f t="shared" si="30"/>
        <v>-1</v>
      </c>
      <c r="AZ35" s="105">
        <f t="shared" si="21"/>
        <v>0</v>
      </c>
      <c r="BA35" s="106">
        <f t="shared" si="21"/>
        <v>0</v>
      </c>
      <c r="BB35" s="106">
        <f t="shared" si="21"/>
        <v>0</v>
      </c>
      <c r="BC35" s="106">
        <f t="shared" si="21"/>
        <v>0</v>
      </c>
      <c r="BD35" s="106">
        <f t="shared" si="21"/>
        <v>0</v>
      </c>
      <c r="BE35" s="107">
        <f t="shared" si="31"/>
        <v>7128483.1152542336</v>
      </c>
      <c r="BG35" s="108">
        <f>'Op Cost-25'!E28</f>
        <v>45655907</v>
      </c>
      <c r="BH35" s="109">
        <f t="shared" si="22"/>
        <v>0.15613495785450573</v>
      </c>
      <c r="BI35" s="110">
        <f t="shared" si="23"/>
        <v>7128483.1152542336</v>
      </c>
      <c r="BJ35" s="111">
        <f t="shared" si="24"/>
        <v>0</v>
      </c>
      <c r="BK35" s="1">
        <f t="shared" si="32"/>
        <v>0.43390087258958299</v>
      </c>
      <c r="BL35" s="294">
        <f t="shared" si="33"/>
        <v>0.59717198483839184</v>
      </c>
      <c r="BM35" s="294">
        <f t="shared" si="34"/>
        <v>0.36141752154667511</v>
      </c>
      <c r="BN35" s="295">
        <f t="shared" si="35"/>
        <v>0.38850699198663258</v>
      </c>
      <c r="BO35" s="114">
        <f t="shared" si="25"/>
        <v>7128483.1152542336</v>
      </c>
      <c r="BP35" s="296">
        <f t="shared" si="36"/>
        <v>0.43390087258958299</v>
      </c>
      <c r="BQ35" s="116">
        <f t="shared" si="37"/>
        <v>2.5303029949669362E-2</v>
      </c>
      <c r="BR35" s="297">
        <f t="shared" si="38"/>
        <v>2.5303029949669362E-2</v>
      </c>
      <c r="BS35" s="302">
        <f t="shared" si="39"/>
        <v>2.652869984742522E-2</v>
      </c>
      <c r="BT35" s="298">
        <f t="shared" si="40"/>
        <v>7356487.0637853192</v>
      </c>
      <c r="BU35" s="119">
        <f t="shared" si="41"/>
        <v>13696772.1</v>
      </c>
      <c r="BV35" s="119">
        <f t="shared" si="42"/>
        <v>7356487.0637853192</v>
      </c>
      <c r="BW35" s="119">
        <f t="shared" si="43"/>
        <v>0</v>
      </c>
      <c r="BX35" s="120">
        <f t="shared" si="44"/>
        <v>2.5303029949669362E-2</v>
      </c>
      <c r="BY35" s="121">
        <f t="shared" si="45"/>
        <v>4.6858440218771988E-2</v>
      </c>
      <c r="BZ35" s="299">
        <f t="shared" si="46"/>
        <v>7396238.7729243841</v>
      </c>
      <c r="CA35" s="109">
        <f t="shared" si="26"/>
        <v>6.4745939194999769E-2</v>
      </c>
      <c r="CB35" s="123">
        <f t="shared" si="57"/>
        <v>556466.38820282451</v>
      </c>
      <c r="CC35" s="111">
        <f t="shared" si="56"/>
        <v>7684950</v>
      </c>
      <c r="CE35" s="124">
        <f t="shared" si="28"/>
        <v>0</v>
      </c>
      <c r="CF35" s="17"/>
      <c r="CG35" s="108">
        <f t="shared" si="47"/>
        <v>45655907</v>
      </c>
      <c r="CH35" s="125">
        <f t="shared" si="48"/>
        <v>0.16832323580823835</v>
      </c>
      <c r="CI35" s="110">
        <f t="shared" si="49"/>
        <v>7356487.0637853192</v>
      </c>
      <c r="CJ35" s="300">
        <f t="shared" si="50"/>
        <v>0</v>
      </c>
      <c r="CL35" s="127">
        <f t="shared" si="51"/>
        <v>7356487.0637853192</v>
      </c>
      <c r="CM35" s="128">
        <f t="shared" si="52"/>
        <v>8.5598203805666601E-2</v>
      </c>
      <c r="CN35" s="129">
        <f t="shared" si="53"/>
        <v>72616.051337239012</v>
      </c>
      <c r="CO35" s="130">
        <f t="shared" si="55"/>
        <v>7429103</v>
      </c>
      <c r="CQ35" s="131">
        <f t="shared" si="54"/>
        <v>0.16199960221849025</v>
      </c>
      <c r="CR35" s="301"/>
    </row>
    <row r="36" spans="1:96">
      <c r="A36" s="133" t="s">
        <v>112</v>
      </c>
      <c r="B36" s="90" t="s">
        <v>113</v>
      </c>
      <c r="C36" s="91">
        <f>'Sizing - Reimb Exp-25'!B29</f>
        <v>4660277</v>
      </c>
      <c r="D36" s="92">
        <f>'Ridership-25'!$E28</f>
        <v>475942</v>
      </c>
      <c r="E36" s="92">
        <f>'Revenue Hours-25'!$E28</f>
        <v>43849</v>
      </c>
      <c r="F36" s="92">
        <f>'Revenue Miles-25'!$E28</f>
        <v>553318</v>
      </c>
      <c r="G36" s="93">
        <f t="shared" si="58"/>
        <v>9.3995318174305044E-3</v>
      </c>
      <c r="H36" s="94">
        <f t="shared" si="59"/>
        <v>9.3995318174305061E-3</v>
      </c>
      <c r="J36" s="95">
        <f>'Ridership-25'!B28/'Revenue Hours-25'!B28</f>
        <v>7.2311072676573369</v>
      </c>
      <c r="K36" s="96">
        <f>'Ridership-25'!C28/'Revenue Hours-25'!C28</f>
        <v>7.0651748073074137</v>
      </c>
      <c r="L36" s="96">
        <f>'Ridership-25'!D28/'Revenue Hours-25'!D28</f>
        <v>8.5454680032144825</v>
      </c>
      <c r="M36" s="96">
        <f>'Ridership-25'!E28/'Revenue Hours-25'!E28</f>
        <v>10.854112978631212</v>
      </c>
      <c r="N36" s="97">
        <f t="shared" si="2"/>
        <v>1.3009855746270713</v>
      </c>
      <c r="O36" s="98">
        <f t="shared" si="3"/>
        <v>1.2228655302725266E-2</v>
      </c>
      <c r="P36" s="99">
        <f t="shared" si="4"/>
        <v>1.1551821223164319E-2</v>
      </c>
      <c r="Q36" s="95">
        <f>'Ridership-25'!B28/'Revenue Miles-25'!B28</f>
        <v>0.68740479018609113</v>
      </c>
      <c r="R36" s="96">
        <f>'Ridership-25'!C28/'Revenue Miles-25'!C28</f>
        <v>0.60435953803758868</v>
      </c>
      <c r="S36" s="96">
        <f>'Ridership-25'!D28/'Revenue Miles-25'!D28</f>
        <v>0.7290038463481342</v>
      </c>
      <c r="T36" s="96">
        <f>'Ridership-25'!E28/'Revenue Miles-25'!E28</f>
        <v>0.86015998033680452</v>
      </c>
      <c r="U36" s="97">
        <f t="shared" si="5"/>
        <v>1.2103155382207087</v>
      </c>
      <c r="V36" s="98">
        <f t="shared" si="6"/>
        <v>1.137639941063608E-2</v>
      </c>
      <c r="W36" s="99">
        <f t="shared" si="7"/>
        <v>1.0786523746311293E-2</v>
      </c>
      <c r="X36" s="95">
        <f>'Op Cost-25'!B29/'Revenue Hours-25'!B28</f>
        <v>63.118368571529423</v>
      </c>
      <c r="Y36" s="96">
        <f>'Op Cost-25'!C29/'Revenue Hours-25'!C28</f>
        <v>99.128071370778855</v>
      </c>
      <c r="Z36" s="96">
        <f>'Op Cost-25'!D29/'Revenue Hours-25'!D28</f>
        <v>86.295224802267057</v>
      </c>
      <c r="AA36" s="96">
        <f>'Op Cost-25'!E29/'Revenue Hours-25'!E28</f>
        <v>108.01972678966453</v>
      </c>
      <c r="AB36" s="97">
        <f t="shared" si="8"/>
        <v>1.1665516654755821</v>
      </c>
      <c r="AC36" s="98">
        <f t="shared" si="9"/>
        <v>8.0575358088391964E-3</v>
      </c>
      <c r="AD36" s="99">
        <f t="shared" si="10"/>
        <v>8.5954496983756522E-3</v>
      </c>
      <c r="AE36" s="95">
        <f>'Op Cost-25'!B29/'Revenue Miles-25'!B28</f>
        <v>6.0001694483031685</v>
      </c>
      <c r="AF36" s="96">
        <f>'Op Cost-25'!C29/'Revenue Miles-25'!C28</f>
        <v>8.4794781522232086</v>
      </c>
      <c r="AG36" s="96">
        <f>'Op Cost-25'!D29/'Revenue Miles-25'!D28</f>
        <v>7.3617443513527165</v>
      </c>
      <c r="AH36" s="96">
        <f>'Op Cost-25'!E29/'Revenue Miles-25'!E28</f>
        <v>8.5602799836621983</v>
      </c>
      <c r="AI36" s="97">
        <f t="shared" si="11"/>
        <v>1.0918608229846662</v>
      </c>
      <c r="AJ36" s="98">
        <f t="shared" si="12"/>
        <v>8.6087270644406213E-3</v>
      </c>
      <c r="AK36" s="99">
        <f t="shared" si="13"/>
        <v>9.1618470442659233E-3</v>
      </c>
      <c r="AL36" s="95">
        <f>'Op Cost-25'!B29/'Ridership-25'!B28</f>
        <v>8.7287280129060925</v>
      </c>
      <c r="AM36" s="96">
        <f>'Op Cost-25'!C29/'Ridership-25'!C28</f>
        <v>14.030519282870687</v>
      </c>
      <c r="AN36" s="96">
        <f>'Op Cost-25'!D29/'Ridership-25'!D28</f>
        <v>10.098361467131589</v>
      </c>
      <c r="AO36" s="96">
        <f>'Op Cost-25'!E29/'Ridership-25'!E28</f>
        <v>9.9519626341024754</v>
      </c>
      <c r="AP36" s="100">
        <f t="shared" si="14"/>
        <v>0.95582060414578562</v>
      </c>
      <c r="AQ36" s="98">
        <f t="shared" si="15"/>
        <v>9.833991626316577E-3</v>
      </c>
      <c r="AR36" s="99">
        <f t="shared" si="16"/>
        <v>1.0677051892316073E-2</v>
      </c>
      <c r="AT36" s="101">
        <f t="shared" si="29"/>
        <v>0</v>
      </c>
      <c r="AU36" s="102">
        <f t="shared" si="17"/>
        <v>0</v>
      </c>
      <c r="AV36" s="102">
        <f t="shared" si="18"/>
        <v>0</v>
      </c>
      <c r="AW36" s="102">
        <f t="shared" si="19"/>
        <v>0</v>
      </c>
      <c r="AX36" s="103">
        <f t="shared" si="20"/>
        <v>0</v>
      </c>
      <c r="AY36" s="293">
        <f t="shared" si="30"/>
        <v>-1</v>
      </c>
      <c r="AZ36" s="105">
        <f t="shared" si="21"/>
        <v>0</v>
      </c>
      <c r="BA36" s="106">
        <f t="shared" si="21"/>
        <v>0</v>
      </c>
      <c r="BB36" s="106">
        <f t="shared" si="21"/>
        <v>0</v>
      </c>
      <c r="BC36" s="106">
        <f t="shared" si="21"/>
        <v>0</v>
      </c>
      <c r="BD36" s="106">
        <f t="shared" si="21"/>
        <v>0</v>
      </c>
      <c r="BE36" s="107">
        <f t="shared" si="31"/>
        <v>1149003.473358403</v>
      </c>
      <c r="BG36" s="108">
        <f>'Op Cost-25'!E29</f>
        <v>4736557</v>
      </c>
      <c r="BH36" s="109">
        <f t="shared" si="22"/>
        <v>0.24258200067230332</v>
      </c>
      <c r="BI36" s="110">
        <f t="shared" si="23"/>
        <v>1149003.473358403</v>
      </c>
      <c r="BJ36" s="111">
        <f t="shared" si="24"/>
        <v>0</v>
      </c>
      <c r="BK36" s="1">
        <f t="shared" si="32"/>
        <v>1.1773918034819308</v>
      </c>
      <c r="BL36" s="294">
        <f t="shared" si="33"/>
        <v>0.99501115253592831</v>
      </c>
      <c r="BM36" s="294">
        <f t="shared" si="34"/>
        <v>1.1872669039719692</v>
      </c>
      <c r="BN36" s="295">
        <f t="shared" si="35"/>
        <v>1.2636445787099129</v>
      </c>
      <c r="BO36" s="114">
        <f t="shared" si="25"/>
        <v>1149003.473358403</v>
      </c>
      <c r="BP36" s="296">
        <f t="shared" si="36"/>
        <v>1.1773918034819308</v>
      </c>
      <c r="BQ36" s="116">
        <f t="shared" si="37"/>
        <v>1.1066931718410295E-2</v>
      </c>
      <c r="BR36" s="297">
        <f t="shared" si="38"/>
        <v>1.1066931718410295E-2</v>
      </c>
      <c r="BS36" s="117">
        <f t="shared" si="39"/>
        <v>1.1603010010012375E-2</v>
      </c>
      <c r="BT36" s="298">
        <f t="shared" si="40"/>
        <v>1248726.8715024437</v>
      </c>
      <c r="BU36" s="119">
        <f t="shared" si="41"/>
        <v>1420967.0999999999</v>
      </c>
      <c r="BV36" s="119">
        <f t="shared" si="42"/>
        <v>1248726.8715024437</v>
      </c>
      <c r="BW36" s="119">
        <f t="shared" si="43"/>
        <v>0</v>
      </c>
      <c r="BX36" s="120">
        <f t="shared" si="44"/>
        <v>1.1066931718410295E-2</v>
      </c>
      <c r="BY36" s="121">
        <f t="shared" si="45"/>
        <v>2.0494745465814725E-2</v>
      </c>
      <c r="BZ36" s="299">
        <f t="shared" si="46"/>
        <v>1266113.3051274763</v>
      </c>
      <c r="CA36" s="109">
        <f t="shared" si="26"/>
        <v>1.0436064421856106E-2</v>
      </c>
      <c r="CB36" s="123">
        <f t="shared" si="57"/>
        <v>89693.950664488249</v>
      </c>
      <c r="CC36" s="111">
        <f t="shared" si="56"/>
        <v>1238697</v>
      </c>
      <c r="CE36" s="124">
        <f t="shared" si="28"/>
        <v>0</v>
      </c>
      <c r="CF36" s="17"/>
      <c r="CG36" s="108">
        <f t="shared" si="47"/>
        <v>4736557</v>
      </c>
      <c r="CH36" s="125">
        <f t="shared" si="48"/>
        <v>0.26151844050435791</v>
      </c>
      <c r="CI36" s="110">
        <f t="shared" si="49"/>
        <v>1248726.8715024437</v>
      </c>
      <c r="CJ36" s="300">
        <f t="shared" si="50"/>
        <v>0</v>
      </c>
      <c r="CL36" s="127">
        <f t="shared" si="51"/>
        <v>1248726.8715024437</v>
      </c>
      <c r="CM36" s="128">
        <f t="shared" si="52"/>
        <v>1.4529866812472642E-2</v>
      </c>
      <c r="CN36" s="129">
        <f t="shared" si="53"/>
        <v>12326.211386084144</v>
      </c>
      <c r="CO36" s="130">
        <f t="shared" si="55"/>
        <v>1261053</v>
      </c>
      <c r="CQ36" s="131">
        <f t="shared" si="54"/>
        <v>0.26730667552981552</v>
      </c>
      <c r="CR36" s="301"/>
    </row>
    <row r="37" spans="1:96">
      <c r="A37" s="133" t="s">
        <v>112</v>
      </c>
      <c r="B37" s="90" t="s">
        <v>114</v>
      </c>
      <c r="C37" s="91">
        <f>'Sizing - Reimb Exp-25'!B30</f>
        <v>67417899</v>
      </c>
      <c r="D37" s="92">
        <f>'Ridership-25'!$E29</f>
        <v>9625071</v>
      </c>
      <c r="E37" s="92">
        <f>'Revenue Hours-25'!$E29</f>
        <v>583725</v>
      </c>
      <c r="F37" s="92">
        <f>'Revenue Miles-25'!$E29</f>
        <v>7022292</v>
      </c>
      <c r="G37" s="134">
        <f t="shared" si="58"/>
        <v>0.1522113163962201</v>
      </c>
      <c r="H37" s="94">
        <f t="shared" si="59"/>
        <v>0.15221131639622013</v>
      </c>
      <c r="J37" s="95">
        <f>'Ridership-25'!B29/'Revenue Hours-25'!B29</f>
        <v>15.08483737680125</v>
      </c>
      <c r="K37" s="96">
        <f>'Ridership-25'!C29/'Revenue Hours-25'!C29</f>
        <v>12.685908078458269</v>
      </c>
      <c r="L37" s="96">
        <f>'Ridership-25'!D29/'Revenue Hours-25'!D29</f>
        <v>14.999735241854868</v>
      </c>
      <c r="M37" s="96">
        <f>'Ridership-25'!E29/'Revenue Hours-25'!E29</f>
        <v>16.489050494667865</v>
      </c>
      <c r="N37" s="97">
        <f t="shared" si="2"/>
        <v>1.1580336883020843</v>
      </c>
      <c r="O37" s="98">
        <f t="shared" si="3"/>
        <v>0.17626583212763031</v>
      </c>
      <c r="P37" s="99">
        <f t="shared" si="4"/>
        <v>0.16650983530763969</v>
      </c>
      <c r="Q37" s="95">
        <f>'Ridership-25'!B29/'Revenue Miles-25'!B29</f>
        <v>1.1884855709632467</v>
      </c>
      <c r="R37" s="96">
        <f>'Ridership-25'!C29/'Revenue Miles-25'!C29</f>
        <v>1.0554722157446399</v>
      </c>
      <c r="S37" s="96">
        <f>'Ridership-25'!D29/'Revenue Miles-25'!D29</f>
        <v>1.2009259173704827</v>
      </c>
      <c r="T37" s="96">
        <f>'Ridership-25'!E29/'Revenue Miles-25'!E29</f>
        <v>1.3706452252341543</v>
      </c>
      <c r="U37" s="97">
        <f t="shared" si="5"/>
        <v>1.1871164048487881</v>
      </c>
      <c r="V37" s="98">
        <f t="shared" si="6"/>
        <v>0.18069255069758222</v>
      </c>
      <c r="W37" s="99">
        <f t="shared" si="7"/>
        <v>0.17132349335931521</v>
      </c>
      <c r="X37" s="95">
        <f>'Op Cost-25'!B30/'Revenue Hours-25'!B29</f>
        <v>87.19640419871854</v>
      </c>
      <c r="Y37" s="96">
        <f>'Op Cost-25'!C30/'Revenue Hours-25'!C29</f>
        <v>106.94058914595765</v>
      </c>
      <c r="Z37" s="96">
        <f>'Op Cost-25'!D30/'Revenue Hours-25'!D29</f>
        <v>99.059409351732896</v>
      </c>
      <c r="AA37" s="96">
        <f>'Op Cost-25'!E30/'Revenue Hours-25'!E29</f>
        <v>117.86879438091567</v>
      </c>
      <c r="AB37" s="97">
        <f t="shared" si="8"/>
        <v>1.069009747172706</v>
      </c>
      <c r="AC37" s="98">
        <f t="shared" si="9"/>
        <v>0.14238534007644491</v>
      </c>
      <c r="AD37" s="99">
        <f t="shared" si="10"/>
        <v>0.15189085812942957</v>
      </c>
      <c r="AE37" s="95">
        <f>'Op Cost-25'!B30/'Revenue Miles-25'!B29</f>
        <v>6.8699228000581352</v>
      </c>
      <c r="AF37" s="96">
        <f>'Op Cost-25'!C30/'Revenue Miles-25'!C29</f>
        <v>8.897496330640184</v>
      </c>
      <c r="AG37" s="96">
        <f>'Op Cost-25'!D30/'Revenue Miles-25'!D29</f>
        <v>7.9310074565820816</v>
      </c>
      <c r="AH37" s="96">
        <f>'Op Cost-25'!E30/'Revenue Miles-25'!E29</f>
        <v>9.7977928004133119</v>
      </c>
      <c r="AI37" s="97">
        <f t="shared" si="11"/>
        <v>1.0939620676553767</v>
      </c>
      <c r="AJ37" s="98">
        <f t="shared" si="12"/>
        <v>0.13913765467430284</v>
      </c>
      <c r="AK37" s="99">
        <f t="shared" si="13"/>
        <v>0.14807739874683615</v>
      </c>
      <c r="AL37" s="95">
        <f>'Op Cost-25'!B30/'Ridership-25'!B29</f>
        <v>5.7804006778897481</v>
      </c>
      <c r="AM37" s="96">
        <f>'Op Cost-25'!C30/'Ridership-25'!C29</f>
        <v>8.4298726180707302</v>
      </c>
      <c r="AN37" s="96">
        <f>'Op Cost-25'!D30/'Ridership-25'!D29</f>
        <v>6.6040771889973175</v>
      </c>
      <c r="AO37" s="96">
        <f>'Op Cost-25'!E30/'Ridership-25'!E29</f>
        <v>7.148306957943479</v>
      </c>
      <c r="AP37" s="97">
        <f t="shared" si="14"/>
        <v>1.0036922938781936</v>
      </c>
      <c r="AQ37" s="98">
        <f t="shared" si="15"/>
        <v>0.15165137495286202</v>
      </c>
      <c r="AR37" s="99">
        <f t="shared" si="16"/>
        <v>0.16465232648558537</v>
      </c>
      <c r="AT37" s="101">
        <f t="shared" si="29"/>
        <v>0</v>
      </c>
      <c r="AU37" s="102">
        <f t="shared" si="17"/>
        <v>0</v>
      </c>
      <c r="AV37" s="102">
        <f t="shared" si="18"/>
        <v>0</v>
      </c>
      <c r="AW37" s="102">
        <f t="shared" si="19"/>
        <v>0</v>
      </c>
      <c r="AX37" s="103">
        <f t="shared" si="20"/>
        <v>0</v>
      </c>
      <c r="AY37" s="293">
        <f t="shared" si="30"/>
        <v>-1</v>
      </c>
      <c r="AZ37" s="105">
        <f t="shared" si="21"/>
        <v>0</v>
      </c>
      <c r="BA37" s="106">
        <f t="shared" si="21"/>
        <v>0</v>
      </c>
      <c r="BB37" s="106">
        <f t="shared" si="21"/>
        <v>0</v>
      </c>
      <c r="BC37" s="106">
        <f t="shared" si="21"/>
        <v>0</v>
      </c>
      <c r="BD37" s="106">
        <f t="shared" si="21"/>
        <v>0</v>
      </c>
      <c r="BE37" s="107">
        <f t="shared" si="31"/>
        <v>18606387.490427237</v>
      </c>
      <c r="BF37" s="301"/>
      <c r="BG37" s="108">
        <f>'Op Cost-25'!E30</f>
        <v>68802962</v>
      </c>
      <c r="BH37" s="303">
        <f t="shared" si="22"/>
        <v>0.27043003599797399</v>
      </c>
      <c r="BI37" s="304">
        <f>IF(BE37&gt;BG37*$BI$6,BG37*$BI$6,BE37)</f>
        <v>18606387.490427237</v>
      </c>
      <c r="BJ37" s="111">
        <f t="shared" si="24"/>
        <v>0</v>
      </c>
      <c r="BK37" s="1">
        <f t="shared" si="32"/>
        <v>1.8840600769585745</v>
      </c>
      <c r="BL37" s="294">
        <f t="shared" si="33"/>
        <v>1.6803686292490063</v>
      </c>
      <c r="BM37" s="294">
        <f t="shared" si="34"/>
        <v>1.9755264431734625</v>
      </c>
      <c r="BN37" s="295">
        <f t="shared" si="35"/>
        <v>1.9401726177059142</v>
      </c>
      <c r="BO37" s="114">
        <f t="shared" si="25"/>
        <v>18606387.490427237</v>
      </c>
      <c r="BP37" s="296">
        <f t="shared" si="36"/>
        <v>1.8840600769585745</v>
      </c>
      <c r="BQ37" s="116">
        <f t="shared" si="37"/>
        <v>0.28677526448342844</v>
      </c>
      <c r="BR37" s="297">
        <f t="shared" si="38"/>
        <v>0.28677526448342844</v>
      </c>
      <c r="BS37" s="302">
        <f t="shared" si="39"/>
        <v>0.30066655773160744</v>
      </c>
      <c r="BT37" s="298">
        <f t="shared" si="40"/>
        <v>21190500.648943357</v>
      </c>
      <c r="BU37" s="119">
        <f t="shared" si="41"/>
        <v>20640888.599999998</v>
      </c>
      <c r="BV37" s="119">
        <f t="shared" si="42"/>
        <v>20640888.599999998</v>
      </c>
      <c r="BW37" s="119">
        <f t="shared" si="43"/>
        <v>549612.0489433594</v>
      </c>
      <c r="BX37" s="120">
        <f t="shared" si="44"/>
        <v>0</v>
      </c>
      <c r="BY37" s="121">
        <f t="shared" si="45"/>
        <v>0</v>
      </c>
      <c r="BZ37" s="299">
        <f t="shared" si="46"/>
        <v>20640888.599999998</v>
      </c>
      <c r="CA37" s="109">
        <f t="shared" si="26"/>
        <v>0.16899640689558421</v>
      </c>
      <c r="CB37" s="123">
        <f t="shared" si="57"/>
        <v>1452458.9701480968</v>
      </c>
      <c r="CC37" s="111">
        <f>ROUND((CB37+BI37),0)</f>
        <v>20058846</v>
      </c>
      <c r="CE37" s="124">
        <f t="shared" si="28"/>
        <v>0</v>
      </c>
      <c r="CF37" s="17"/>
      <c r="CG37" s="108">
        <f t="shared" si="47"/>
        <v>68802962</v>
      </c>
      <c r="CH37" s="125">
        <f t="shared" si="48"/>
        <v>0.29154044269198759</v>
      </c>
      <c r="CI37" s="110">
        <f t="shared" si="49"/>
        <v>20640888.599999998</v>
      </c>
      <c r="CJ37" s="300">
        <f t="shared" si="50"/>
        <v>549612.0489433594</v>
      </c>
      <c r="CL37" s="127">
        <f t="shared" si="51"/>
        <v>0</v>
      </c>
      <c r="CM37" s="128">
        <f t="shared" si="52"/>
        <v>0</v>
      </c>
      <c r="CN37" s="129">
        <f t="shared" si="53"/>
        <v>0</v>
      </c>
      <c r="CO37" s="130">
        <f t="shared" si="55"/>
        <v>20640889</v>
      </c>
      <c r="CQ37" s="131">
        <f t="shared" si="54"/>
        <v>0.3</v>
      </c>
      <c r="CR37" s="301"/>
    </row>
    <row r="38" spans="1:96">
      <c r="A38" s="133" t="s">
        <v>115</v>
      </c>
      <c r="B38" s="90" t="s">
        <v>116</v>
      </c>
      <c r="C38" s="91">
        <f>'Sizing - Reimb Exp-25'!B31</f>
        <v>10986817</v>
      </c>
      <c r="D38" s="92">
        <f>'Ridership-25'!$E30</f>
        <v>3520078</v>
      </c>
      <c r="E38" s="92">
        <f>'Revenue Hours-25'!$E30</f>
        <v>92885</v>
      </c>
      <c r="F38" s="92">
        <f>'Revenue Miles-25'!$E30</f>
        <v>970481</v>
      </c>
      <c r="G38" s="134">
        <f t="shared" si="58"/>
        <v>3.8743461880209475E-2</v>
      </c>
      <c r="H38" s="94">
        <f t="shared" si="59"/>
        <v>3.8743461880209482E-2</v>
      </c>
      <c r="J38" s="95">
        <f>'Ridership-25'!B30/'Revenue Hours-25'!B30</f>
        <v>41.020012326113751</v>
      </c>
      <c r="K38" s="96">
        <f>'Ridership-25'!C30/'Revenue Hours-25'!C30</f>
        <v>7.7359808402431227</v>
      </c>
      <c r="L38" s="96">
        <f>'Ridership-25'!D30/'Revenue Hours-25'!D30</f>
        <v>32.633977790205321</v>
      </c>
      <c r="M38" s="96">
        <f>'Ridership-25'!E30/'Revenue Hours-25'!E30</f>
        <v>37.897163158744682</v>
      </c>
      <c r="N38" s="97">
        <f t="shared" si="2"/>
        <v>1.5374893226393143</v>
      </c>
      <c r="O38" s="98">
        <f t="shared" si="3"/>
        <v>5.9567658962905369E-2</v>
      </c>
      <c r="P38" s="99">
        <f t="shared" si="4"/>
        <v>5.6270696163015721E-2</v>
      </c>
      <c r="Q38" s="95">
        <f>'Ridership-25'!B30/'Revenue Miles-25'!B30</f>
        <v>4.0590237544714967</v>
      </c>
      <c r="R38" s="96">
        <f>'Ridership-25'!C30/'Revenue Miles-25'!C30</f>
        <v>0.74890286156611607</v>
      </c>
      <c r="S38" s="96">
        <f>'Ridership-25'!D30/'Revenue Miles-25'!D30</f>
        <v>3.1121743743196539</v>
      </c>
      <c r="T38" s="96">
        <f>'Ridership-25'!E30/'Revenue Miles-25'!E30</f>
        <v>3.6271477751754029</v>
      </c>
      <c r="U38" s="97">
        <f t="shared" si="5"/>
        <v>1.5439223358228489</v>
      </c>
      <c r="V38" s="98">
        <f t="shared" si="6"/>
        <v>5.981689616395653E-2</v>
      </c>
      <c r="W38" s="99">
        <f t="shared" si="7"/>
        <v>5.6715340910053237E-2</v>
      </c>
      <c r="X38" s="95">
        <f>'Op Cost-25'!B31/'Revenue Hours-25'!B30</f>
        <v>80.165865469272759</v>
      </c>
      <c r="Y38" s="96">
        <f>'Op Cost-25'!C31/'Revenue Hours-25'!C30</f>
        <v>94.638769882541524</v>
      </c>
      <c r="Z38" s="96">
        <f>'Op Cost-25'!D31/'Revenue Hours-25'!D30</f>
        <v>99.879114404410004</v>
      </c>
      <c r="AA38" s="96">
        <f>'Op Cost-25'!E31/'Revenue Hours-25'!E30</f>
        <v>129.41512623136137</v>
      </c>
      <c r="AB38" s="97">
        <f t="shared" si="8"/>
        <v>1.1373094562186856</v>
      </c>
      <c r="AC38" s="98">
        <f t="shared" si="9"/>
        <v>3.4065892680628304E-2</v>
      </c>
      <c r="AD38" s="99">
        <f t="shared" si="10"/>
        <v>3.6340101231121628E-2</v>
      </c>
      <c r="AE38" s="95">
        <f>'Op Cost-25'!B31/'Revenue Miles-25'!B30</f>
        <v>7.9325951842875142</v>
      </c>
      <c r="AF38" s="96">
        <f>'Op Cost-25'!C31/'Revenue Miles-25'!C30</f>
        <v>9.1617659148578081</v>
      </c>
      <c r="AG38" s="96">
        <f>'Op Cost-25'!D31/'Revenue Miles-25'!D30</f>
        <v>9.5250791177666656</v>
      </c>
      <c r="AH38" s="96">
        <f>'Op Cost-25'!E31/'Revenue Miles-25'!E30</f>
        <v>12.386356868398249</v>
      </c>
      <c r="AI38" s="97">
        <f t="shared" si="11"/>
        <v>1.1300370084817091</v>
      </c>
      <c r="AJ38" s="98">
        <f t="shared" si="12"/>
        <v>3.4285126583831337E-2</v>
      </c>
      <c r="AK38" s="99">
        <f t="shared" si="13"/>
        <v>3.6487982869366151E-2</v>
      </c>
      <c r="AL38" s="95">
        <f>'Op Cost-25'!B31/'Ridership-25'!B30</f>
        <v>1.9543111014191081</v>
      </c>
      <c r="AM38" s="96">
        <f>'Op Cost-25'!C31/'Ridership-25'!C30</f>
        <v>12.233583799771571</v>
      </c>
      <c r="AN38" s="96">
        <f>'Op Cost-25'!D31/'Ridership-25'!D30</f>
        <v>3.0605865777841972</v>
      </c>
      <c r="AO38" s="96">
        <f>'Op Cost-25'!E31/'Ridership-25'!E30</f>
        <v>3.4149027379506931</v>
      </c>
      <c r="AP38" s="97">
        <f t="shared" si="14"/>
        <v>1.4628694458817215</v>
      </c>
      <c r="AQ38" s="98">
        <f t="shared" si="15"/>
        <v>2.648456565230773E-2</v>
      </c>
      <c r="AR38" s="99">
        <f t="shared" si="16"/>
        <v>2.8755066361700634E-2</v>
      </c>
      <c r="AT38" s="101">
        <f t="shared" si="29"/>
        <v>0</v>
      </c>
      <c r="AU38" s="102">
        <f t="shared" si="17"/>
        <v>0</v>
      </c>
      <c r="AV38" s="102">
        <f t="shared" si="18"/>
        <v>0</v>
      </c>
      <c r="AW38" s="102">
        <f t="shared" si="19"/>
        <v>0</v>
      </c>
      <c r="AX38" s="103">
        <f t="shared" si="20"/>
        <v>0</v>
      </c>
      <c r="AY38" s="293">
        <f t="shared" si="30"/>
        <v>-1</v>
      </c>
      <c r="AZ38" s="105">
        <f t="shared" si="21"/>
        <v>0</v>
      </c>
      <c r="BA38" s="106">
        <f t="shared" si="21"/>
        <v>0</v>
      </c>
      <c r="BB38" s="106">
        <f t="shared" si="21"/>
        <v>0</v>
      </c>
      <c r="BC38" s="106">
        <f t="shared" si="21"/>
        <v>0</v>
      </c>
      <c r="BD38" s="106">
        <f t="shared" si="21"/>
        <v>0</v>
      </c>
      <c r="BE38" s="107">
        <f t="shared" si="31"/>
        <v>4736020.1694023041</v>
      </c>
      <c r="BG38" s="108">
        <f>'Op Cost-25'!E31</f>
        <v>12020724</v>
      </c>
      <c r="BH38" s="109">
        <f t="shared" si="22"/>
        <v>0.3939879302945733</v>
      </c>
      <c r="BI38" s="110">
        <f t="shared" si="23"/>
        <v>3606217.1999999997</v>
      </c>
      <c r="BJ38" s="111">
        <f t="shared" si="24"/>
        <v>1129802.9694023044</v>
      </c>
      <c r="BK38" s="1">
        <f t="shared" si="32"/>
        <v>3.1943588558948921</v>
      </c>
      <c r="BL38" s="294">
        <f t="shared" si="33"/>
        <v>2.7660436482096027</v>
      </c>
      <c r="BM38" s="294">
        <f t="shared" si="34"/>
        <v>3.8098263692074621</v>
      </c>
      <c r="BN38" s="295">
        <f t="shared" si="35"/>
        <v>3.100782703081252</v>
      </c>
      <c r="BO38" s="114">
        <f t="shared" si="25"/>
        <v>0</v>
      </c>
      <c r="BP38" s="296">
        <f t="shared" si="36"/>
        <v>3.1943588558948921</v>
      </c>
      <c r="BQ38" s="116">
        <f t="shared" si="37"/>
        <v>0.12376052056507332</v>
      </c>
      <c r="BR38" s="297">
        <f t="shared" si="38"/>
        <v>0</v>
      </c>
      <c r="BS38" s="117">
        <f t="shared" si="39"/>
        <v>0</v>
      </c>
      <c r="BT38" s="298">
        <f t="shared" si="40"/>
        <v>3606217.1999999997</v>
      </c>
      <c r="BU38" s="119">
        <f t="shared" si="41"/>
        <v>3606217.1999999997</v>
      </c>
      <c r="BV38" s="119">
        <f t="shared" si="42"/>
        <v>3606217.1999999997</v>
      </c>
      <c r="BW38" s="119">
        <f t="shared" si="43"/>
        <v>0</v>
      </c>
      <c r="BX38" s="120">
        <f t="shared" si="44"/>
        <v>0</v>
      </c>
      <c r="BY38" s="121">
        <f t="shared" si="45"/>
        <v>0</v>
      </c>
      <c r="BZ38" s="299">
        <f t="shared" si="46"/>
        <v>3606217.1999999997</v>
      </c>
      <c r="CA38" s="109">
        <f t="shared" si="26"/>
        <v>0</v>
      </c>
      <c r="CB38" s="123">
        <f t="shared" si="57"/>
        <v>0</v>
      </c>
      <c r="CC38" s="111">
        <f t="shared" si="56"/>
        <v>3606217</v>
      </c>
      <c r="CE38" s="124">
        <f t="shared" si="28"/>
        <v>0</v>
      </c>
      <c r="CF38" s="17"/>
      <c r="CG38" s="108">
        <f t="shared" si="47"/>
        <v>12020724</v>
      </c>
      <c r="CH38" s="125">
        <f t="shared" si="48"/>
        <v>0.29999998336206707</v>
      </c>
      <c r="CI38" s="110">
        <f t="shared" si="49"/>
        <v>3606217.1999999997</v>
      </c>
      <c r="CJ38" s="300">
        <f t="shared" si="50"/>
        <v>0</v>
      </c>
      <c r="CL38" s="127">
        <f t="shared" si="51"/>
        <v>0</v>
      </c>
      <c r="CM38" s="128">
        <f t="shared" si="52"/>
        <v>0</v>
      </c>
      <c r="CN38" s="129">
        <f t="shared" si="53"/>
        <v>0</v>
      </c>
      <c r="CO38" s="130">
        <f t="shared" si="55"/>
        <v>3606217</v>
      </c>
      <c r="CQ38" s="131">
        <f t="shared" si="54"/>
        <v>0.3</v>
      </c>
      <c r="CR38" s="301"/>
    </row>
    <row r="39" spans="1:96">
      <c r="A39" s="133" t="s">
        <v>115</v>
      </c>
      <c r="B39" s="90" t="s">
        <v>117</v>
      </c>
      <c r="C39" s="91">
        <f>'Sizing - Reimb Exp-25'!B32</f>
        <v>2604889</v>
      </c>
      <c r="D39" s="92">
        <f>'Ridership-25'!$E31</f>
        <v>120233</v>
      </c>
      <c r="E39" s="92">
        <f>'Revenue Hours-25'!$E31</f>
        <v>32095</v>
      </c>
      <c r="F39" s="92">
        <f>'Revenue Miles-25'!$E31</f>
        <v>388317</v>
      </c>
      <c r="G39" s="134">
        <f t="shared" si="58"/>
        <v>4.6171945352911758E-3</v>
      </c>
      <c r="H39" s="94">
        <f t="shared" si="59"/>
        <v>4.6171945352911766E-3</v>
      </c>
      <c r="J39" s="95">
        <f>'Ridership-25'!B31/'Revenue Hours-25'!B31</f>
        <v>8.58772210149559</v>
      </c>
      <c r="K39" s="96">
        <f>'Ridership-25'!C31/'Revenue Hours-25'!C31</f>
        <v>3.353975911522431</v>
      </c>
      <c r="L39" s="96">
        <f>'Ridership-25'!D31/'Revenue Hours-25'!D31</f>
        <v>4.039822296622992</v>
      </c>
      <c r="M39" s="96">
        <f>'Ridership-25'!E31/'Revenue Hours-25'!E31</f>
        <v>3.7461598379809939</v>
      </c>
      <c r="N39" s="97">
        <f t="shared" si="2"/>
        <v>0.82355293566047949</v>
      </c>
      <c r="O39" s="98">
        <f t="shared" si="3"/>
        <v>3.8025041140545717E-3</v>
      </c>
      <c r="P39" s="99">
        <f t="shared" si="4"/>
        <v>3.592042349588181E-3</v>
      </c>
      <c r="Q39" s="95">
        <f>'Ridership-25'!B31/'Revenue Miles-25'!B31</f>
        <v>0.78227240838260248</v>
      </c>
      <c r="R39" s="96">
        <f>'Ridership-25'!C31/'Revenue Miles-25'!C31</f>
        <v>0.29134203947124609</v>
      </c>
      <c r="S39" s="96">
        <f>'Ridership-25'!D31/'Revenue Miles-25'!D31</f>
        <v>0.3358526722031458</v>
      </c>
      <c r="T39" s="96">
        <f>'Ridership-25'!E31/'Revenue Miles-25'!E31</f>
        <v>0.30962589842834592</v>
      </c>
      <c r="U39" s="97">
        <f t="shared" si="5"/>
        <v>0.80034342624183574</v>
      </c>
      <c r="V39" s="98">
        <f t="shared" si="6"/>
        <v>3.6953412940000209E-3</v>
      </c>
      <c r="W39" s="99">
        <f t="shared" si="7"/>
        <v>3.5037348092042133E-3</v>
      </c>
      <c r="X39" s="95">
        <f>'Op Cost-25'!B32/'Revenue Hours-25'!B31</f>
        <v>50.245430141889301</v>
      </c>
      <c r="Y39" s="96">
        <f>'Op Cost-25'!C32/'Revenue Hours-25'!C31</f>
        <v>54.975878704341831</v>
      </c>
      <c r="Z39" s="96">
        <f>'Op Cost-25'!D32/'Revenue Hours-25'!D31</f>
        <v>56.597366641985644</v>
      </c>
      <c r="AA39" s="96">
        <f>'Op Cost-25'!E32/'Revenue Hours-25'!E31</f>
        <v>81.316934101885025</v>
      </c>
      <c r="AB39" s="97">
        <f t="shared" si="8"/>
        <v>1.1556230050053564</v>
      </c>
      <c r="AC39" s="98">
        <f t="shared" si="9"/>
        <v>3.9954159057864862E-3</v>
      </c>
      <c r="AD39" s="99">
        <f t="shared" si="10"/>
        <v>4.2621463009328217E-3</v>
      </c>
      <c r="AE39" s="95">
        <f>'Op Cost-25'!B32/'Revenue Miles-25'!B31</f>
        <v>4.5769545384416093</v>
      </c>
      <c r="AF39" s="96">
        <f>'Op Cost-25'!C32/'Revenue Miles-25'!C31</f>
        <v>4.775462032515458</v>
      </c>
      <c r="AG39" s="96">
        <f>'Op Cost-25'!D32/'Revenue Miles-25'!D31</f>
        <v>4.7052507339893959</v>
      </c>
      <c r="AH39" s="96">
        <f>'Op Cost-25'!E32/'Revenue Miles-25'!E31</f>
        <v>6.7209702382331962</v>
      </c>
      <c r="AI39" s="97">
        <f t="shared" si="11"/>
        <v>1.127283500961868</v>
      </c>
      <c r="AJ39" s="98">
        <f t="shared" si="12"/>
        <v>4.0958592327054377E-3</v>
      </c>
      <c r="AK39" s="99">
        <f t="shared" si="13"/>
        <v>4.3590225969523111E-3</v>
      </c>
      <c r="AL39" s="95">
        <f>'Op Cost-25'!B32/'Ridership-25'!B31</f>
        <v>5.8508449095178374</v>
      </c>
      <c r="AM39" s="96">
        <f>'Op Cost-25'!C32/'Ridership-25'!C31</f>
        <v>16.391256274523233</v>
      </c>
      <c r="AN39" s="96">
        <f>'Op Cost-25'!D32/'Ridership-25'!D31</f>
        <v>14.009865406529656</v>
      </c>
      <c r="AO39" s="96">
        <f>'Op Cost-25'!E32/'Ridership-25'!E31</f>
        <v>21.706744404614373</v>
      </c>
      <c r="AP39" s="100">
        <f t="shared" si="14"/>
        <v>1.4225629168992857</v>
      </c>
      <c r="AQ39" s="98">
        <f t="shared" si="15"/>
        <v>3.2456874001433457E-3</v>
      </c>
      <c r="AR39" s="99">
        <f t="shared" si="16"/>
        <v>3.5239375946618636E-3</v>
      </c>
      <c r="AT39" s="101">
        <f t="shared" si="29"/>
        <v>0</v>
      </c>
      <c r="AU39" s="102">
        <f t="shared" si="17"/>
        <v>0</v>
      </c>
      <c r="AV39" s="102">
        <f t="shared" si="18"/>
        <v>0</v>
      </c>
      <c r="AW39" s="102">
        <f t="shared" si="19"/>
        <v>0</v>
      </c>
      <c r="AX39" s="103">
        <f t="shared" si="20"/>
        <v>0</v>
      </c>
      <c r="AY39" s="293">
        <f t="shared" si="30"/>
        <v>-1</v>
      </c>
      <c r="AZ39" s="105">
        <f t="shared" si="21"/>
        <v>0</v>
      </c>
      <c r="BA39" s="106">
        <f t="shared" si="21"/>
        <v>0</v>
      </c>
      <c r="BB39" s="106">
        <f t="shared" si="21"/>
        <v>0</v>
      </c>
      <c r="BC39" s="106">
        <f t="shared" si="21"/>
        <v>0</v>
      </c>
      <c r="BD39" s="106">
        <f t="shared" si="21"/>
        <v>0</v>
      </c>
      <c r="BE39" s="107">
        <f t="shared" si="31"/>
        <v>564408.17066899862</v>
      </c>
      <c r="BG39" s="108">
        <f>'Op Cost-25'!E32</f>
        <v>2609867</v>
      </c>
      <c r="BH39" s="109">
        <f t="shared" si="22"/>
        <v>0.21625936136554033</v>
      </c>
      <c r="BI39" s="110">
        <f t="shared" si="23"/>
        <v>564408.17066899862</v>
      </c>
      <c r="BJ39" s="111">
        <f t="shared" si="24"/>
        <v>0</v>
      </c>
      <c r="BK39" s="1">
        <f t="shared" si="32"/>
        <v>0.67247774629036483</v>
      </c>
      <c r="BL39" s="294">
        <f t="shared" si="33"/>
        <v>0.42792730598826173</v>
      </c>
      <c r="BM39" s="294">
        <f t="shared" si="34"/>
        <v>0.51677869617554073</v>
      </c>
      <c r="BN39" s="295">
        <f t="shared" si="35"/>
        <v>0.87260249149882829</v>
      </c>
      <c r="BO39" s="114">
        <f t="shared" si="25"/>
        <v>564408.17066899862</v>
      </c>
      <c r="BP39" s="296">
        <f t="shared" si="36"/>
        <v>0.67247774629036483</v>
      </c>
      <c r="BQ39" s="116">
        <f t="shared" si="37"/>
        <v>3.1049605752767988E-3</v>
      </c>
      <c r="BR39" s="297">
        <f t="shared" si="38"/>
        <v>3.1049605752767988E-3</v>
      </c>
      <c r="BS39" s="117">
        <f t="shared" si="39"/>
        <v>3.2553637767275883E-3</v>
      </c>
      <c r="BT39" s="298">
        <f t="shared" si="40"/>
        <v>592386.76740641077</v>
      </c>
      <c r="BU39" s="119">
        <f t="shared" si="41"/>
        <v>782960.1</v>
      </c>
      <c r="BV39" s="119">
        <f t="shared" si="42"/>
        <v>592386.76740641077</v>
      </c>
      <c r="BW39" s="119">
        <f t="shared" si="43"/>
        <v>0</v>
      </c>
      <c r="BX39" s="120">
        <f t="shared" si="44"/>
        <v>3.1049605752767988E-3</v>
      </c>
      <c r="BY39" s="121">
        <f t="shared" si="45"/>
        <v>5.7500469227462197E-3</v>
      </c>
      <c r="BZ39" s="299">
        <f t="shared" si="46"/>
        <v>597264.74012043676</v>
      </c>
      <c r="CA39" s="109">
        <f t="shared" si="26"/>
        <v>5.1263552860351747E-3</v>
      </c>
      <c r="CB39" s="123">
        <f t="shared" si="57"/>
        <v>44059.047503704394</v>
      </c>
      <c r="CC39" s="111">
        <f t="shared" si="56"/>
        <v>608467</v>
      </c>
      <c r="CE39" s="124">
        <f t="shared" si="28"/>
        <v>0</v>
      </c>
      <c r="CF39" s="17"/>
      <c r="CG39" s="108">
        <f t="shared" si="47"/>
        <v>2609867</v>
      </c>
      <c r="CH39" s="125">
        <f t="shared" si="48"/>
        <v>0.23314099913903658</v>
      </c>
      <c r="CI39" s="110">
        <f t="shared" si="49"/>
        <v>592386.76740641077</v>
      </c>
      <c r="CJ39" s="300">
        <f t="shared" si="50"/>
        <v>0</v>
      </c>
      <c r="CL39" s="127">
        <f t="shared" si="51"/>
        <v>592386.76740641077</v>
      </c>
      <c r="CM39" s="128">
        <f t="shared" si="52"/>
        <v>6.8928610637890913E-3</v>
      </c>
      <c r="CN39" s="129">
        <f t="shared" si="53"/>
        <v>5847.4632715999742</v>
      </c>
      <c r="CO39" s="130">
        <f t="shared" si="55"/>
        <v>598234</v>
      </c>
      <c r="CQ39" s="131">
        <f t="shared" si="54"/>
        <v>0.22884872682034632</v>
      </c>
      <c r="CR39" s="301"/>
    </row>
    <row r="40" spans="1:96">
      <c r="A40" s="133" t="s">
        <v>115</v>
      </c>
      <c r="B40" s="90" t="s">
        <v>118</v>
      </c>
      <c r="C40" s="91">
        <f>'Sizing - Reimb Exp-25'!B33</f>
        <v>12745096</v>
      </c>
      <c r="D40" s="92">
        <f>'Ridership-25'!$E32</f>
        <v>1287135</v>
      </c>
      <c r="E40" s="92">
        <f>'Revenue Hours-25'!$E32</f>
        <v>141516</v>
      </c>
      <c r="F40" s="92">
        <f>'Revenue Miles-25'!$E32</f>
        <v>2266478</v>
      </c>
      <c r="G40" s="134">
        <f t="shared" si="58"/>
        <v>2.8104578816997367E-2</v>
      </c>
      <c r="H40" s="94">
        <f t="shared" si="59"/>
        <v>2.8104578816997371E-2</v>
      </c>
      <c r="J40" s="95">
        <f>'Ridership-25'!B32/'Revenue Hours-25'!B32</f>
        <v>13.061303342191943</v>
      </c>
      <c r="K40" s="96">
        <f>'Ridership-25'!C32/'Revenue Hours-25'!C32</f>
        <v>7.5369057433360815</v>
      </c>
      <c r="L40" s="96">
        <f>'Ridership-25'!D32/'Revenue Hours-25'!D32</f>
        <v>7.2816302952503209</v>
      </c>
      <c r="M40" s="96">
        <f>'Ridership-25'!E32/'Revenue Hours-25'!E32</f>
        <v>9.0953319765962863</v>
      </c>
      <c r="N40" s="97">
        <f t="shared" si="2"/>
        <v>0.97259602799562239</v>
      </c>
      <c r="O40" s="98">
        <f t="shared" si="3"/>
        <v>2.7334401725901552E-2</v>
      </c>
      <c r="P40" s="99">
        <f t="shared" si="4"/>
        <v>2.5821491747289538E-2</v>
      </c>
      <c r="Q40" s="95">
        <f>'Ridership-25'!B32/'Revenue Miles-25'!B32</f>
        <v>0.76270122520155903</v>
      </c>
      <c r="R40" s="96">
        <f>'Ridership-25'!C32/'Revenue Miles-25'!C32</f>
        <v>0.4322966250764449</v>
      </c>
      <c r="S40" s="96">
        <f>'Ridership-25'!D32/'Revenue Miles-25'!D32</f>
        <v>0.43926607650153893</v>
      </c>
      <c r="T40" s="96">
        <f>'Ridership-25'!E32/'Revenue Miles-25'!E32</f>
        <v>0.56790094587284767</v>
      </c>
      <c r="U40" s="97">
        <f t="shared" si="5"/>
        <v>0.99166885616900835</v>
      </c>
      <c r="V40" s="98">
        <f t="shared" si="6"/>
        <v>2.7870435528563525E-2</v>
      </c>
      <c r="W40" s="99">
        <f t="shared" si="7"/>
        <v>2.6425330528376707E-2</v>
      </c>
      <c r="X40" s="95">
        <f>'Op Cost-25'!B33/'Revenue Hours-25'!B32</f>
        <v>69.193957147306961</v>
      </c>
      <c r="Y40" s="96">
        <f>'Op Cost-25'!C33/'Revenue Hours-25'!C32</f>
        <v>71.568899422918378</v>
      </c>
      <c r="Z40" s="96">
        <f>'Op Cost-25'!D33/'Revenue Hours-25'!D32</f>
        <v>68.191964056482675</v>
      </c>
      <c r="AA40" s="96">
        <f>'Op Cost-25'!E33/'Revenue Hours-25'!E32</f>
        <v>90.06116622855366</v>
      </c>
      <c r="AB40" s="97">
        <f t="shared" si="8"/>
        <v>1.0722259277819035</v>
      </c>
      <c r="AC40" s="98">
        <f t="shared" si="9"/>
        <v>2.6211433699553286E-2</v>
      </c>
      <c r="AD40" s="99">
        <f t="shared" si="10"/>
        <v>2.7961285588040875E-2</v>
      </c>
      <c r="AE40" s="95">
        <f>'Op Cost-25'!B33/'Revenue Miles-25'!B32</f>
        <v>4.0405091674364728</v>
      </c>
      <c r="AF40" s="96">
        <f>'Op Cost-25'!C33/'Revenue Miles-25'!C32</f>
        <v>4.104999416812201</v>
      </c>
      <c r="AG40" s="96">
        <f>'Op Cost-25'!D33/'Revenue Miles-25'!D32</f>
        <v>4.1136964231161048</v>
      </c>
      <c r="AH40" s="96">
        <f>'Op Cost-25'!E33/'Revenue Miles-25'!E32</f>
        <v>5.6233045279945362</v>
      </c>
      <c r="AI40" s="97">
        <f t="shared" si="11"/>
        <v>1.1036725581218729</v>
      </c>
      <c r="AJ40" s="98">
        <f t="shared" si="12"/>
        <v>2.5464598725570494E-2</v>
      </c>
      <c r="AK40" s="99">
        <f t="shared" si="13"/>
        <v>2.7100726602306956E-2</v>
      </c>
      <c r="AL40" s="95">
        <f>'Op Cost-25'!B33/'Ridership-25'!B32</f>
        <v>5.2976303615726961</v>
      </c>
      <c r="AM40" s="96">
        <f>'Op Cost-25'!C33/'Ridership-25'!C32</f>
        <v>9.4957933481120662</v>
      </c>
      <c r="AN40" s="96">
        <f>'Op Cost-25'!D33/'Ridership-25'!D32</f>
        <v>9.3649308316247648</v>
      </c>
      <c r="AO40" s="96">
        <f>'Op Cost-25'!E33/'Ridership-25'!E32</f>
        <v>9.9019108329740089</v>
      </c>
      <c r="AP40" s="97">
        <f t="shared" si="14"/>
        <v>1.1267330999760947</v>
      </c>
      <c r="AQ40" s="98">
        <f t="shared" si="15"/>
        <v>2.4943421665338181E-2</v>
      </c>
      <c r="AR40" s="99">
        <f t="shared" si="16"/>
        <v>2.7081801328774417E-2</v>
      </c>
      <c r="AT40" s="101">
        <f t="shared" si="29"/>
        <v>0</v>
      </c>
      <c r="AU40" s="102">
        <f t="shared" si="17"/>
        <v>0</v>
      </c>
      <c r="AV40" s="102">
        <f t="shared" si="18"/>
        <v>0</v>
      </c>
      <c r="AW40" s="102">
        <f t="shared" si="19"/>
        <v>0</v>
      </c>
      <c r="AX40" s="103">
        <f t="shared" si="20"/>
        <v>0</v>
      </c>
      <c r="AY40" s="293">
        <f t="shared" si="30"/>
        <v>-1</v>
      </c>
      <c r="AZ40" s="105">
        <f t="shared" si="21"/>
        <v>0</v>
      </c>
      <c r="BA40" s="106">
        <f t="shared" si="21"/>
        <v>0</v>
      </c>
      <c r="BB40" s="106">
        <f t="shared" si="21"/>
        <v>0</v>
      </c>
      <c r="BC40" s="106">
        <f t="shared" si="21"/>
        <v>0</v>
      </c>
      <c r="BD40" s="106">
        <f t="shared" si="21"/>
        <v>0</v>
      </c>
      <c r="BE40" s="107">
        <f t="shared" si="31"/>
        <v>3435517.7795262272</v>
      </c>
      <c r="BG40" s="108">
        <f>'Op Cost-25'!E33</f>
        <v>12745096</v>
      </c>
      <c r="BH40" s="109">
        <f t="shared" si="22"/>
        <v>0.26955605352256484</v>
      </c>
      <c r="BI40" s="110">
        <f t="shared" si="23"/>
        <v>3435517.7795262272</v>
      </c>
      <c r="BJ40" s="111">
        <f t="shared" si="24"/>
        <v>0</v>
      </c>
      <c r="BK40" s="1">
        <f t="shared" si="32"/>
        <v>1.1786952030311353</v>
      </c>
      <c r="BL40" s="294">
        <f t="shared" si="33"/>
        <v>0.91582257909679743</v>
      </c>
      <c r="BM40" s="294">
        <f t="shared" si="34"/>
        <v>0.7837664747007741</v>
      </c>
      <c r="BN40" s="295">
        <f t="shared" si="35"/>
        <v>1.5075958791634847</v>
      </c>
      <c r="BO40" s="114">
        <f t="shared" si="25"/>
        <v>3435517.7795262272</v>
      </c>
      <c r="BP40" s="296">
        <f t="shared" si="36"/>
        <v>1.1786952030311353</v>
      </c>
      <c r="BQ40" s="116">
        <f t="shared" si="37"/>
        <v>3.3126732234805258E-2</v>
      </c>
      <c r="BR40" s="297">
        <f t="shared" si="38"/>
        <v>3.3126732234805258E-2</v>
      </c>
      <c r="BS40" s="302">
        <f t="shared" si="39"/>
        <v>3.4731379527717703E-2</v>
      </c>
      <c r="BT40" s="298">
        <f t="shared" si="40"/>
        <v>3734020.5978247249</v>
      </c>
      <c r="BU40" s="119">
        <f t="shared" si="41"/>
        <v>3823528.8</v>
      </c>
      <c r="BV40" s="119">
        <f t="shared" si="42"/>
        <v>3734020.5978247249</v>
      </c>
      <c r="BW40" s="119">
        <f t="shared" si="43"/>
        <v>0</v>
      </c>
      <c r="BX40" s="120">
        <f t="shared" si="44"/>
        <v>3.3126732234805258E-2</v>
      </c>
      <c r="BY40" s="121">
        <f t="shared" si="45"/>
        <v>6.1347079980363095E-2</v>
      </c>
      <c r="BZ40" s="299">
        <f t="shared" si="46"/>
        <v>3786063.5439519291</v>
      </c>
      <c r="CA40" s="109">
        <f t="shared" si="26"/>
        <v>3.1203808953486262E-2</v>
      </c>
      <c r="CB40" s="123">
        <f t="shared" si="57"/>
        <v>268184.70907065697</v>
      </c>
      <c r="CC40" s="111">
        <f t="shared" si="56"/>
        <v>3703702</v>
      </c>
      <c r="CE40" s="124">
        <f t="shared" si="28"/>
        <v>0</v>
      </c>
      <c r="CF40" s="17"/>
      <c r="CG40" s="108">
        <f t="shared" si="47"/>
        <v>12745096</v>
      </c>
      <c r="CH40" s="125">
        <f t="shared" si="48"/>
        <v>0.29059820341878945</v>
      </c>
      <c r="CI40" s="110">
        <f t="shared" si="49"/>
        <v>3734020.5978247249</v>
      </c>
      <c r="CJ40" s="300">
        <f t="shared" si="50"/>
        <v>0</v>
      </c>
      <c r="CL40" s="127">
        <f t="shared" si="51"/>
        <v>3734020.5978247249</v>
      </c>
      <c r="CM40" s="128">
        <f t="shared" si="52"/>
        <v>4.3448109590325697E-2</v>
      </c>
      <c r="CN40" s="129">
        <f t="shared" si="53"/>
        <v>36858.602356656163</v>
      </c>
      <c r="CO40" s="130">
        <f t="shared" si="55"/>
        <v>3770879</v>
      </c>
      <c r="CQ40" s="131">
        <f t="shared" si="54"/>
        <v>0.29706041790127974</v>
      </c>
      <c r="CR40" s="301"/>
    </row>
    <row r="41" spans="1:96">
      <c r="A41" s="133" t="s">
        <v>115</v>
      </c>
      <c r="B41" s="90" t="s">
        <v>119</v>
      </c>
      <c r="C41" s="91">
        <f>'Sizing - Reimb Exp-25'!B34</f>
        <v>736481</v>
      </c>
      <c r="D41" s="92">
        <f>'Ridership-25'!$E33</f>
        <v>27254</v>
      </c>
      <c r="E41" s="92">
        <f>'Revenue Hours-25'!$E33</f>
        <v>18878</v>
      </c>
      <c r="F41" s="92">
        <f>'Revenue Miles-25'!$E33</f>
        <v>227896</v>
      </c>
      <c r="G41" s="134">
        <f t="shared" si="58"/>
        <v>1.8632723851484084E-3</v>
      </c>
      <c r="H41" s="94">
        <f t="shared" si="59"/>
        <v>1.8632723851484086E-3</v>
      </c>
      <c r="J41" s="95">
        <f>'Ridership-25'!B33/'Revenue Hours-25'!B33</f>
        <v>3.4694402420574888</v>
      </c>
      <c r="K41" s="96">
        <f>'Ridership-25'!C33/'Revenue Hours-25'!C33</f>
        <v>2.0660778541053322</v>
      </c>
      <c r="L41" s="96">
        <f>'Ridership-25'!D33/'Revenue Hours-25'!D33</f>
        <v>1.5442640125720273</v>
      </c>
      <c r="M41" s="96">
        <f>'Ridership-25'!E33/'Revenue Hours-25'!E33</f>
        <v>1.4436910689691704</v>
      </c>
      <c r="N41" s="97">
        <f t="shared" si="2"/>
        <v>0.84040025493262005</v>
      </c>
      <c r="O41" s="98">
        <f t="shared" si="3"/>
        <v>1.5658945874876336E-3</v>
      </c>
      <c r="P41" s="99">
        <f t="shared" si="4"/>
        <v>1.4792251381021836E-3</v>
      </c>
      <c r="Q41" s="95">
        <f>'Ridership-25'!B33/'Revenue Miles-25'!B33</f>
        <v>0.3128535569419939</v>
      </c>
      <c r="R41" s="96">
        <f>'Ridership-25'!C33/'Revenue Miles-25'!C33</f>
        <v>0.17929853281414856</v>
      </c>
      <c r="S41" s="96">
        <f>'Ridership-25'!D33/'Revenue Miles-25'!D33</f>
        <v>0.13392938268912755</v>
      </c>
      <c r="T41" s="96">
        <f>'Ridership-25'!E33/'Revenue Miles-25'!E33</f>
        <v>0.11958963737845332</v>
      </c>
      <c r="U41" s="97">
        <f t="shared" si="5"/>
        <v>0.8130013884664985</v>
      </c>
      <c r="V41" s="98">
        <f t="shared" si="6"/>
        <v>1.5148430362169406E-3</v>
      </c>
      <c r="W41" s="99">
        <f t="shared" si="7"/>
        <v>1.4362971791243332E-3</v>
      </c>
      <c r="X41" s="95">
        <f>'Op Cost-25'!B34/'Revenue Hours-25'!B33</f>
        <v>37.011396873424104</v>
      </c>
      <c r="Y41" s="96">
        <f>'Op Cost-25'!C34/'Revenue Hours-25'!C33</f>
        <v>43.551303020390364</v>
      </c>
      <c r="Z41" s="96">
        <f>'Op Cost-25'!D34/'Revenue Hours-25'!D33</f>
        <v>41.282399161864852</v>
      </c>
      <c r="AA41" s="96">
        <f>'Op Cost-25'!E34/'Revenue Hours-25'!E33</f>
        <v>39.012660239432144</v>
      </c>
      <c r="AB41" s="97">
        <f t="shared" si="8"/>
        <v>0.97493531099601194</v>
      </c>
      <c r="AC41" s="98">
        <f t="shared" si="9"/>
        <v>1.9111754022375653E-3</v>
      </c>
      <c r="AD41" s="99">
        <f t="shared" si="10"/>
        <v>2.0387637640635506E-3</v>
      </c>
      <c r="AE41" s="95">
        <f>'Op Cost-25'!B34/'Revenue Miles-25'!B33</f>
        <v>3.3374683958746383</v>
      </c>
      <c r="AF41" s="96">
        <f>'Op Cost-25'!C34/'Revenue Miles-25'!C33</f>
        <v>3.7794726458078038</v>
      </c>
      <c r="AG41" s="96">
        <f>'Op Cost-25'!D34/'Revenue Miles-25'!D33</f>
        <v>3.5802985698449907</v>
      </c>
      <c r="AH41" s="96">
        <f>'Op Cost-25'!E34/'Revenue Miles-25'!E33</f>
        <v>3.2316539123108785</v>
      </c>
      <c r="AI41" s="97">
        <f t="shared" si="11"/>
        <v>0.95024092814342698</v>
      </c>
      <c r="AJ41" s="98">
        <f t="shared" si="12"/>
        <v>1.9608420664313578E-3</v>
      </c>
      <c r="AK41" s="99">
        <f t="shared" si="13"/>
        <v>2.0868282797363545E-3</v>
      </c>
      <c r="AL41" s="95">
        <f>'Op Cost-25'!B34/'Ridership-25'!B33</f>
        <v>10.667829474265615</v>
      </c>
      <c r="AM41" s="96">
        <f>'Op Cost-25'!C34/'Ridership-25'!C33</f>
        <v>21.079216803884314</v>
      </c>
      <c r="AN41" s="96">
        <f>'Op Cost-25'!D34/'Ridership-25'!D33</f>
        <v>26.732734056987788</v>
      </c>
      <c r="AO41" s="96">
        <f>'Op Cost-25'!E34/'Ridership-25'!E33</f>
        <v>27.022859029867174</v>
      </c>
      <c r="AP41" s="100">
        <f t="shared" si="14"/>
        <v>1.2534142474100449</v>
      </c>
      <c r="AQ41" s="98">
        <f t="shared" si="15"/>
        <v>1.4865575279669318E-3</v>
      </c>
      <c r="AR41" s="99">
        <f t="shared" si="16"/>
        <v>1.613998920290018E-3</v>
      </c>
      <c r="AT41" s="101">
        <f t="shared" si="29"/>
        <v>0</v>
      </c>
      <c r="AU41" s="102">
        <f t="shared" si="17"/>
        <v>0</v>
      </c>
      <c r="AV41" s="102">
        <f t="shared" si="18"/>
        <v>0</v>
      </c>
      <c r="AW41" s="102">
        <f t="shared" si="19"/>
        <v>0</v>
      </c>
      <c r="AX41" s="103">
        <f t="shared" si="20"/>
        <v>0</v>
      </c>
      <c r="AY41" s="293">
        <f t="shared" si="30"/>
        <v>-1</v>
      </c>
      <c r="AZ41" s="105">
        <f t="shared" si="21"/>
        <v>0</v>
      </c>
      <c r="BA41" s="106">
        <f t="shared" si="21"/>
        <v>0</v>
      </c>
      <c r="BB41" s="106">
        <f t="shared" si="21"/>
        <v>0</v>
      </c>
      <c r="BC41" s="106">
        <f t="shared" si="21"/>
        <v>0</v>
      </c>
      <c r="BD41" s="106">
        <f t="shared" si="21"/>
        <v>0</v>
      </c>
      <c r="BE41" s="107">
        <f t="shared" si="31"/>
        <v>227767.34883520659</v>
      </c>
      <c r="BG41" s="108">
        <f>'Op Cost-25'!E34</f>
        <v>736481</v>
      </c>
      <c r="BH41" s="109">
        <f t="shared" si="22"/>
        <v>0.30926439220456003</v>
      </c>
      <c r="BI41" s="110">
        <f t="shared" si="23"/>
        <v>220944.3</v>
      </c>
      <c r="BJ41" s="111">
        <f t="shared" si="24"/>
        <v>6823.0488352066022</v>
      </c>
      <c r="BK41" s="1">
        <f t="shared" si="32"/>
        <v>0.41105430731097203</v>
      </c>
      <c r="BL41" s="294">
        <f t="shared" si="33"/>
        <v>0.20154909579238067</v>
      </c>
      <c r="BM41" s="294">
        <f t="shared" si="34"/>
        <v>0.24702525006042009</v>
      </c>
      <c r="BN41" s="295">
        <f t="shared" si="35"/>
        <v>0.59782144169554374</v>
      </c>
      <c r="BO41" s="114">
        <f t="shared" si="25"/>
        <v>0</v>
      </c>
      <c r="BP41" s="296">
        <f t="shared" si="36"/>
        <v>0.41105430731097203</v>
      </c>
      <c r="BQ41" s="116">
        <f t="shared" si="37"/>
        <v>7.6590613960884186E-4</v>
      </c>
      <c r="BR41" s="297">
        <f t="shared" si="38"/>
        <v>0</v>
      </c>
      <c r="BS41" s="117">
        <f t="shared" si="39"/>
        <v>0</v>
      </c>
      <c r="BT41" s="298">
        <f t="shared" si="40"/>
        <v>220944.3</v>
      </c>
      <c r="BU41" s="119">
        <f t="shared" si="41"/>
        <v>220944.3</v>
      </c>
      <c r="BV41" s="119">
        <f t="shared" si="42"/>
        <v>220944.3</v>
      </c>
      <c r="BW41" s="119">
        <f t="shared" si="43"/>
        <v>0</v>
      </c>
      <c r="BX41" s="120">
        <f t="shared" si="44"/>
        <v>0</v>
      </c>
      <c r="BY41" s="121">
        <f t="shared" si="45"/>
        <v>0</v>
      </c>
      <c r="BZ41" s="299">
        <f t="shared" si="46"/>
        <v>220944.3</v>
      </c>
      <c r="CA41" s="109">
        <f t="shared" si="26"/>
        <v>0</v>
      </c>
      <c r="CB41" s="123">
        <f t="shared" si="57"/>
        <v>0</v>
      </c>
      <c r="CC41" s="111">
        <f t="shared" si="56"/>
        <v>220944</v>
      </c>
      <c r="CE41" s="124">
        <f t="shared" si="28"/>
        <v>0</v>
      </c>
      <c r="CF41" s="17"/>
      <c r="CG41" s="108">
        <f t="shared" si="47"/>
        <v>736481</v>
      </c>
      <c r="CH41" s="125">
        <f t="shared" si="48"/>
        <v>0.29999959265751597</v>
      </c>
      <c r="CI41" s="110">
        <f t="shared" si="49"/>
        <v>220944.3</v>
      </c>
      <c r="CJ41" s="300">
        <f t="shared" si="50"/>
        <v>0</v>
      </c>
      <c r="CL41" s="127">
        <f t="shared" si="51"/>
        <v>0</v>
      </c>
      <c r="CM41" s="128">
        <f t="shared" si="52"/>
        <v>0</v>
      </c>
      <c r="CN41" s="129">
        <f t="shared" si="53"/>
        <v>0</v>
      </c>
      <c r="CO41" s="130">
        <f t="shared" si="55"/>
        <v>220944</v>
      </c>
      <c r="CQ41" s="131">
        <f t="shared" si="54"/>
        <v>0.3</v>
      </c>
      <c r="CR41" s="301"/>
    </row>
    <row r="42" spans="1:96">
      <c r="A42" s="133" t="s">
        <v>120</v>
      </c>
      <c r="B42" s="90" t="s">
        <v>121</v>
      </c>
      <c r="C42" s="91">
        <f>'Sizing - Reimb Exp-25'!B35</f>
        <v>2068694</v>
      </c>
      <c r="D42" s="92">
        <f>'Ridership-25'!$E34</f>
        <v>196967</v>
      </c>
      <c r="E42" s="92">
        <f>'Revenue Hours-25'!$E34</f>
        <v>37781</v>
      </c>
      <c r="F42" s="92">
        <f>'Revenue Miles-25'!$E34</f>
        <v>740596</v>
      </c>
      <c r="G42" s="134">
        <f t="shared" si="58"/>
        <v>5.8512263302081102E-3</v>
      </c>
      <c r="H42" s="94">
        <f t="shared" si="59"/>
        <v>5.851226330208111E-3</v>
      </c>
      <c r="J42" s="95">
        <f>'Ridership-25'!B34/'Revenue Hours-25'!B34</f>
        <v>8.9718507404266425</v>
      </c>
      <c r="K42" s="96">
        <f>'Ridership-25'!C34/'Revenue Hours-25'!C34</f>
        <v>4.4820247253569612</v>
      </c>
      <c r="L42" s="96">
        <f>'Ridership-25'!D34/'Revenue Hours-25'!D34</f>
        <v>4.4056907707718551</v>
      </c>
      <c r="M42" s="96">
        <f>'Ridership-25'!E34/'Revenue Hours-25'!E34</f>
        <v>5.2133876816389186</v>
      </c>
      <c r="N42" s="97">
        <f t="shared" si="2"/>
        <v>0.90835246138830117</v>
      </c>
      <c r="O42" s="98">
        <f t="shared" si="3"/>
        <v>5.3149758391845747E-3</v>
      </c>
      <c r="P42" s="99">
        <f t="shared" si="4"/>
        <v>5.0208014846910383E-3</v>
      </c>
      <c r="Q42" s="95">
        <f>'Ridership-25'!B34/'Revenue Miles-25'!B34</f>
        <v>0.47298136165339449</v>
      </c>
      <c r="R42" s="96">
        <f>'Ridership-25'!C34/'Revenue Miles-25'!C34</f>
        <v>0.24753017027607868</v>
      </c>
      <c r="S42" s="96">
        <f>'Ridership-25'!D34/'Revenue Miles-25'!D34</f>
        <v>0.22914428374898088</v>
      </c>
      <c r="T42" s="96">
        <f>'Ridership-25'!E34/'Revenue Miles-25'!E34</f>
        <v>0.26595741807949275</v>
      </c>
      <c r="U42" s="97">
        <f t="shared" si="5"/>
        <v>0.90311901263706085</v>
      </c>
      <c r="V42" s="98">
        <f t="shared" si="6"/>
        <v>5.2843537460535222E-3</v>
      </c>
      <c r="W42" s="99">
        <f t="shared" si="7"/>
        <v>5.0103556589640138E-3</v>
      </c>
      <c r="X42" s="95">
        <f>'Op Cost-25'!B35/'Revenue Hours-25'!B34</f>
        <v>69.175941026811927</v>
      </c>
      <c r="Y42" s="96">
        <f>'Op Cost-25'!C35/'Revenue Hours-25'!C34</f>
        <v>68.510851019247468</v>
      </c>
      <c r="Z42" s="96">
        <f>'Op Cost-25'!D35/'Revenue Hours-25'!D34</f>
        <v>68.297046322116032</v>
      </c>
      <c r="AA42" s="96">
        <f>'Op Cost-25'!E35/'Revenue Hours-25'!E34</f>
        <v>80.659776077922771</v>
      </c>
      <c r="AB42" s="97">
        <f t="shared" si="8"/>
        <v>1.0248673110642346</v>
      </c>
      <c r="AC42" s="98">
        <f t="shared" si="9"/>
        <v>5.7092525705909457E-3</v>
      </c>
      <c r="AD42" s="99">
        <f t="shared" si="10"/>
        <v>6.0903971698148887E-3</v>
      </c>
      <c r="AE42" s="95">
        <f>'Op Cost-25'!B35/'Revenue Miles-25'!B34</f>
        <v>3.6468429677599077</v>
      </c>
      <c r="AF42" s="96">
        <f>'Op Cost-25'!C35/'Revenue Miles-25'!C34</f>
        <v>3.7836700281038187</v>
      </c>
      <c r="AG42" s="96">
        <f>'Op Cost-25'!D35/'Revenue Miles-25'!D34</f>
        <v>3.5521961426517614</v>
      </c>
      <c r="AH42" s="96">
        <f>'Op Cost-25'!E35/'Revenue Miles-25'!E34</f>
        <v>4.1148034826005002</v>
      </c>
      <c r="AI42" s="97">
        <f t="shared" si="11"/>
        <v>1.0132979492896574</v>
      </c>
      <c r="AJ42" s="98">
        <f t="shared" si="12"/>
        <v>5.7744381445851535E-3</v>
      </c>
      <c r="AK42" s="99">
        <f t="shared" si="13"/>
        <v>6.145452010645377E-3</v>
      </c>
      <c r="AL42" s="95">
        <f>'Op Cost-25'!B35/'Ridership-25'!B34</f>
        <v>7.7103312380252964</v>
      </c>
      <c r="AM42" s="96">
        <f>'Op Cost-25'!C35/'Ridership-25'!C34</f>
        <v>15.285692341599267</v>
      </c>
      <c r="AN42" s="96">
        <f>'Op Cost-25'!D35/'Ridership-25'!D34</f>
        <v>15.502006353966314</v>
      </c>
      <c r="AO42" s="96">
        <f>'Op Cost-25'!E35/'Ridership-25'!E34</f>
        <v>15.471662765844025</v>
      </c>
      <c r="AP42" s="100">
        <f t="shared" si="14"/>
        <v>1.1399698582123643</v>
      </c>
      <c r="AQ42" s="98">
        <f t="shared" si="15"/>
        <v>5.1327903874438139E-3</v>
      </c>
      <c r="AR42" s="99">
        <f t="shared" si="16"/>
        <v>5.5728204173431635E-3</v>
      </c>
      <c r="AT42" s="101">
        <f t="shared" si="29"/>
        <v>0</v>
      </c>
      <c r="AU42" s="102">
        <f t="shared" si="17"/>
        <v>0</v>
      </c>
      <c r="AV42" s="102">
        <f t="shared" si="18"/>
        <v>0</v>
      </c>
      <c r="AW42" s="102">
        <f t="shared" si="19"/>
        <v>0</v>
      </c>
      <c r="AX42" s="103">
        <f t="shared" si="20"/>
        <v>0</v>
      </c>
      <c r="AY42" s="293">
        <f t="shared" si="30"/>
        <v>-1</v>
      </c>
      <c r="AZ42" s="105">
        <f t="shared" si="21"/>
        <v>0</v>
      </c>
      <c r="BA42" s="106">
        <f t="shared" si="21"/>
        <v>0</v>
      </c>
      <c r="BB42" s="106">
        <f t="shared" si="21"/>
        <v>0</v>
      </c>
      <c r="BC42" s="106">
        <f t="shared" si="21"/>
        <v>0</v>
      </c>
      <c r="BD42" s="106">
        <f t="shared" si="21"/>
        <v>0</v>
      </c>
      <c r="BE42" s="107">
        <f t="shared" si="31"/>
        <v>715256.83485085634</v>
      </c>
      <c r="BG42" s="108">
        <f>'Op Cost-25'!E35</f>
        <v>3047407</v>
      </c>
      <c r="BH42" s="109">
        <f t="shared" si="22"/>
        <v>0.2347099796157377</v>
      </c>
      <c r="BI42" s="110">
        <f t="shared" si="23"/>
        <v>715256.83485085634</v>
      </c>
      <c r="BJ42" s="111">
        <f t="shared" si="24"/>
        <v>0</v>
      </c>
      <c r="BK42" s="1">
        <f t="shared" si="32"/>
        <v>0.70532316431876785</v>
      </c>
      <c r="BL42" s="294">
        <f t="shared" si="33"/>
        <v>0.54134413899325173</v>
      </c>
      <c r="BM42" s="294">
        <f t="shared" si="34"/>
        <v>0.41013985407461001</v>
      </c>
      <c r="BN42" s="295">
        <f t="shared" si="35"/>
        <v>0.93490433210360468</v>
      </c>
      <c r="BO42" s="114">
        <f t="shared" si="25"/>
        <v>715256.83485085634</v>
      </c>
      <c r="BP42" s="296">
        <f t="shared" si="36"/>
        <v>0.70532316431876785</v>
      </c>
      <c r="BQ42" s="116">
        <f t="shared" si="37"/>
        <v>4.1270054703676767E-3</v>
      </c>
      <c r="BR42" s="297">
        <f t="shared" si="38"/>
        <v>4.1270054703676767E-3</v>
      </c>
      <c r="BS42" s="117">
        <f t="shared" si="39"/>
        <v>4.3269161681364831E-3</v>
      </c>
      <c r="BT42" s="298">
        <f t="shared" si="40"/>
        <v>752445.01131529268</v>
      </c>
      <c r="BU42" s="119">
        <f t="shared" si="41"/>
        <v>914222.1</v>
      </c>
      <c r="BV42" s="119">
        <f t="shared" si="42"/>
        <v>752445.01131529268</v>
      </c>
      <c r="BW42" s="119">
        <f t="shared" si="43"/>
        <v>0</v>
      </c>
      <c r="BX42" s="120">
        <f t="shared" si="44"/>
        <v>4.1270054703676767E-3</v>
      </c>
      <c r="BY42" s="121">
        <f t="shared" si="45"/>
        <v>7.6427621316669915E-3</v>
      </c>
      <c r="BZ42" s="299">
        <f t="shared" si="46"/>
        <v>758928.64277760021</v>
      </c>
      <c r="CA42" s="109">
        <f t="shared" si="26"/>
        <v>6.4964698364737457E-3</v>
      </c>
      <c r="CB42" s="123">
        <f t="shared" si="57"/>
        <v>55834.653893634859</v>
      </c>
      <c r="CC42" s="111">
        <f t="shared" si="56"/>
        <v>771091</v>
      </c>
      <c r="CE42" s="124">
        <f t="shared" si="28"/>
        <v>0</v>
      </c>
      <c r="CF42" s="17"/>
      <c r="CG42" s="108">
        <f t="shared" si="47"/>
        <v>3047407</v>
      </c>
      <c r="CH42" s="125">
        <f t="shared" si="48"/>
        <v>0.25303183985598249</v>
      </c>
      <c r="CI42" s="110">
        <f t="shared" si="49"/>
        <v>752445.01131529268</v>
      </c>
      <c r="CJ42" s="300">
        <f t="shared" si="50"/>
        <v>0</v>
      </c>
      <c r="CL42" s="127">
        <f t="shared" si="51"/>
        <v>752445.01131529268</v>
      </c>
      <c r="CM42" s="128">
        <f t="shared" si="52"/>
        <v>8.7552578931583257E-3</v>
      </c>
      <c r="CN42" s="129">
        <f t="shared" si="53"/>
        <v>7427.4018422599647</v>
      </c>
      <c r="CO42" s="130">
        <f t="shared" si="55"/>
        <v>759872</v>
      </c>
      <c r="CQ42" s="131">
        <f t="shared" si="54"/>
        <v>0.24904078870252652</v>
      </c>
      <c r="CR42" s="301"/>
    </row>
    <row r="43" spans="1:96">
      <c r="A43" s="133" t="s">
        <v>120</v>
      </c>
      <c r="B43" s="90" t="s">
        <v>122</v>
      </c>
      <c r="C43" s="91">
        <f>'Sizing - Reimb Exp-25'!B36</f>
        <v>6482376</v>
      </c>
      <c r="D43" s="92">
        <f>'Ridership-25'!$E35</f>
        <v>1522746</v>
      </c>
      <c r="E43" s="92">
        <f>'Revenue Hours-25'!$E35</f>
        <v>72014</v>
      </c>
      <c r="F43" s="92">
        <f>'Revenue Miles-25'!$E35</f>
        <v>723645</v>
      </c>
      <c r="G43" s="134">
        <f t="shared" si="58"/>
        <v>1.969668618813409E-2</v>
      </c>
      <c r="H43" s="94">
        <f t="shared" si="59"/>
        <v>1.9696686188134093E-2</v>
      </c>
      <c r="J43" s="95">
        <f>'Ridership-25'!B35/'Revenue Hours-25'!B35</f>
        <v>28.025032050011234</v>
      </c>
      <c r="K43" s="96">
        <f>'Ridership-25'!C35/'Revenue Hours-25'!C35</f>
        <v>6.5232631919715116</v>
      </c>
      <c r="L43" s="96">
        <f>'Ridership-25'!D35/'Revenue Hours-25'!D35</f>
        <v>18.24961092626382</v>
      </c>
      <c r="M43" s="96">
        <f>'Ridership-25'!E35/'Revenue Hours-25'!E35</f>
        <v>21.145138445302301</v>
      </c>
      <c r="N43" s="97">
        <f t="shared" si="2"/>
        <v>1.1978340749715837</v>
      </c>
      <c r="O43" s="98">
        <f t="shared" si="3"/>
        <v>2.359336188016917E-2</v>
      </c>
      <c r="P43" s="99">
        <f t="shared" si="4"/>
        <v>2.2287511729306396E-2</v>
      </c>
      <c r="Q43" s="95">
        <f>'Ridership-25'!B35/'Revenue Miles-25'!B35</f>
        <v>2.8699282943585609</v>
      </c>
      <c r="R43" s="96">
        <f>'Ridership-25'!C35/'Revenue Miles-25'!C35</f>
        <v>0.66929775146545356</v>
      </c>
      <c r="S43" s="96">
        <f>'Ridership-25'!D35/'Revenue Miles-25'!D35</f>
        <v>1.8049204125068334</v>
      </c>
      <c r="T43" s="96">
        <f>'Ridership-25'!E35/'Revenue Miles-25'!E35</f>
        <v>2.1042721223804488</v>
      </c>
      <c r="U43" s="97">
        <f t="shared" si="5"/>
        <v>1.1884918056903948</v>
      </c>
      <c r="V43" s="98">
        <f t="shared" si="6"/>
        <v>2.3409350133852549E-2</v>
      </c>
      <c r="W43" s="99">
        <f t="shared" si="7"/>
        <v>2.2195556079759496E-2</v>
      </c>
      <c r="X43" s="95">
        <f>'Op Cost-25'!B36/'Revenue Hours-25'!B35</f>
        <v>65.071448396177786</v>
      </c>
      <c r="Y43" s="96">
        <f>'Op Cost-25'!C36/'Revenue Hours-25'!C35</f>
        <v>76.682473292327614</v>
      </c>
      <c r="Z43" s="96">
        <f>'Op Cost-25'!D36/'Revenue Hours-25'!D35</f>
        <v>79.970349898035849</v>
      </c>
      <c r="AA43" s="96">
        <f>'Op Cost-25'!E36/'Revenue Hours-25'!E35</f>
        <v>91.352487016413477</v>
      </c>
      <c r="AB43" s="97">
        <f t="shared" si="8"/>
        <v>1.0776531680080332</v>
      </c>
      <c r="AC43" s="98">
        <f t="shared" si="9"/>
        <v>1.827738902725266E-2</v>
      </c>
      <c r="AD43" s="99">
        <f t="shared" si="10"/>
        <v>1.9497571184114437E-2</v>
      </c>
      <c r="AE43" s="95">
        <f>'Op Cost-25'!B36/'Revenue Miles-25'!B35</f>
        <v>6.6636994588917435</v>
      </c>
      <c r="AF43" s="96">
        <f>'Op Cost-25'!C36/'Revenue Miles-25'!C35</f>
        <v>7.8677504557122129</v>
      </c>
      <c r="AG43" s="96">
        <f>'Op Cost-25'!D36/'Revenue Miles-25'!D35</f>
        <v>7.9092161202490328</v>
      </c>
      <c r="AH43" s="96">
        <f>'Op Cost-25'!E36/'Revenue Miles-25'!E35</f>
        <v>9.0910018033704372</v>
      </c>
      <c r="AI43" s="97">
        <f t="shared" si="11"/>
        <v>1.0712438771767705</v>
      </c>
      <c r="AJ43" s="98">
        <f t="shared" si="12"/>
        <v>1.8386743306336637E-2</v>
      </c>
      <c r="AK43" s="99">
        <f t="shared" si="13"/>
        <v>1.9568111354193868E-2</v>
      </c>
      <c r="AL43" s="95">
        <f>'Op Cost-25'!B36/'Ridership-25'!B35</f>
        <v>2.3219045130816078</v>
      </c>
      <c r="AM43" s="96">
        <f>'Op Cost-25'!C36/'Ridership-25'!C35</f>
        <v>11.755232164586637</v>
      </c>
      <c r="AN43" s="96">
        <f>'Op Cost-25'!D36/'Ridership-25'!D35</f>
        <v>4.3820304016973317</v>
      </c>
      <c r="AO43" s="96">
        <f>'Op Cost-25'!E36/'Ridership-25'!E35</f>
        <v>4.3202595836731801</v>
      </c>
      <c r="AP43" s="100">
        <f t="shared" si="14"/>
        <v>1.2919205262644085</v>
      </c>
      <c r="AQ43" s="98">
        <f t="shared" si="15"/>
        <v>1.5246050966530514E-2</v>
      </c>
      <c r="AR43" s="99">
        <f t="shared" si="16"/>
        <v>1.6553082767217481E-2</v>
      </c>
      <c r="AT43" s="101">
        <f t="shared" si="29"/>
        <v>0</v>
      </c>
      <c r="AU43" s="102">
        <f t="shared" si="17"/>
        <v>0</v>
      </c>
      <c r="AV43" s="102">
        <f t="shared" si="18"/>
        <v>0</v>
      </c>
      <c r="AW43" s="102">
        <f t="shared" si="19"/>
        <v>0</v>
      </c>
      <c r="AX43" s="103">
        <f t="shared" si="20"/>
        <v>0</v>
      </c>
      <c r="AY43" s="293">
        <f t="shared" si="30"/>
        <v>-1</v>
      </c>
      <c r="AZ43" s="105">
        <f t="shared" si="21"/>
        <v>0</v>
      </c>
      <c r="BA43" s="106">
        <f t="shared" si="21"/>
        <v>0</v>
      </c>
      <c r="BB43" s="106">
        <f t="shared" si="21"/>
        <v>0</v>
      </c>
      <c r="BC43" s="106">
        <f t="shared" si="21"/>
        <v>0</v>
      </c>
      <c r="BD43" s="106">
        <f t="shared" si="21"/>
        <v>0</v>
      </c>
      <c r="BE43" s="107">
        <f t="shared" si="31"/>
        <v>2407732.7768441141</v>
      </c>
      <c r="BG43" s="108">
        <f>'Op Cost-25'!E36</f>
        <v>6578658</v>
      </c>
      <c r="BH43" s="109">
        <f t="shared" si="22"/>
        <v>0.36599147984955505</v>
      </c>
      <c r="BI43" s="110">
        <f t="shared" si="23"/>
        <v>1973597.4</v>
      </c>
      <c r="BJ43" s="111">
        <f t="shared" si="24"/>
        <v>434135.37684411416</v>
      </c>
      <c r="BK43" s="1">
        <f t="shared" si="32"/>
        <v>2.2215307862567388</v>
      </c>
      <c r="BL43" s="294">
        <f t="shared" si="33"/>
        <v>1.6507338757935501</v>
      </c>
      <c r="BM43" s="294">
        <f t="shared" si="34"/>
        <v>2.3687597687819699</v>
      </c>
      <c r="BN43" s="295">
        <f t="shared" si="35"/>
        <v>2.4333147502257177</v>
      </c>
      <c r="BO43" s="114">
        <f t="shared" si="25"/>
        <v>0</v>
      </c>
      <c r="BP43" s="296">
        <f t="shared" si="36"/>
        <v>2.2215307862567388</v>
      </c>
      <c r="BQ43" s="116">
        <f t="shared" si="37"/>
        <v>4.3756794754177777E-2</v>
      </c>
      <c r="BR43" s="297">
        <f t="shared" si="38"/>
        <v>0</v>
      </c>
      <c r="BS43" s="117">
        <f t="shared" si="39"/>
        <v>0</v>
      </c>
      <c r="BT43" s="298">
        <f t="shared" si="40"/>
        <v>1973597.4</v>
      </c>
      <c r="BU43" s="119">
        <f t="shared" si="41"/>
        <v>1973597.4</v>
      </c>
      <c r="BV43" s="119">
        <f t="shared" si="42"/>
        <v>1973597.4</v>
      </c>
      <c r="BW43" s="119">
        <f t="shared" si="43"/>
        <v>0</v>
      </c>
      <c r="BX43" s="120">
        <f t="shared" si="44"/>
        <v>0</v>
      </c>
      <c r="BY43" s="121">
        <f t="shared" si="45"/>
        <v>0</v>
      </c>
      <c r="BZ43" s="299">
        <f t="shared" si="46"/>
        <v>1973597.4</v>
      </c>
      <c r="CA43" s="109">
        <f t="shared" si="26"/>
        <v>0</v>
      </c>
      <c r="CB43" s="123">
        <f t="shared" si="57"/>
        <v>0</v>
      </c>
      <c r="CC43" s="111">
        <f t="shared" si="56"/>
        <v>1973597</v>
      </c>
      <c r="CE43" s="124">
        <f t="shared" si="28"/>
        <v>0</v>
      </c>
      <c r="CF43" s="17"/>
      <c r="CG43" s="108">
        <f t="shared" si="47"/>
        <v>6578658</v>
      </c>
      <c r="CH43" s="125">
        <f t="shared" si="48"/>
        <v>0.29999993919732565</v>
      </c>
      <c r="CI43" s="110">
        <f t="shared" si="49"/>
        <v>1973597.4</v>
      </c>
      <c r="CJ43" s="300">
        <f t="shared" si="50"/>
        <v>0</v>
      </c>
      <c r="CL43" s="127">
        <f t="shared" si="51"/>
        <v>0</v>
      </c>
      <c r="CM43" s="128">
        <f t="shared" si="52"/>
        <v>0</v>
      </c>
      <c r="CN43" s="129">
        <f t="shared" si="53"/>
        <v>0</v>
      </c>
      <c r="CO43" s="130">
        <f t="shared" si="55"/>
        <v>1973597</v>
      </c>
      <c r="CQ43" s="131">
        <f t="shared" si="54"/>
        <v>0.3</v>
      </c>
      <c r="CR43" s="301"/>
    </row>
    <row r="44" spans="1:96">
      <c r="A44" s="133" t="s">
        <v>120</v>
      </c>
      <c r="B44" s="90" t="s">
        <v>123</v>
      </c>
      <c r="C44" s="91">
        <f>'Sizing - Reimb Exp-25'!B37</f>
        <v>1899811</v>
      </c>
      <c r="D44" s="92">
        <f>'Ridership-25'!$E36</f>
        <v>180625</v>
      </c>
      <c r="E44" s="92">
        <f>'Revenue Hours-25'!$E36</f>
        <v>20219</v>
      </c>
      <c r="F44" s="92">
        <f>'Revenue Miles-25'!$E36</f>
        <v>226791</v>
      </c>
      <c r="G44" s="93">
        <f t="shared" si="58"/>
        <v>3.8141294206356165E-3</v>
      </c>
      <c r="H44" s="94">
        <f t="shared" si="59"/>
        <v>3.8141294206356169E-3</v>
      </c>
      <c r="J44" s="95">
        <f>'Ridership-25'!B36/'Revenue Hours-25'!B36</f>
        <v>7.608599966141866</v>
      </c>
      <c r="K44" s="96">
        <f>'Ridership-25'!C36/'Revenue Hours-25'!C36</f>
        <v>5.1692512721104915</v>
      </c>
      <c r="L44" s="96">
        <f>'Ridership-25'!D36/'Revenue Hours-25'!D36</f>
        <v>7.7540727902946278</v>
      </c>
      <c r="M44" s="96">
        <f>'Ridership-25'!E36/'Revenue Hours-25'!E36</f>
        <v>8.9334289529650324</v>
      </c>
      <c r="N44" s="97">
        <f t="shared" si="2"/>
        <v>1.1500971386548942</v>
      </c>
      <c r="O44" s="98">
        <f t="shared" si="3"/>
        <v>4.3866193331324726E-3</v>
      </c>
      <c r="P44" s="99">
        <f t="shared" si="4"/>
        <v>4.1438278417357611E-3</v>
      </c>
      <c r="Q44" s="95">
        <f>'Ridership-25'!B36/'Revenue Miles-25'!B36</f>
        <v>0.70818473562300743</v>
      </c>
      <c r="R44" s="96">
        <f>'Ridership-25'!C36/'Revenue Miles-25'!C36</f>
        <v>0.48672727894958989</v>
      </c>
      <c r="S44" s="96">
        <f>'Ridership-25'!D36/'Revenue Miles-25'!D36</f>
        <v>0.72460145651246777</v>
      </c>
      <c r="T44" s="96">
        <f>'Ridership-25'!E36/'Revenue Miles-25'!E36</f>
        <v>0.79643813026090104</v>
      </c>
      <c r="U44" s="97">
        <f t="shared" si="5"/>
        <v>1.1400155949855248</v>
      </c>
      <c r="V44" s="98">
        <f t="shared" si="6"/>
        <v>4.3481670208177078E-3</v>
      </c>
      <c r="W44" s="99">
        <f t="shared" si="7"/>
        <v>4.1227109852637871E-3</v>
      </c>
      <c r="X44" s="95">
        <f>'Op Cost-25'!B37/'Revenue Hours-25'!B36</f>
        <v>63.818012527509737</v>
      </c>
      <c r="Y44" s="96">
        <f>'Op Cost-25'!C37/'Revenue Hours-25'!C36</f>
        <v>76.918100314998782</v>
      </c>
      <c r="Z44" s="96">
        <f>'Op Cost-25'!D37/'Revenue Hours-25'!D36</f>
        <v>82.248006932409012</v>
      </c>
      <c r="AA44" s="96">
        <f>'Op Cost-25'!E37/'Revenue Hours-25'!E36</f>
        <v>95.121865571986746</v>
      </c>
      <c r="AB44" s="97">
        <f t="shared" si="8"/>
        <v>1.0988498860626592</v>
      </c>
      <c r="AC44" s="98">
        <f t="shared" si="9"/>
        <v>3.4710195350724418E-3</v>
      </c>
      <c r="AD44" s="99">
        <f t="shared" si="10"/>
        <v>3.702741697165671E-3</v>
      </c>
      <c r="AE44" s="95">
        <f>'Op Cost-25'!B37/'Revenue Miles-25'!B36</f>
        <v>5.9399814066841392</v>
      </c>
      <c r="AF44" s="96">
        <f>'Op Cost-25'!C37/'Revenue Miles-25'!C36</f>
        <v>7.2424681443287211</v>
      </c>
      <c r="AG44" s="96">
        <f>'Op Cost-25'!D37/'Revenue Miles-25'!D36</f>
        <v>7.6858996852680619</v>
      </c>
      <c r="AH44" s="96">
        <f>'Op Cost-25'!E37/'Revenue Miles-25'!E36</f>
        <v>8.480358568020776</v>
      </c>
      <c r="AI44" s="97">
        <f t="shared" si="11"/>
        <v>1.0842189748815474</v>
      </c>
      <c r="AJ44" s="98">
        <f t="shared" si="12"/>
        <v>3.5178589463925555E-3</v>
      </c>
      <c r="AK44" s="99">
        <f t="shared" si="13"/>
        <v>3.7438851701178098E-3</v>
      </c>
      <c r="AL44" s="95">
        <f>'Op Cost-25'!B37/'Ridership-25'!B36</f>
        <v>8.3876156995372018</v>
      </c>
      <c r="AM44" s="96">
        <f>'Op Cost-25'!C37/'Ridership-25'!C36</f>
        <v>14.879930625541988</v>
      </c>
      <c r="AN44" s="96">
        <f>'Op Cost-25'!D37/'Ridership-25'!D36</f>
        <v>10.607071813325586</v>
      </c>
      <c r="AO44" s="96">
        <f>'Op Cost-25'!E37/'Ridership-25'!E36</f>
        <v>10.647856055363322</v>
      </c>
      <c r="AP44" s="100">
        <f t="shared" si="14"/>
        <v>0.98408901154710049</v>
      </c>
      <c r="AQ44" s="98">
        <f t="shared" si="15"/>
        <v>3.8757971848901846E-3</v>
      </c>
      <c r="AR44" s="99">
        <f t="shared" si="16"/>
        <v>4.2080661891579366E-3</v>
      </c>
      <c r="AT44" s="101">
        <f t="shared" si="29"/>
        <v>0</v>
      </c>
      <c r="AU44" s="102">
        <f t="shared" si="17"/>
        <v>0</v>
      </c>
      <c r="AV44" s="102">
        <f t="shared" si="18"/>
        <v>0</v>
      </c>
      <c r="AW44" s="102">
        <f t="shared" si="19"/>
        <v>0</v>
      </c>
      <c r="AX44" s="103">
        <f t="shared" si="20"/>
        <v>0</v>
      </c>
      <c r="AY44" s="293">
        <f t="shared" si="30"/>
        <v>-1</v>
      </c>
      <c r="AZ44" s="105">
        <f t="shared" si="21"/>
        <v>0</v>
      </c>
      <c r="BA44" s="106">
        <f t="shared" si="21"/>
        <v>0</v>
      </c>
      <c r="BB44" s="106">
        <f t="shared" si="21"/>
        <v>0</v>
      </c>
      <c r="BC44" s="106">
        <f t="shared" si="21"/>
        <v>0</v>
      </c>
      <c r="BD44" s="106">
        <f t="shared" si="21"/>
        <v>0</v>
      </c>
      <c r="BE44" s="107">
        <f t="shared" si="31"/>
        <v>466241.08915956633</v>
      </c>
      <c r="BG44" s="108">
        <f>'Op Cost-25'!E37</f>
        <v>1923269</v>
      </c>
      <c r="BH44" s="109">
        <f t="shared" si="22"/>
        <v>0.24242115333817907</v>
      </c>
      <c r="BI44" s="110">
        <f t="shared" si="23"/>
        <v>466241.08915956633</v>
      </c>
      <c r="BJ44" s="111">
        <f t="shared" si="24"/>
        <v>0</v>
      </c>
      <c r="BK44" s="1">
        <f t="shared" si="32"/>
        <v>1.0692351141952825</v>
      </c>
      <c r="BL44" s="294">
        <f t="shared" si="33"/>
        <v>0.81479983148073609</v>
      </c>
      <c r="BM44" s="294">
        <f t="shared" si="34"/>
        <v>1.0767090349490063</v>
      </c>
      <c r="BN44" s="295">
        <f t="shared" si="35"/>
        <v>1.1927157951756937</v>
      </c>
      <c r="BO44" s="114">
        <f t="shared" si="25"/>
        <v>466241.08915956633</v>
      </c>
      <c r="BP44" s="296">
        <f t="shared" si="36"/>
        <v>1.0692351141952825</v>
      </c>
      <c r="BQ44" s="116">
        <f t="shared" si="37"/>
        <v>4.0782011066289106E-3</v>
      </c>
      <c r="BR44" s="297">
        <f t="shared" si="38"/>
        <v>4.0782011066289106E-3</v>
      </c>
      <c r="BS44" s="117">
        <f t="shared" si="39"/>
        <v>4.2757477381324231E-3</v>
      </c>
      <c r="BT44" s="298">
        <f t="shared" si="40"/>
        <v>502989.49269324611</v>
      </c>
      <c r="BU44" s="119">
        <f t="shared" si="41"/>
        <v>576980.69999999995</v>
      </c>
      <c r="BV44" s="119">
        <f t="shared" si="42"/>
        <v>502989.49269324611</v>
      </c>
      <c r="BW44" s="119">
        <f t="shared" si="43"/>
        <v>0</v>
      </c>
      <c r="BX44" s="120">
        <f t="shared" si="44"/>
        <v>4.0782011066289106E-3</v>
      </c>
      <c r="BY44" s="121">
        <f t="shared" si="45"/>
        <v>7.5523817951927792E-3</v>
      </c>
      <c r="BZ44" s="299">
        <f t="shared" si="46"/>
        <v>509396.45124816196</v>
      </c>
      <c r="CA44" s="109">
        <f t="shared" si="26"/>
        <v>4.2347322313688518E-3</v>
      </c>
      <c r="CB44" s="123">
        <f t="shared" si="57"/>
        <v>36395.891064283162</v>
      </c>
      <c r="CC44" s="111">
        <f t="shared" si="56"/>
        <v>502637</v>
      </c>
      <c r="CE44" s="124">
        <f t="shared" si="28"/>
        <v>0</v>
      </c>
      <c r="CF44" s="17"/>
      <c r="CG44" s="108">
        <f t="shared" si="47"/>
        <v>1923269</v>
      </c>
      <c r="CH44" s="125">
        <f t="shared" si="48"/>
        <v>0.26134513684773164</v>
      </c>
      <c r="CI44" s="110">
        <f t="shared" si="49"/>
        <v>502989.49269324611</v>
      </c>
      <c r="CJ44" s="300">
        <f t="shared" si="50"/>
        <v>0</v>
      </c>
      <c r="CL44" s="127">
        <f t="shared" si="51"/>
        <v>502989.49269324611</v>
      </c>
      <c r="CM44" s="128">
        <f t="shared" si="52"/>
        <v>5.8526572172766323E-3</v>
      </c>
      <c r="CN44" s="129">
        <f t="shared" si="53"/>
        <v>4965.0207370459748</v>
      </c>
      <c r="CO44" s="130">
        <f t="shared" si="55"/>
        <v>507955</v>
      </c>
      <c r="CQ44" s="131">
        <f t="shared" si="54"/>
        <v>0.26485970046216206</v>
      </c>
      <c r="CR44" s="301"/>
    </row>
    <row r="45" spans="1:96">
      <c r="A45" s="133" t="s">
        <v>124</v>
      </c>
      <c r="B45" s="90" t="s">
        <v>125</v>
      </c>
      <c r="C45" s="91">
        <f>'Sizing - Reimb Exp-25'!B38</f>
        <v>4550086</v>
      </c>
      <c r="D45" s="92">
        <f>'Ridership-25'!$E37</f>
        <v>129839</v>
      </c>
      <c r="E45" s="92">
        <f>'Revenue Hours-25'!$E37</f>
        <v>61652</v>
      </c>
      <c r="F45" s="92">
        <f>'Revenue Miles-25'!$E37</f>
        <v>1393044</v>
      </c>
      <c r="G45" s="134">
        <f t="shared" si="58"/>
        <v>9.3510666485670055E-3</v>
      </c>
      <c r="H45" s="94">
        <f t="shared" si="59"/>
        <v>9.3510666485670073E-3</v>
      </c>
      <c r="J45" s="95">
        <f>'Ridership-25'!B37/'Revenue Hours-25'!B37</f>
        <v>2.3373679249962795</v>
      </c>
      <c r="K45" s="96">
        <f>'Ridership-25'!C37/'Revenue Hours-25'!C37</f>
        <v>1.944317205840252</v>
      </c>
      <c r="L45" s="96">
        <f>'Ridership-25'!D37/'Revenue Hours-25'!D37</f>
        <v>2.0984220777077214</v>
      </c>
      <c r="M45" s="96">
        <f>'Ridership-25'!E37/'Revenue Hours-25'!E37</f>
        <v>2.1059981833517161</v>
      </c>
      <c r="N45" s="97">
        <f t="shared" si="2"/>
        <v>1.0987525202440334</v>
      </c>
      <c r="O45" s="98">
        <f t="shared" si="3"/>
        <v>1.0274508047082926E-2</v>
      </c>
      <c r="P45" s="99">
        <f t="shared" si="4"/>
        <v>9.7058325038742524E-3</v>
      </c>
      <c r="Q45" s="95">
        <f>'Ridership-25'!B37/'Revenue Miles-25'!B37</f>
        <v>9.8864253896849164E-2</v>
      </c>
      <c r="R45" s="96">
        <f>'Ridership-25'!C37/'Revenue Miles-25'!C37</f>
        <v>8.4847547858705061E-2</v>
      </c>
      <c r="S45" s="96">
        <f>'Ridership-25'!D37/'Revenue Miles-25'!D37</f>
        <v>9.06701755136681E-2</v>
      </c>
      <c r="T45" s="96">
        <f>'Ridership-25'!E37/'Revenue Miles-25'!E37</f>
        <v>9.3205239748349655E-2</v>
      </c>
      <c r="U45" s="97">
        <f t="shared" si="5"/>
        <v>1.1181230609285835</v>
      </c>
      <c r="V45" s="98">
        <f t="shared" si="6"/>
        <v>1.0455643264042932E-2</v>
      </c>
      <c r="W45" s="99">
        <f t="shared" si="7"/>
        <v>9.91350956306245E-3</v>
      </c>
      <c r="X45" s="95">
        <f>'Op Cost-25'!B38/'Revenue Hours-25'!B37</f>
        <v>59.71751244274683</v>
      </c>
      <c r="Y45" s="96">
        <f>'Op Cost-25'!C38/'Revenue Hours-25'!C37</f>
        <v>69.859111079301456</v>
      </c>
      <c r="Z45" s="96">
        <f>'Op Cost-25'!D38/'Revenue Hours-25'!D37</f>
        <v>76.546396857359781</v>
      </c>
      <c r="AA45" s="96">
        <f>'Op Cost-25'!E38/'Revenue Hours-25'!E37</f>
        <v>81.113410757153048</v>
      </c>
      <c r="AB45" s="97">
        <f t="shared" si="8"/>
        <v>1.0632798059501944</v>
      </c>
      <c r="AC45" s="98">
        <f t="shared" si="9"/>
        <v>8.7945492769050341E-3</v>
      </c>
      <c r="AD45" s="99">
        <f t="shared" si="10"/>
        <v>9.3816655268967961E-3</v>
      </c>
      <c r="AE45" s="95">
        <f>'Op Cost-25'!B38/'Revenue Miles-25'!B37</f>
        <v>2.5258870240710474</v>
      </c>
      <c r="AF45" s="96">
        <f>'Op Cost-25'!C38/'Revenue Miles-25'!C37</f>
        <v>3.0485633994613872</v>
      </c>
      <c r="AG45" s="96">
        <f>'Op Cost-25'!D38/'Revenue Miles-25'!D37</f>
        <v>3.3074734162048824</v>
      </c>
      <c r="AH45" s="96">
        <f>'Op Cost-25'!E38/'Revenue Miles-25'!E37</f>
        <v>3.5898392297730726</v>
      </c>
      <c r="AI45" s="97">
        <f t="shared" si="11"/>
        <v>1.082538952054394</v>
      </c>
      <c r="AJ45" s="98">
        <f t="shared" si="12"/>
        <v>8.6380879235993975E-3</v>
      </c>
      <c r="AK45" s="99">
        <f t="shared" si="13"/>
        <v>9.1930943702279774E-3</v>
      </c>
      <c r="AL45" s="95">
        <f>'Op Cost-25'!B38/'Ridership-25'!B37</f>
        <v>25.549042495242542</v>
      </c>
      <c r="AM45" s="96">
        <f>'Op Cost-25'!C38/'Ridership-25'!C37</f>
        <v>35.929893985128473</v>
      </c>
      <c r="AN45" s="96">
        <f>'Op Cost-25'!D38/'Ridership-25'!D37</f>
        <v>36.47807448774924</v>
      </c>
      <c r="AO45" s="96">
        <f>'Op Cost-25'!E38/'Ridership-25'!E37</f>
        <v>38.515422946880371</v>
      </c>
      <c r="AP45" s="100">
        <f t="shared" si="14"/>
        <v>1.0843817382136312</v>
      </c>
      <c r="AQ45" s="98">
        <f t="shared" si="15"/>
        <v>8.6234084539007407E-3</v>
      </c>
      <c r="AR45" s="99">
        <f t="shared" si="16"/>
        <v>9.3626863891709509E-3</v>
      </c>
      <c r="AT45" s="101">
        <f t="shared" si="29"/>
        <v>0</v>
      </c>
      <c r="AU45" s="102">
        <f t="shared" si="17"/>
        <v>0</v>
      </c>
      <c r="AV45" s="102">
        <f t="shared" si="18"/>
        <v>0</v>
      </c>
      <c r="AW45" s="102">
        <f t="shared" si="19"/>
        <v>0</v>
      </c>
      <c r="AX45" s="103">
        <f t="shared" si="20"/>
        <v>0</v>
      </c>
      <c r="AY45" s="293">
        <f t="shared" si="30"/>
        <v>-1</v>
      </c>
      <c r="AZ45" s="105">
        <f t="shared" si="21"/>
        <v>0</v>
      </c>
      <c r="BA45" s="106">
        <f t="shared" si="21"/>
        <v>0</v>
      </c>
      <c r="BB45" s="106">
        <f t="shared" si="21"/>
        <v>0</v>
      </c>
      <c r="BC45" s="106">
        <f t="shared" si="21"/>
        <v>0</v>
      </c>
      <c r="BD45" s="106">
        <f t="shared" si="21"/>
        <v>0</v>
      </c>
      <c r="BE45" s="107">
        <f t="shared" si="31"/>
        <v>1143079.0668621352</v>
      </c>
      <c r="BG45" s="108">
        <f>'Op Cost-25'!E38</f>
        <v>5000804</v>
      </c>
      <c r="BH45" s="109">
        <f t="shared" si="22"/>
        <v>0.22857905785992316</v>
      </c>
      <c r="BI45" s="110">
        <f t="shared" si="23"/>
        <v>1143079.0668621352</v>
      </c>
      <c r="BJ45" s="111">
        <f t="shared" si="24"/>
        <v>0</v>
      </c>
      <c r="BK45" s="1">
        <f t="shared" si="32"/>
        <v>0.29223902901471155</v>
      </c>
      <c r="BL45" s="294">
        <f t="shared" si="33"/>
        <v>0.23696219282710829</v>
      </c>
      <c r="BM45" s="294">
        <f t="shared" si="34"/>
        <v>0.14802411556494641</v>
      </c>
      <c r="BN45" s="295">
        <f t="shared" si="35"/>
        <v>0.39198490383339579</v>
      </c>
      <c r="BO45" s="114">
        <f t="shared" si="25"/>
        <v>1143079.0668621352</v>
      </c>
      <c r="BP45" s="296">
        <f t="shared" si="36"/>
        <v>0.29223902901471155</v>
      </c>
      <c r="BQ45" s="116">
        <f t="shared" si="37"/>
        <v>2.7327466376290753E-3</v>
      </c>
      <c r="BR45" s="297">
        <f t="shared" si="38"/>
        <v>2.7327466376290753E-3</v>
      </c>
      <c r="BS45" s="117">
        <f t="shared" si="39"/>
        <v>2.865119926464362E-3</v>
      </c>
      <c r="BT45" s="298">
        <f t="shared" si="40"/>
        <v>1167703.6681432407</v>
      </c>
      <c r="BU45" s="119">
        <f t="shared" si="41"/>
        <v>1500241.2</v>
      </c>
      <c r="BV45" s="119">
        <f t="shared" si="42"/>
        <v>1167703.6681432407</v>
      </c>
      <c r="BW45" s="119">
        <f t="shared" si="43"/>
        <v>0</v>
      </c>
      <c r="BX45" s="120">
        <f t="shared" si="44"/>
        <v>2.7327466376290753E-3</v>
      </c>
      <c r="BY45" s="121">
        <f t="shared" si="45"/>
        <v>5.0607474759782846E-3</v>
      </c>
      <c r="BZ45" s="299">
        <f t="shared" si="46"/>
        <v>1171996.8832129722</v>
      </c>
      <c r="CA45" s="109">
        <f t="shared" si="26"/>
        <v>1.0382254760449601E-2</v>
      </c>
      <c r="CB45" s="123">
        <f t="shared" si="57"/>
        <v>89231.477368006876</v>
      </c>
      <c r="CC45" s="111">
        <f t="shared" si="56"/>
        <v>1232311</v>
      </c>
      <c r="CE45" s="124">
        <f t="shared" si="28"/>
        <v>0</v>
      </c>
      <c r="CF45" s="17"/>
      <c r="CG45" s="108">
        <f t="shared" si="47"/>
        <v>5000804</v>
      </c>
      <c r="CH45" s="125">
        <f t="shared" si="48"/>
        <v>0.24642257524989983</v>
      </c>
      <c r="CI45" s="110">
        <f t="shared" si="49"/>
        <v>1167703.6681432407</v>
      </c>
      <c r="CJ45" s="300">
        <f t="shared" si="50"/>
        <v>0</v>
      </c>
      <c r="CL45" s="127">
        <f t="shared" si="51"/>
        <v>1167703.6681432407</v>
      </c>
      <c r="CM45" s="128">
        <f t="shared" si="52"/>
        <v>1.3587101520561647E-2</v>
      </c>
      <c r="CN45" s="129">
        <f t="shared" si="53"/>
        <v>11526.429500569346</v>
      </c>
      <c r="CO45" s="130">
        <f t="shared" si="55"/>
        <v>1179230</v>
      </c>
      <c r="CQ45" s="131">
        <f t="shared" si="54"/>
        <v>0.2343616912826362</v>
      </c>
      <c r="CR45" s="301"/>
    </row>
    <row r="46" spans="1:96">
      <c r="A46" s="133" t="s">
        <v>124</v>
      </c>
      <c r="B46" s="90" t="s">
        <v>126</v>
      </c>
      <c r="C46" s="91">
        <f>'Sizing - Reimb Exp-25'!B39</f>
        <v>705034</v>
      </c>
      <c r="D46" s="92">
        <f>'Ridership-25'!$E38</f>
        <v>28422</v>
      </c>
      <c r="E46" s="92">
        <f>'Revenue Hours-25'!$E38</f>
        <v>15538</v>
      </c>
      <c r="F46" s="92">
        <f>'Revenue Miles-25'!$E38</f>
        <v>418259</v>
      </c>
      <c r="G46" s="134">
        <f t="shared" si="58"/>
        <v>2.1896680787776269E-3</v>
      </c>
      <c r="H46" s="94">
        <f t="shared" si="59"/>
        <v>2.1896680787776273E-3</v>
      </c>
      <c r="J46" s="95">
        <f>'Ridership-25'!B38/'Revenue Hours-25'!B38</f>
        <v>2.6155528221948887</v>
      </c>
      <c r="K46" s="96">
        <f>'Ridership-25'!C38/'Revenue Hours-25'!C38</f>
        <v>1.3983089137029627</v>
      </c>
      <c r="L46" s="96">
        <f>'Ridership-25'!D38/'Revenue Hours-25'!D38</f>
        <v>1.5445728965960179</v>
      </c>
      <c r="M46" s="96">
        <f>'Ridership-25'!E38/'Revenue Hours-25'!E38</f>
        <v>1.8291929463251384</v>
      </c>
      <c r="N46" s="97">
        <f t="shared" si="2"/>
        <v>0.9628227167983846</v>
      </c>
      <c r="O46" s="98">
        <f t="shared" si="3"/>
        <v>2.1082621684953744E-3</v>
      </c>
      <c r="P46" s="99">
        <f t="shared" si="4"/>
        <v>1.991573648869776E-3</v>
      </c>
      <c r="Q46" s="95">
        <f>'Ridership-25'!B38/'Revenue Miles-25'!B38</f>
        <v>9.9669556205390739E-2</v>
      </c>
      <c r="R46" s="96">
        <f>'Ridership-25'!C38/'Revenue Miles-25'!C38</f>
        <v>5.2832581392513109E-2</v>
      </c>
      <c r="S46" s="96">
        <f>'Ridership-25'!D38/'Revenue Miles-25'!D38</f>
        <v>5.8014121779238044E-2</v>
      </c>
      <c r="T46" s="96">
        <f>'Ridership-25'!E38/'Revenue Miles-25'!E38</f>
        <v>6.7953110393320887E-2</v>
      </c>
      <c r="U46" s="97">
        <f t="shared" si="5"/>
        <v>0.95607670597072658</v>
      </c>
      <c r="V46" s="98">
        <f t="shared" si="6"/>
        <v>2.0934906439269633E-3</v>
      </c>
      <c r="W46" s="99">
        <f t="shared" si="7"/>
        <v>1.9849414325490995E-3</v>
      </c>
      <c r="X46" s="95">
        <f>'Op Cost-25'!B39/'Revenue Hours-25'!B38</f>
        <v>27.952507858411916</v>
      </c>
      <c r="Y46" s="96">
        <f>'Op Cost-25'!C39/'Revenue Hours-25'!C38</f>
        <v>37.360937197444009</v>
      </c>
      <c r="Z46" s="96">
        <f>'Op Cost-25'!D39/'Revenue Hours-25'!D38</f>
        <v>36.826011560693644</v>
      </c>
      <c r="AA46" s="96">
        <f>'Op Cost-25'!E39/'Revenue Hours-25'!E38</f>
        <v>46.109795340455655</v>
      </c>
      <c r="AB46" s="97">
        <f t="shared" si="8"/>
        <v>1.1411124095025229</v>
      </c>
      <c r="AC46" s="98">
        <f t="shared" si="9"/>
        <v>1.9188890249052944E-3</v>
      </c>
      <c r="AD46" s="99">
        <f t="shared" si="10"/>
        <v>2.0469923412868725E-3</v>
      </c>
      <c r="AE46" s="95">
        <f>'Op Cost-25'!B39/'Revenue Miles-25'!B38</f>
        <v>1.0651721614773884</v>
      </c>
      <c r="AF46" s="96">
        <f>'Op Cost-25'!C39/'Revenue Miles-25'!C38</f>
        <v>1.4116156566272406</v>
      </c>
      <c r="AG46" s="96">
        <f>'Op Cost-25'!D39/'Revenue Miles-25'!D38</f>
        <v>1.3831841307289821</v>
      </c>
      <c r="AH46" s="96">
        <f>'Op Cost-25'!E39/'Revenue Miles-25'!E38</f>
        <v>1.712943415443541</v>
      </c>
      <c r="AI46" s="97">
        <f t="shared" si="11"/>
        <v>1.1332954104973407</v>
      </c>
      <c r="AJ46" s="98">
        <f t="shared" si="12"/>
        <v>1.9321247209645922E-3</v>
      </c>
      <c r="AK46" s="99">
        <f t="shared" si="13"/>
        <v>2.0562658139136624E-3</v>
      </c>
      <c r="AL46" s="95">
        <f>'Op Cost-25'!B39/'Ridership-25'!B38</f>
        <v>10.687036262932386</v>
      </c>
      <c r="AM46" s="96">
        <f>'Op Cost-25'!C39/'Ridership-25'!C38</f>
        <v>26.718657680945348</v>
      </c>
      <c r="AN46" s="96">
        <f>'Op Cost-25'!D39/'Ridership-25'!D38</f>
        <v>23.842197180755957</v>
      </c>
      <c r="AO46" s="96">
        <f>'Op Cost-25'!E39/'Ridership-25'!E38</f>
        <v>25.207726409119697</v>
      </c>
      <c r="AP46" s="100">
        <f t="shared" si="14"/>
        <v>1.1857221120855641</v>
      </c>
      <c r="AQ46" s="98">
        <f t="shared" si="15"/>
        <v>1.846695829030484E-3</v>
      </c>
      <c r="AR46" s="99">
        <f t="shared" si="16"/>
        <v>2.0050115909308981E-3</v>
      </c>
      <c r="AT46" s="101">
        <f t="shared" si="29"/>
        <v>0</v>
      </c>
      <c r="AU46" s="102">
        <f t="shared" si="17"/>
        <v>0</v>
      </c>
      <c r="AV46" s="102">
        <f t="shared" si="18"/>
        <v>0</v>
      </c>
      <c r="AW46" s="102">
        <f t="shared" si="19"/>
        <v>0</v>
      </c>
      <c r="AX46" s="103">
        <f t="shared" si="20"/>
        <v>0</v>
      </c>
      <c r="AY46" s="293">
        <f t="shared" si="30"/>
        <v>-1</v>
      </c>
      <c r="AZ46" s="105">
        <f t="shared" si="21"/>
        <v>0</v>
      </c>
      <c r="BA46" s="106">
        <f t="shared" si="21"/>
        <v>0</v>
      </c>
      <c r="BB46" s="106">
        <f t="shared" si="21"/>
        <v>0</v>
      </c>
      <c r="BC46" s="106">
        <f t="shared" si="21"/>
        <v>0</v>
      </c>
      <c r="BD46" s="106">
        <f t="shared" si="21"/>
        <v>0</v>
      </c>
      <c r="BE46" s="107">
        <f t="shared" si="31"/>
        <v>267666.12176916713</v>
      </c>
      <c r="BG46" s="108">
        <f>'Op Cost-25'!E39</f>
        <v>716454</v>
      </c>
      <c r="BH46" s="109">
        <f t="shared" si="22"/>
        <v>0.37359847494628706</v>
      </c>
      <c r="BI46" s="110">
        <f t="shared" si="23"/>
        <v>214936.19999999998</v>
      </c>
      <c r="BJ46" s="111">
        <f t="shared" si="24"/>
        <v>52729.921769167151</v>
      </c>
      <c r="BK46" s="1">
        <f t="shared" si="32"/>
        <v>0.35394169137450804</v>
      </c>
      <c r="BL46" s="294">
        <f t="shared" si="33"/>
        <v>0.18153327498650276</v>
      </c>
      <c r="BM46" s="294">
        <f t="shared" si="34"/>
        <v>9.7463118203615418E-2</v>
      </c>
      <c r="BN46" s="295">
        <f t="shared" si="35"/>
        <v>0.56838518615395694</v>
      </c>
      <c r="BO46" s="114">
        <f t="shared" si="25"/>
        <v>0</v>
      </c>
      <c r="BP46" s="296">
        <f t="shared" si="36"/>
        <v>0.35394169137450804</v>
      </c>
      <c r="BQ46" s="116">
        <f t="shared" si="37"/>
        <v>7.7501482335132297E-4</v>
      </c>
      <c r="BR46" s="297">
        <f t="shared" si="38"/>
        <v>0</v>
      </c>
      <c r="BS46" s="117">
        <f t="shared" si="39"/>
        <v>0</v>
      </c>
      <c r="BT46" s="298">
        <f t="shared" si="40"/>
        <v>214936.19999999998</v>
      </c>
      <c r="BU46" s="119">
        <f t="shared" si="41"/>
        <v>214936.19999999998</v>
      </c>
      <c r="BV46" s="119">
        <f t="shared" si="42"/>
        <v>214936.19999999998</v>
      </c>
      <c r="BW46" s="119">
        <f t="shared" si="43"/>
        <v>0</v>
      </c>
      <c r="BX46" s="120">
        <f t="shared" si="44"/>
        <v>0</v>
      </c>
      <c r="BY46" s="121">
        <f t="shared" si="45"/>
        <v>0</v>
      </c>
      <c r="BZ46" s="299">
        <f t="shared" si="46"/>
        <v>214936.19999999998</v>
      </c>
      <c r="CA46" s="109">
        <f t="shared" si="26"/>
        <v>0</v>
      </c>
      <c r="CB46" s="123">
        <f t="shared" si="57"/>
        <v>0</v>
      </c>
      <c r="CC46" s="111">
        <f t="shared" si="56"/>
        <v>214936</v>
      </c>
      <c r="CE46" s="124">
        <f t="shared" si="28"/>
        <v>0</v>
      </c>
      <c r="CF46" s="17"/>
      <c r="CG46" s="108">
        <f t="shared" si="47"/>
        <v>716454</v>
      </c>
      <c r="CH46" s="125">
        <f t="shared" si="48"/>
        <v>0.29999972084739562</v>
      </c>
      <c r="CI46" s="110">
        <f t="shared" si="49"/>
        <v>214936.19999999998</v>
      </c>
      <c r="CJ46" s="300">
        <f t="shared" si="50"/>
        <v>0</v>
      </c>
      <c r="CL46" s="127">
        <f t="shared" si="51"/>
        <v>0</v>
      </c>
      <c r="CM46" s="128">
        <f t="shared" si="52"/>
        <v>0</v>
      </c>
      <c r="CN46" s="129">
        <f t="shared" si="53"/>
        <v>0</v>
      </c>
      <c r="CO46" s="130">
        <f t="shared" si="55"/>
        <v>214936</v>
      </c>
      <c r="CQ46" s="131">
        <f t="shared" si="54"/>
        <v>0.3</v>
      </c>
      <c r="CR46" s="301"/>
    </row>
    <row r="47" spans="1:96">
      <c r="A47" s="133" t="s">
        <v>124</v>
      </c>
      <c r="B47" s="90" t="s">
        <v>127</v>
      </c>
      <c r="C47" s="91">
        <f>'Sizing - Reimb Exp-25'!B40</f>
        <v>8487532</v>
      </c>
      <c r="D47" s="92">
        <f>'Ridership-25'!$E39</f>
        <v>222118</v>
      </c>
      <c r="E47" s="92">
        <f>'Revenue Hours-25'!$E39</f>
        <v>86457</v>
      </c>
      <c r="F47" s="92">
        <f>'Revenue Miles-25'!$E39</f>
        <v>1402006</v>
      </c>
      <c r="G47" s="134">
        <f t="shared" si="58"/>
        <v>1.3507504471797943E-2</v>
      </c>
      <c r="H47" s="94">
        <f t="shared" si="59"/>
        <v>1.3507504471797945E-2</v>
      </c>
      <c r="J47" s="95">
        <f>'Ridership-25'!B39/'Revenue Hours-25'!B39</f>
        <v>2.8967768637798126</v>
      </c>
      <c r="K47" s="96">
        <f>'Ridership-25'!C39/'Revenue Hours-25'!C39</f>
        <v>2.1946189886707304</v>
      </c>
      <c r="L47" s="96">
        <f>'Ridership-25'!D39/'Revenue Hours-25'!D39</f>
        <v>2.3000506032439341</v>
      </c>
      <c r="M47" s="96">
        <f>'Ridership-25'!E39/'Revenue Hours-25'!E39</f>
        <v>2.5691152827417096</v>
      </c>
      <c r="N47" s="97">
        <f t="shared" si="2"/>
        <v>1.074118069474993</v>
      </c>
      <c r="O47" s="98">
        <f t="shared" si="3"/>
        <v>1.4508654626672442E-2</v>
      </c>
      <c r="P47" s="99">
        <f t="shared" si="4"/>
        <v>1.3705626684775752E-2</v>
      </c>
      <c r="Q47" s="95">
        <f>'Ridership-25'!B39/'Revenue Miles-25'!B39</f>
        <v>0.17887553870187622</v>
      </c>
      <c r="R47" s="96">
        <f>'Ridership-25'!C39/'Revenue Miles-25'!C39</f>
        <v>0.13508021153120933</v>
      </c>
      <c r="S47" s="96">
        <f>'Ridership-25'!D39/'Revenue Miles-25'!D39</f>
        <v>0.14506873798932982</v>
      </c>
      <c r="T47" s="96">
        <f>'Ridership-25'!E39/'Revenue Miles-25'!E39</f>
        <v>0.15842870857899324</v>
      </c>
      <c r="U47" s="97">
        <f t="shared" si="5"/>
        <v>1.0715098961184502</v>
      </c>
      <c r="V47" s="98">
        <f t="shared" si="6"/>
        <v>1.4473424713395716E-2</v>
      </c>
      <c r="W47" s="99">
        <f t="shared" si="7"/>
        <v>1.3722965740419861E-2</v>
      </c>
      <c r="X47" s="95">
        <f>'Op Cost-25'!B40/'Revenue Hours-25'!B39</f>
        <v>82.421987686895335</v>
      </c>
      <c r="Y47" s="96">
        <f>'Op Cost-25'!C40/'Revenue Hours-25'!C39</f>
        <v>132.58479715436326</v>
      </c>
      <c r="Z47" s="96">
        <f>'Op Cost-25'!D40/'Revenue Hours-25'!D39</f>
        <v>102.20353157376088</v>
      </c>
      <c r="AA47" s="96">
        <f>'Op Cost-25'!E40/'Revenue Hours-25'!E39</f>
        <v>99.657968701204069</v>
      </c>
      <c r="AB47" s="97">
        <f t="shared" si="8"/>
        <v>1.0447289457201427</v>
      </c>
      <c r="AC47" s="98">
        <f t="shared" si="9"/>
        <v>1.2929195201428136E-2</v>
      </c>
      <c r="AD47" s="99">
        <f t="shared" si="10"/>
        <v>1.3792336718186499E-2</v>
      </c>
      <c r="AE47" s="95">
        <f>'Op Cost-25'!B40/'Revenue Miles-25'!B39</f>
        <v>5.0895454298593386</v>
      </c>
      <c r="AF47" s="96">
        <f>'Op Cost-25'!C40/'Revenue Miles-25'!C39</f>
        <v>8.1606796158642627</v>
      </c>
      <c r="AG47" s="96">
        <f>'Op Cost-25'!D40/'Revenue Miles-25'!D39</f>
        <v>6.4461787590877941</v>
      </c>
      <c r="AH47" s="96">
        <f>'Op Cost-25'!E40/'Revenue Miles-25'!E39</f>
        <v>6.1455721302191293</v>
      </c>
      <c r="AI47" s="97">
        <f t="shared" si="11"/>
        <v>1.0414417240324765</v>
      </c>
      <c r="AJ47" s="98">
        <f t="shared" si="12"/>
        <v>1.2970005099754121E-2</v>
      </c>
      <c r="AK47" s="99">
        <f t="shared" si="13"/>
        <v>1.3803341887575284E-2</v>
      </c>
      <c r="AL47" s="95">
        <f>'Op Cost-25'!B40/'Ridership-25'!B39</f>
        <v>28.452998474776663</v>
      </c>
      <c r="AM47" s="96">
        <f>'Op Cost-25'!C40/'Ridership-25'!C39</f>
        <v>60.413583332143318</v>
      </c>
      <c r="AN47" s="96">
        <f>'Op Cost-25'!D40/'Ridership-25'!D39</f>
        <v>44.435340435386756</v>
      </c>
      <c r="AO47" s="96">
        <f>'Op Cost-25'!E40/'Ridership-25'!E39</f>
        <v>38.790773372711804</v>
      </c>
      <c r="AP47" s="100">
        <f t="shared" si="14"/>
        <v>0.98675734644543533</v>
      </c>
      <c r="AQ47" s="98">
        <f t="shared" si="15"/>
        <v>1.3688780246182709E-2</v>
      </c>
      <c r="AR47" s="99">
        <f t="shared" si="16"/>
        <v>1.4862308468910925E-2</v>
      </c>
      <c r="AT47" s="101">
        <f t="shared" si="29"/>
        <v>0</v>
      </c>
      <c r="AU47" s="102">
        <f t="shared" si="17"/>
        <v>0</v>
      </c>
      <c r="AV47" s="102">
        <f t="shared" si="18"/>
        <v>0</v>
      </c>
      <c r="AW47" s="102">
        <f t="shared" si="19"/>
        <v>0</v>
      </c>
      <c r="AX47" s="103">
        <f t="shared" si="20"/>
        <v>0</v>
      </c>
      <c r="AY47" s="293">
        <f t="shared" si="30"/>
        <v>-1</v>
      </c>
      <c r="AZ47" s="105">
        <f t="shared" si="21"/>
        <v>0</v>
      </c>
      <c r="BA47" s="106">
        <f t="shared" si="21"/>
        <v>0</v>
      </c>
      <c r="BB47" s="106">
        <f t="shared" si="21"/>
        <v>0</v>
      </c>
      <c r="BC47" s="106">
        <f t="shared" si="21"/>
        <v>0</v>
      </c>
      <c r="BD47" s="106">
        <f t="shared" si="21"/>
        <v>0</v>
      </c>
      <c r="BE47" s="107">
        <f t="shared" si="31"/>
        <v>1651164.1064631934</v>
      </c>
      <c r="BG47" s="108">
        <f>'Op Cost-25'!E40</f>
        <v>8616129</v>
      </c>
      <c r="BH47" s="109">
        <f t="shared" si="22"/>
        <v>0.19163641891424715</v>
      </c>
      <c r="BI47" s="110">
        <f t="shared" si="23"/>
        <v>1651164.1064631934</v>
      </c>
      <c r="BJ47" s="111">
        <f t="shared" si="24"/>
        <v>0</v>
      </c>
      <c r="BK47" s="1">
        <f t="shared" si="32"/>
        <v>0.27790887349835425</v>
      </c>
      <c r="BL47" s="294">
        <f t="shared" si="33"/>
        <v>0.27089543473860611</v>
      </c>
      <c r="BM47" s="294">
        <f t="shared" si="34"/>
        <v>0.24055796903106361</v>
      </c>
      <c r="BN47" s="295">
        <f t="shared" si="35"/>
        <v>0.30009104511187368</v>
      </c>
      <c r="BO47" s="114">
        <f t="shared" si="25"/>
        <v>1651164.1064631934</v>
      </c>
      <c r="BP47" s="296">
        <f t="shared" si="36"/>
        <v>0.27790887349835425</v>
      </c>
      <c r="BQ47" s="116">
        <f t="shared" si="37"/>
        <v>3.7538553515313491E-3</v>
      </c>
      <c r="BR47" s="297">
        <f t="shared" si="38"/>
        <v>3.7538553515313491E-3</v>
      </c>
      <c r="BS47" s="117">
        <f t="shared" si="39"/>
        <v>3.9356907883961673E-3</v>
      </c>
      <c r="BT47" s="298">
        <f t="shared" si="40"/>
        <v>1684989.8516038412</v>
      </c>
      <c r="BU47" s="119">
        <f t="shared" si="41"/>
        <v>2584838.6999999997</v>
      </c>
      <c r="BV47" s="119">
        <f t="shared" si="42"/>
        <v>1684989.8516038412</v>
      </c>
      <c r="BW47" s="119">
        <f t="shared" si="43"/>
        <v>0</v>
      </c>
      <c r="BX47" s="120">
        <f t="shared" si="44"/>
        <v>3.7538553515313491E-3</v>
      </c>
      <c r="BY47" s="121">
        <f t="shared" si="45"/>
        <v>6.9517289798705518E-3</v>
      </c>
      <c r="BZ47" s="299">
        <f t="shared" si="46"/>
        <v>1690887.2546571917</v>
      </c>
      <c r="CA47" s="109">
        <f t="shared" si="26"/>
        <v>1.4997043425587083E-2</v>
      </c>
      <c r="CB47" s="123">
        <f t="shared" si="57"/>
        <v>128893.80697101477</v>
      </c>
      <c r="CC47" s="111">
        <f t="shared" si="56"/>
        <v>1780058</v>
      </c>
      <c r="CE47" s="124">
        <f t="shared" si="28"/>
        <v>0</v>
      </c>
      <c r="CF47" s="17"/>
      <c r="CG47" s="108">
        <f t="shared" si="47"/>
        <v>8616129</v>
      </c>
      <c r="CH47" s="125">
        <f t="shared" si="48"/>
        <v>0.20659602473454147</v>
      </c>
      <c r="CI47" s="110">
        <f t="shared" si="49"/>
        <v>1684989.8516038412</v>
      </c>
      <c r="CJ47" s="300">
        <f t="shared" si="50"/>
        <v>0</v>
      </c>
      <c r="CL47" s="127">
        <f t="shared" si="51"/>
        <v>1684989.8516038412</v>
      </c>
      <c r="CM47" s="128">
        <f t="shared" si="52"/>
        <v>1.9606111378635407E-2</v>
      </c>
      <c r="CN47" s="129">
        <f t="shared" si="53"/>
        <v>16632.573197761008</v>
      </c>
      <c r="CO47" s="130">
        <f t="shared" si="55"/>
        <v>1701622</v>
      </c>
      <c r="CQ47" s="131">
        <f t="shared" si="54"/>
        <v>0.19624674313223395</v>
      </c>
      <c r="CR47" s="301"/>
    </row>
    <row r="48" spans="1:96" ht="16.5" customHeight="1">
      <c r="A48" s="133" t="s">
        <v>124</v>
      </c>
      <c r="B48" s="90" t="s">
        <v>128</v>
      </c>
      <c r="C48" s="91">
        <f>'Sizing - Reimb Exp-25'!B41</f>
        <v>170603</v>
      </c>
      <c r="D48" s="92">
        <f>'Ridership-25'!$E40</f>
        <v>11675</v>
      </c>
      <c r="E48" s="92">
        <f>'Revenue Hours-25'!$E40</f>
        <v>5322</v>
      </c>
      <c r="F48" s="92">
        <f>'Revenue Miles-25'!$E40</f>
        <v>60529</v>
      </c>
      <c r="G48" s="93">
        <f t="shared" si="58"/>
        <v>5.2132852965308478E-4</v>
      </c>
      <c r="H48" s="94">
        <f t="shared" si="59"/>
        <v>5.2132852965308489E-4</v>
      </c>
      <c r="J48" s="95">
        <f>'Ridership-25'!B40/'Revenue Hours-25'!B40</f>
        <v>2.6243417203042716</v>
      </c>
      <c r="K48" s="96">
        <f>'Ridership-25'!C40/'Revenue Hours-25'!C40</f>
        <v>2.06749490079733</v>
      </c>
      <c r="L48" s="96">
        <f>'Ridership-25'!D40/'Revenue Hours-25'!D40</f>
        <v>2.1966604823747682</v>
      </c>
      <c r="M48" s="96">
        <f>'Ridership-25'!E40/'Revenue Hours-25'!E40</f>
        <v>2.1937241638481773</v>
      </c>
      <c r="N48" s="97">
        <f t="shared" si="2"/>
        <v>1.0644651232169628</v>
      </c>
      <c r="O48" s="98">
        <f t="shared" si="3"/>
        <v>5.5493603755368912E-4</v>
      </c>
      <c r="P48" s="99">
        <f t="shared" si="4"/>
        <v>5.2422132584625022E-4</v>
      </c>
      <c r="Q48" s="95">
        <f>'Ridership-25'!B40/'Revenue Miles-25'!B40</f>
        <v>0.22349384582163678</v>
      </c>
      <c r="R48" s="96">
        <f>'Ridership-25'!C40/'Revenue Miles-25'!C40</f>
        <v>0.21433239783168659</v>
      </c>
      <c r="S48" s="96">
        <f>'Ridership-25'!D40/'Revenue Miles-25'!D40</f>
        <v>0.21260549470281917</v>
      </c>
      <c r="T48" s="96">
        <f>'Ridership-25'!E40/'Revenue Miles-25'!E40</f>
        <v>0.19288275041715541</v>
      </c>
      <c r="U48" s="97">
        <f t="shared" si="5"/>
        <v>1.1286096730909378</v>
      </c>
      <c r="V48" s="98">
        <f t="shared" si="6"/>
        <v>5.8837642142474747E-4</v>
      </c>
      <c r="W48" s="99">
        <f t="shared" si="7"/>
        <v>5.5786862014831897E-4</v>
      </c>
      <c r="X48" s="95">
        <f>'Op Cost-25'!B41/'Revenue Hours-25'!B40</f>
        <v>28.064170079968793</v>
      </c>
      <c r="Y48" s="96">
        <f>'Op Cost-25'!C41/'Revenue Hours-25'!C40</f>
        <v>27.145188206934915</v>
      </c>
      <c r="Z48" s="96">
        <f>'Op Cost-25'!D41/'Revenue Hours-25'!D40</f>
        <v>30.05751391465677</v>
      </c>
      <c r="AA48" s="96">
        <f>'Op Cost-25'!E41/'Revenue Hours-25'!E40</f>
        <v>32.056181886508831</v>
      </c>
      <c r="AB48" s="97">
        <f t="shared" si="8"/>
        <v>1.0142681961187796</v>
      </c>
      <c r="AC48" s="98">
        <f t="shared" si="9"/>
        <v>5.1399475173135841E-4</v>
      </c>
      <c r="AD48" s="99">
        <f t="shared" si="10"/>
        <v>5.4830858199716168E-4</v>
      </c>
      <c r="AE48" s="95">
        <f>'Op Cost-25'!B41/'Revenue Miles-25'!B40</f>
        <v>2.3899971762204539</v>
      </c>
      <c r="AF48" s="96">
        <f>'Op Cost-25'!C41/'Revenue Miles-25'!C40</f>
        <v>2.8140786590288722</v>
      </c>
      <c r="AG48" s="96">
        <f>'Op Cost-25'!D41/'Revenue Miles-25'!D40</f>
        <v>2.9091398814868019</v>
      </c>
      <c r="AH48" s="96">
        <f>'Op Cost-25'!E41/'Revenue Miles-25'!E40</f>
        <v>2.8185332650465065</v>
      </c>
      <c r="AI48" s="97">
        <f t="shared" si="11"/>
        <v>1.0155039326167026</v>
      </c>
      <c r="AJ48" s="98">
        <f t="shared" si="12"/>
        <v>5.1336928682270107E-4</v>
      </c>
      <c r="AK48" s="99">
        <f t="shared" si="13"/>
        <v>5.463538160620135E-4</v>
      </c>
      <c r="AL48" s="95">
        <f>'Op Cost-25'!B41/'Ridership-25'!B40</f>
        <v>10.693794128576737</v>
      </c>
      <c r="AM48" s="96">
        <f>'Op Cost-25'!C41/'Ridership-25'!C40</f>
        <v>13.129506726457398</v>
      </c>
      <c r="AN48" s="96">
        <f>'Op Cost-25'!D41/'Ridership-25'!D40</f>
        <v>13.683277027027026</v>
      </c>
      <c r="AO48" s="96">
        <f>'Op Cost-25'!E41/'Ridership-25'!E40</f>
        <v>14.612676659528908</v>
      </c>
      <c r="AP48" s="100">
        <f t="shared" si="14"/>
        <v>1.0760456886888583</v>
      </c>
      <c r="AQ48" s="98">
        <f t="shared" si="15"/>
        <v>4.8448549641819951E-4</v>
      </c>
      <c r="AR48" s="99">
        <f t="shared" si="16"/>
        <v>5.2602005196837696E-4</v>
      </c>
      <c r="AT48" s="101">
        <f t="shared" si="29"/>
        <v>0</v>
      </c>
      <c r="AU48" s="102">
        <f t="shared" si="17"/>
        <v>0</v>
      </c>
      <c r="AV48" s="102">
        <f t="shared" si="18"/>
        <v>0</v>
      </c>
      <c r="AW48" s="102">
        <f t="shared" si="19"/>
        <v>0</v>
      </c>
      <c r="AX48" s="103">
        <f t="shared" si="20"/>
        <v>0</v>
      </c>
      <c r="AY48" s="293">
        <f t="shared" si="30"/>
        <v>-1</v>
      </c>
      <c r="AZ48" s="105">
        <f t="shared" si="21"/>
        <v>0</v>
      </c>
      <c r="BA48" s="106">
        <f t="shared" si="21"/>
        <v>0</v>
      </c>
      <c r="BB48" s="106">
        <f t="shared" si="21"/>
        <v>0</v>
      </c>
      <c r="BC48" s="106">
        <f t="shared" si="21"/>
        <v>0</v>
      </c>
      <c r="BD48" s="106">
        <f t="shared" si="21"/>
        <v>0</v>
      </c>
      <c r="BE48" s="107">
        <f t="shared" si="31"/>
        <v>63727.460363655759</v>
      </c>
      <c r="BG48" s="108">
        <f>'Op Cost-25'!E41</f>
        <v>170603</v>
      </c>
      <c r="BH48" s="109">
        <f t="shared" si="22"/>
        <v>0.37354243690706351</v>
      </c>
      <c r="BI48" s="110">
        <f t="shared" si="23"/>
        <v>51180.9</v>
      </c>
      <c r="BJ48" s="111">
        <f t="shared" si="24"/>
        <v>12546.560363655757</v>
      </c>
      <c r="BK48" s="1">
        <f t="shared" si="32"/>
        <v>0.67581116439806743</v>
      </c>
      <c r="BL48" s="294">
        <f t="shared" si="33"/>
        <v>0.24925961490660167</v>
      </c>
      <c r="BM48" s="294">
        <f t="shared" si="34"/>
        <v>0.34596108176564977</v>
      </c>
      <c r="BN48" s="295">
        <f t="shared" si="35"/>
        <v>1.0540119804600092</v>
      </c>
      <c r="BO48" s="114">
        <f t="shared" si="25"/>
        <v>0</v>
      </c>
      <c r="BP48" s="296">
        <f t="shared" si="36"/>
        <v>0.67581116439806743</v>
      </c>
      <c r="BQ48" s="116">
        <f t="shared" si="37"/>
        <v>3.5231964065878375E-4</v>
      </c>
      <c r="BR48" s="297">
        <f t="shared" si="38"/>
        <v>0</v>
      </c>
      <c r="BS48" s="117">
        <f t="shared" si="39"/>
        <v>0</v>
      </c>
      <c r="BT48" s="298">
        <f t="shared" si="40"/>
        <v>51180.9</v>
      </c>
      <c r="BU48" s="119">
        <f t="shared" si="41"/>
        <v>51180.9</v>
      </c>
      <c r="BV48" s="119">
        <f t="shared" si="42"/>
        <v>51180.9</v>
      </c>
      <c r="BW48" s="119">
        <f t="shared" si="43"/>
        <v>0</v>
      </c>
      <c r="BX48" s="120">
        <f t="shared" si="44"/>
        <v>0</v>
      </c>
      <c r="BY48" s="121">
        <f t="shared" si="45"/>
        <v>0</v>
      </c>
      <c r="BZ48" s="299">
        <f t="shared" si="46"/>
        <v>51180.9</v>
      </c>
      <c r="CA48" s="109">
        <f t="shared" si="26"/>
        <v>0</v>
      </c>
      <c r="CB48" s="123">
        <f t="shared" si="57"/>
        <v>0</v>
      </c>
      <c r="CC48" s="111">
        <f t="shared" si="56"/>
        <v>51181</v>
      </c>
      <c r="CE48" s="124">
        <f t="shared" si="28"/>
        <v>1</v>
      </c>
      <c r="CF48" s="17"/>
      <c r="CG48" s="108">
        <f t="shared" si="47"/>
        <v>170603</v>
      </c>
      <c r="CH48" s="125">
        <f t="shared" si="48"/>
        <v>0.30000058615616371</v>
      </c>
      <c r="CI48" s="110">
        <f t="shared" si="49"/>
        <v>51180.9</v>
      </c>
      <c r="CJ48" s="300">
        <f t="shared" si="50"/>
        <v>0</v>
      </c>
      <c r="CL48" s="127">
        <f t="shared" si="51"/>
        <v>0</v>
      </c>
      <c r="CM48" s="128">
        <f t="shared" si="52"/>
        <v>0</v>
      </c>
      <c r="CN48" s="129">
        <f t="shared" si="53"/>
        <v>0</v>
      </c>
      <c r="CO48" s="130">
        <f t="shared" si="55"/>
        <v>51181</v>
      </c>
      <c r="CQ48" s="131">
        <f t="shared" si="54"/>
        <v>0.3</v>
      </c>
      <c r="CR48" s="301"/>
    </row>
    <row r="49" spans="1:96">
      <c r="A49" s="133" t="s">
        <v>124</v>
      </c>
      <c r="B49" s="90" t="s">
        <v>129</v>
      </c>
      <c r="C49" s="91">
        <f>'Sizing - Reimb Exp-25'!B42</f>
        <v>1199851</v>
      </c>
      <c r="D49" s="92">
        <f>'Ridership-25'!$E41</f>
        <v>61663</v>
      </c>
      <c r="E49" s="92">
        <f>'Revenue Hours-25'!$E41</f>
        <v>18247</v>
      </c>
      <c r="F49" s="92">
        <f>'Revenue Miles-25'!$E41</f>
        <v>313578</v>
      </c>
      <c r="G49" s="134">
        <f t="shared" si="58"/>
        <v>2.6079262501788238E-3</v>
      </c>
      <c r="H49" s="94">
        <f t="shared" si="59"/>
        <v>2.6079262501788243E-3</v>
      </c>
      <c r="J49" s="95">
        <f>'Ridership-25'!B41/'Revenue Hours-25'!B41</f>
        <v>2.3018086155869781</v>
      </c>
      <c r="K49" s="96">
        <f>'Ridership-25'!C41/'Revenue Hours-25'!C41</f>
        <v>1.8714498597475455</v>
      </c>
      <c r="L49" s="96">
        <f>'Ridership-25'!D41/'Revenue Hours-25'!D41</f>
        <v>2.7255388346838654</v>
      </c>
      <c r="M49" s="96">
        <f>'Ridership-25'!E41/'Revenue Hours-25'!E41</f>
        <v>3.379350030141941</v>
      </c>
      <c r="N49" s="97">
        <f t="shared" si="2"/>
        <v>1.2499873812155375</v>
      </c>
      <c r="O49" s="98">
        <f t="shared" si="3"/>
        <v>3.2598749038642853E-3</v>
      </c>
      <c r="P49" s="99">
        <f t="shared" si="4"/>
        <v>3.0794466903427951E-3</v>
      </c>
      <c r="Q49" s="95">
        <f>'Ridership-25'!B41/'Revenue Miles-25'!B41</f>
        <v>0.15794010138539991</v>
      </c>
      <c r="R49" s="96">
        <f>'Ridership-25'!C41/'Revenue Miles-25'!C41</f>
        <v>0.12054951539089166</v>
      </c>
      <c r="S49" s="96">
        <f>'Ridership-25'!D41/'Revenue Miles-25'!D41</f>
        <v>0.1590504069225078</v>
      </c>
      <c r="T49" s="96">
        <f>'Ridership-25'!E41/'Revenue Miles-25'!E41</f>
        <v>0.19664325941233121</v>
      </c>
      <c r="U49" s="97">
        <f t="shared" si="5"/>
        <v>1.1819101496945379</v>
      </c>
      <c r="V49" s="98">
        <f t="shared" si="6"/>
        <v>3.0823345047411689E-3</v>
      </c>
      <c r="W49" s="99">
        <f t="shared" si="7"/>
        <v>2.9225129260476912E-3</v>
      </c>
      <c r="X49" s="95">
        <f>'Op Cost-25'!B42/'Revenue Hours-25'!B41</f>
        <v>30.822514523731229</v>
      </c>
      <c r="Y49" s="96">
        <f>'Op Cost-25'!C42/'Revenue Hours-25'!C41</f>
        <v>53.352691093969142</v>
      </c>
      <c r="Z49" s="96">
        <f>'Op Cost-25'!D42/'Revenue Hours-25'!D41</f>
        <v>79.509949837384923</v>
      </c>
      <c r="AA49" s="96">
        <f>'Op Cost-25'!E42/'Revenue Hours-25'!E41</f>
        <v>73.872855811914292</v>
      </c>
      <c r="AB49" s="97">
        <f t="shared" si="8"/>
        <v>1.3009553130389218</v>
      </c>
      <c r="AC49" s="98">
        <f t="shared" si="9"/>
        <v>2.0046240051758034E-3</v>
      </c>
      <c r="AD49" s="99">
        <f t="shared" si="10"/>
        <v>2.1384509122184432E-3</v>
      </c>
      <c r="AE49" s="95">
        <f>'Op Cost-25'!B42/'Revenue Miles-25'!B41</f>
        <v>2.1149069631011295</v>
      </c>
      <c r="AF49" s="96">
        <f>'Op Cost-25'!C42/'Revenue Miles-25'!C41</f>
        <v>3.4367156686984583</v>
      </c>
      <c r="AG49" s="96">
        <f>'Op Cost-25'!D42/'Revenue Miles-25'!D41</f>
        <v>4.639849454756007</v>
      </c>
      <c r="AH49" s="96">
        <f>'Op Cost-25'!E42/'Revenue Miles-25'!E41</f>
        <v>4.2986370217298404</v>
      </c>
      <c r="AI49" s="97">
        <f t="shared" si="11"/>
        <v>1.2285075855666157</v>
      </c>
      <c r="AJ49" s="98">
        <f t="shared" si="12"/>
        <v>2.1228409826838713E-3</v>
      </c>
      <c r="AK49" s="99">
        <f t="shared" si="13"/>
        <v>2.2592358007243389E-3</v>
      </c>
      <c r="AL49" s="95">
        <f>'Op Cost-25'!B42/'Ridership-25'!B41</f>
        <v>13.390563539910664</v>
      </c>
      <c r="AM49" s="96">
        <f>'Op Cost-25'!C42/'Ridership-25'!C41</f>
        <v>28.508747277453804</v>
      </c>
      <c r="AN49" s="96">
        <f>'Op Cost-25'!D42/'Ridership-25'!D41</f>
        <v>29.17219480624545</v>
      </c>
      <c r="AO49" s="96">
        <f>'Op Cost-25'!E42/'Ridership-25'!E41</f>
        <v>21.860078166809917</v>
      </c>
      <c r="AP49" s="100">
        <f t="shared" si="14"/>
        <v>1.0579537896315043</v>
      </c>
      <c r="AQ49" s="98">
        <f t="shared" si="15"/>
        <v>2.4650663155024858E-3</v>
      </c>
      <c r="AR49" s="99">
        <f t="shared" si="16"/>
        <v>2.6763944864653826E-3</v>
      </c>
      <c r="AT49" s="101">
        <f t="shared" si="29"/>
        <v>0</v>
      </c>
      <c r="AU49" s="102">
        <f t="shared" si="17"/>
        <v>0</v>
      </c>
      <c r="AV49" s="102">
        <f t="shared" si="18"/>
        <v>0</v>
      </c>
      <c r="AW49" s="102">
        <f t="shared" si="19"/>
        <v>0</v>
      </c>
      <c r="AX49" s="103">
        <f t="shared" si="20"/>
        <v>0</v>
      </c>
      <c r="AY49" s="293">
        <f t="shared" si="30"/>
        <v>-1</v>
      </c>
      <c r="AZ49" s="105">
        <f t="shared" si="21"/>
        <v>0</v>
      </c>
      <c r="BA49" s="106">
        <f t="shared" si="21"/>
        <v>0</v>
      </c>
      <c r="BB49" s="106">
        <f t="shared" si="21"/>
        <v>0</v>
      </c>
      <c r="BC49" s="106">
        <f t="shared" si="21"/>
        <v>0</v>
      </c>
      <c r="BD49" s="106">
        <f t="shared" si="21"/>
        <v>0</v>
      </c>
      <c r="BE49" s="107">
        <f t="shared" si="31"/>
        <v>318794.20995855134</v>
      </c>
      <c r="BG49" s="108">
        <f>'Op Cost-25'!E42</f>
        <v>1347958</v>
      </c>
      <c r="BH49" s="109">
        <f t="shared" si="22"/>
        <v>0.23650158978139627</v>
      </c>
      <c r="BI49" s="110">
        <f t="shared" si="23"/>
        <v>318794.20995855134</v>
      </c>
      <c r="BJ49" s="111">
        <f t="shared" si="24"/>
        <v>0</v>
      </c>
      <c r="BK49" s="1">
        <f t="shared" si="32"/>
        <v>0.40817108588155515</v>
      </c>
      <c r="BL49" s="294">
        <f t="shared" si="33"/>
        <v>0.29646343459311009</v>
      </c>
      <c r="BM49" s="294">
        <f t="shared" si="34"/>
        <v>0.25541815926155326</v>
      </c>
      <c r="BN49" s="295">
        <f t="shared" si="35"/>
        <v>0.54040137483577866</v>
      </c>
      <c r="BO49" s="114">
        <f t="shared" si="25"/>
        <v>318794.20995855134</v>
      </c>
      <c r="BP49" s="296">
        <f>BL49*$BO$8+BM49*$BP$8+BN49*$BQ$8</f>
        <v>0.40817108588155515</v>
      </c>
      <c r="BQ49" s="116">
        <f t="shared" si="37"/>
        <v>1.064480089434503E-3</v>
      </c>
      <c r="BR49" s="297">
        <f t="shared" si="38"/>
        <v>1.064480089434503E-3</v>
      </c>
      <c r="BS49" s="117">
        <f t="shared" si="39"/>
        <v>1.1160431316857881E-3</v>
      </c>
      <c r="BT49" s="298">
        <f t="shared" si="40"/>
        <v>328386.17044733703</v>
      </c>
      <c r="BU49" s="119">
        <f t="shared" si="41"/>
        <v>404387.39999999997</v>
      </c>
      <c r="BV49" s="119">
        <f t="shared" si="42"/>
        <v>328386.17044733703</v>
      </c>
      <c r="BW49" s="119">
        <f t="shared" si="43"/>
        <v>0</v>
      </c>
      <c r="BX49" s="120">
        <f t="shared" si="44"/>
        <v>1.064480089434503E-3</v>
      </c>
      <c r="BY49" s="121">
        <f t="shared" si="45"/>
        <v>1.9713005412417615E-3</v>
      </c>
      <c r="BZ49" s="299">
        <f t="shared" si="46"/>
        <v>330058.49597450497</v>
      </c>
      <c r="CA49" s="109">
        <f t="shared" si="26"/>
        <v>2.8955151046827182E-3</v>
      </c>
      <c r="CB49" s="123">
        <f t="shared" si="57"/>
        <v>24885.836120730033</v>
      </c>
      <c r="CC49" s="111">
        <f t="shared" si="56"/>
        <v>343680</v>
      </c>
      <c r="CE49" s="124">
        <f t="shared" si="28"/>
        <v>0</v>
      </c>
      <c r="CF49" s="17"/>
      <c r="CG49" s="108">
        <f t="shared" si="47"/>
        <v>1347958</v>
      </c>
      <c r="CH49" s="125">
        <f t="shared" si="48"/>
        <v>0.25496343357879103</v>
      </c>
      <c r="CI49" s="110">
        <f t="shared" si="49"/>
        <v>328386.17044733703</v>
      </c>
      <c r="CJ49" s="300">
        <f t="shared" si="50"/>
        <v>0</v>
      </c>
      <c r="CL49" s="127">
        <f t="shared" si="51"/>
        <v>328386.17044733703</v>
      </c>
      <c r="CM49" s="128">
        <f t="shared" si="52"/>
        <v>3.8210175728154894E-3</v>
      </c>
      <c r="CN49" s="129">
        <f t="shared" si="53"/>
        <v>3241.5073668834816</v>
      </c>
      <c r="CO49" s="130">
        <f t="shared" si="55"/>
        <v>331628</v>
      </c>
      <c r="CQ49" s="131">
        <f t="shared" si="54"/>
        <v>0.24485814541291714</v>
      </c>
      <c r="CR49" s="301"/>
    </row>
    <row r="50" spans="1:96">
      <c r="A50" s="133" t="s">
        <v>124</v>
      </c>
      <c r="B50" s="90" t="s">
        <v>130</v>
      </c>
      <c r="C50" s="91">
        <f>'Sizing - Reimb Exp-25'!B43</f>
        <v>4543756</v>
      </c>
      <c r="D50" s="92">
        <f>'Ridership-25'!$E42</f>
        <v>187266</v>
      </c>
      <c r="E50" s="92">
        <f>'Revenue Hours-25'!$E42</f>
        <v>63759</v>
      </c>
      <c r="F50" s="92">
        <f>'Revenue Miles-25'!$E42</f>
        <v>994681</v>
      </c>
      <c r="G50" s="134">
        <f t="shared" si="58"/>
        <v>8.8990972899338511E-3</v>
      </c>
      <c r="H50" s="94">
        <f t="shared" si="59"/>
        <v>8.8990972899338529E-3</v>
      </c>
      <c r="J50" s="95">
        <f>'Ridership-25'!B42/'Revenue Hours-25'!B42</f>
        <v>4.6066913646259025</v>
      </c>
      <c r="K50" s="96">
        <f>'Ridership-25'!C42/'Revenue Hours-25'!C42</f>
        <v>2.6052602436323364</v>
      </c>
      <c r="L50" s="96">
        <f>'Ridership-25'!D42/'Revenue Hours-25'!D42</f>
        <v>2.7993357457988401</v>
      </c>
      <c r="M50" s="96">
        <f>'Ridership-25'!E42/'Revenue Hours-25'!E42</f>
        <v>2.9370912341787041</v>
      </c>
      <c r="N50" s="97">
        <f t="shared" si="2"/>
        <v>0.93744466278837724</v>
      </c>
      <c r="O50" s="98">
        <f t="shared" si="3"/>
        <v>8.3424112580830021E-3</v>
      </c>
      <c r="P50" s="99">
        <f t="shared" si="4"/>
        <v>7.8806737975524767E-3</v>
      </c>
      <c r="Q50" s="95">
        <f>'Ridership-25'!B42/'Revenue Miles-25'!B42</f>
        <v>0.25866990351642838</v>
      </c>
      <c r="R50" s="96">
        <f>'Ridership-25'!C42/'Revenue Miles-25'!C42</f>
        <v>0.16890249812434263</v>
      </c>
      <c r="S50" s="96">
        <f>'Ridership-25'!D42/'Revenue Miles-25'!D42</f>
        <v>0.1810610173694088</v>
      </c>
      <c r="T50" s="96">
        <f>'Ridership-25'!E42/'Revenue Miles-25'!E42</f>
        <v>0.18826739427012279</v>
      </c>
      <c r="U50" s="97">
        <f t="shared" si="5"/>
        <v>0.99109648571081632</v>
      </c>
      <c r="V50" s="98">
        <f t="shared" si="6"/>
        <v>8.8198640500520911E-3</v>
      </c>
      <c r="W50" s="99">
        <f t="shared" si="7"/>
        <v>8.3625468464283582E-3</v>
      </c>
      <c r="X50" s="95">
        <f>'Op Cost-25'!B43/'Revenue Hours-25'!B42</f>
        <v>60.089370965893899</v>
      </c>
      <c r="Y50" s="96">
        <f>'Op Cost-25'!C43/'Revenue Hours-25'!C42</f>
        <v>61.375230712440015</v>
      </c>
      <c r="Z50" s="96">
        <f>'Op Cost-25'!D43/'Revenue Hours-25'!D42</f>
        <v>66.464250896412693</v>
      </c>
      <c r="AA50" s="96">
        <f>'Op Cost-25'!E43/'Revenue Hours-25'!E42</f>
        <v>73.070531219122003</v>
      </c>
      <c r="AB50" s="97">
        <f t="shared" si="8"/>
        <v>1.0327254943983701</v>
      </c>
      <c r="AC50" s="98">
        <f t="shared" si="9"/>
        <v>8.617098481836314E-3</v>
      </c>
      <c r="AD50" s="99">
        <f t="shared" si="10"/>
        <v>9.1923682753379862E-3</v>
      </c>
      <c r="AE50" s="95">
        <f>'Op Cost-25'!B43/'Revenue Miles-25'!B42</f>
        <v>3.3740727476265127</v>
      </c>
      <c r="AF50" s="96">
        <f>'Op Cost-25'!C43/'Revenue Miles-25'!C42</f>
        <v>3.9790381078535897</v>
      </c>
      <c r="AG50" s="96">
        <f>'Op Cost-25'!D43/'Revenue Miles-25'!D42</f>
        <v>4.2989073047277451</v>
      </c>
      <c r="AH50" s="96">
        <f>'Op Cost-25'!E43/'Revenue Miles-25'!E42</f>
        <v>4.6838172238134641</v>
      </c>
      <c r="AI50" s="97">
        <f t="shared" si="11"/>
        <v>1.0750496667822353</v>
      </c>
      <c r="AJ50" s="98">
        <f t="shared" si="12"/>
        <v>8.2778475868654691E-3</v>
      </c>
      <c r="AK50" s="99">
        <f t="shared" si="13"/>
        <v>8.8097082041170699E-3</v>
      </c>
      <c r="AL50" s="95">
        <f>'Op Cost-25'!B43/'Ridership-25'!B42</f>
        <v>13.043932447333294</v>
      </c>
      <c r="AM50" s="96">
        <f>'Op Cost-25'!C43/'Ridership-25'!C42</f>
        <v>23.558195716704567</v>
      </c>
      <c r="AN50" s="96">
        <f>'Op Cost-25'!D43/'Ridership-25'!D42</f>
        <v>23.742865069386646</v>
      </c>
      <c r="AO50" s="96">
        <f>'Op Cost-25'!E43/'Ridership-25'!E42</f>
        <v>24.878536413443978</v>
      </c>
      <c r="AP50" s="100">
        <f t="shared" si="14"/>
        <v>1.133836263732076</v>
      </c>
      <c r="AQ50" s="98">
        <f t="shared" si="15"/>
        <v>7.8486617288479124E-3</v>
      </c>
      <c r="AR50" s="99">
        <f t="shared" si="16"/>
        <v>8.5215212447290554E-3</v>
      </c>
      <c r="AT50" s="101">
        <f t="shared" si="29"/>
        <v>0</v>
      </c>
      <c r="AU50" s="102">
        <f t="shared" si="17"/>
        <v>0</v>
      </c>
      <c r="AV50" s="102">
        <f t="shared" si="18"/>
        <v>0</v>
      </c>
      <c r="AW50" s="102">
        <f t="shared" si="19"/>
        <v>0</v>
      </c>
      <c r="AX50" s="103">
        <f t="shared" si="20"/>
        <v>0</v>
      </c>
      <c r="AY50" s="293">
        <f t="shared" si="30"/>
        <v>-1</v>
      </c>
      <c r="AZ50" s="105">
        <f t="shared" si="21"/>
        <v>0</v>
      </c>
      <c r="BA50" s="106">
        <f t="shared" si="21"/>
        <v>0</v>
      </c>
      <c r="BB50" s="106">
        <f t="shared" si="21"/>
        <v>0</v>
      </c>
      <c r="BC50" s="106">
        <f t="shared" si="21"/>
        <v>0</v>
      </c>
      <c r="BD50" s="106">
        <f t="shared" si="21"/>
        <v>0</v>
      </c>
      <c r="BE50" s="107">
        <f>$AZ$6*H50</f>
        <v>1087830.1062747529</v>
      </c>
      <c r="BG50" s="108">
        <f>'Op Cost-25'!E43</f>
        <v>4658904</v>
      </c>
      <c r="BH50" s="109">
        <f t="shared" si="22"/>
        <v>0.23349485335494205</v>
      </c>
      <c r="BI50" s="110">
        <f t="shared" si="23"/>
        <v>1087830.1062747529</v>
      </c>
      <c r="BJ50" s="111">
        <f t="shared" si="24"/>
        <v>0</v>
      </c>
      <c r="BK50" s="1">
        <f t="shared" si="32"/>
        <v>0.45494233322711047</v>
      </c>
      <c r="BL50" s="294">
        <f t="shared" si="33"/>
        <v>0.32063867111369942</v>
      </c>
      <c r="BM50" s="294">
        <f t="shared" si="34"/>
        <v>0.29619619516585804</v>
      </c>
      <c r="BN50" s="295">
        <f t="shared" si="35"/>
        <v>0.60146723331444218</v>
      </c>
      <c r="BO50" s="114">
        <f t="shared" si="25"/>
        <v>1087830.1062747529</v>
      </c>
      <c r="BP50" s="296">
        <f t="shared" si="36"/>
        <v>0.45494233322711047</v>
      </c>
      <c r="BQ50" s="116">
        <f t="shared" si="37"/>
        <v>4.0485760846975622E-3</v>
      </c>
      <c r="BR50" s="297">
        <f t="shared" si="38"/>
        <v>4.0485760846975622E-3</v>
      </c>
      <c r="BS50" s="117">
        <f t="shared" si="39"/>
        <v>4.2446876905273181E-3</v>
      </c>
      <c r="BT50" s="298">
        <f t="shared" si="40"/>
        <v>1124311.5606727321</v>
      </c>
      <c r="BU50" s="119">
        <f t="shared" si="41"/>
        <v>1397671.2</v>
      </c>
      <c r="BV50" s="119">
        <f t="shared" si="42"/>
        <v>1124311.5606727321</v>
      </c>
      <c r="BW50" s="119">
        <f t="shared" si="43"/>
        <v>0</v>
      </c>
      <c r="BX50" s="120">
        <f t="shared" si="44"/>
        <v>4.0485760846975622E-3</v>
      </c>
      <c r="BY50" s="121">
        <f t="shared" si="45"/>
        <v>7.4975194991787784E-3</v>
      </c>
      <c r="BZ50" s="299">
        <f t="shared" si="46"/>
        <v>1130671.9775582354</v>
      </c>
      <c r="CA50" s="109">
        <f t="shared" si="26"/>
        <v>9.8804445176613621E-3</v>
      </c>
      <c r="CB50" s="123">
        <f t="shared" si="57"/>
        <v>84918.611776134829</v>
      </c>
      <c r="CC50" s="111">
        <f t="shared" si="56"/>
        <v>1172749</v>
      </c>
      <c r="CE50" s="124">
        <f t="shared" si="28"/>
        <v>0</v>
      </c>
      <c r="CF50" s="17"/>
      <c r="CG50" s="108">
        <f t="shared" si="47"/>
        <v>4658904</v>
      </c>
      <c r="CH50" s="125">
        <f t="shared" si="48"/>
        <v>0.25172207884086045</v>
      </c>
      <c r="CI50" s="110">
        <f t="shared" si="49"/>
        <v>1124311.5606727321</v>
      </c>
      <c r="CJ50" s="300">
        <f t="shared" si="50"/>
        <v>0</v>
      </c>
      <c r="CL50" s="127">
        <f t="shared" si="51"/>
        <v>1124311.5606727321</v>
      </c>
      <c r="CM50" s="128">
        <f t="shared" si="52"/>
        <v>1.3082202045226095E-2</v>
      </c>
      <c r="CN50" s="129">
        <f t="shared" si="53"/>
        <v>11098.105019551622</v>
      </c>
      <c r="CO50" s="130">
        <f t="shared" si="55"/>
        <v>1135410</v>
      </c>
      <c r="CQ50" s="131">
        <f t="shared" si="54"/>
        <v>0.24269055073000761</v>
      </c>
      <c r="CR50" s="301"/>
    </row>
    <row r="51" spans="1:96" s="171" customFormat="1" ht="15" thickBot="1">
      <c r="A51" s="165"/>
      <c r="B51" s="166" t="s">
        <v>131</v>
      </c>
      <c r="C51" s="167">
        <f>SUM(C11:C50)-C34</f>
        <v>525422953</v>
      </c>
      <c r="D51" s="168">
        <f>SUM(D11:D50)-D34</f>
        <v>47351081</v>
      </c>
      <c r="E51" s="168">
        <f>SUM(E11:E50)-E34</f>
        <v>4481273</v>
      </c>
      <c r="F51" s="168">
        <f>SUM(F11:F50)-F34</f>
        <v>63382684</v>
      </c>
      <c r="G51" s="169">
        <f>SUM(G11:G50)</f>
        <v>0.99999999999999989</v>
      </c>
      <c r="H51" s="170">
        <f>SUM(H11:H50)</f>
        <v>1</v>
      </c>
      <c r="J51" s="172">
        <f>'Ridership-25'!B43/'Revenue Hours-25'!B43</f>
        <v>13.526760546299428</v>
      </c>
      <c r="K51" s="173">
        <f>'Ridership-25'!C43/'Revenue Hours-25'!C43</f>
        <v>6.9491805201049877</v>
      </c>
      <c r="L51" s="173">
        <f>'Ridership-25'!D43/'Revenue Hours-25'!D43</f>
        <v>8.9536027544539518</v>
      </c>
      <c r="M51" s="173">
        <f>'Ridership-25'!E43/'Revenue Hours-25'!E43</f>
        <v>10.705045615153841</v>
      </c>
      <c r="N51" s="174"/>
      <c r="O51" s="175">
        <f>SUM(O11:O50)</f>
        <v>1.0585911144645941</v>
      </c>
      <c r="P51" s="176">
        <f>SUM(P11:P50)</f>
        <v>1</v>
      </c>
      <c r="Q51" s="172">
        <f>'Ridership-25'!B43/'Revenue Miles-25'!B43</f>
        <v>0.94516480852199081</v>
      </c>
      <c r="R51" s="173">
        <f>'Ridership-25'!C43/'Revenue Miles-25'!C43</f>
        <v>0.49283534368231213</v>
      </c>
      <c r="S51" s="173">
        <f>'Ridership-25'!D43/'Revenue Miles-25'!D43</f>
        <v>0.61981636789595917</v>
      </c>
      <c r="T51" s="173">
        <f>'Ridership-25'!E43/'Revenue Miles-25'!E43</f>
        <v>0.74193378363769658</v>
      </c>
      <c r="U51" s="174"/>
      <c r="V51" s="175">
        <f>SUM(V11:V50)</f>
        <v>1.0546863547699052</v>
      </c>
      <c r="W51" s="176">
        <f>SUM(W11:W50)</f>
        <v>0.99999999999999978</v>
      </c>
      <c r="X51" s="177">
        <f>'Op Cost-25'!B44/'Revenue Hours-25'!B43</f>
        <v>103.16343259700481</v>
      </c>
      <c r="Y51" s="178">
        <f>'Op Cost-25'!C44/'Revenue Hours-25'!C43</f>
        <v>125.95961510933006</v>
      </c>
      <c r="Z51" s="178">
        <f>'Op Cost-25'!D44/'Revenue Hours-25'!D43</f>
        <v>126.23027057650225</v>
      </c>
      <c r="AA51" s="178">
        <f>'Op Cost-25'!E44/'Revenue Hours-25'!E43</f>
        <v>117.50453980589081</v>
      </c>
      <c r="AB51" s="174"/>
      <c r="AC51" s="175">
        <f>SUM(AC11:AC50)</f>
        <v>0.93741876127340851</v>
      </c>
      <c r="AD51" s="176">
        <f>SUM(AD11:AD50)</f>
        <v>1.0000000000000002</v>
      </c>
      <c r="AE51" s="177">
        <f>'Op Cost-25'!B44/'Revenue Miles-25'!B43</f>
        <v>7.2084107413060252</v>
      </c>
      <c r="AF51" s="178">
        <f>'Op Cost-25'!C44/'Revenue Miles-25'!C43</f>
        <v>8.9330461372962819</v>
      </c>
      <c r="AG51" s="178">
        <f>'Op Cost-25'!D44/'Revenue Miles-25'!D43</f>
        <v>8.7383358378650051</v>
      </c>
      <c r="AH51" s="178">
        <f>'Op Cost-25'!E44/'Revenue Miles-25'!E43</f>
        <v>8.1438782184524161</v>
      </c>
      <c r="AI51" s="174"/>
      <c r="AJ51" s="175">
        <f>SUM(AJ11:AJ50)</f>
        <v>0.93962789630160004</v>
      </c>
      <c r="AK51" s="176">
        <f>SUM(AK11:AK50)</f>
        <v>1.0000000000000002</v>
      </c>
      <c r="AL51" s="177">
        <f>'Op Cost-25'!B44/'Ridership-25'!B43</f>
        <v>7.6266177880429513</v>
      </c>
      <c r="AM51" s="178">
        <f>'Op Cost-25'!C44/'Ridership-25'!C43</f>
        <v>18.125822857085176</v>
      </c>
      <c r="AN51" s="178">
        <f>'Op Cost-25'!D44/'Ridership-25'!D43</f>
        <v>14.098265696868143</v>
      </c>
      <c r="AO51" s="178">
        <f>'Op Cost-25'!E44/'Ridership-25'!E43</f>
        <v>10.97655666591031</v>
      </c>
      <c r="AP51" s="179"/>
      <c r="AQ51" s="175">
        <f>SUM(AQ11:AQ50)</f>
        <v>0.92103997671808457</v>
      </c>
      <c r="AR51" s="176">
        <f>SUM(AR11:AR50)</f>
        <v>1</v>
      </c>
      <c r="AT51" s="180">
        <f>SUM(AT11:AT50)</f>
        <v>0</v>
      </c>
      <c r="AU51" s="181">
        <f>SUM(AU11:AU50)</f>
        <v>0</v>
      </c>
      <c r="AV51" s="181">
        <f>SUM(AV11:AV50)</f>
        <v>0</v>
      </c>
      <c r="AW51" s="181">
        <f>SUM(AW11:AW50)</f>
        <v>0</v>
      </c>
      <c r="AX51" s="182">
        <f>SUM(AX11:AX50)</f>
        <v>0</v>
      </c>
      <c r="AZ51" s="183">
        <f t="shared" si="21"/>
        <v>0</v>
      </c>
      <c r="BA51" s="184">
        <f t="shared" si="21"/>
        <v>0</v>
      </c>
      <c r="BB51" s="184">
        <f t="shared" si="21"/>
        <v>0</v>
      </c>
      <c r="BC51" s="184">
        <f t="shared" si="21"/>
        <v>0</v>
      </c>
      <c r="BD51" s="184">
        <f t="shared" si="21"/>
        <v>0</v>
      </c>
      <c r="BE51" s="185">
        <f t="shared" ref="BE51" si="60">SUM(AZ51:BD51)</f>
        <v>0</v>
      </c>
      <c r="BG51" s="186">
        <f>'Op Cost-25'!E44</f>
        <v>535846200</v>
      </c>
      <c r="BH51" s="187"/>
      <c r="BI51" s="188">
        <f>SUM(BI11:BI50)</f>
        <v>120079596.49410993</v>
      </c>
      <c r="BJ51" s="189">
        <f>SUM(BJ11:BJ50)</f>
        <v>2160903.9558901167</v>
      </c>
      <c r="BK51" s="1"/>
      <c r="BO51" s="190">
        <f t="shared" ref="BO51:BT51" si="61">SUM(BO11:BO50)</f>
        <v>110099308.21738325</v>
      </c>
      <c r="BP51" s="192">
        <f t="shared" si="61"/>
        <v>35.653014252359512</v>
      </c>
      <c r="BQ51" s="305">
        <f t="shared" si="61"/>
        <v>1.1867801069612329</v>
      </c>
      <c r="BR51" s="305">
        <f t="shared" si="61"/>
        <v>0.95379834274559006</v>
      </c>
      <c r="BS51" s="191">
        <f t="shared" si="61"/>
        <v>1</v>
      </c>
      <c r="BT51" s="192">
        <f t="shared" si="61"/>
        <v>128674210.99999997</v>
      </c>
      <c r="BU51" s="192"/>
      <c r="BV51" s="192">
        <f t="shared" ref="BV51:CC51" si="62">SUM(BV11:BV50)</f>
        <v>127825874.84212802</v>
      </c>
      <c r="BW51" s="192">
        <f t="shared" si="62"/>
        <v>848336.15787194623</v>
      </c>
      <c r="BX51" s="306">
        <f t="shared" si="62"/>
        <v>0.53998873696040572</v>
      </c>
      <c r="BY51" s="192">
        <f t="shared" si="62"/>
        <v>0.99999999999999967</v>
      </c>
      <c r="BZ51" s="192">
        <f t="shared" si="62"/>
        <v>128674211.00000003</v>
      </c>
      <c r="CA51" s="307">
        <f t="shared" si="62"/>
        <v>0.99999999999999978</v>
      </c>
      <c r="CB51" s="194">
        <f t="shared" si="62"/>
        <v>8594614.5058901161</v>
      </c>
      <c r="CC51" s="189">
        <f t="shared" si="62"/>
        <v>128674209</v>
      </c>
      <c r="CE51" s="195">
        <f>SUM(CE11:CE50)</f>
        <v>2</v>
      </c>
      <c r="CG51" s="196">
        <f>SUM(CG11:CG50)</f>
        <v>535846200</v>
      </c>
      <c r="CH51" s="197"/>
      <c r="CI51" s="198">
        <f>SUM(CI11:CI50)</f>
        <v>127825874.84212802</v>
      </c>
      <c r="CJ51" s="308">
        <f>SUM(CJ11:CJ50)</f>
        <v>848336.15787194623</v>
      </c>
      <c r="CK51" s="1"/>
      <c r="CL51" s="200">
        <f>SUM(CL11:CL50)</f>
        <v>85942072.80898948</v>
      </c>
      <c r="CM51" s="201">
        <f t="shared" si="52"/>
        <v>1</v>
      </c>
      <c r="CN51" s="202">
        <f t="shared" si="53"/>
        <v>848336.15787194623</v>
      </c>
      <c r="CO51" s="203">
        <f>SUM(CO11:CO50)</f>
        <v>128674211</v>
      </c>
      <c r="CP51" s="1"/>
      <c r="CQ51" s="131">
        <f t="shared" si="54"/>
        <v>0.24013273024983667</v>
      </c>
      <c r="CR51" s="309"/>
    </row>
    <row r="53" spans="1:96">
      <c r="CR53" s="301"/>
    </row>
    <row r="58" spans="1:96">
      <c r="B58" s="1">
        <v>1</v>
      </c>
      <c r="C58" s="1">
        <f>B58+1</f>
        <v>2</v>
      </c>
      <c r="D58" s="1">
        <f t="shared" ref="D58:BO58" si="63">C58+1</f>
        <v>3</v>
      </c>
      <c r="E58" s="1">
        <f t="shared" si="63"/>
        <v>4</v>
      </c>
      <c r="F58" s="1">
        <f t="shared" si="63"/>
        <v>5</v>
      </c>
      <c r="G58" s="1">
        <f t="shared" si="63"/>
        <v>6</v>
      </c>
      <c r="H58" s="1">
        <f t="shared" si="63"/>
        <v>7</v>
      </c>
      <c r="I58" s="1">
        <f t="shared" si="63"/>
        <v>8</v>
      </c>
      <c r="J58" s="1">
        <f t="shared" si="63"/>
        <v>9</v>
      </c>
      <c r="K58" s="1">
        <f t="shared" si="63"/>
        <v>10</v>
      </c>
      <c r="L58" s="1">
        <f t="shared" si="63"/>
        <v>11</v>
      </c>
      <c r="M58" s="1">
        <f t="shared" si="63"/>
        <v>12</v>
      </c>
      <c r="N58" s="1">
        <f t="shared" si="63"/>
        <v>13</v>
      </c>
      <c r="O58" s="1">
        <f t="shared" si="63"/>
        <v>14</v>
      </c>
      <c r="P58" s="1">
        <f t="shared" si="63"/>
        <v>15</v>
      </c>
      <c r="Q58" s="1">
        <f t="shared" si="63"/>
        <v>16</v>
      </c>
      <c r="R58" s="1">
        <f t="shared" si="63"/>
        <v>17</v>
      </c>
      <c r="S58" s="1">
        <f t="shared" si="63"/>
        <v>18</v>
      </c>
      <c r="T58" s="1">
        <f t="shared" si="63"/>
        <v>19</v>
      </c>
      <c r="U58" s="1">
        <f t="shared" si="63"/>
        <v>20</v>
      </c>
      <c r="V58" s="1">
        <f t="shared" si="63"/>
        <v>21</v>
      </c>
      <c r="W58" s="1">
        <f t="shared" si="63"/>
        <v>22</v>
      </c>
      <c r="X58" s="1">
        <f t="shared" si="63"/>
        <v>23</v>
      </c>
      <c r="Y58" s="1">
        <f t="shared" si="63"/>
        <v>24</v>
      </c>
      <c r="Z58" s="1">
        <f t="shared" si="63"/>
        <v>25</v>
      </c>
      <c r="AA58" s="1">
        <f t="shared" si="63"/>
        <v>26</v>
      </c>
      <c r="AB58" s="1">
        <f t="shared" si="63"/>
        <v>27</v>
      </c>
      <c r="AC58" s="1">
        <f t="shared" si="63"/>
        <v>28</v>
      </c>
      <c r="AD58" s="1">
        <f t="shared" si="63"/>
        <v>29</v>
      </c>
      <c r="AE58" s="1">
        <f t="shared" si="63"/>
        <v>30</v>
      </c>
      <c r="AF58" s="1">
        <f t="shared" si="63"/>
        <v>31</v>
      </c>
      <c r="AG58" s="1">
        <f t="shared" si="63"/>
        <v>32</v>
      </c>
      <c r="AH58" s="1">
        <f t="shared" si="63"/>
        <v>33</v>
      </c>
      <c r="AI58" s="1">
        <f t="shared" si="63"/>
        <v>34</v>
      </c>
      <c r="AJ58" s="1">
        <f t="shared" si="63"/>
        <v>35</v>
      </c>
      <c r="AK58" s="1">
        <f t="shared" si="63"/>
        <v>36</v>
      </c>
      <c r="AL58" s="1">
        <f t="shared" si="63"/>
        <v>37</v>
      </c>
      <c r="AM58" s="1">
        <f t="shared" si="63"/>
        <v>38</v>
      </c>
      <c r="AN58" s="1">
        <f t="shared" si="63"/>
        <v>39</v>
      </c>
      <c r="AO58" s="1">
        <f t="shared" si="63"/>
        <v>40</v>
      </c>
      <c r="AP58" s="1">
        <f t="shared" si="63"/>
        <v>41</v>
      </c>
      <c r="AQ58" s="1">
        <f t="shared" si="63"/>
        <v>42</v>
      </c>
      <c r="AR58" s="1">
        <f t="shared" si="63"/>
        <v>43</v>
      </c>
      <c r="AS58" s="1">
        <f t="shared" si="63"/>
        <v>44</v>
      </c>
      <c r="AT58" s="1">
        <f t="shared" si="63"/>
        <v>45</v>
      </c>
      <c r="AU58" s="1">
        <f t="shared" si="63"/>
        <v>46</v>
      </c>
      <c r="AV58" s="1">
        <f t="shared" si="63"/>
        <v>47</v>
      </c>
      <c r="AW58" s="1">
        <f t="shared" si="63"/>
        <v>48</v>
      </c>
      <c r="AX58" s="1">
        <f t="shared" si="63"/>
        <v>49</v>
      </c>
      <c r="AY58" s="1">
        <f t="shared" si="63"/>
        <v>50</v>
      </c>
      <c r="AZ58" s="1">
        <f t="shared" si="63"/>
        <v>51</v>
      </c>
      <c r="BA58" s="1">
        <f t="shared" si="63"/>
        <v>52</v>
      </c>
      <c r="BB58" s="1">
        <f t="shared" si="63"/>
        <v>53</v>
      </c>
      <c r="BC58" s="1">
        <f t="shared" si="63"/>
        <v>54</v>
      </c>
      <c r="BD58" s="1">
        <f t="shared" si="63"/>
        <v>55</v>
      </c>
      <c r="BE58" s="1">
        <f t="shared" si="63"/>
        <v>56</v>
      </c>
      <c r="BF58" s="1">
        <f t="shared" si="63"/>
        <v>57</v>
      </c>
      <c r="BG58" s="1">
        <f t="shared" si="63"/>
        <v>58</v>
      </c>
      <c r="BH58" s="1">
        <f t="shared" si="63"/>
        <v>59</v>
      </c>
      <c r="BI58" s="1">
        <f t="shared" si="63"/>
        <v>60</v>
      </c>
      <c r="BJ58" s="1">
        <f t="shared" si="63"/>
        <v>61</v>
      </c>
      <c r="BK58" s="1">
        <f t="shared" si="63"/>
        <v>62</v>
      </c>
      <c r="BL58" s="1">
        <f t="shared" si="63"/>
        <v>63</v>
      </c>
      <c r="BM58" s="1">
        <f t="shared" si="63"/>
        <v>64</v>
      </c>
      <c r="BN58" s="1">
        <f t="shared" si="63"/>
        <v>65</v>
      </c>
      <c r="BO58" s="1">
        <f t="shared" si="63"/>
        <v>66</v>
      </c>
      <c r="BP58" s="1">
        <f t="shared" ref="BP58:BQ58" si="64">BO58+1</f>
        <v>67</v>
      </c>
      <c r="BQ58" s="1">
        <f t="shared" si="64"/>
        <v>68</v>
      </c>
      <c r="CA58" s="1">
        <f>BO58+1</f>
        <v>67</v>
      </c>
      <c r="CB58" s="1">
        <f t="shared" ref="CB58:CO58" si="65">CA58+1</f>
        <v>68</v>
      </c>
      <c r="CC58" s="1">
        <f t="shared" si="65"/>
        <v>69</v>
      </c>
      <c r="CD58" s="1">
        <f t="shared" si="65"/>
        <v>70</v>
      </c>
      <c r="CE58" s="1">
        <f t="shared" si="65"/>
        <v>71</v>
      </c>
      <c r="CF58" s="1">
        <f t="shared" si="65"/>
        <v>72</v>
      </c>
      <c r="CG58" s="1">
        <f t="shared" si="65"/>
        <v>73</v>
      </c>
      <c r="CH58" s="1">
        <f t="shared" si="65"/>
        <v>74</v>
      </c>
      <c r="CI58" s="1">
        <f t="shared" si="65"/>
        <v>75</v>
      </c>
      <c r="CJ58" s="1">
        <f t="shared" si="65"/>
        <v>76</v>
      </c>
      <c r="CK58" s="1">
        <f t="shared" si="65"/>
        <v>77</v>
      </c>
      <c r="CL58" s="1">
        <f t="shared" si="65"/>
        <v>78</v>
      </c>
      <c r="CM58" s="1">
        <f t="shared" si="65"/>
        <v>79</v>
      </c>
      <c r="CN58" s="1">
        <f t="shared" si="65"/>
        <v>80</v>
      </c>
      <c r="CO58" s="1">
        <f t="shared" si="65"/>
        <v>81</v>
      </c>
    </row>
  </sheetData>
  <autoFilter ref="A10:CQ10" xr:uid="{00000000-0001-0000-0F00-000000000000}"/>
  <mergeCells count="1">
    <mergeCell ref="CL3:CO3"/>
  </mergeCells>
  <conditionalFormatting sqref="BK11:BK50">
    <cfRule type="cellIs" dxfId="23" priority="2" operator="greaterThan">
      <formula>0.93</formula>
    </cfRule>
  </conditionalFormatting>
  <conditionalFormatting sqref="BS11:BS50">
    <cfRule type="cellIs" dxfId="22" priority="1" operator="between">
      <formula>3</formula>
      <formula>30</formula>
    </cfRule>
  </conditionalFormatting>
  <conditionalFormatting sqref="CE51">
    <cfRule type="cellIs" dxfId="21" priority="3" operator="notEqual">
      <formula>0</formula>
    </cfRule>
  </conditionalFormatting>
  <printOptions horizontalCentered="1"/>
  <pageMargins left="0.25" right="0.25" top="0.75" bottom="0.75" header="0.3" footer="0.3"/>
  <pageSetup paperSize="17" scale="18" orientation="landscape" r:id="rId1"/>
  <headerFooter alignWithMargins="0">
    <oddFooter>&amp;L&amp;F&amp;R&amp;D</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81E3C-6D85-4CC6-8BB9-D6D6B02A40EF}">
  <sheetPr>
    <tabColor theme="6" tint="0.39997558519241921"/>
    <pageSetUpPr fitToPage="1"/>
  </sheetPr>
  <dimension ref="A1:CR58"/>
  <sheetViews>
    <sheetView zoomScale="80" zoomScaleNormal="80" workbookViewId="0">
      <pane xSplit="2" topLeftCell="C1" activePane="topRight" state="frozen"/>
      <selection activeCell="A2" sqref="A2"/>
      <selection pane="topRight" activeCell="A2" sqref="A2"/>
    </sheetView>
  </sheetViews>
  <sheetFormatPr defaultColWidth="9.42578125" defaultRowHeight="14.25"/>
  <cols>
    <col min="1" max="1" width="13.42578125" style="10" customWidth="1"/>
    <col min="2" max="2" width="40.140625" style="1" customWidth="1"/>
    <col min="3" max="3" width="21.42578125" style="1" customWidth="1"/>
    <col min="4" max="4" width="17.42578125" style="1" customWidth="1"/>
    <col min="5" max="5" width="14.42578125" style="1" customWidth="1"/>
    <col min="6" max="6" width="17.85546875" style="1" customWidth="1"/>
    <col min="7" max="7" width="14.5703125" style="1" customWidth="1"/>
    <col min="8" max="8" width="17.42578125" style="4" customWidth="1"/>
    <col min="9" max="9" width="9.42578125" style="1" customWidth="1"/>
    <col min="10" max="10" width="8.5703125" style="1" customWidth="1"/>
    <col min="11" max="11" width="11.5703125" style="1" customWidth="1"/>
    <col min="12" max="13" width="8.5703125" style="1" customWidth="1"/>
    <col min="14" max="16" width="15.5703125" style="1" customWidth="1"/>
    <col min="17" max="20" width="8.5703125" style="1" customWidth="1"/>
    <col min="21" max="22" width="15.5703125" style="1" customWidth="1"/>
    <col min="23" max="23" width="15.5703125" style="5" customWidth="1"/>
    <col min="24" max="27" width="10.5703125" style="1" customWidth="1"/>
    <col min="28" max="29" width="15.5703125" style="1" customWidth="1"/>
    <col min="30" max="30" width="15.5703125" style="5" customWidth="1"/>
    <col min="31" max="34" width="8.5703125" style="1" customWidth="1"/>
    <col min="35" max="36" width="15.5703125" style="1" customWidth="1"/>
    <col min="37" max="37" width="15.5703125" style="5" customWidth="1"/>
    <col min="38" max="40" width="8.5703125" style="1" customWidth="1"/>
    <col min="41" max="41" width="9.42578125" style="1" customWidth="1"/>
    <col min="42" max="43" width="15.5703125" style="1" customWidth="1"/>
    <col min="44" max="44" width="15.5703125" style="5" customWidth="1"/>
    <col min="45" max="45" width="9.42578125" style="1" customWidth="1"/>
    <col min="46" max="50" width="17.5703125" style="1" customWidth="1"/>
    <col min="51" max="51" width="9.42578125" style="1" customWidth="1"/>
    <col min="52" max="52" width="20.42578125" style="1" customWidth="1"/>
    <col min="53" max="57" width="17.5703125" style="1" customWidth="1"/>
    <col min="58" max="58" width="14.42578125" style="1" bestFit="1" customWidth="1"/>
    <col min="59" max="59" width="14.5703125" style="6" customWidth="1"/>
    <col min="60" max="60" width="18.5703125" style="1" customWidth="1"/>
    <col min="61" max="61" width="23.5703125" style="1" customWidth="1"/>
    <col min="62" max="62" width="15" style="1" customWidth="1"/>
    <col min="63" max="66" width="9.42578125" style="1" customWidth="1"/>
    <col min="67" max="79" width="21.5703125" style="1" customWidth="1"/>
    <col min="80" max="80" width="18.42578125" style="1" customWidth="1"/>
    <col min="81" max="81" width="18.42578125" style="8" customWidth="1"/>
    <col min="82" max="82" width="10" style="1" customWidth="1"/>
    <col min="83" max="83" width="23.5703125" style="1" customWidth="1"/>
    <col min="84" max="84" width="12.42578125" style="1" customWidth="1"/>
    <col min="85" max="85" width="14.85546875" style="1" customWidth="1"/>
    <col min="86" max="86" width="15.140625" style="1" customWidth="1"/>
    <col min="87" max="87" width="18.42578125" style="1" customWidth="1"/>
    <col min="88" max="88" width="15.85546875" style="1" customWidth="1"/>
    <col min="89" max="89" width="9.42578125" style="1" customWidth="1"/>
    <col min="90" max="91" width="21.5703125" style="1" customWidth="1"/>
    <col min="92" max="92" width="18.42578125" style="1" customWidth="1"/>
    <col min="93" max="93" width="18.42578125" style="8" customWidth="1"/>
    <col min="94" max="94" width="9.42578125" style="1"/>
    <col min="95" max="95" width="9.42578125" style="9"/>
    <col min="96" max="96" width="18.42578125" style="1" customWidth="1"/>
    <col min="97" max="16384" width="9.42578125" style="1"/>
  </cols>
  <sheetData>
    <row r="1" spans="1:96" ht="20.25">
      <c r="A1" s="370" t="s">
        <v>156</v>
      </c>
    </row>
    <row r="2" spans="1:96" ht="17.25">
      <c r="A2" s="1149" t="str" cm="1">
        <f t="array" aca="1" ref="A2" ca="1">"Scenario "&amp;MID(CELL("filename",A1),FIND("]",CELL("filename",A1))+1,500)</f>
        <v>Scenario S6C-Deadhead-25</v>
      </c>
      <c r="B2" s="11"/>
    </row>
    <row r="3" spans="1:96" ht="15" customHeight="1">
      <c r="A3" s="11"/>
      <c r="B3" s="11"/>
      <c r="C3" s="2" t="s">
        <v>0</v>
      </c>
      <c r="F3" s="3"/>
      <c r="BO3" s="7" t="s">
        <v>1</v>
      </c>
      <c r="BP3" s="7"/>
      <c r="BQ3" s="7"/>
      <c r="BR3" s="7"/>
      <c r="BS3" s="7"/>
      <c r="BT3" s="7"/>
      <c r="BU3" s="7"/>
      <c r="BV3" s="7"/>
      <c r="BW3" s="7"/>
      <c r="BX3" s="7"/>
      <c r="BY3" s="7"/>
      <c r="BZ3" s="7"/>
      <c r="CL3" s="1166" t="s">
        <v>2</v>
      </c>
      <c r="CM3" s="1166"/>
      <c r="CN3" s="1166"/>
      <c r="CO3" s="1166"/>
    </row>
    <row r="4" spans="1:96" ht="15" customHeight="1">
      <c r="A4" s="11"/>
      <c r="B4" s="11"/>
      <c r="C4" s="12">
        <v>0</v>
      </c>
      <c r="D4" s="13"/>
      <c r="E4" s="10"/>
      <c r="F4" s="14"/>
      <c r="H4" s="15"/>
      <c r="L4" s="16"/>
      <c r="N4" s="17"/>
      <c r="O4" s="17"/>
      <c r="R4" s="16"/>
      <c r="Y4" s="16"/>
      <c r="AF4" s="16"/>
      <c r="AM4" s="16"/>
    </row>
    <row r="5" spans="1:96" ht="15" customHeight="1">
      <c r="A5" s="11"/>
      <c r="B5" s="11"/>
      <c r="C5" s="18" t="s">
        <v>3</v>
      </c>
      <c r="D5" s="19"/>
      <c r="E5" s="20"/>
      <c r="F5" s="21"/>
      <c r="H5" s="15"/>
      <c r="L5" s="16"/>
      <c r="N5" s="17"/>
      <c r="O5" s="17"/>
      <c r="R5" s="16"/>
      <c r="Y5" s="16"/>
      <c r="AF5" s="16"/>
      <c r="AM5" s="16"/>
      <c r="AT5" s="22" t="s">
        <v>4</v>
      </c>
      <c r="AU5" s="23"/>
      <c r="AV5" s="23"/>
      <c r="AW5" s="23"/>
      <c r="AX5" s="24"/>
      <c r="AZ5" s="25" t="s">
        <v>5</v>
      </c>
      <c r="BI5" s="25" t="s">
        <v>6</v>
      </c>
      <c r="BO5" s="25" t="s">
        <v>7</v>
      </c>
      <c r="BP5" s="7"/>
      <c r="BQ5" s="7"/>
      <c r="BR5" s="7"/>
      <c r="BS5" s="7"/>
      <c r="BT5" s="7"/>
      <c r="BU5" s="283" t="s">
        <v>142</v>
      </c>
      <c r="BV5" s="7"/>
      <c r="BW5" s="7"/>
      <c r="BX5" s="7"/>
      <c r="BY5" s="7"/>
      <c r="BZ5" s="7"/>
      <c r="CM5" s="25" t="s">
        <v>7</v>
      </c>
    </row>
    <row r="6" spans="1:96">
      <c r="B6" s="26"/>
      <c r="C6" s="27">
        <v>0.35</v>
      </c>
      <c r="D6" s="27">
        <v>0.35</v>
      </c>
      <c r="E6" s="27">
        <v>0.15</v>
      </c>
      <c r="F6" s="27">
        <v>0.15</v>
      </c>
      <c r="H6" s="15"/>
      <c r="L6" s="16"/>
      <c r="N6" s="17"/>
      <c r="O6" s="17"/>
      <c r="R6" s="16"/>
      <c r="Y6" s="16"/>
      <c r="AF6" s="16"/>
      <c r="AM6" s="16"/>
      <c r="AT6" s="28">
        <v>0</v>
      </c>
      <c r="AU6" s="28">
        <v>0</v>
      </c>
      <c r="AV6" s="28">
        <v>0</v>
      </c>
      <c r="AW6" s="28">
        <v>0</v>
      </c>
      <c r="AX6" s="28">
        <v>0</v>
      </c>
      <c r="AY6" s="29"/>
      <c r="AZ6" s="30">
        <f>128674211*(1-AY8)</f>
        <v>122240500.44999999</v>
      </c>
      <c r="BA6" s="1" t="s">
        <v>8</v>
      </c>
      <c r="BI6" s="284">
        <v>0.3</v>
      </c>
      <c r="BO6" s="31">
        <f>$BJ$51+AZ8</f>
        <v>8594614.505890118</v>
      </c>
      <c r="BP6" s="32"/>
      <c r="BQ6" s="32"/>
      <c r="BR6" s="32"/>
      <c r="BS6" s="32"/>
      <c r="BT6" s="32"/>
      <c r="BU6" s="285">
        <v>0.3</v>
      </c>
      <c r="BV6" s="32"/>
      <c r="BW6" s="32"/>
      <c r="BX6" s="32"/>
      <c r="BY6" s="32"/>
      <c r="BZ6" s="32"/>
      <c r="CM6" s="31">
        <f>CJ51</f>
        <v>863396.36494162562</v>
      </c>
    </row>
    <row r="7" spans="1:96" ht="15" customHeight="1" thickBot="1">
      <c r="A7" s="34" t="s">
        <v>143</v>
      </c>
      <c r="G7" s="35"/>
      <c r="BO7" s="286" t="s">
        <v>144</v>
      </c>
      <c r="BP7" s="286" t="s">
        <v>145</v>
      </c>
      <c r="BQ7" s="286" t="s">
        <v>146</v>
      </c>
    </row>
    <row r="8" spans="1:96" s="29" customFormat="1">
      <c r="A8" s="36"/>
      <c r="B8" s="37"/>
      <c r="C8" s="38" t="s">
        <v>10</v>
      </c>
      <c r="D8" s="39"/>
      <c r="E8" s="39"/>
      <c r="F8" s="39"/>
      <c r="G8" s="40"/>
      <c r="H8" s="41"/>
      <c r="J8" s="42" t="s">
        <v>11</v>
      </c>
      <c r="K8" s="43"/>
      <c r="L8" s="43"/>
      <c r="M8" s="43"/>
      <c r="N8" s="43"/>
      <c r="O8" s="43"/>
      <c r="P8" s="44"/>
      <c r="Q8" s="42" t="s">
        <v>12</v>
      </c>
      <c r="R8" s="43"/>
      <c r="S8" s="43"/>
      <c r="T8" s="43"/>
      <c r="U8" s="43"/>
      <c r="V8" s="43"/>
      <c r="W8" s="44"/>
      <c r="X8" s="42" t="s">
        <v>13</v>
      </c>
      <c r="Y8" s="43"/>
      <c r="Z8" s="43"/>
      <c r="AA8" s="43"/>
      <c r="AB8" s="43"/>
      <c r="AC8" s="43"/>
      <c r="AD8" s="44"/>
      <c r="AE8" s="42" t="s">
        <v>14</v>
      </c>
      <c r="AF8" s="43"/>
      <c r="AG8" s="43"/>
      <c r="AH8" s="43"/>
      <c r="AI8" s="43"/>
      <c r="AJ8" s="43"/>
      <c r="AK8" s="44"/>
      <c r="AL8" s="42" t="s">
        <v>15</v>
      </c>
      <c r="AM8" s="43"/>
      <c r="AN8" s="43"/>
      <c r="AO8" s="43"/>
      <c r="AP8" s="43"/>
      <c r="AQ8" s="43"/>
      <c r="AR8" s="44"/>
      <c r="AX8" s="287" t="s">
        <v>16</v>
      </c>
      <c r="AY8" s="288">
        <v>0.05</v>
      </c>
      <c r="AZ8" s="46">
        <f>128674211*AY8</f>
        <v>6433710.5500000007</v>
      </c>
      <c r="BA8" s="46"/>
      <c r="BB8" s="46"/>
      <c r="BC8" s="46"/>
      <c r="BD8" s="46"/>
      <c r="BG8" s="47"/>
      <c r="BO8" s="289">
        <v>0.25</v>
      </c>
      <c r="BP8" s="289">
        <v>0.25</v>
      </c>
      <c r="BQ8" s="289">
        <v>0.5</v>
      </c>
      <c r="BR8" s="48"/>
      <c r="BS8" s="48"/>
      <c r="BT8" s="48"/>
      <c r="BU8" s="48"/>
      <c r="BV8" s="48"/>
      <c r="BW8" s="48"/>
      <c r="BX8" s="48"/>
      <c r="BY8" s="48"/>
      <c r="BZ8" s="48"/>
      <c r="CA8" s="48"/>
      <c r="CB8" s="48"/>
      <c r="CC8" s="49" t="s">
        <v>18</v>
      </c>
      <c r="CD8" s="50">
        <f>AZ6-CC51</f>
        <v>-6433708.5500000119</v>
      </c>
      <c r="CL8" s="48" t="s">
        <v>17</v>
      </c>
      <c r="CM8" s="48"/>
      <c r="CN8" s="48"/>
      <c r="CO8" s="49" t="s">
        <v>18</v>
      </c>
      <c r="CQ8" s="51"/>
    </row>
    <row r="9" spans="1:96" s="29" customFormat="1" ht="15" thickBot="1">
      <c r="A9" s="52"/>
      <c r="B9" s="53" t="s">
        <v>19</v>
      </c>
      <c r="C9" s="54">
        <f>C$6</f>
        <v>0.35</v>
      </c>
      <c r="D9" s="54">
        <f>D$6</f>
        <v>0.35</v>
      </c>
      <c r="E9" s="54">
        <f>E$6</f>
        <v>0.15</v>
      </c>
      <c r="F9" s="54">
        <f>F$6</f>
        <v>0.15</v>
      </c>
      <c r="G9" s="54"/>
      <c r="H9" s="55"/>
      <c r="J9" s="56" t="s">
        <v>20</v>
      </c>
      <c r="K9" s="57"/>
      <c r="L9" s="57"/>
      <c r="M9" s="57"/>
      <c r="N9" s="57"/>
      <c r="O9" s="57"/>
      <c r="P9" s="58"/>
      <c r="Q9" s="56" t="s">
        <v>21</v>
      </c>
      <c r="R9" s="57"/>
      <c r="S9" s="57"/>
      <c r="T9" s="57"/>
      <c r="U9" s="57"/>
      <c r="V9" s="57"/>
      <c r="W9" s="58"/>
      <c r="X9" s="56" t="s">
        <v>22</v>
      </c>
      <c r="Y9" s="57"/>
      <c r="Z9" s="57"/>
      <c r="AA9" s="57"/>
      <c r="AB9" s="57"/>
      <c r="AC9" s="57"/>
      <c r="AD9" s="58"/>
      <c r="AE9" s="56" t="s">
        <v>23</v>
      </c>
      <c r="AF9" s="57"/>
      <c r="AG9" s="57"/>
      <c r="AH9" s="57"/>
      <c r="AI9" s="57"/>
      <c r="AJ9" s="57"/>
      <c r="AK9" s="58"/>
      <c r="AL9" s="56" t="s">
        <v>24</v>
      </c>
      <c r="AM9" s="57"/>
      <c r="AN9" s="57"/>
      <c r="AO9" s="57"/>
      <c r="AP9" s="57"/>
      <c r="AQ9" s="57"/>
      <c r="AR9" s="58"/>
      <c r="BG9" s="59" t="s">
        <v>25</v>
      </c>
      <c r="BO9" s="59" t="s">
        <v>26</v>
      </c>
      <c r="BP9" s="59"/>
      <c r="BQ9" s="59"/>
      <c r="BR9" s="59"/>
      <c r="BS9" s="59"/>
      <c r="BT9" s="59"/>
      <c r="BU9" s="59"/>
      <c r="BV9" s="59"/>
      <c r="BW9" s="59"/>
      <c r="BX9" s="59"/>
      <c r="BY9" s="59"/>
      <c r="BZ9" s="59"/>
      <c r="CC9" s="60"/>
      <c r="CG9" s="59" t="s">
        <v>27</v>
      </c>
      <c r="CL9" s="59" t="s">
        <v>28</v>
      </c>
      <c r="CO9" s="60"/>
      <c r="CQ9" s="51"/>
    </row>
    <row r="10" spans="1:96" s="45" customFormat="1" ht="101.25" customHeight="1">
      <c r="A10" s="61" t="s">
        <v>29</v>
      </c>
      <c r="B10" s="62" t="s">
        <v>30</v>
      </c>
      <c r="C10" s="63" t="s">
        <v>147</v>
      </c>
      <c r="D10" s="64" t="s">
        <v>148</v>
      </c>
      <c r="E10" s="64" t="s">
        <v>149</v>
      </c>
      <c r="F10" s="64" t="s">
        <v>150</v>
      </c>
      <c r="G10" s="64" t="s">
        <v>35</v>
      </c>
      <c r="H10" s="65" t="s">
        <v>36</v>
      </c>
      <c r="J10" s="66">
        <v>2019</v>
      </c>
      <c r="K10" s="66">
        <v>2021</v>
      </c>
      <c r="L10" s="66">
        <v>2022</v>
      </c>
      <c r="M10" s="66">
        <v>2023</v>
      </c>
      <c r="N10" s="67" t="s">
        <v>37</v>
      </c>
      <c r="O10" s="67" t="s">
        <v>38</v>
      </c>
      <c r="P10" s="68" t="s">
        <v>39</v>
      </c>
      <c r="Q10" s="66">
        <v>2019</v>
      </c>
      <c r="R10" s="66">
        <v>2021</v>
      </c>
      <c r="S10" s="66">
        <v>2022</v>
      </c>
      <c r="T10" s="66">
        <v>2023</v>
      </c>
      <c r="U10" s="67" t="s">
        <v>40</v>
      </c>
      <c r="V10" s="67" t="s">
        <v>41</v>
      </c>
      <c r="W10" s="68" t="s">
        <v>39</v>
      </c>
      <c r="X10" s="66">
        <v>2019</v>
      </c>
      <c r="Y10" s="66">
        <v>2021</v>
      </c>
      <c r="Z10" s="66">
        <v>2022</v>
      </c>
      <c r="AA10" s="66">
        <v>2023</v>
      </c>
      <c r="AB10" s="67" t="s">
        <v>42</v>
      </c>
      <c r="AC10" s="67" t="s">
        <v>43</v>
      </c>
      <c r="AD10" s="68" t="s">
        <v>39</v>
      </c>
      <c r="AE10" s="66">
        <v>2019</v>
      </c>
      <c r="AF10" s="66">
        <v>2021</v>
      </c>
      <c r="AG10" s="66">
        <v>2022</v>
      </c>
      <c r="AH10" s="66">
        <v>2023</v>
      </c>
      <c r="AI10" s="67" t="s">
        <v>44</v>
      </c>
      <c r="AJ10" s="67" t="s">
        <v>45</v>
      </c>
      <c r="AK10" s="68" t="s">
        <v>39</v>
      </c>
      <c r="AL10" s="66">
        <v>2019</v>
      </c>
      <c r="AM10" s="66">
        <v>2021</v>
      </c>
      <c r="AN10" s="66">
        <v>2022</v>
      </c>
      <c r="AO10" s="66">
        <v>2023</v>
      </c>
      <c r="AP10" s="67" t="s">
        <v>46</v>
      </c>
      <c r="AQ10" s="67" t="s">
        <v>47</v>
      </c>
      <c r="AR10" s="68" t="s">
        <v>39</v>
      </c>
      <c r="AT10" s="69" t="s">
        <v>48</v>
      </c>
      <c r="AU10" s="70" t="s">
        <v>49</v>
      </c>
      <c r="AV10" s="70" t="s">
        <v>50</v>
      </c>
      <c r="AW10" s="70" t="s">
        <v>51</v>
      </c>
      <c r="AX10" s="71" t="s">
        <v>52</v>
      </c>
      <c r="AZ10" s="72" t="s">
        <v>53</v>
      </c>
      <c r="BA10" s="73" t="s">
        <v>54</v>
      </c>
      <c r="BB10" s="73" t="s">
        <v>55</v>
      </c>
      <c r="BC10" s="73" t="s">
        <v>56</v>
      </c>
      <c r="BD10" s="73" t="s">
        <v>57</v>
      </c>
      <c r="BE10" s="74" t="s">
        <v>58</v>
      </c>
      <c r="BG10" s="75" t="s">
        <v>59</v>
      </c>
      <c r="BH10" s="76" t="s">
        <v>60</v>
      </c>
      <c r="BI10" s="76" t="s">
        <v>61</v>
      </c>
      <c r="BJ10" s="77" t="s">
        <v>62</v>
      </c>
      <c r="BL10" s="290" t="s">
        <v>63</v>
      </c>
      <c r="BM10" s="290" t="s">
        <v>64</v>
      </c>
      <c r="BN10" s="290" t="s">
        <v>65</v>
      </c>
      <c r="BO10" s="75" t="s">
        <v>66</v>
      </c>
      <c r="BP10" s="291" t="s">
        <v>151</v>
      </c>
      <c r="BQ10" s="291" t="s">
        <v>152</v>
      </c>
      <c r="BR10" s="291" t="s">
        <v>153</v>
      </c>
      <c r="BS10" s="291" t="s">
        <v>154</v>
      </c>
      <c r="BT10" s="291" t="s">
        <v>76</v>
      </c>
      <c r="BU10" s="291" t="s">
        <v>71</v>
      </c>
      <c r="BV10" s="292" t="s">
        <v>72</v>
      </c>
      <c r="BW10" s="292" t="s">
        <v>73</v>
      </c>
      <c r="BX10" s="291" t="s">
        <v>74</v>
      </c>
      <c r="BY10" s="291" t="s">
        <v>75</v>
      </c>
      <c r="BZ10" s="291" t="s">
        <v>76</v>
      </c>
      <c r="CA10" s="76" t="s">
        <v>80</v>
      </c>
      <c r="CB10" s="76" t="s">
        <v>77</v>
      </c>
      <c r="CC10" s="81" t="s">
        <v>78</v>
      </c>
      <c r="CE10" s="82" t="s">
        <v>79</v>
      </c>
      <c r="CG10" s="83" t="s">
        <v>59</v>
      </c>
      <c r="CH10" s="84" t="s">
        <v>60</v>
      </c>
      <c r="CI10" s="84" t="s">
        <v>61</v>
      </c>
      <c r="CJ10" s="85" t="s">
        <v>62</v>
      </c>
      <c r="CL10" s="86" t="s">
        <v>66</v>
      </c>
      <c r="CM10" s="87" t="s">
        <v>80</v>
      </c>
      <c r="CN10" s="87" t="s">
        <v>77</v>
      </c>
      <c r="CO10" s="88" t="s">
        <v>78</v>
      </c>
      <c r="CQ10" s="51" t="s">
        <v>81</v>
      </c>
    </row>
    <row r="11" spans="1:96">
      <c r="A11" s="89" t="s">
        <v>82</v>
      </c>
      <c r="B11" s="90" t="s">
        <v>83</v>
      </c>
      <c r="C11" s="91">
        <f>'Sizing - Reimb Exp-25'!B4</f>
        <v>2496704</v>
      </c>
      <c r="D11" s="92">
        <f>'Ridership-25'!$E3</f>
        <v>121717</v>
      </c>
      <c r="E11" s="92">
        <f>'Revenue Hours-25'!$E3</f>
        <v>32940</v>
      </c>
      <c r="F11" s="92">
        <f>'Revenue Miles-25'!$E3</f>
        <v>692104</v>
      </c>
      <c r="G11" s="93">
        <f t="shared" ref="G11:G33" si="0">IFERROR($C$9*(C11/C$51),0) + IFERROR($D$9*(D11/D$51),0) + IFERROR($E$9*(E11/E$51),0) + IFERROR($F$9*(F11/F$51),0)</f>
        <v>5.3033180765238389E-3</v>
      </c>
      <c r="H11" s="94">
        <f t="shared" ref="H11:H33" si="1">G11/(SUM($G$11:$G$50)-$G$34)*(1-$G$34)</f>
        <v>5.3033180765238398E-3</v>
      </c>
      <c r="J11" s="95">
        <f>'Ridership-25'!B3/'Revenue Hours-25'!B3</f>
        <v>4.5693508022964817</v>
      </c>
      <c r="K11" s="96">
        <f>'Ridership-25'!C3/'Revenue Hours-25'!C3</f>
        <v>3.0233116215289679</v>
      </c>
      <c r="L11" s="96">
        <f>'Ridership-25'!D3/'Revenue Hours-25'!D3</f>
        <v>3.1691372472531043</v>
      </c>
      <c r="M11" s="207">
        <f>'Ridership-25'!E3/'Revenue Hours-25'!K3</f>
        <v>3.6951123254401943</v>
      </c>
      <c r="N11" s="97">
        <f t="shared" ref="N11:N50" si="2">IF(J11=0,IF(K11=0,1,AVERAGE(1,(L11/K11)/($L$51/$K$51),(M11/L11)/($M$51/$L$51))), AVERAGE((K11/J11)/($K$51/$J$51),(L11/K11)/($L$51/$K$51),(M11/L11)/($M$51/$L$51)))</f>
        <v>1.0255640826158483</v>
      </c>
      <c r="O11" s="98">
        <f t="shared" ref="O11:O50" si="3">$H11*N11</f>
        <v>5.4388925379702168E-3</v>
      </c>
      <c r="P11" s="99">
        <f t="shared" ref="P11:P50" si="4">O11/SUM($O$11:$O$50)</f>
        <v>5.092951958800448E-3</v>
      </c>
      <c r="Q11" s="95">
        <f>'Ridership-25'!B3/'Revenue Miles-25'!B3</f>
        <v>0.21529352848722441</v>
      </c>
      <c r="R11" s="96">
        <f>'Ridership-25'!C3/'Revenue Miles-25'!C3</f>
        <v>0.1472857600940598</v>
      </c>
      <c r="S11" s="96">
        <f>'Ridership-25'!D3/'Revenue Miles-25'!D3</f>
        <v>0.15372497942218116</v>
      </c>
      <c r="T11" s="207">
        <f>'Ridership-25'!E3/'Revenue Miles-25'!K3</f>
        <v>0.17586518789083722</v>
      </c>
      <c r="U11" s="97">
        <f t="shared" ref="U11:U50" si="5">IF(Q11=0,IF(R11=0,1,AVERAGE(1,(S11/R11)/($S$51/$R$51),(T11/S11)/($T$51/$S$51))), AVERAGE((R11/Q11)/($R$51/$Q$51),(S11/R11)/($S$51/$R$51),(T11/S11)/($T$51/$S$51)))</f>
        <v>1.0325415201368429</v>
      </c>
      <c r="V11" s="98">
        <f t="shared" ref="V11:V50" si="6">$H11*U11</f>
        <v>5.4758961085031232E-3</v>
      </c>
      <c r="W11" s="99">
        <f t="shared" ref="W11:W50" si="7">V11/SUM($V$11:$V$50)</f>
        <v>5.1250854097934576E-3</v>
      </c>
      <c r="X11" s="95">
        <f>'Op Cost-25'!B4/'Revenue Hours-25'!B3</f>
        <v>50.181245399676136</v>
      </c>
      <c r="Y11" s="96">
        <f>'Op Cost-25'!C4/'Revenue Hours-25'!C3</f>
        <v>64.628076791223862</v>
      </c>
      <c r="Z11" s="96">
        <f>'Op Cost-25'!D4/'Revenue Hours-25'!D3</f>
        <v>74.945094597230351</v>
      </c>
      <c r="AA11" s="96">
        <f>'Op Cost-25'!E4/'Revenue Hours-25'!E3</f>
        <v>75.894444444444446</v>
      </c>
      <c r="AB11" s="97">
        <f t="shared" ref="AB11:AB50" si="8">IF(X11=0,IF(Y11=0,1,AVERAGE(1,(Z11/Y11)/($Z$51/$Z$51),(AA11/Z11)/($AA$51/$Z$51))), AVERAGE((Y11/X11)/($Y$51/$X$51),(Z11/Y11)/($Z$51/$Y$51),(AA11/Z11)/($AA$51/$Z$51)))</f>
        <v>1.0999423299281934</v>
      </c>
      <c r="AC11" s="98">
        <f t="shared" ref="AC11:AC50" si="9">$H11*(1/AB11)</f>
        <v>4.8214510272279925E-3</v>
      </c>
      <c r="AD11" s="99">
        <f t="shared" ref="AD11:AD50" si="10">AC11/SUM($AC$11:$AC$50)</f>
        <v>5.1433267888498797E-3</v>
      </c>
      <c r="AE11" s="95">
        <f>'Op Cost-25'!B4/'Revenue Miles-25'!B3</f>
        <v>2.3643834438252824</v>
      </c>
      <c r="AF11" s="96">
        <f>'Op Cost-25'!C4/'Revenue Miles-25'!C3</f>
        <v>3.148466517916789</v>
      </c>
      <c r="AG11" s="96">
        <f>'Op Cost-25'!D4/'Revenue Miles-25'!D3</f>
        <v>3.6353531658304137</v>
      </c>
      <c r="AH11" s="96">
        <f>'Op Cost-25'!E4/'Revenue Miles-25'!E3</f>
        <v>3.61212043276733</v>
      </c>
      <c r="AI11" s="97">
        <f t="shared" ref="AI11:AI50" si="11">IF(AE11=0,IF(AF11=0,1,AVERAGE(1,(AG11/AF11)/($AG$51/$AF$51),(AH11/AG11)/($AH$51/$AG$51))), AVERAGE((AF11/AE11)/($AF$51/$AE$51),(AG11/AF11)/($AG$51/$AF$51),(AH11/AG11)/($AH$51/$AG$51)))</f>
        <v>1.1070146946084785</v>
      </c>
      <c r="AJ11" s="98">
        <f t="shared" ref="AJ11:AJ50" si="12">$H11*(1/AI11)</f>
        <v>4.7906483105894827E-3</v>
      </c>
      <c r="AK11" s="99">
        <f t="shared" ref="AK11:AK50" si="13">AJ11/SUM($AJ$11:$AJ$50)</f>
        <v>5.0984526209211112E-3</v>
      </c>
      <c r="AL11" s="95">
        <f>'Op Cost-25'!B4/'Ridership-25'!B3</f>
        <v>10.982138945089499</v>
      </c>
      <c r="AM11" s="96">
        <f>'Op Cost-25'!C4/'Ridership-25'!C3</f>
        <v>21.37658464678535</v>
      </c>
      <c r="AN11" s="96">
        <f>'Op Cost-25'!D4/'Ridership-25'!D3</f>
        <v>23.64842187323698</v>
      </c>
      <c r="AO11" s="96">
        <f>'Op Cost-25'!E4/'Ridership-25'!E3</f>
        <v>20.53914408012028</v>
      </c>
      <c r="AP11" s="100">
        <f t="shared" ref="AP11:AP50" si="14">IF(AL11=0,IF(AM11=0,1,AVERAGE(1,(AN11/AM11)/($AN$51/$AM$51),(AO11/AN11)/($AO$51/$AN$51))), AVERAGE((AM11/AL11)/($AM$51/$AL$51),(AN11/AM11)/($AN$51/$AM$51),(AO11/AN11)/($AO$51/$AN$51)))</f>
        <v>1.1189482347230808</v>
      </c>
      <c r="AQ11" s="98">
        <f t="shared" ref="AQ11:AQ50" si="15">$H11*(1/AP11)</f>
        <v>4.7395562296376594E-3</v>
      </c>
      <c r="AR11" s="99">
        <f t="shared" ref="AR11:AR50" si="16">AQ11/SUM($AQ$11:$AQ$50)</f>
        <v>5.1458746085332636E-3</v>
      </c>
      <c r="AT11" s="101">
        <f>P11*AT$6</f>
        <v>0</v>
      </c>
      <c r="AU11" s="102">
        <f t="shared" ref="AU11:AU50" si="17">W11*AU$6</f>
        <v>0</v>
      </c>
      <c r="AV11" s="102">
        <f t="shared" ref="AV11:AV50" si="18">AD11*AV$6</f>
        <v>0</v>
      </c>
      <c r="AW11" s="102">
        <f t="shared" ref="AW11:AW50" si="19">AK11*AW$6</f>
        <v>0</v>
      </c>
      <c r="AX11" s="103">
        <f t="shared" ref="AX11:AX50" si="20">AR11*AX$6</f>
        <v>0</v>
      </c>
      <c r="AY11" s="293">
        <f>(SUM(AT11:AX11)-H11)/H11</f>
        <v>-1</v>
      </c>
      <c r="AZ11" s="105">
        <f t="shared" ref="AZ11:BD51" si="21">AT11*$AZ$6</f>
        <v>0</v>
      </c>
      <c r="BA11" s="106">
        <f t="shared" si="21"/>
        <v>0</v>
      </c>
      <c r="BB11" s="106">
        <f t="shared" si="21"/>
        <v>0</v>
      </c>
      <c r="BC11" s="106">
        <f t="shared" si="21"/>
        <v>0</v>
      </c>
      <c r="BD11" s="106">
        <f t="shared" si="21"/>
        <v>0</v>
      </c>
      <c r="BE11" s="107">
        <f>$AZ$6*H11</f>
        <v>648280.25571980549</v>
      </c>
      <c r="BG11" s="108">
        <f>'Op Cost-25'!E4</f>
        <v>2499963</v>
      </c>
      <c r="BH11" s="109">
        <f t="shared" ref="BH11:BH50" si="22">BE11/BG11</f>
        <v>0.25931594016383663</v>
      </c>
      <c r="BI11" s="110">
        <f t="shared" ref="BI11:BI50" si="23">IF(BE11&gt;BG11*$BI$6,BG11*$BI$6,BE11)</f>
        <v>648280.25571980549</v>
      </c>
      <c r="BJ11" s="111">
        <f t="shared" ref="BJ11:BJ50" si="24">BE11-BI11</f>
        <v>0</v>
      </c>
      <c r="BK11" s="1">
        <f>BL11*$BO$8+BM11*$BP$8+BN11*$BQ$8</f>
        <v>0.41276343015048933</v>
      </c>
      <c r="BL11" s="294">
        <f>M11/$M$51</f>
        <v>0.34517483234349511</v>
      </c>
      <c r="BM11" s="294">
        <f>T11/$T$51</f>
        <v>0.2370362312234541</v>
      </c>
      <c r="BN11" s="295">
        <f>(1/AO11)/(1/$AO$51)</f>
        <v>0.53442132851750412</v>
      </c>
      <c r="BO11" s="114">
        <f t="shared" ref="BO11:BO50" si="25">IF(OR(BJ11&gt;0,BH11&gt;=0.294),0,BI11)</f>
        <v>648280.25571980549</v>
      </c>
      <c r="BP11" s="296">
        <f>BL11*$BO$8+BM11*$BP$8+BN11*$BQ$8</f>
        <v>0.41276343015048933</v>
      </c>
      <c r="BQ11" s="116">
        <f>BP11*H11</f>
        <v>2.1890157604450753E-3</v>
      </c>
      <c r="BR11" s="297">
        <f>IF(BO11=0,0,BQ11)</f>
        <v>2.1890157604450753E-3</v>
      </c>
      <c r="BS11" s="117">
        <f>BR11/$BR$51</f>
        <v>2.4469590372397498E-3</v>
      </c>
      <c r="BT11" s="298">
        <f>$BO$6*BS11+BI11</f>
        <v>669310.92535658518</v>
      </c>
      <c r="BU11" s="119">
        <f>BG11*$BU$6</f>
        <v>749988.9</v>
      </c>
      <c r="BV11" s="119">
        <f>IF(BT11&lt;BU11,BT11, BU11)</f>
        <v>669310.92535658518</v>
      </c>
      <c r="BW11" s="119">
        <f>BT11-BV11</f>
        <v>0</v>
      </c>
      <c r="BX11" s="120">
        <f>IF(AND(BW11=0, BJ11=0),BQ11,0)</f>
        <v>2.1890157604450753E-3</v>
      </c>
      <c r="BY11" s="121">
        <f>IF($BX$51=0,1, BX11/$BX$51)</f>
        <v>4.3369991677099208E-3</v>
      </c>
      <c r="BZ11" s="299">
        <f>$BW$51*BY11+BV11</f>
        <v>673055.47467274079</v>
      </c>
      <c r="CA11" s="109">
        <f t="shared" ref="CA11:CA50" si="26">BO11/$BO$51</f>
        <v>5.8881410448085852E-3</v>
      </c>
      <c r="CB11" s="123">
        <f t="shared" ref="CB11:CB16" si="27">CA11*$BO$6</f>
        <v>50606.302436438862</v>
      </c>
      <c r="CC11" s="111">
        <f>ROUND((CB11+BI11),0)</f>
        <v>698887</v>
      </c>
      <c r="CE11" s="124">
        <f t="shared" ref="CE11:CE50" si="28">IF(CC11&gt;($BI$6*BG11),1,0)</f>
        <v>0</v>
      </c>
      <c r="CF11" s="17"/>
      <c r="CG11" s="108">
        <f>BG11</f>
        <v>2499963</v>
      </c>
      <c r="CH11" s="125">
        <f>CC11/BG11</f>
        <v>0.27955893747227462</v>
      </c>
      <c r="CI11" s="110">
        <f>IF(BT11&gt;BG11*$BI$6,BG11*$BI$6,BT11)</f>
        <v>669310.92535658518</v>
      </c>
      <c r="CJ11" s="300">
        <f>BT11-CI11</f>
        <v>0</v>
      </c>
      <c r="CL11" s="127">
        <f>IF(OR(CJ11&gt;0,CH11&gt;=0.294),0,CI11)</f>
        <v>669310.92535658518</v>
      </c>
      <c r="CM11" s="128">
        <f>CL11/$CL$51</f>
        <v>7.7893368111337678E-3</v>
      </c>
      <c r="CN11" s="129">
        <f>CM11*$CM$6</f>
        <v>6725.2850880388887</v>
      </c>
      <c r="CO11" s="130">
        <f>ROUND((CN11+CI11),0)</f>
        <v>676036</v>
      </c>
      <c r="CQ11" s="131">
        <f>BZ11/CG11</f>
        <v>0.26922617441647767</v>
      </c>
      <c r="CR11" s="301"/>
    </row>
    <row r="12" spans="1:96">
      <c r="A12" s="133" t="s">
        <v>82</v>
      </c>
      <c r="B12" s="90" t="s">
        <v>84</v>
      </c>
      <c r="C12" s="91">
        <f>'Sizing - Reimb Exp-25'!B5</f>
        <v>397573</v>
      </c>
      <c r="D12" s="92">
        <f>'Ridership-25'!$E4</f>
        <v>43762</v>
      </c>
      <c r="E12" s="92">
        <f>'Revenue Hours-25'!$E4</f>
        <v>7886</v>
      </c>
      <c r="F12" s="92">
        <f>'Revenue Miles-25'!$E4</f>
        <v>94333</v>
      </c>
      <c r="G12" s="134">
        <f t="shared" si="0"/>
        <v>1.0755177539715083E-3</v>
      </c>
      <c r="H12" s="94">
        <f t="shared" si="1"/>
        <v>1.0755177539715085E-3</v>
      </c>
      <c r="J12" s="95">
        <f>'Ridership-25'!B4/'Revenue Hours-25'!B4</f>
        <v>7.0756269072575293</v>
      </c>
      <c r="K12" s="96">
        <f>'Ridership-25'!C4/'Revenue Hours-25'!C4</f>
        <v>3.8435006435006436</v>
      </c>
      <c r="L12" s="96">
        <f>'Ridership-25'!D4/'Revenue Hours-25'!D4</f>
        <v>4.8354101054361225</v>
      </c>
      <c r="M12" s="207">
        <f>'Ridership-25'!E4/'Revenue Hours-25'!K4</f>
        <v>5.5493279229013446</v>
      </c>
      <c r="N12" s="97">
        <f t="shared" si="2"/>
        <v>0.99788982541066573</v>
      </c>
      <c r="O12" s="98">
        <f t="shared" si="3"/>
        <v>1.0732482237366999E-3</v>
      </c>
      <c r="P12" s="99">
        <f t="shared" si="4"/>
        <v>1.0049843061247221E-3</v>
      </c>
      <c r="Q12" s="95">
        <f>'Ridership-25'!B4/'Revenue Miles-25'!B4</f>
        <v>0.61203433791631279</v>
      </c>
      <c r="R12" s="96">
        <f>'Ridership-25'!C4/'Revenue Miles-25'!C4</f>
        <v>0.31931227680003421</v>
      </c>
      <c r="S12" s="96">
        <f>'Ridership-25'!D4/'Revenue Miles-25'!D4</f>
        <v>0.41985803797543603</v>
      </c>
      <c r="T12" s="207">
        <f>'Ridership-25'!E4/'Revenue Miles-25'!K4</f>
        <v>0.46390976646560589</v>
      </c>
      <c r="U12" s="97">
        <f t="shared" si="5"/>
        <v>0.98970909906924531</v>
      </c>
      <c r="V12" s="98">
        <f t="shared" si="6"/>
        <v>1.0644497073161198E-3</v>
      </c>
      <c r="W12" s="99">
        <f t="shared" si="7"/>
        <v>9.9625623940408081E-4</v>
      </c>
      <c r="X12" s="95">
        <f>'Op Cost-25'!B5/'Revenue Hours-25'!B4</f>
        <v>54.185219583388616</v>
      </c>
      <c r="Y12" s="96">
        <f>'Op Cost-25'!C5/'Revenue Hours-25'!C4</f>
        <v>108.14491634491634</v>
      </c>
      <c r="Z12" s="96">
        <f>'Op Cost-25'!D5/'Revenue Hours-25'!D4</f>
        <v>62.039983568396551</v>
      </c>
      <c r="AA12" s="96">
        <f>'Op Cost-25'!E5/'Revenue Hours-25'!E4</f>
        <v>50.572406796855184</v>
      </c>
      <c r="AB12" s="97">
        <f t="shared" si="8"/>
        <v>1.0275887811661744</v>
      </c>
      <c r="AC12" s="98">
        <f t="shared" si="9"/>
        <v>1.0466421721254501E-3</v>
      </c>
      <c r="AD12" s="99">
        <f t="shared" si="10"/>
        <v>1.1165150681469937E-3</v>
      </c>
      <c r="AE12" s="95">
        <f>'Op Cost-25'!B5/'Revenue Miles-25'!B4</f>
        <v>4.6869649046296509</v>
      </c>
      <c r="AF12" s="96">
        <f>'Op Cost-25'!C5/'Revenue Miles-25'!C4</f>
        <v>8.9845176742296253</v>
      </c>
      <c r="AG12" s="96">
        <f>'Op Cost-25'!D5/'Revenue Miles-25'!D4</f>
        <v>5.3869237994459436</v>
      </c>
      <c r="AH12" s="96">
        <f>'Op Cost-25'!E5/'Revenue Miles-25'!E4</f>
        <v>4.2277251863080787</v>
      </c>
      <c r="AI12" s="97">
        <f t="shared" si="11"/>
        <v>1.0006231580562883</v>
      </c>
      <c r="AJ12" s="98">
        <f t="shared" si="12"/>
        <v>1.0748479538098068E-3</v>
      </c>
      <c r="AK12" s="99">
        <f t="shared" si="13"/>
        <v>1.1439080917461438E-3</v>
      </c>
      <c r="AL12" s="95">
        <f>'Op Cost-25'!B5/'Ridership-25'!B4</f>
        <v>7.6580097132892044</v>
      </c>
      <c r="AM12" s="96">
        <f>'Op Cost-25'!C5/'Ridership-25'!C4</f>
        <v>28.137088132869007</v>
      </c>
      <c r="AN12" s="96">
        <f>'Op Cost-25'!D5/'Ridership-25'!D4</f>
        <v>12.830345765015716</v>
      </c>
      <c r="AO12" s="96">
        <f>'Op Cost-25'!E5/'Ridership-25'!E4</f>
        <v>9.1132489374343031</v>
      </c>
      <c r="AP12" s="100">
        <f t="shared" si="14"/>
        <v>1.0148372723489094</v>
      </c>
      <c r="AQ12" s="98">
        <f t="shared" si="15"/>
        <v>1.0597933119682824E-3</v>
      </c>
      <c r="AR12" s="99">
        <f t="shared" si="16"/>
        <v>1.1506485481168945E-3</v>
      </c>
      <c r="AT12" s="101">
        <f t="shared" ref="AT12:AT50" si="29">P12*AT$6</f>
        <v>0</v>
      </c>
      <c r="AU12" s="102">
        <f t="shared" si="17"/>
        <v>0</v>
      </c>
      <c r="AV12" s="102">
        <f t="shared" si="18"/>
        <v>0</v>
      </c>
      <c r="AW12" s="102">
        <f t="shared" si="19"/>
        <v>0</v>
      </c>
      <c r="AX12" s="103">
        <f t="shared" si="20"/>
        <v>0</v>
      </c>
      <c r="AY12" s="293">
        <f t="shared" ref="AY12:AY50" si="30">(SUM(AT12:AX12)-H12)/H12</f>
        <v>-1</v>
      </c>
      <c r="AZ12" s="105">
        <f t="shared" si="21"/>
        <v>0</v>
      </c>
      <c r="BA12" s="106">
        <f t="shared" si="21"/>
        <v>0</v>
      </c>
      <c r="BB12" s="106">
        <f t="shared" si="21"/>
        <v>0</v>
      </c>
      <c r="BC12" s="106">
        <f t="shared" si="21"/>
        <v>0</v>
      </c>
      <c r="BD12" s="106">
        <f t="shared" si="21"/>
        <v>0</v>
      </c>
      <c r="BE12" s="107">
        <f t="shared" ref="BE12:BE49" si="31">$AZ$6*H12</f>
        <v>131471.82848833717</v>
      </c>
      <c r="BG12" s="108">
        <f>'Op Cost-25'!E5</f>
        <v>398814</v>
      </c>
      <c r="BH12" s="109">
        <f t="shared" si="22"/>
        <v>0.32965700423840982</v>
      </c>
      <c r="BI12" s="110">
        <f t="shared" si="23"/>
        <v>119644.2</v>
      </c>
      <c r="BJ12" s="111">
        <f t="shared" si="24"/>
        <v>11827.62848833717</v>
      </c>
      <c r="BK12" s="1">
        <f t="shared" ref="BK12:BK50" si="32">BL12*$BO$8+BM12*$BP$8+BN12*$BQ$8</f>
        <v>0.88814456764939964</v>
      </c>
      <c r="BL12" s="294">
        <f t="shared" ref="BL12:BL50" si="33">M12/$M$51</f>
        <v>0.51838433224850822</v>
      </c>
      <c r="BM12" s="294">
        <f t="shared" ref="BM12:BM50" si="34">T12/$T$51</f>
        <v>0.62527111811927383</v>
      </c>
      <c r="BN12" s="295">
        <f t="shared" ref="BN12:BN50" si="35">(1/AO12)/(1/$AO$51)</f>
        <v>1.2044614101149083</v>
      </c>
      <c r="BO12" s="114">
        <f t="shared" si="25"/>
        <v>0</v>
      </c>
      <c r="BP12" s="296">
        <f t="shared" ref="BP12:BP50" si="36">BL12*$BO$8+BM12*$BP$8+BN12*$BQ$8</f>
        <v>0.88814456764939964</v>
      </c>
      <c r="BQ12" s="116">
        <f t="shared" ref="BQ12:BQ50" si="37">BP12*H12</f>
        <v>9.5521525060027874E-4</v>
      </c>
      <c r="BR12" s="297">
        <f t="shared" ref="BR12:BR50" si="38">IF(BO12=0,0,BQ12)</f>
        <v>0</v>
      </c>
      <c r="BS12" s="117">
        <f t="shared" ref="BS12:BS50" si="39">BR12/$BR$51</f>
        <v>0</v>
      </c>
      <c r="BT12" s="298">
        <f t="shared" ref="BT12:BT50" si="40">$BO$6*BS12+BI12</f>
        <v>119644.2</v>
      </c>
      <c r="BU12" s="119">
        <f t="shared" ref="BU12:BU50" si="41">BG12*$BU$6</f>
        <v>119644.2</v>
      </c>
      <c r="BV12" s="119">
        <f t="shared" ref="BV12:BV50" si="42">IF(BT12&lt;BU12,BT12, BU12)</f>
        <v>119644.2</v>
      </c>
      <c r="BW12" s="119">
        <f t="shared" ref="BW12:BW50" si="43">BT12-BV12</f>
        <v>0</v>
      </c>
      <c r="BX12" s="120">
        <f t="shared" ref="BX12:BX50" si="44">IF(AND(BW12=0, BJ12=0),BQ12,0)</f>
        <v>0</v>
      </c>
      <c r="BY12" s="121">
        <f t="shared" ref="BY12:BY50" si="45">IF($BX$51=0,1, BX12/$BX$51)</f>
        <v>0</v>
      </c>
      <c r="BZ12" s="299">
        <f t="shared" ref="BZ12:BZ50" si="46">$BW$51*BY12+BV12</f>
        <v>119644.2</v>
      </c>
      <c r="CA12" s="109">
        <f t="shared" si="26"/>
        <v>0</v>
      </c>
      <c r="CB12" s="123">
        <f t="shared" si="27"/>
        <v>0</v>
      </c>
      <c r="CC12" s="135">
        <f>ROUND((CB12+BI12),0)</f>
        <v>119644</v>
      </c>
      <c r="CE12" s="124">
        <f t="shared" si="28"/>
        <v>0</v>
      </c>
      <c r="CF12" s="17"/>
      <c r="CG12" s="108">
        <f t="shared" ref="CG12:CG50" si="47">BG12</f>
        <v>398814</v>
      </c>
      <c r="CH12" s="125">
        <f t="shared" ref="CH12:CH50" si="48">CC12/BG12</f>
        <v>0.29999949851309132</v>
      </c>
      <c r="CI12" s="110">
        <f t="shared" ref="CI12:CI50" si="49">IF(BT12&gt;BG12*$BI$6,BG12*$BI$6,BT12)</f>
        <v>119644.2</v>
      </c>
      <c r="CJ12" s="300">
        <f t="shared" ref="CJ12:CJ50" si="50">BT12-CI12</f>
        <v>0</v>
      </c>
      <c r="CL12" s="127">
        <f t="shared" ref="CL12:CL50" si="51">IF(OR(CJ12&gt;0,CH12&gt;=0.294),0,CI12)</f>
        <v>0</v>
      </c>
      <c r="CM12" s="128">
        <f t="shared" ref="CM12:CM51" si="52">CL12/$CL$51</f>
        <v>0</v>
      </c>
      <c r="CN12" s="129">
        <f t="shared" ref="CN12:CN51" si="53">CM12*$CM$6</f>
        <v>0</v>
      </c>
      <c r="CO12" s="130">
        <f>ROUND((CN12+CI12),0)</f>
        <v>119644</v>
      </c>
      <c r="CQ12" s="131">
        <f t="shared" ref="CQ12:CQ51" si="54">BZ12/CG12</f>
        <v>0.3</v>
      </c>
      <c r="CR12" s="301"/>
    </row>
    <row r="13" spans="1:96">
      <c r="A13" s="133" t="s">
        <v>82</v>
      </c>
      <c r="B13" s="90" t="s">
        <v>85</v>
      </c>
      <c r="C13" s="91">
        <f>'Sizing - Reimb Exp-25'!B6</f>
        <v>2696243</v>
      </c>
      <c r="D13" s="92">
        <f>'Ridership-25'!$E5</f>
        <v>162649</v>
      </c>
      <c r="E13" s="92">
        <f>'Revenue Hours-25'!$E5</f>
        <v>46711</v>
      </c>
      <c r="F13" s="92">
        <f>'Revenue Miles-25'!$E5</f>
        <v>490148</v>
      </c>
      <c r="G13" s="93">
        <f t="shared" si="0"/>
        <v>5.7217969398773178E-3</v>
      </c>
      <c r="H13" s="94">
        <f t="shared" si="1"/>
        <v>5.7217969398773187E-3</v>
      </c>
      <c r="J13" s="95">
        <f>'Ridership-25'!B5/'Revenue Hours-25'!B5</f>
        <v>3.5903165735567972</v>
      </c>
      <c r="K13" s="96">
        <f>'Ridership-25'!C5/'Revenue Hours-25'!C5</f>
        <v>3.0037184124655352</v>
      </c>
      <c r="L13" s="96">
        <f>'Ridership-25'!D5/'Revenue Hours-25'!D5</f>
        <v>3.0190503841343577</v>
      </c>
      <c r="M13" s="207">
        <f>'Ridership-25'!E5/'Revenue Hours-25'!K5</f>
        <v>3.4820277878872212</v>
      </c>
      <c r="N13" s="97">
        <f t="shared" si="2"/>
        <v>1.1244143405144138</v>
      </c>
      <c r="O13" s="98">
        <f t="shared" si="3"/>
        <v>6.4336705327095465E-3</v>
      </c>
      <c r="P13" s="99">
        <f t="shared" si="4"/>
        <v>6.0244571322359951E-3</v>
      </c>
      <c r="Q13" s="95">
        <f>'Ridership-25'!B5/'Revenue Miles-25'!B5</f>
        <v>0.34236028901498144</v>
      </c>
      <c r="R13" s="96">
        <f>'Ridership-25'!C5/'Revenue Miles-25'!C5</f>
        <v>0.30898734605406614</v>
      </c>
      <c r="S13" s="96">
        <f>'Ridership-25'!D5/'Revenue Miles-25'!D5</f>
        <v>0.30702858129224508</v>
      </c>
      <c r="T13" s="207">
        <f>'Ridership-25'!E5/'Revenue Miles-25'!K5</f>
        <v>0.33183650652455993</v>
      </c>
      <c r="U13" s="97">
        <f t="shared" si="5"/>
        <v>1.1412874554012273</v>
      </c>
      <c r="V13" s="98">
        <f t="shared" si="6"/>
        <v>6.5302150698351141E-3</v>
      </c>
      <c r="W13" s="99">
        <f t="shared" si="7"/>
        <v>6.1118599246715822E-3</v>
      </c>
      <c r="X13" s="95">
        <f>'Op Cost-25'!B6/'Revenue Hours-25'!B5</f>
        <v>45.864958582161435</v>
      </c>
      <c r="Y13" s="96">
        <f>'Op Cost-25'!C6/'Revenue Hours-25'!C5</f>
        <v>61.145979308425872</v>
      </c>
      <c r="Z13" s="96">
        <f>'Op Cost-25'!D6/'Revenue Hours-25'!D5</f>
        <v>58.62645167053779</v>
      </c>
      <c r="AA13" s="96">
        <f>'Op Cost-25'!E6/'Revenue Hours-25'!E5</f>
        <v>57.842499625355913</v>
      </c>
      <c r="AB13" s="97">
        <f t="shared" si="8"/>
        <v>1.0361763312133343</v>
      </c>
      <c r="AC13" s="98">
        <f t="shared" si="9"/>
        <v>5.5220301482637128E-3</v>
      </c>
      <c r="AD13" s="99">
        <f t="shared" si="10"/>
        <v>5.8906759458947416E-3</v>
      </c>
      <c r="AE13" s="95">
        <f>'Op Cost-25'!B6/'Revenue Miles-25'!B5</f>
        <v>4.3735253296321996</v>
      </c>
      <c r="AF13" s="96">
        <f>'Op Cost-25'!C6/'Revenue Miles-25'!C5</f>
        <v>6.2899817073329398</v>
      </c>
      <c r="AG13" s="96">
        <f>'Op Cost-25'!D6/'Revenue Miles-25'!D5</f>
        <v>5.9621384184897162</v>
      </c>
      <c r="AH13" s="96">
        <f>'Op Cost-25'!E6/'Revenue Miles-25'!E5</f>
        <v>5.5123778940238459</v>
      </c>
      <c r="AI13" s="97">
        <f t="shared" si="11"/>
        <v>1.0405282730301624</v>
      </c>
      <c r="AJ13" s="98">
        <f t="shared" si="12"/>
        <v>5.4989346163700622E-3</v>
      </c>
      <c r="AK13" s="99">
        <f t="shared" si="13"/>
        <v>5.8522470842064314E-3</v>
      </c>
      <c r="AL13" s="95">
        <f>'Op Cost-25'!B6/'Ridership-25'!B5</f>
        <v>12.774627986836457</v>
      </c>
      <c r="AM13" s="96">
        <f>'Op Cost-25'!C6/'Ridership-25'!C5</f>
        <v>20.356761490913378</v>
      </c>
      <c r="AN13" s="96">
        <f>'Op Cost-25'!D6/'Ridership-25'!D5</f>
        <v>19.418838446231348</v>
      </c>
      <c r="AO13" s="96">
        <f>'Op Cost-25'!E6/'Ridership-25'!E5</f>
        <v>16.611728322953109</v>
      </c>
      <c r="AP13" s="100">
        <f t="shared" si="14"/>
        <v>0.99855496234877406</v>
      </c>
      <c r="AQ13" s="98">
        <f t="shared" si="15"/>
        <v>5.7300771170558928E-3</v>
      </c>
      <c r="AR13" s="99">
        <f t="shared" si="16"/>
        <v>6.2213120623425197E-3</v>
      </c>
      <c r="AT13" s="101">
        <f t="shared" si="29"/>
        <v>0</v>
      </c>
      <c r="AU13" s="102">
        <f t="shared" si="17"/>
        <v>0</v>
      </c>
      <c r="AV13" s="102">
        <f t="shared" si="18"/>
        <v>0</v>
      </c>
      <c r="AW13" s="102">
        <f t="shared" si="19"/>
        <v>0</v>
      </c>
      <c r="AX13" s="103">
        <f t="shared" si="20"/>
        <v>0</v>
      </c>
      <c r="AY13" s="293">
        <f t="shared" si="30"/>
        <v>-1</v>
      </c>
      <c r="AZ13" s="105">
        <f t="shared" si="21"/>
        <v>0</v>
      </c>
      <c r="BA13" s="106">
        <f t="shared" si="21"/>
        <v>0</v>
      </c>
      <c r="BB13" s="106">
        <f t="shared" si="21"/>
        <v>0</v>
      </c>
      <c r="BC13" s="106">
        <f t="shared" si="21"/>
        <v>0</v>
      </c>
      <c r="BD13" s="106">
        <f t="shared" si="21"/>
        <v>0</v>
      </c>
      <c r="BE13" s="107">
        <f t="shared" si="31"/>
        <v>699435.32140388188</v>
      </c>
      <c r="BG13" s="108">
        <f>'Op Cost-25'!E6</f>
        <v>2701881</v>
      </c>
      <c r="BH13" s="109">
        <f t="shared" si="22"/>
        <v>0.25886977309655085</v>
      </c>
      <c r="BI13" s="110">
        <f t="shared" si="23"/>
        <v>699435.32140388188</v>
      </c>
      <c r="BJ13" s="111">
        <f t="shared" si="24"/>
        <v>0</v>
      </c>
      <c r="BK13" s="1">
        <f t="shared" si="32"/>
        <v>0.5235179259612881</v>
      </c>
      <c r="BL13" s="294">
        <f t="shared" si="33"/>
        <v>0.32526977586701122</v>
      </c>
      <c r="BM13" s="294">
        <f t="shared" si="34"/>
        <v>0.44725892504526166</v>
      </c>
      <c r="BN13" s="295">
        <f t="shared" si="35"/>
        <v>0.66077150146643981</v>
      </c>
      <c r="BO13" s="114">
        <f t="shared" si="25"/>
        <v>699435.32140388188</v>
      </c>
      <c r="BP13" s="296">
        <f t="shared" si="36"/>
        <v>0.5235179259612881</v>
      </c>
      <c r="BQ13" s="116">
        <f t="shared" si="37"/>
        <v>2.9954632667362189E-3</v>
      </c>
      <c r="BR13" s="297">
        <f t="shared" si="38"/>
        <v>2.9954632667362189E-3</v>
      </c>
      <c r="BS13" s="117">
        <f t="shared" si="39"/>
        <v>3.3484345081963179E-3</v>
      </c>
      <c r="BT13" s="298">
        <f t="shared" si="40"/>
        <v>728213.82520004897</v>
      </c>
      <c r="BU13" s="119">
        <f t="shared" si="41"/>
        <v>810564.29999999993</v>
      </c>
      <c r="BV13" s="119">
        <f t="shared" si="42"/>
        <v>728213.82520004897</v>
      </c>
      <c r="BW13" s="119">
        <f t="shared" si="43"/>
        <v>0</v>
      </c>
      <c r="BX13" s="120">
        <f t="shared" si="44"/>
        <v>2.9954632667362189E-3</v>
      </c>
      <c r="BY13" s="121">
        <f t="shared" si="45"/>
        <v>5.9347775970782406E-3</v>
      </c>
      <c r="BZ13" s="299">
        <f t="shared" si="46"/>
        <v>733337.89060410333</v>
      </c>
      <c r="CA13" s="109">
        <f t="shared" si="26"/>
        <v>6.35276763068208E-3</v>
      </c>
      <c r="CB13" s="123">
        <f t="shared" si="27"/>
        <v>54599.588831209403</v>
      </c>
      <c r="CC13" s="111">
        <f>ROUND((CB13+BI13),0)</f>
        <v>754035</v>
      </c>
      <c r="CE13" s="124">
        <f t="shared" si="28"/>
        <v>0</v>
      </c>
      <c r="CF13" s="17"/>
      <c r="CG13" s="108">
        <f t="shared" si="47"/>
        <v>2701881</v>
      </c>
      <c r="CH13" s="125">
        <f t="shared" si="48"/>
        <v>0.27907779802293292</v>
      </c>
      <c r="CI13" s="110">
        <f t="shared" si="49"/>
        <v>728213.82520004897</v>
      </c>
      <c r="CJ13" s="300">
        <f t="shared" si="50"/>
        <v>0</v>
      </c>
      <c r="CL13" s="127">
        <f t="shared" si="51"/>
        <v>728213.82520004897</v>
      </c>
      <c r="CM13" s="128">
        <f t="shared" si="52"/>
        <v>8.4748396300049489E-3</v>
      </c>
      <c r="CN13" s="129">
        <f t="shared" si="53"/>
        <v>7317.1457300095044</v>
      </c>
      <c r="CO13" s="130">
        <f t="shared" ref="CO13:CO50" si="55">ROUND((CN13+CI13),0)</f>
        <v>735531</v>
      </c>
      <c r="CQ13" s="131">
        <f t="shared" si="54"/>
        <v>0.27141753859777812</v>
      </c>
      <c r="CR13" s="301"/>
    </row>
    <row r="14" spans="1:96">
      <c r="A14" s="133" t="s">
        <v>82</v>
      </c>
      <c r="B14" s="90" t="s">
        <v>86</v>
      </c>
      <c r="C14" s="91">
        <f>'Sizing - Reimb Exp-25'!B7</f>
        <v>2111050</v>
      </c>
      <c r="D14" s="92">
        <f>'Ridership-25'!$E6</f>
        <v>131743</v>
      </c>
      <c r="E14" s="92">
        <f>'Revenue Hours-25'!$E6</f>
        <v>47343</v>
      </c>
      <c r="F14" s="92">
        <f>'Revenue Miles-25'!$E6</f>
        <v>800372</v>
      </c>
      <c r="G14" s="93">
        <f t="shared" si="0"/>
        <v>5.8588613671572021E-3</v>
      </c>
      <c r="H14" s="94">
        <f t="shared" si="1"/>
        <v>5.858861367157203E-3</v>
      </c>
      <c r="J14" s="95">
        <f>'Ridership-25'!B6/'Revenue Hours-25'!B6</f>
        <v>1.8670980965213595</v>
      </c>
      <c r="K14" s="96">
        <f>'Ridership-25'!C6/'Revenue Hours-25'!C6</f>
        <v>1.3455313359222201</v>
      </c>
      <c r="L14" s="96">
        <f>'Ridership-25'!D6/'Revenue Hours-25'!D6</f>
        <v>2.5156324194636741</v>
      </c>
      <c r="M14" s="207">
        <f>'Ridership-25'!E6/'Revenue Hours-25'!K6</f>
        <v>2.7827345119658662</v>
      </c>
      <c r="N14" s="97">
        <f t="shared" si="2"/>
        <v>1.2596800836704516</v>
      </c>
      <c r="O14" s="98">
        <f t="shared" si="3"/>
        <v>7.3802909771941618E-3</v>
      </c>
      <c r="P14" s="99">
        <f t="shared" si="4"/>
        <v>6.9108678148007384E-3</v>
      </c>
      <c r="Q14" s="95">
        <f>'Ridership-25'!B6/'Revenue Miles-25'!B6</f>
        <v>0.11380730389718556</v>
      </c>
      <c r="R14" s="96">
        <f>'Ridership-25'!C6/'Revenue Miles-25'!C6</f>
        <v>8.6154544217069737E-2</v>
      </c>
      <c r="S14" s="96">
        <f>'Ridership-25'!D6/'Revenue Miles-25'!D6</f>
        <v>0.15736959607772016</v>
      </c>
      <c r="T14" s="207">
        <f>'Ridership-25'!E6/'Revenue Miles-25'!K6</f>
        <v>0.16460220997236286</v>
      </c>
      <c r="U14" s="97">
        <f t="shared" si="5"/>
        <v>1.2593362033437594</v>
      </c>
      <c r="V14" s="98">
        <f t="shared" si="6"/>
        <v>7.3782762300331796E-3</v>
      </c>
      <c r="W14" s="99">
        <f t="shared" si="7"/>
        <v>6.905590447059403E-3</v>
      </c>
      <c r="X14" s="95">
        <f>'Op Cost-25'!B7/'Revenue Hours-25'!B6</f>
        <v>28.535460118042245</v>
      </c>
      <c r="Y14" s="96">
        <f>'Op Cost-25'!C7/'Revenue Hours-25'!C6</f>
        <v>42.25856741971144</v>
      </c>
      <c r="Z14" s="96">
        <f>'Op Cost-25'!D7/'Revenue Hours-25'!D6</f>
        <v>54.154224876915002</v>
      </c>
      <c r="AA14" s="96">
        <f>'Op Cost-25'!E7/'Revenue Hours-25'!E6</f>
        <v>45.459899034704179</v>
      </c>
      <c r="AB14" s="97">
        <f t="shared" si="8"/>
        <v>1.131145514490173</v>
      </c>
      <c r="AC14" s="98">
        <f t="shared" si="9"/>
        <v>5.1795823721211449E-3</v>
      </c>
      <c r="AD14" s="99">
        <f t="shared" si="10"/>
        <v>5.5253666622642542E-3</v>
      </c>
      <c r="AE14" s="95">
        <f>'Op Cost-25'!B7/'Revenue Miles-25'!B6</f>
        <v>1.7393535923745185</v>
      </c>
      <c r="AF14" s="96">
        <f>'Op Cost-25'!C7/'Revenue Miles-25'!C6</f>
        <v>2.7058214982530968</v>
      </c>
      <c r="AG14" s="96">
        <f>'Op Cost-25'!D7/'Revenue Miles-25'!D6</f>
        <v>3.3877081678725758</v>
      </c>
      <c r="AH14" s="96">
        <f>'Op Cost-25'!E7/'Revenue Miles-25'!E6</f>
        <v>2.689009610531103</v>
      </c>
      <c r="AI14" s="97">
        <f t="shared" si="11"/>
        <v>1.1289699957487576</v>
      </c>
      <c r="AJ14" s="98">
        <f t="shared" si="12"/>
        <v>5.1895633978044546E-3</v>
      </c>
      <c r="AK14" s="99">
        <f t="shared" si="13"/>
        <v>5.5229984318587305E-3</v>
      </c>
      <c r="AL14" s="95">
        <f>'Op Cost-25'!B7/'Ridership-25'!B6</f>
        <v>15.283321305510098</v>
      </c>
      <c r="AM14" s="96">
        <f>'Op Cost-25'!C7/'Ridership-25'!C6</f>
        <v>31.406602203543365</v>
      </c>
      <c r="AN14" s="96">
        <f>'Op Cost-25'!D7/'Ridership-25'!D6</f>
        <v>21.527081801744522</v>
      </c>
      <c r="AO14" s="96">
        <f>'Op Cost-25'!E7/'Ridership-25'!E6</f>
        <v>16.33641256081917</v>
      </c>
      <c r="AP14" s="100">
        <f t="shared" si="14"/>
        <v>0.9068629018501454</v>
      </c>
      <c r="AQ14" s="98">
        <f t="shared" si="15"/>
        <v>6.4605811476069743E-3</v>
      </c>
      <c r="AR14" s="99">
        <f t="shared" si="16"/>
        <v>7.0144416213374127E-3</v>
      </c>
      <c r="AT14" s="101">
        <f t="shared" si="29"/>
        <v>0</v>
      </c>
      <c r="AU14" s="102">
        <f t="shared" si="17"/>
        <v>0</v>
      </c>
      <c r="AV14" s="102">
        <f t="shared" si="18"/>
        <v>0</v>
      </c>
      <c r="AW14" s="102">
        <f t="shared" si="19"/>
        <v>0</v>
      </c>
      <c r="AX14" s="103">
        <f t="shared" si="20"/>
        <v>0</v>
      </c>
      <c r="AY14" s="293">
        <f t="shared" si="30"/>
        <v>-1</v>
      </c>
      <c r="AZ14" s="105">
        <f t="shared" si="21"/>
        <v>0</v>
      </c>
      <c r="BA14" s="106">
        <f t="shared" si="21"/>
        <v>0</v>
      </c>
      <c r="BB14" s="106">
        <f t="shared" si="21"/>
        <v>0</v>
      </c>
      <c r="BC14" s="106">
        <f t="shared" si="21"/>
        <v>0</v>
      </c>
      <c r="BD14" s="106">
        <f t="shared" si="21"/>
        <v>0</v>
      </c>
      <c r="BE14" s="107">
        <f t="shared" si="31"/>
        <v>716190.1455884676</v>
      </c>
      <c r="BG14" s="108">
        <f>'Op Cost-25'!E7</f>
        <v>2152208</v>
      </c>
      <c r="BH14" s="109">
        <f t="shared" si="22"/>
        <v>0.33276994862414211</v>
      </c>
      <c r="BI14" s="110">
        <f t="shared" si="23"/>
        <v>645662.4</v>
      </c>
      <c r="BJ14" s="111">
        <f t="shared" si="24"/>
        <v>70527.745588467573</v>
      </c>
      <c r="BK14" s="1">
        <f t="shared" si="32"/>
        <v>0.45640413757688625</v>
      </c>
      <c r="BL14" s="294">
        <f t="shared" si="33"/>
        <v>0.2599460676773469</v>
      </c>
      <c r="BM14" s="294">
        <f t="shared" si="34"/>
        <v>0.22185566098003959</v>
      </c>
      <c r="BN14" s="295">
        <f t="shared" si="35"/>
        <v>0.67190741082507921</v>
      </c>
      <c r="BO14" s="114">
        <f t="shared" si="25"/>
        <v>0</v>
      </c>
      <c r="BP14" s="296">
        <f t="shared" si="36"/>
        <v>0.45640413757688625</v>
      </c>
      <c r="BQ14" s="116">
        <f t="shared" si="37"/>
        <v>2.67400856945992E-3</v>
      </c>
      <c r="BR14" s="297">
        <f t="shared" si="38"/>
        <v>0</v>
      </c>
      <c r="BS14" s="117">
        <f t="shared" si="39"/>
        <v>0</v>
      </c>
      <c r="BT14" s="298">
        <f t="shared" si="40"/>
        <v>645662.4</v>
      </c>
      <c r="BU14" s="119">
        <f t="shared" si="41"/>
        <v>645662.4</v>
      </c>
      <c r="BV14" s="119">
        <f t="shared" si="42"/>
        <v>645662.4</v>
      </c>
      <c r="BW14" s="119">
        <f t="shared" si="43"/>
        <v>0</v>
      </c>
      <c r="BX14" s="120">
        <f t="shared" si="44"/>
        <v>0</v>
      </c>
      <c r="BY14" s="121">
        <f t="shared" si="45"/>
        <v>0</v>
      </c>
      <c r="BZ14" s="299">
        <f t="shared" si="46"/>
        <v>645662.4</v>
      </c>
      <c r="CA14" s="109">
        <f t="shared" si="26"/>
        <v>0</v>
      </c>
      <c r="CB14" s="123">
        <f t="shared" si="27"/>
        <v>0</v>
      </c>
      <c r="CC14" s="111">
        <f t="shared" ref="CC14:CC50" si="56">ROUND((CB14+BI14),0)</f>
        <v>645662</v>
      </c>
      <c r="CE14" s="124">
        <f t="shared" si="28"/>
        <v>0</v>
      </c>
      <c r="CF14" s="17"/>
      <c r="CG14" s="108">
        <f t="shared" si="47"/>
        <v>2152208</v>
      </c>
      <c r="CH14" s="125">
        <f t="shared" si="48"/>
        <v>0.29999981414435778</v>
      </c>
      <c r="CI14" s="110">
        <f t="shared" si="49"/>
        <v>645662.4</v>
      </c>
      <c r="CJ14" s="300">
        <f t="shared" si="50"/>
        <v>0</v>
      </c>
      <c r="CL14" s="127">
        <f t="shared" si="51"/>
        <v>0</v>
      </c>
      <c r="CM14" s="128">
        <f t="shared" si="52"/>
        <v>0</v>
      </c>
      <c r="CN14" s="129">
        <f t="shared" si="53"/>
        <v>0</v>
      </c>
      <c r="CO14" s="130">
        <f t="shared" si="55"/>
        <v>645662</v>
      </c>
      <c r="CQ14" s="131">
        <f t="shared" si="54"/>
        <v>0.3</v>
      </c>
      <c r="CR14" s="301"/>
    </row>
    <row r="15" spans="1:96">
      <c r="A15" s="133" t="s">
        <v>82</v>
      </c>
      <c r="B15" s="90" t="s">
        <v>87</v>
      </c>
      <c r="C15" s="91">
        <f>'Sizing - Reimb Exp-25'!B8</f>
        <v>450961</v>
      </c>
      <c r="D15" s="92">
        <f>'Ridership-25'!$E7</f>
        <v>31171</v>
      </c>
      <c r="E15" s="92">
        <f>'Revenue Hours-25'!$E7</f>
        <v>8170</v>
      </c>
      <c r="F15" s="92">
        <f>'Revenue Miles-25'!$E7</f>
        <v>132943</v>
      </c>
      <c r="G15" s="93">
        <f t="shared" si="0"/>
        <v>1.118893298237163E-3</v>
      </c>
      <c r="H15" s="94">
        <f t="shared" si="1"/>
        <v>1.1188932982371632E-3</v>
      </c>
      <c r="J15" s="95">
        <f>'Ridership-25'!B7/'Revenue Hours-25'!B7</f>
        <v>5.5566235366605055</v>
      </c>
      <c r="K15" s="96">
        <f>'Ridership-25'!C7/'Revenue Hours-25'!C7</f>
        <v>3.8071505958829901</v>
      </c>
      <c r="L15" s="96">
        <f>'Ridership-25'!D7/'Revenue Hours-25'!D7</f>
        <v>3.650582779796967</v>
      </c>
      <c r="M15" s="207">
        <f>'Ridership-25'!E7/'Revenue Hours-25'!K7</f>
        <v>3.815299877600979</v>
      </c>
      <c r="N15" s="97">
        <f t="shared" si="2"/>
        <v>0.98400547632215163</v>
      </c>
      <c r="O15" s="98">
        <f t="shared" si="3"/>
        <v>1.1009971328855229E-3</v>
      </c>
      <c r="P15" s="99">
        <f t="shared" si="4"/>
        <v>1.0309682468290949E-3</v>
      </c>
      <c r="Q15" s="95">
        <f>'Ridership-25'!B7/'Revenue Miles-25'!B7</f>
        <v>0.3373331737387037</v>
      </c>
      <c r="R15" s="96">
        <f>'Ridership-25'!C7/'Revenue Miles-25'!C7</f>
        <v>0.2437813629741542</v>
      </c>
      <c r="S15" s="96">
        <f>'Ridership-25'!D7/'Revenue Miles-25'!D7</f>
        <v>0.22496138399752857</v>
      </c>
      <c r="T15" s="207">
        <f>'Ridership-25'!E7/'Revenue Miles-25'!K7</f>
        <v>0.23446890772737189</v>
      </c>
      <c r="U15" s="97">
        <f t="shared" si="5"/>
        <v>0.9968029568907818</v>
      </c>
      <c r="V15" s="98">
        <f t="shared" si="6"/>
        <v>1.1153161481280837E-3</v>
      </c>
      <c r="W15" s="99">
        <f t="shared" si="7"/>
        <v>1.0438639457023622E-3</v>
      </c>
      <c r="X15" s="95">
        <f>'Op Cost-25'!B8/'Revenue Hours-25'!B7</f>
        <v>38.559704251386322</v>
      </c>
      <c r="Y15" s="96">
        <f>'Op Cost-25'!C8/'Revenue Hours-25'!C7</f>
        <v>43.683519922956542</v>
      </c>
      <c r="Z15" s="96">
        <f>'Op Cost-25'!D8/'Revenue Hours-25'!D7</f>
        <v>59.664118310565236</v>
      </c>
      <c r="AA15" s="96">
        <f>'Op Cost-25'!E8/'Revenue Hours-25'!E7</f>
        <v>55.822399020807836</v>
      </c>
      <c r="AB15" s="97">
        <f t="shared" si="8"/>
        <v>1.0986125400469504</v>
      </c>
      <c r="AC15" s="98">
        <f t="shared" si="9"/>
        <v>1.0184603374264651E-3</v>
      </c>
      <c r="AD15" s="99">
        <f t="shared" si="10"/>
        <v>1.0864518393497568E-3</v>
      </c>
      <c r="AE15" s="95">
        <f>'Op Cost-25'!B8/'Revenue Miles-25'!B7</f>
        <v>2.340894128912562</v>
      </c>
      <c r="AF15" s="96">
        <f>'Op Cost-25'!C8/'Revenue Miles-25'!C7</f>
        <v>2.7971649027603269</v>
      </c>
      <c r="AG15" s="96">
        <f>'Op Cost-25'!D8/'Revenue Miles-25'!D7</f>
        <v>3.6767068273092369</v>
      </c>
      <c r="AH15" s="96">
        <f>'Op Cost-25'!E8/'Revenue Miles-25'!E7</f>
        <v>3.4305604657635227</v>
      </c>
      <c r="AI15" s="97">
        <f t="shared" si="11"/>
        <v>1.1030365413985617</v>
      </c>
      <c r="AJ15" s="98">
        <f t="shared" si="12"/>
        <v>1.0143755498965578E-3</v>
      </c>
      <c r="AK15" s="99">
        <f t="shared" si="13"/>
        <v>1.0795502707924771E-3</v>
      </c>
      <c r="AL15" s="95">
        <f>'Op Cost-25'!B8/'Ridership-25'!B7</f>
        <v>6.9394127561429961</v>
      </c>
      <c r="AM15" s="96">
        <f>'Op Cost-25'!C8/'Ridership-25'!C7</f>
        <v>11.474071966103839</v>
      </c>
      <c r="AN15" s="96">
        <f>'Op Cost-25'!D8/'Ridership-25'!D7</f>
        <v>16.343724251579236</v>
      </c>
      <c r="AO15" s="96">
        <f>'Op Cost-25'!E8/'Ridership-25'!E7</f>
        <v>14.631195662635141</v>
      </c>
      <c r="AP15" s="100">
        <f t="shared" si="14"/>
        <v>1.2256175688486206</v>
      </c>
      <c r="AQ15" s="98">
        <f t="shared" si="15"/>
        <v>9.1292204573102101E-4</v>
      </c>
      <c r="AR15" s="99">
        <f t="shared" si="16"/>
        <v>9.9118612525811315E-4</v>
      </c>
      <c r="AT15" s="101">
        <f t="shared" si="29"/>
        <v>0</v>
      </c>
      <c r="AU15" s="102">
        <f t="shared" si="17"/>
        <v>0</v>
      </c>
      <c r="AV15" s="102">
        <f t="shared" si="18"/>
        <v>0</v>
      </c>
      <c r="AW15" s="102">
        <f t="shared" si="19"/>
        <v>0</v>
      </c>
      <c r="AX15" s="103">
        <f t="shared" si="20"/>
        <v>0</v>
      </c>
      <c r="AY15" s="293">
        <f t="shared" si="30"/>
        <v>-1</v>
      </c>
      <c r="AZ15" s="105">
        <f t="shared" si="21"/>
        <v>0</v>
      </c>
      <c r="BA15" s="106">
        <f t="shared" si="21"/>
        <v>0</v>
      </c>
      <c r="BB15" s="106">
        <f t="shared" si="21"/>
        <v>0</v>
      </c>
      <c r="BC15" s="106">
        <f t="shared" si="21"/>
        <v>0</v>
      </c>
      <c r="BD15" s="106">
        <f t="shared" si="21"/>
        <v>0</v>
      </c>
      <c r="BE15" s="107">
        <f t="shared" si="31"/>
        <v>136774.07672666191</v>
      </c>
      <c r="BG15" s="108">
        <f>'Op Cost-25'!E8</f>
        <v>456069</v>
      </c>
      <c r="BH15" s="109">
        <f t="shared" si="22"/>
        <v>0.29989777144831575</v>
      </c>
      <c r="BI15" s="110">
        <f t="shared" si="23"/>
        <v>136774.07672666191</v>
      </c>
      <c r="BJ15" s="111">
        <f t="shared" si="24"/>
        <v>0</v>
      </c>
      <c r="BK15" s="1">
        <f t="shared" si="32"/>
        <v>0.54321449923597986</v>
      </c>
      <c r="BL15" s="294">
        <f t="shared" si="33"/>
        <v>0.35640201964203866</v>
      </c>
      <c r="BM15" s="294">
        <f t="shared" si="34"/>
        <v>0.31602403462175876</v>
      </c>
      <c r="BN15" s="295">
        <f t="shared" si="35"/>
        <v>0.75021597134006102</v>
      </c>
      <c r="BO15" s="114">
        <f t="shared" si="25"/>
        <v>0</v>
      </c>
      <c r="BP15" s="296">
        <f t="shared" si="36"/>
        <v>0.54321449923597986</v>
      </c>
      <c r="BQ15" s="116">
        <f t="shared" si="37"/>
        <v>6.0779906270039448E-4</v>
      </c>
      <c r="BR15" s="297">
        <f t="shared" si="38"/>
        <v>0</v>
      </c>
      <c r="BS15" s="117">
        <f t="shared" si="39"/>
        <v>0</v>
      </c>
      <c r="BT15" s="298">
        <f t="shared" si="40"/>
        <v>136774.07672666191</v>
      </c>
      <c r="BU15" s="119">
        <f t="shared" si="41"/>
        <v>136820.69999999998</v>
      </c>
      <c r="BV15" s="119">
        <f t="shared" si="42"/>
        <v>136774.07672666191</v>
      </c>
      <c r="BW15" s="119">
        <f t="shared" si="43"/>
        <v>0</v>
      </c>
      <c r="BX15" s="120">
        <f t="shared" si="44"/>
        <v>6.0779906270039448E-4</v>
      </c>
      <c r="BY15" s="121">
        <f t="shared" si="45"/>
        <v>1.204205139450672E-3</v>
      </c>
      <c r="BZ15" s="299">
        <f t="shared" si="46"/>
        <v>137813.78306670763</v>
      </c>
      <c r="CA15" s="109">
        <f t="shared" si="26"/>
        <v>0</v>
      </c>
      <c r="CB15" s="123">
        <f t="shared" si="27"/>
        <v>0</v>
      </c>
      <c r="CC15" s="111">
        <f t="shared" si="56"/>
        <v>136774</v>
      </c>
      <c r="CE15" s="124">
        <f t="shared" si="28"/>
        <v>0</v>
      </c>
      <c r="CF15" s="17"/>
      <c r="CG15" s="108">
        <f t="shared" si="47"/>
        <v>456069</v>
      </c>
      <c r="CH15" s="125">
        <f t="shared" si="48"/>
        <v>0.2998976032135488</v>
      </c>
      <c r="CI15" s="110">
        <f t="shared" si="49"/>
        <v>136774.07672666191</v>
      </c>
      <c r="CJ15" s="300">
        <f t="shared" si="50"/>
        <v>0</v>
      </c>
      <c r="CL15" s="127">
        <f t="shared" si="51"/>
        <v>0</v>
      </c>
      <c r="CM15" s="128">
        <f t="shared" si="52"/>
        <v>0</v>
      </c>
      <c r="CN15" s="129">
        <f t="shared" si="53"/>
        <v>0</v>
      </c>
      <c r="CO15" s="130">
        <f>ROUND((CN15+CI15),0)</f>
        <v>136774</v>
      </c>
      <c r="CQ15" s="131">
        <f t="shared" si="54"/>
        <v>0.30217748425503077</v>
      </c>
      <c r="CR15" s="301"/>
    </row>
    <row r="16" spans="1:96">
      <c r="A16" s="133" t="s">
        <v>88</v>
      </c>
      <c r="B16" s="90" t="s">
        <v>89</v>
      </c>
      <c r="C16" s="91">
        <f>'Sizing - Reimb Exp-25'!B9</f>
        <v>10488989</v>
      </c>
      <c r="D16" s="92">
        <f>'Ridership-25'!$E8</f>
        <v>1147018</v>
      </c>
      <c r="E16" s="92">
        <f>'Revenue Hours-25'!$E8</f>
        <v>73719</v>
      </c>
      <c r="F16" s="92">
        <f>'Revenue Miles-25'!$E8</f>
        <v>782454</v>
      </c>
      <c r="G16" s="93">
        <f t="shared" si="0"/>
        <v>1.9784629132311826E-2</v>
      </c>
      <c r="H16" s="94">
        <f t="shared" si="1"/>
        <v>1.978462913231183E-2</v>
      </c>
      <c r="J16" s="95">
        <f>'Ridership-25'!B8/'Revenue Hours-25'!B8</f>
        <v>17.327594346172003</v>
      </c>
      <c r="K16" s="96">
        <f>'Ridership-25'!C8/'Revenue Hours-25'!C8</f>
        <v>8.228226225879153</v>
      </c>
      <c r="L16" s="96">
        <f>'Ridership-25'!D8/'Revenue Hours-25'!D8</f>
        <v>19.647103879082909</v>
      </c>
      <c r="M16" s="207">
        <f>'Ridership-25'!E8/'Revenue Hours-25'!K8</f>
        <v>15.559326632211507</v>
      </c>
      <c r="N16" s="97">
        <f t="shared" si="2"/>
        <v>1.146642827024652</v>
      </c>
      <c r="O16" s="98">
        <f t="shared" si="3"/>
        <v>2.2685903079908323E-2</v>
      </c>
      <c r="P16" s="99">
        <f t="shared" si="4"/>
        <v>2.1242966968252477E-2</v>
      </c>
      <c r="Q16" s="95">
        <f>'Ridership-25'!B8/'Revenue Miles-25'!B8</f>
        <v>1.9171644901717197</v>
      </c>
      <c r="R16" s="96">
        <f>'Ridership-25'!C8/'Revenue Miles-25'!C8</f>
        <v>0.84464065708418889</v>
      </c>
      <c r="S16" s="96">
        <f>'Ridership-25'!D8/'Revenue Miles-25'!D8</f>
        <v>1.4289408659654961</v>
      </c>
      <c r="T16" s="207">
        <f>'Ridership-25'!E8/'Revenue Miles-25'!K8</f>
        <v>1.465923875397148</v>
      </c>
      <c r="U16" s="97">
        <f t="shared" si="5"/>
        <v>1.0157118214755225</v>
      </c>
      <c r="V16" s="98">
        <f t="shared" si="6"/>
        <v>2.0095481693198136E-2</v>
      </c>
      <c r="W16" s="99">
        <f t="shared" si="7"/>
        <v>1.8808074146741741E-2</v>
      </c>
      <c r="X16" s="95">
        <f>'Op Cost-25'!B9/'Revenue Hours-25'!B8</f>
        <v>81.344653948330603</v>
      </c>
      <c r="Y16" s="96">
        <f>'Op Cost-25'!C9/'Revenue Hours-25'!C8</f>
        <v>121.31553469268006</v>
      </c>
      <c r="Z16" s="96">
        <f>'Op Cost-25'!D9/'Revenue Hours-25'!D8</f>
        <v>156.54829705026299</v>
      </c>
      <c r="AA16" s="96">
        <f>'Op Cost-25'!E9/'Revenue Hours-25'!E8</f>
        <v>142.28338691517791</v>
      </c>
      <c r="AB16" s="97">
        <f t="shared" si="8"/>
        <v>1.1618312176531347</v>
      </c>
      <c r="AC16" s="98">
        <f t="shared" si="9"/>
        <v>1.7028832442870838E-2</v>
      </c>
      <c r="AD16" s="99">
        <f t="shared" si="10"/>
        <v>1.8165662078000796E-2</v>
      </c>
      <c r="AE16" s="95">
        <f>'Op Cost-25'!B9/'Revenue Miles-25'!B8</f>
        <v>9.0001577194989437</v>
      </c>
      <c r="AF16" s="96">
        <f>'Op Cost-25'!C9/'Revenue Miles-25'!C8</f>
        <v>12.453234770704997</v>
      </c>
      <c r="AG16" s="96">
        <f>'Op Cost-25'!D9/'Revenue Miles-25'!D8</f>
        <v>11.385813427218888</v>
      </c>
      <c r="AH16" s="96">
        <f>'Op Cost-25'!E9/'Revenue Miles-25'!E8</f>
        <v>13.405246826011497</v>
      </c>
      <c r="AI16" s="97">
        <f t="shared" si="11"/>
        <v>1.1048323787932597</v>
      </c>
      <c r="AJ16" s="98">
        <f t="shared" si="12"/>
        <v>1.7907358176741127E-2</v>
      </c>
      <c r="AK16" s="99">
        <f t="shared" si="13"/>
        <v>1.905792521403947E-2</v>
      </c>
      <c r="AL16" s="95">
        <f>'Op Cost-25'!B9/'Ridership-25'!B8</f>
        <v>4.6945151371402689</v>
      </c>
      <c r="AM16" s="96">
        <f>'Op Cost-25'!C9/'Ridership-25'!C8</f>
        <v>14.743825869921071</v>
      </c>
      <c r="AN16" s="96">
        <f>'Op Cost-25'!D9/'Ridership-25'!D8</f>
        <v>7.9680088227624495</v>
      </c>
      <c r="AO16" s="96">
        <f>'Op Cost-25'!E9/'Ridership-25'!E8</f>
        <v>9.1445722734952728</v>
      </c>
      <c r="AP16" s="97">
        <f t="shared" si="14"/>
        <v>1.1634437228193528</v>
      </c>
      <c r="AQ16" s="98">
        <f t="shared" si="15"/>
        <v>1.7005230888493761E-2</v>
      </c>
      <c r="AR16" s="99">
        <f t="shared" si="16"/>
        <v>1.8463075782104502E-2</v>
      </c>
      <c r="AT16" s="101">
        <f t="shared" si="29"/>
        <v>0</v>
      </c>
      <c r="AU16" s="102">
        <f t="shared" si="17"/>
        <v>0</v>
      </c>
      <c r="AV16" s="102">
        <f t="shared" si="18"/>
        <v>0</v>
      </c>
      <c r="AW16" s="102">
        <f t="shared" si="19"/>
        <v>0</v>
      </c>
      <c r="AX16" s="103">
        <f t="shared" si="20"/>
        <v>0</v>
      </c>
      <c r="AY16" s="293">
        <f t="shared" si="30"/>
        <v>-1</v>
      </c>
      <c r="AZ16" s="105">
        <f t="shared" si="21"/>
        <v>0</v>
      </c>
      <c r="BA16" s="106">
        <f t="shared" si="21"/>
        <v>0</v>
      </c>
      <c r="BB16" s="106">
        <f t="shared" si="21"/>
        <v>0</v>
      </c>
      <c r="BC16" s="106">
        <f t="shared" si="21"/>
        <v>0</v>
      </c>
      <c r="BD16" s="106">
        <f t="shared" si="21"/>
        <v>0</v>
      </c>
      <c r="BE16" s="107">
        <f t="shared" si="31"/>
        <v>2418482.9663514472</v>
      </c>
      <c r="BG16" s="108">
        <f>'Op Cost-25'!E9</f>
        <v>10488989</v>
      </c>
      <c r="BH16" s="109">
        <f t="shared" si="22"/>
        <v>0.23057350583087152</v>
      </c>
      <c r="BI16" s="110">
        <f t="shared" si="23"/>
        <v>2418482.9663514472</v>
      </c>
      <c r="BJ16" s="111">
        <f t="shared" si="24"/>
        <v>0</v>
      </c>
      <c r="BK16" s="1">
        <f t="shared" si="32"/>
        <v>1.4574859213783635</v>
      </c>
      <c r="BL16" s="294">
        <f t="shared" si="33"/>
        <v>1.4534572940246089</v>
      </c>
      <c r="BM16" s="294">
        <f t="shared" si="34"/>
        <v>1.9758149685673196</v>
      </c>
      <c r="BN16" s="295">
        <f t="shared" si="35"/>
        <v>1.2003357114607625</v>
      </c>
      <c r="BO16" s="114">
        <f t="shared" si="25"/>
        <v>2418482.9663514472</v>
      </c>
      <c r="BP16" s="296">
        <f t="shared" si="36"/>
        <v>1.4574859213783635</v>
      </c>
      <c r="BQ16" s="116">
        <f t="shared" si="37"/>
        <v>2.883581842003672E-2</v>
      </c>
      <c r="BR16" s="297">
        <f t="shared" si="38"/>
        <v>2.883581842003672E-2</v>
      </c>
      <c r="BS16" s="302">
        <f t="shared" si="39"/>
        <v>3.2233695048758754E-2</v>
      </c>
      <c r="BT16" s="298">
        <f t="shared" si="40"/>
        <v>2695519.1493959478</v>
      </c>
      <c r="BU16" s="119">
        <f t="shared" si="41"/>
        <v>3146696.6999999997</v>
      </c>
      <c r="BV16" s="119">
        <f t="shared" si="42"/>
        <v>2695519.1493959478</v>
      </c>
      <c r="BW16" s="119">
        <f t="shared" si="43"/>
        <v>0</v>
      </c>
      <c r="BX16" s="120">
        <f t="shared" si="44"/>
        <v>2.883581842003672E-2</v>
      </c>
      <c r="BY16" s="121">
        <f t="shared" si="45"/>
        <v>5.7131119267275633E-2</v>
      </c>
      <c r="BZ16" s="299">
        <f t="shared" si="46"/>
        <v>2744845.9500963599</v>
      </c>
      <c r="CA16" s="109">
        <f t="shared" si="26"/>
        <v>2.1966377495999563E-2</v>
      </c>
      <c r="CB16" s="123">
        <f t="shared" si="27"/>
        <v>188792.54666897608</v>
      </c>
      <c r="CC16" s="111">
        <f>ROUND((CB16+BI16),0)</f>
        <v>2607276</v>
      </c>
      <c r="CE16" s="124">
        <f t="shared" si="28"/>
        <v>0</v>
      </c>
      <c r="CF16" s="17"/>
      <c r="CG16" s="108">
        <f t="shared" si="47"/>
        <v>10488989</v>
      </c>
      <c r="CH16" s="125">
        <f t="shared" si="48"/>
        <v>0.24857266987314031</v>
      </c>
      <c r="CI16" s="110">
        <f t="shared" si="49"/>
        <v>2695519.1493959478</v>
      </c>
      <c r="CJ16" s="300">
        <f t="shared" si="50"/>
        <v>0</v>
      </c>
      <c r="CL16" s="127">
        <f t="shared" si="51"/>
        <v>2695519.1493959478</v>
      </c>
      <c r="CM16" s="128">
        <f t="shared" si="52"/>
        <v>3.1370034075448194E-2</v>
      </c>
      <c r="CN16" s="129">
        <f t="shared" si="53"/>
        <v>27084.7733888369</v>
      </c>
      <c r="CO16" s="130">
        <f>ROUND((CN16+CI16),0)</f>
        <v>2722604</v>
      </c>
      <c r="CQ16" s="131">
        <f t="shared" si="54"/>
        <v>0.26168832383143503</v>
      </c>
      <c r="CR16" s="301"/>
    </row>
    <row r="17" spans="1:96">
      <c r="A17" s="136"/>
      <c r="B17" s="137"/>
      <c r="C17" s="138"/>
      <c r="D17" s="139"/>
      <c r="E17" s="139"/>
      <c r="F17" s="139"/>
      <c r="G17" s="140"/>
      <c r="H17" s="141"/>
      <c r="J17" s="142"/>
      <c r="K17" s="143"/>
      <c r="L17" s="143"/>
      <c r="M17" s="207"/>
      <c r="N17" s="144"/>
      <c r="O17" s="145"/>
      <c r="P17" s="146"/>
      <c r="Q17" s="142"/>
      <c r="R17" s="143"/>
      <c r="S17" s="143"/>
      <c r="T17" s="207"/>
      <c r="U17" s="144"/>
      <c r="V17" s="145"/>
      <c r="W17" s="146"/>
      <c r="X17" s="142"/>
      <c r="Y17" s="143"/>
      <c r="Z17" s="143"/>
      <c r="AA17" s="143"/>
      <c r="AB17" s="144"/>
      <c r="AC17" s="145"/>
      <c r="AD17" s="146"/>
      <c r="AE17" s="142"/>
      <c r="AF17" s="143"/>
      <c r="AG17" s="143"/>
      <c r="AH17" s="143"/>
      <c r="AI17" s="144"/>
      <c r="AJ17" s="145"/>
      <c r="AK17" s="146"/>
      <c r="AL17" s="142"/>
      <c r="AM17" s="143"/>
      <c r="AN17" s="143"/>
      <c r="AO17" s="143"/>
      <c r="AP17" s="147"/>
      <c r="AQ17" s="145"/>
      <c r="AR17" s="146"/>
      <c r="AT17" s="148"/>
      <c r="AU17" s="149"/>
      <c r="AV17" s="149"/>
      <c r="AW17" s="149"/>
      <c r="AX17" s="150"/>
      <c r="AY17" s="293" t="e">
        <f t="shared" si="30"/>
        <v>#DIV/0!</v>
      </c>
      <c r="AZ17" s="151"/>
      <c r="BA17" s="152"/>
      <c r="BB17" s="152"/>
      <c r="BC17" s="152"/>
      <c r="BD17" s="152"/>
      <c r="BE17" s="107">
        <f t="shared" si="31"/>
        <v>0</v>
      </c>
      <c r="BG17" s="153"/>
      <c r="BH17" s="154"/>
      <c r="BI17" s="155"/>
      <c r="BJ17" s="156"/>
      <c r="BK17" s="1">
        <f t="shared" si="32"/>
        <v>0</v>
      </c>
      <c r="BL17" s="294">
        <f t="shared" si="33"/>
        <v>0</v>
      </c>
      <c r="BM17" s="294">
        <f t="shared" si="34"/>
        <v>0</v>
      </c>
      <c r="BN17" s="295">
        <v>0</v>
      </c>
      <c r="BO17" s="157"/>
      <c r="BP17" s="296">
        <f t="shared" si="36"/>
        <v>0</v>
      </c>
      <c r="BQ17" s="116">
        <f t="shared" si="37"/>
        <v>0</v>
      </c>
      <c r="BR17" s="297">
        <f t="shared" si="38"/>
        <v>0</v>
      </c>
      <c r="BS17" s="117">
        <f t="shared" si="39"/>
        <v>0</v>
      </c>
      <c r="BT17" s="298">
        <f t="shared" si="40"/>
        <v>0</v>
      </c>
      <c r="BU17" s="119">
        <f t="shared" si="41"/>
        <v>0</v>
      </c>
      <c r="BV17" s="119">
        <f t="shared" si="42"/>
        <v>0</v>
      </c>
      <c r="BW17" s="119">
        <f t="shared" si="43"/>
        <v>0</v>
      </c>
      <c r="BX17" s="120">
        <f t="shared" si="44"/>
        <v>0</v>
      </c>
      <c r="BY17" s="121">
        <f t="shared" si="45"/>
        <v>0</v>
      </c>
      <c r="BZ17" s="299">
        <f t="shared" si="46"/>
        <v>0</v>
      </c>
      <c r="CA17" s="154"/>
      <c r="CB17" s="158"/>
      <c r="CC17" s="156"/>
      <c r="CE17" s="159"/>
      <c r="CF17" s="17"/>
      <c r="CG17" s="153"/>
      <c r="CH17" s="160"/>
      <c r="CI17" s="110">
        <f t="shared" si="49"/>
        <v>0</v>
      </c>
      <c r="CJ17" s="300">
        <f t="shared" si="50"/>
        <v>0</v>
      </c>
      <c r="CL17" s="127"/>
      <c r="CM17" s="128">
        <f t="shared" si="52"/>
        <v>0</v>
      </c>
      <c r="CN17" s="129">
        <f t="shared" si="53"/>
        <v>0</v>
      </c>
      <c r="CO17" s="162"/>
      <c r="CQ17" s="131" t="e">
        <f t="shared" si="54"/>
        <v>#DIV/0!</v>
      </c>
      <c r="CR17" s="301"/>
    </row>
    <row r="18" spans="1:96">
      <c r="A18" s="133" t="s">
        <v>90</v>
      </c>
      <c r="B18" s="90" t="s">
        <v>91</v>
      </c>
      <c r="C18" s="91">
        <f>'Sizing - Reimb Exp-25'!B11</f>
        <v>4150901</v>
      </c>
      <c r="D18" s="92">
        <f>'Ridership-25'!$E10</f>
        <v>288349</v>
      </c>
      <c r="E18" s="92">
        <f>'Revenue Hours-25'!$E10</f>
        <v>37181</v>
      </c>
      <c r="F18" s="92">
        <f>'Revenue Miles-25'!$E10</f>
        <v>548622</v>
      </c>
      <c r="G18" s="134">
        <f t="shared" si="0"/>
        <v>7.4393007947873352E-3</v>
      </c>
      <c r="H18" s="94">
        <f t="shared" si="1"/>
        <v>7.439300794787336E-3</v>
      </c>
      <c r="J18" s="95">
        <f>'Ridership-25'!B10/'Revenue Hours-25'!B10</f>
        <v>5.5934530095036958</v>
      </c>
      <c r="K18" s="96">
        <f>'Ridership-25'!C10/'Revenue Hours-25'!C10</f>
        <v>3.4815432129025932</v>
      </c>
      <c r="L18" s="96">
        <f>'Ridership-25'!D10/'Revenue Hours-25'!D10</f>
        <v>4.4669216251117509</v>
      </c>
      <c r="M18" s="207">
        <f>'Ridership-25'!E10/'Revenue Hours-25'!K10</f>
        <v>7.7552782335063606</v>
      </c>
      <c r="N18" s="97">
        <f t="shared" si="2"/>
        <v>1.2198287632498523</v>
      </c>
      <c r="O18" s="98">
        <f t="shared" si="3"/>
        <v>9.0746730879490804E-3</v>
      </c>
      <c r="P18" s="99">
        <f t="shared" si="4"/>
        <v>8.4974788076971307E-3</v>
      </c>
      <c r="Q18" s="95">
        <f>'Ridership-25'!B10/'Revenue Miles-25'!B10</f>
        <v>0.3427235145820865</v>
      </c>
      <c r="R18" s="96">
        <f>'Ridership-25'!C10/'Revenue Miles-25'!C10</f>
        <v>0.23255357049300571</v>
      </c>
      <c r="S18" s="96">
        <f>'Ridership-25'!D10/'Revenue Miles-25'!D10</f>
        <v>0.30066694525699961</v>
      </c>
      <c r="T18" s="207">
        <f>'Ridership-25'!E10/'Revenue Miles-25'!K10</f>
        <v>0.52558774529639718</v>
      </c>
      <c r="U18" s="97">
        <f t="shared" si="5"/>
        <v>1.2632311762484385</v>
      </c>
      <c r="V18" s="98">
        <f t="shared" si="6"/>
        <v>9.3975566934651495E-3</v>
      </c>
      <c r="W18" s="99">
        <f t="shared" si="7"/>
        <v>8.795506661018606E-3</v>
      </c>
      <c r="X18" s="95">
        <f>'Op Cost-25'!B11/'Revenue Hours-25'!B10</f>
        <v>71.54291748378337</v>
      </c>
      <c r="Y18" s="96">
        <f>'Op Cost-25'!C11/'Revenue Hours-25'!C10</f>
        <v>97.854576204715912</v>
      </c>
      <c r="Z18" s="96">
        <f>'Op Cost-25'!D11/'Revenue Hours-25'!D10</f>
        <v>112.67122777391477</v>
      </c>
      <c r="AA18" s="96">
        <f>'Op Cost-25'!E11/'Revenue Hours-25'!E10</f>
        <v>122.86288695839272</v>
      </c>
      <c r="AB18" s="97">
        <f t="shared" si="8"/>
        <v>1.1468704387138906</v>
      </c>
      <c r="AC18" s="98">
        <f t="shared" si="9"/>
        <v>6.4866095974448739E-3</v>
      </c>
      <c r="AD18" s="99">
        <f t="shared" si="10"/>
        <v>6.9196498570535678E-3</v>
      </c>
      <c r="AE18" s="95">
        <f>'Op Cost-25'!B11/'Revenue Miles-25'!B10</f>
        <v>4.38359633697433</v>
      </c>
      <c r="AF18" s="96">
        <f>'Op Cost-25'!C11/'Revenue Miles-25'!C10</f>
        <v>6.5363057971394145</v>
      </c>
      <c r="AG18" s="96">
        <f>'Op Cost-25'!D11/'Revenue Miles-25'!D10</f>
        <v>7.5838612620142083</v>
      </c>
      <c r="AH18" s="96">
        <f>'Op Cost-25'!E11/'Revenue Miles-25'!E10</f>
        <v>8.3266165046243135</v>
      </c>
      <c r="AI18" s="97">
        <f t="shared" si="11"/>
        <v>1.1891379558716986</v>
      </c>
      <c r="AJ18" s="98">
        <f t="shared" si="12"/>
        <v>6.2560451948015993E-3</v>
      </c>
      <c r="AK18" s="99">
        <f t="shared" si="13"/>
        <v>6.6580028322121522E-3</v>
      </c>
      <c r="AL18" s="95">
        <f>'Op Cost-25'!B11/'Ridership-25'!B10</f>
        <v>12.790474392513282</v>
      </c>
      <c r="AM18" s="96">
        <f>'Op Cost-25'!C11/'Ridership-25'!C10</f>
        <v>28.106667136018022</v>
      </c>
      <c r="AN18" s="96">
        <f>'Op Cost-25'!D11/'Ridership-25'!D10</f>
        <v>25.223461978940815</v>
      </c>
      <c r="AO18" s="96">
        <f>'Op Cost-25'!E11/'Ridership-25'!E10</f>
        <v>15.842486015210735</v>
      </c>
      <c r="AP18" s="100">
        <f t="shared" si="14"/>
        <v>0.96170318816631051</v>
      </c>
      <c r="AQ18" s="98">
        <f t="shared" si="15"/>
        <v>7.7355476058802814E-3</v>
      </c>
      <c r="AR18" s="99">
        <f t="shared" si="16"/>
        <v>8.3987099381333443E-3</v>
      </c>
      <c r="AT18" s="101">
        <f t="shared" si="29"/>
        <v>0</v>
      </c>
      <c r="AU18" s="102">
        <f t="shared" si="17"/>
        <v>0</v>
      </c>
      <c r="AV18" s="102">
        <f t="shared" si="18"/>
        <v>0</v>
      </c>
      <c r="AW18" s="102">
        <f t="shared" si="19"/>
        <v>0</v>
      </c>
      <c r="AX18" s="103">
        <f t="shared" si="20"/>
        <v>0</v>
      </c>
      <c r="AY18" s="293">
        <f t="shared" si="30"/>
        <v>-1</v>
      </c>
      <c r="AZ18" s="105">
        <f t="shared" si="21"/>
        <v>0</v>
      </c>
      <c r="BA18" s="106">
        <f t="shared" si="21"/>
        <v>0</v>
      </c>
      <c r="BB18" s="106">
        <f t="shared" si="21"/>
        <v>0</v>
      </c>
      <c r="BC18" s="106">
        <f t="shared" si="21"/>
        <v>0</v>
      </c>
      <c r="BD18" s="106">
        <f t="shared" si="21"/>
        <v>0</v>
      </c>
      <c r="BE18" s="107">
        <f t="shared" si="31"/>
        <v>909383.85215288657</v>
      </c>
      <c r="BG18" s="108">
        <f>'Op Cost-25'!E11</f>
        <v>4568165</v>
      </c>
      <c r="BH18" s="109">
        <f t="shared" si="22"/>
        <v>0.19906983485773533</v>
      </c>
      <c r="BI18" s="110">
        <f t="shared" si="23"/>
        <v>909383.85215288657</v>
      </c>
      <c r="BJ18" s="111">
        <f t="shared" si="24"/>
        <v>0</v>
      </c>
      <c r="BK18" s="1">
        <f t="shared" si="32"/>
        <v>0.70464115747244649</v>
      </c>
      <c r="BL18" s="294">
        <f t="shared" si="33"/>
        <v>0.72445074148289001</v>
      </c>
      <c r="BM18" s="294">
        <f t="shared" si="34"/>
        <v>0.70840249748359463</v>
      </c>
      <c r="BN18" s="295">
        <f t="shared" si="35"/>
        <v>0.69285569546165071</v>
      </c>
      <c r="BO18" s="114">
        <f t="shared" si="25"/>
        <v>909383.85215288657</v>
      </c>
      <c r="BP18" s="296">
        <f t="shared" si="36"/>
        <v>0.70464115747244649</v>
      </c>
      <c r="BQ18" s="116">
        <f t="shared" si="37"/>
        <v>5.2420375228246392E-3</v>
      </c>
      <c r="BR18" s="297">
        <f t="shared" si="38"/>
        <v>5.2420375228246392E-3</v>
      </c>
      <c r="BS18" s="117">
        <f t="shared" si="39"/>
        <v>5.8597344623126874E-3</v>
      </c>
      <c r="BT18" s="298">
        <f t="shared" si="40"/>
        <v>959746.01096334343</v>
      </c>
      <c r="BU18" s="119">
        <f t="shared" si="41"/>
        <v>1370449.5</v>
      </c>
      <c r="BV18" s="119">
        <f t="shared" si="42"/>
        <v>959746.01096334343</v>
      </c>
      <c r="BW18" s="119">
        <f t="shared" si="43"/>
        <v>0</v>
      </c>
      <c r="BX18" s="120">
        <f t="shared" si="44"/>
        <v>5.2420375228246392E-3</v>
      </c>
      <c r="BY18" s="121">
        <f t="shared" si="45"/>
        <v>1.0385814841722367E-2</v>
      </c>
      <c r="BZ18" s="299">
        <f t="shared" si="46"/>
        <v>968713.08574464335</v>
      </c>
      <c r="CA18" s="109">
        <f t="shared" si="26"/>
        <v>8.2596690830915379E-3</v>
      </c>
      <c r="CB18" s="123">
        <f t="shared" ref="CB18:CB50" si="57">CA18*$BO$6</f>
        <v>70988.671715390665</v>
      </c>
      <c r="CC18" s="111">
        <f t="shared" si="56"/>
        <v>980373</v>
      </c>
      <c r="CE18" s="124">
        <f t="shared" si="28"/>
        <v>0</v>
      </c>
      <c r="CF18" s="17"/>
      <c r="CG18" s="108">
        <f t="shared" si="47"/>
        <v>4568165</v>
      </c>
      <c r="CH18" s="125">
        <f t="shared" si="48"/>
        <v>0.21460980503112301</v>
      </c>
      <c r="CI18" s="110">
        <f t="shared" si="49"/>
        <v>959746.01096334343</v>
      </c>
      <c r="CJ18" s="300">
        <f t="shared" si="50"/>
        <v>0</v>
      </c>
      <c r="CL18" s="127">
        <f t="shared" si="51"/>
        <v>959746.01096334343</v>
      </c>
      <c r="CM18" s="128">
        <f t="shared" si="52"/>
        <v>1.1169375322168438E-2</v>
      </c>
      <c r="CN18" s="129">
        <f t="shared" si="53"/>
        <v>9643.5980518289289</v>
      </c>
      <c r="CO18" s="130">
        <f t="shared" si="55"/>
        <v>969390</v>
      </c>
      <c r="CQ18" s="131">
        <f t="shared" si="54"/>
        <v>0.21205737659314919</v>
      </c>
      <c r="CR18" s="301"/>
    </row>
    <row r="19" spans="1:96">
      <c r="A19" s="133" t="s">
        <v>92</v>
      </c>
      <c r="B19" s="90" t="s">
        <v>93</v>
      </c>
      <c r="C19" s="91">
        <f>'Sizing - Reimb Exp-25'!B12</f>
        <v>1970225</v>
      </c>
      <c r="D19" s="92">
        <f>'Ridership-25'!$E11</f>
        <v>75077</v>
      </c>
      <c r="E19" s="92">
        <f>'Revenue Hours-25'!$E11</f>
        <v>22410</v>
      </c>
      <c r="F19" s="92">
        <f>'Revenue Miles-25'!$E11</f>
        <v>442128</v>
      </c>
      <c r="G19" s="134">
        <f t="shared" si="0"/>
        <v>3.6638163806052642E-3</v>
      </c>
      <c r="H19" s="94">
        <f t="shared" si="1"/>
        <v>3.6638163806052646E-3</v>
      </c>
      <c r="J19" s="95">
        <f>'Ridership-25'!B11/'Revenue Hours-25'!B11</f>
        <v>6.7021276595744679</v>
      </c>
      <c r="K19" s="96">
        <f>'Ridership-25'!C11/'Revenue Hours-25'!C11</f>
        <v>5.361326293975428</v>
      </c>
      <c r="L19" s="96">
        <f>'Ridership-25'!D11/'Revenue Hours-25'!D11</f>
        <v>3.4816356739753909</v>
      </c>
      <c r="M19" s="207">
        <f>'Ridership-25'!E11/'Revenue Hours-25'!K11</f>
        <v>3.3501561802766622</v>
      </c>
      <c r="N19" s="97">
        <f t="shared" si="2"/>
        <v>0.9553120857071894</v>
      </c>
      <c r="O19" s="98">
        <f t="shared" si="3"/>
        <v>3.5000880682041812E-3</v>
      </c>
      <c r="P19" s="99">
        <f t="shared" si="4"/>
        <v>3.2774650829168806E-3</v>
      </c>
      <c r="Q19" s="95">
        <f>'Ridership-25'!B11/'Revenue Miles-25'!B11</f>
        <v>0.35838935027674113</v>
      </c>
      <c r="R19" s="96">
        <f>'Ridership-25'!C11/'Revenue Miles-25'!C11</f>
        <v>0.29459705668644059</v>
      </c>
      <c r="S19" s="96">
        <f>'Ridership-25'!D11/'Revenue Miles-25'!D11</f>
        <v>0.18135424146189841</v>
      </c>
      <c r="T19" s="207">
        <f>'Ridership-25'!E11/'Revenue Miles-25'!K11</f>
        <v>0.16980829081171064</v>
      </c>
      <c r="U19" s="97">
        <f t="shared" si="5"/>
        <v>0.94938316718089533</v>
      </c>
      <c r="V19" s="98">
        <f t="shared" si="6"/>
        <v>3.4783655993882705E-3</v>
      </c>
      <c r="W19" s="99">
        <f t="shared" si="7"/>
        <v>3.2555257495974336E-3</v>
      </c>
      <c r="X19" s="95">
        <f>'Op Cost-25'!B12/'Revenue Hours-25'!B11</f>
        <v>66.919313392948922</v>
      </c>
      <c r="Y19" s="96">
        <f>'Op Cost-25'!C12/'Revenue Hours-25'!C11</f>
        <v>71.305225243005879</v>
      </c>
      <c r="Z19" s="96">
        <f>'Op Cost-25'!D12/'Revenue Hours-25'!D11</f>
        <v>79.874363955962622</v>
      </c>
      <c r="AA19" s="96">
        <f>'Op Cost-25'!E12/'Revenue Hours-25'!E11</f>
        <v>87.91722445336903</v>
      </c>
      <c r="AB19" s="97">
        <f t="shared" si="8"/>
        <v>1.0576341091476011</v>
      </c>
      <c r="AC19" s="98">
        <f t="shared" si="9"/>
        <v>3.4641624631018306E-3</v>
      </c>
      <c r="AD19" s="99">
        <f t="shared" si="10"/>
        <v>3.6954268531985027E-3</v>
      </c>
      <c r="AE19" s="95">
        <f>'Op Cost-25'!B12/'Revenue Miles-25'!B11</f>
        <v>3.578441125871858</v>
      </c>
      <c r="AF19" s="96">
        <f>'Op Cost-25'!C12/'Revenue Miles-25'!C11</f>
        <v>3.9181180795800845</v>
      </c>
      <c r="AG19" s="96">
        <f>'Op Cost-25'!D12/'Revenue Miles-25'!D11</f>
        <v>4.1605601630756928</v>
      </c>
      <c r="AH19" s="96">
        <f>'Op Cost-25'!E12/'Revenue Miles-25'!E11</f>
        <v>4.456232131871313</v>
      </c>
      <c r="AI19" s="97">
        <f t="shared" si="11"/>
        <v>1.0394400432187054</v>
      </c>
      <c r="AJ19" s="98">
        <f t="shared" si="12"/>
        <v>3.5247981877434484E-3</v>
      </c>
      <c r="AK19" s="99">
        <f t="shared" si="13"/>
        <v>3.7512702651944945E-3</v>
      </c>
      <c r="AL19" s="95">
        <f>'Op Cost-25'!B12/'Ridership-25'!B11</f>
        <v>9.9847864427574571</v>
      </c>
      <c r="AM19" s="96">
        <f>'Op Cost-25'!C12/'Ridership-25'!C11</f>
        <v>13.299922693220932</v>
      </c>
      <c r="AN19" s="96">
        <f>'Op Cost-25'!D12/'Ridership-25'!D11</f>
        <v>22.941620386363031</v>
      </c>
      <c r="AO19" s="96">
        <f>'Op Cost-25'!E12/'Ridership-25'!E11</f>
        <v>26.242724136553139</v>
      </c>
      <c r="AP19" s="100">
        <f t="shared" si="14"/>
        <v>1.4157977453231483</v>
      </c>
      <c r="AQ19" s="98">
        <f t="shared" si="15"/>
        <v>2.5878105772579956E-3</v>
      </c>
      <c r="AR19" s="99">
        <f t="shared" si="16"/>
        <v>2.8096615159735705E-3</v>
      </c>
      <c r="AT19" s="101">
        <f t="shared" si="29"/>
        <v>0</v>
      </c>
      <c r="AU19" s="102">
        <f t="shared" si="17"/>
        <v>0</v>
      </c>
      <c r="AV19" s="102">
        <f t="shared" si="18"/>
        <v>0</v>
      </c>
      <c r="AW19" s="102">
        <f t="shared" si="19"/>
        <v>0</v>
      </c>
      <c r="AX19" s="103">
        <f t="shared" si="20"/>
        <v>0</v>
      </c>
      <c r="AY19" s="293">
        <f t="shared" si="30"/>
        <v>-1</v>
      </c>
      <c r="AZ19" s="105">
        <f t="shared" si="21"/>
        <v>0</v>
      </c>
      <c r="BA19" s="106">
        <f t="shared" si="21"/>
        <v>0</v>
      </c>
      <c r="BB19" s="106">
        <f t="shared" si="21"/>
        <v>0</v>
      </c>
      <c r="BC19" s="106">
        <f t="shared" si="21"/>
        <v>0</v>
      </c>
      <c r="BD19" s="106">
        <f t="shared" si="21"/>
        <v>0</v>
      </c>
      <c r="BE19" s="107">
        <f t="shared" si="31"/>
        <v>447866.74792209518</v>
      </c>
      <c r="BG19" s="108">
        <f>'Op Cost-25'!E12</f>
        <v>1970225</v>
      </c>
      <c r="BH19" s="109">
        <f t="shared" si="22"/>
        <v>0.227317564198046</v>
      </c>
      <c r="BI19" s="110">
        <f t="shared" si="23"/>
        <v>447866.74792209518</v>
      </c>
      <c r="BJ19" s="111">
        <f t="shared" si="24"/>
        <v>0</v>
      </c>
      <c r="BK19" s="1">
        <f t="shared" si="32"/>
        <v>0.34459116306146964</v>
      </c>
      <c r="BL19" s="294">
        <f t="shared" si="33"/>
        <v>0.31295113544721848</v>
      </c>
      <c r="BM19" s="294">
        <f t="shared" si="34"/>
        <v>0.22887256862619423</v>
      </c>
      <c r="BN19" s="295">
        <f t="shared" si="35"/>
        <v>0.41827047408623291</v>
      </c>
      <c r="BO19" s="114">
        <f t="shared" si="25"/>
        <v>447866.74792209518</v>
      </c>
      <c r="BP19" s="296">
        <f t="shared" si="36"/>
        <v>0.34459116306146964</v>
      </c>
      <c r="BQ19" s="116">
        <f t="shared" si="37"/>
        <v>1.2625187478364323E-3</v>
      </c>
      <c r="BR19" s="297">
        <f t="shared" si="38"/>
        <v>1.2625187478364323E-3</v>
      </c>
      <c r="BS19" s="117">
        <f t="shared" si="39"/>
        <v>1.4112879932279892E-3</v>
      </c>
      <c r="BT19" s="298">
        <f t="shared" si="40"/>
        <v>459996.22418068099</v>
      </c>
      <c r="BU19" s="119">
        <f t="shared" si="41"/>
        <v>591067.5</v>
      </c>
      <c r="BV19" s="119">
        <f t="shared" si="42"/>
        <v>459996.22418068099</v>
      </c>
      <c r="BW19" s="119">
        <f t="shared" si="43"/>
        <v>0</v>
      </c>
      <c r="BX19" s="120">
        <f t="shared" si="44"/>
        <v>1.2625187478364323E-3</v>
      </c>
      <c r="BY19" s="121">
        <f t="shared" si="45"/>
        <v>2.501372012722046E-3</v>
      </c>
      <c r="BZ19" s="299">
        <f t="shared" si="46"/>
        <v>462155.8996838319</v>
      </c>
      <c r="CA19" s="109">
        <f t="shared" si="26"/>
        <v>4.0678434331105342E-3</v>
      </c>
      <c r="CB19" s="123">
        <f t="shared" si="57"/>
        <v>34961.546177901655</v>
      </c>
      <c r="CC19" s="111">
        <f t="shared" si="56"/>
        <v>482828</v>
      </c>
      <c r="CE19" s="124">
        <f t="shared" si="28"/>
        <v>0</v>
      </c>
      <c r="CF19" s="17"/>
      <c r="CG19" s="108">
        <f t="shared" si="47"/>
        <v>1970225</v>
      </c>
      <c r="CH19" s="125">
        <f t="shared" si="48"/>
        <v>0.24506236597342942</v>
      </c>
      <c r="CI19" s="110">
        <f t="shared" si="49"/>
        <v>459996.22418068099</v>
      </c>
      <c r="CJ19" s="300">
        <f t="shared" si="50"/>
        <v>0</v>
      </c>
      <c r="CL19" s="127">
        <f t="shared" si="51"/>
        <v>459996.22418068099</v>
      </c>
      <c r="CM19" s="128">
        <f t="shared" si="52"/>
        <v>5.3533647610550942E-3</v>
      </c>
      <c r="CN19" s="129">
        <f t="shared" si="53"/>
        <v>4622.0756749015627</v>
      </c>
      <c r="CO19" s="130">
        <f t="shared" si="55"/>
        <v>464618</v>
      </c>
      <c r="CQ19" s="131">
        <f t="shared" si="54"/>
        <v>0.23457011239012393</v>
      </c>
      <c r="CR19" s="301"/>
    </row>
    <row r="20" spans="1:96">
      <c r="A20" s="133" t="s">
        <v>92</v>
      </c>
      <c r="B20" s="90" t="s">
        <v>94</v>
      </c>
      <c r="C20" s="91">
        <f>'Sizing - Reimb Exp-25'!B13</f>
        <v>192534</v>
      </c>
      <c r="D20" s="92">
        <f>'Ridership-25'!$E12</f>
        <v>10861</v>
      </c>
      <c r="E20" s="92">
        <f>'Revenue Hours-25'!$E12</f>
        <v>3108</v>
      </c>
      <c r="F20" s="92">
        <f>'Revenue Miles-25'!$E12</f>
        <v>54991</v>
      </c>
      <c r="G20" s="134">
        <f t="shared" si="0"/>
        <v>4.4270615944580407E-4</v>
      </c>
      <c r="H20" s="94">
        <f t="shared" si="1"/>
        <v>4.4270615944580412E-4</v>
      </c>
      <c r="J20" s="95">
        <f>'Ridership-25'!B12/'Revenue Hours-25'!B12</f>
        <v>2.5672572178477688</v>
      </c>
      <c r="K20" s="96">
        <f>'Ridership-25'!C12/'Revenue Hours-25'!C12</f>
        <v>1.3415032679738561</v>
      </c>
      <c r="L20" s="96">
        <f>'Ridership-25'!D12/'Revenue Hours-25'!D12</f>
        <v>1.759546925566343</v>
      </c>
      <c r="M20" s="207">
        <f>'Ridership-25'!E12/'Revenue Hours-25'!K12</f>
        <v>3.4945302445302446</v>
      </c>
      <c r="N20" s="97">
        <f t="shared" si="2"/>
        <v>1.2320810455604696</v>
      </c>
      <c r="O20" s="98">
        <f t="shared" si="3"/>
        <v>5.4544986780604636E-4</v>
      </c>
      <c r="P20" s="99">
        <f t="shared" si="4"/>
        <v>5.1075654708687701E-4</v>
      </c>
      <c r="Q20" s="95">
        <f>'Ridership-25'!B12/'Revenue Miles-25'!B12</f>
        <v>0.14723314580314975</v>
      </c>
      <c r="R20" s="96">
        <f>'Ridership-25'!C12/'Revenue Miles-25'!C12</f>
        <v>8.4451119157340354E-2</v>
      </c>
      <c r="S20" s="96">
        <f>'Ridership-25'!D12/'Revenue Miles-25'!D12</f>
        <v>0.10382691059084138</v>
      </c>
      <c r="T20" s="207">
        <f>'Ridership-25'!E12/'Revenue Miles-25'!K12</f>
        <v>0.19750504628030041</v>
      </c>
      <c r="U20" s="97">
        <f t="shared" si="5"/>
        <v>1.2222489720634329</v>
      </c>
      <c r="V20" s="98">
        <f t="shared" si="6"/>
        <v>5.4109714830878435E-4</v>
      </c>
      <c r="W20" s="99">
        <f t="shared" si="7"/>
        <v>5.0643201498508047E-4</v>
      </c>
      <c r="X20" s="95">
        <f>'Op Cost-25'!B13/'Revenue Hours-25'!B12</f>
        <v>44.952755905511808</v>
      </c>
      <c r="Y20" s="96">
        <f>'Op Cost-25'!C13/'Revenue Hours-25'!C12</f>
        <v>49.306209150326801</v>
      </c>
      <c r="Z20" s="96">
        <f>'Op Cost-25'!D13/'Revenue Hours-25'!D12</f>
        <v>54.219417475728157</v>
      </c>
      <c r="AA20" s="96">
        <f>'Op Cost-25'!E13/'Revenue Hours-25'!E12</f>
        <v>62.816602316602314</v>
      </c>
      <c r="AB20" s="97">
        <f t="shared" si="8"/>
        <v>1.0800743947036444</v>
      </c>
      <c r="AC20" s="98">
        <f t="shared" si="9"/>
        <v>4.0988487609436921E-4</v>
      </c>
      <c r="AD20" s="99">
        <f t="shared" si="10"/>
        <v>4.3724842410618425E-4</v>
      </c>
      <c r="AE20" s="95">
        <f>'Op Cost-25'!B13/'Revenue Miles-25'!B12</f>
        <v>2.5780570869475228</v>
      </c>
      <c r="AF20" s="96">
        <f>'Op Cost-25'!C13/'Revenue Miles-25'!C12</f>
        <v>3.103954081632653</v>
      </c>
      <c r="AG20" s="96">
        <f>'Op Cost-25'!D13/'Revenue Miles-25'!D12</f>
        <v>3.1993660008402398</v>
      </c>
      <c r="AH20" s="96">
        <f>'Op Cost-25'!E13/'Revenue Miles-25'!E12</f>
        <v>3.5502900474623118</v>
      </c>
      <c r="AI20" s="97">
        <f t="shared" si="11"/>
        <v>1.0719789765841485</v>
      </c>
      <c r="AJ20" s="98">
        <f t="shared" si="12"/>
        <v>4.1298026278134987E-4</v>
      </c>
      <c r="AK20" s="99">
        <f t="shared" si="13"/>
        <v>4.395146891730769E-4</v>
      </c>
      <c r="AL20" s="95">
        <f>'Op Cost-25'!B13/'Ridership-25'!B12</f>
        <v>17.510031948881789</v>
      </c>
      <c r="AM20" s="96">
        <f>'Op Cost-25'!C13/'Ridership-25'!C12</f>
        <v>36.754445797807549</v>
      </c>
      <c r="AN20" s="96">
        <f>'Op Cost-25'!D13/'Ridership-25'!D12</f>
        <v>30.814419716755562</v>
      </c>
      <c r="AO20" s="96">
        <f>'Op Cost-25'!E13/'Ridership-25'!E12</f>
        <v>17.97569284596262</v>
      </c>
      <c r="AP20" s="100">
        <f t="shared" si="14"/>
        <v>0.90344938129174057</v>
      </c>
      <c r="AQ20" s="98">
        <f t="shared" si="15"/>
        <v>4.9001766851932359E-4</v>
      </c>
      <c r="AR20" s="99">
        <f t="shared" si="16"/>
        <v>5.3202649277547061E-4</v>
      </c>
      <c r="AT20" s="101">
        <f t="shared" si="29"/>
        <v>0</v>
      </c>
      <c r="AU20" s="102">
        <f t="shared" si="17"/>
        <v>0</v>
      </c>
      <c r="AV20" s="102">
        <f t="shared" si="18"/>
        <v>0</v>
      </c>
      <c r="AW20" s="102">
        <f t="shared" si="19"/>
        <v>0</v>
      </c>
      <c r="AX20" s="103">
        <f t="shared" si="20"/>
        <v>0</v>
      </c>
      <c r="AY20" s="293">
        <f t="shared" si="30"/>
        <v>-1</v>
      </c>
      <c r="AZ20" s="105">
        <f t="shared" si="21"/>
        <v>0</v>
      </c>
      <c r="BA20" s="106">
        <f t="shared" si="21"/>
        <v>0</v>
      </c>
      <c r="BB20" s="106">
        <f t="shared" si="21"/>
        <v>0</v>
      </c>
      <c r="BC20" s="106">
        <f t="shared" si="21"/>
        <v>0</v>
      </c>
      <c r="BD20" s="106">
        <f t="shared" si="21"/>
        <v>0</v>
      </c>
      <c r="BE20" s="107">
        <f t="shared" si="31"/>
        <v>54116.622482952582</v>
      </c>
      <c r="BG20" s="108">
        <f>'Op Cost-25'!E13</f>
        <v>195234</v>
      </c>
      <c r="BH20" s="109">
        <f t="shared" si="22"/>
        <v>0.27718851472055372</v>
      </c>
      <c r="BI20" s="110">
        <f t="shared" si="23"/>
        <v>54116.622482952582</v>
      </c>
      <c r="BJ20" s="111">
        <f t="shared" si="24"/>
        <v>0</v>
      </c>
      <c r="BK20" s="1">
        <f t="shared" si="32"/>
        <v>0.45347683634350167</v>
      </c>
      <c r="BL20" s="294">
        <f t="shared" si="33"/>
        <v>0.32643767903085441</v>
      </c>
      <c r="BM20" s="294">
        <f t="shared" si="34"/>
        <v>0.26620306371807795</v>
      </c>
      <c r="BN20" s="295">
        <f t="shared" si="35"/>
        <v>0.61063330131253712</v>
      </c>
      <c r="BO20" s="114">
        <f t="shared" si="25"/>
        <v>54116.622482952582</v>
      </c>
      <c r="BP20" s="296">
        <f t="shared" si="36"/>
        <v>0.45347683634350167</v>
      </c>
      <c r="BQ20" s="116">
        <f t="shared" si="37"/>
        <v>2.0075698861526508E-4</v>
      </c>
      <c r="BR20" s="297">
        <f t="shared" si="38"/>
        <v>2.0075698861526508E-4</v>
      </c>
      <c r="BS20" s="117">
        <f t="shared" si="39"/>
        <v>2.2441324382300456E-4</v>
      </c>
      <c r="BT20" s="298">
        <f t="shared" si="40"/>
        <v>56045.367803627632</v>
      </c>
      <c r="BU20" s="119">
        <f t="shared" si="41"/>
        <v>58570.2</v>
      </c>
      <c r="BV20" s="119">
        <f t="shared" si="42"/>
        <v>56045.367803627632</v>
      </c>
      <c r="BW20" s="119">
        <f t="shared" si="43"/>
        <v>0</v>
      </c>
      <c r="BX20" s="120">
        <f t="shared" si="44"/>
        <v>2.0075698861526508E-4</v>
      </c>
      <c r="BY20" s="121">
        <f t="shared" si="45"/>
        <v>3.9775085600997481E-4</v>
      </c>
      <c r="BZ20" s="299">
        <f t="shared" si="46"/>
        <v>56388.784446859063</v>
      </c>
      <c r="CA20" s="109">
        <f t="shared" si="26"/>
        <v>4.9152554506612487E-4</v>
      </c>
      <c r="CB20" s="123">
        <f t="shared" si="57"/>
        <v>4224.4725796408638</v>
      </c>
      <c r="CC20" s="111">
        <f t="shared" si="56"/>
        <v>58341</v>
      </c>
      <c r="CE20" s="124">
        <f t="shared" si="28"/>
        <v>0</v>
      </c>
      <c r="CF20" s="17"/>
      <c r="CG20" s="108">
        <f t="shared" si="47"/>
        <v>195234</v>
      </c>
      <c r="CH20" s="125">
        <f t="shared" si="48"/>
        <v>0.29882602415562864</v>
      </c>
      <c r="CI20" s="110">
        <f t="shared" si="49"/>
        <v>56045.367803627632</v>
      </c>
      <c r="CJ20" s="300">
        <f t="shared" si="50"/>
        <v>0</v>
      </c>
      <c r="CL20" s="127">
        <f t="shared" si="51"/>
        <v>0</v>
      </c>
      <c r="CM20" s="128">
        <f t="shared" si="52"/>
        <v>0</v>
      </c>
      <c r="CN20" s="129">
        <f t="shared" si="53"/>
        <v>0</v>
      </c>
      <c r="CO20" s="130">
        <f t="shared" si="55"/>
        <v>56045</v>
      </c>
      <c r="CQ20" s="131">
        <f t="shared" si="54"/>
        <v>0.28882666157974052</v>
      </c>
      <c r="CR20" s="301"/>
    </row>
    <row r="21" spans="1:96">
      <c r="A21" s="133" t="s">
        <v>92</v>
      </c>
      <c r="B21" s="90" t="s">
        <v>95</v>
      </c>
      <c r="C21" s="91">
        <f>'Sizing - Reimb Exp-25'!B14</f>
        <v>119888784</v>
      </c>
      <c r="D21" s="92">
        <f>'Ridership-25'!$E13</f>
        <v>7133773</v>
      </c>
      <c r="E21" s="92">
        <f>'Revenue Hours-25'!$E13</f>
        <v>955047</v>
      </c>
      <c r="F21" s="92">
        <f>'Revenue Miles-25'!$E13</f>
        <v>13757219</v>
      </c>
      <c r="G21" s="134">
        <f t="shared" si="0"/>
        <v>0.19711693032351923</v>
      </c>
      <c r="H21" s="94">
        <f t="shared" si="1"/>
        <v>0.19711693032351926</v>
      </c>
      <c r="J21" s="95">
        <f>'Ridership-25'!B13/'Revenue Hours-25'!B13</f>
        <v>12.193537039037592</v>
      </c>
      <c r="K21" s="96">
        <f>'Ridership-25'!C13/'Revenue Hours-25'!C13</f>
        <v>6.640780447028594</v>
      </c>
      <c r="L21" s="96">
        <f>'Ridership-25'!D13/'Revenue Hours-25'!D13</f>
        <v>7.1961861955660096</v>
      </c>
      <c r="M21" s="207">
        <f>'Ridership-25'!E13/'Revenue Hours-25'!K13</f>
        <v>7.4695517602798605</v>
      </c>
      <c r="N21" s="97">
        <f t="shared" si="2"/>
        <v>0.92310493377221914</v>
      </c>
      <c r="O21" s="98">
        <f t="shared" si="3"/>
        <v>0.1819596109116754</v>
      </c>
      <c r="P21" s="99">
        <f t="shared" si="4"/>
        <v>0.17038607590526716</v>
      </c>
      <c r="Q21" s="95">
        <f>'Ridership-25'!B13/'Revenue Miles-25'!B13</f>
        <v>0.90434093823673278</v>
      </c>
      <c r="R21" s="96">
        <f>'Ridership-25'!C13/'Revenue Miles-25'!C13</f>
        <v>0.46622665154015291</v>
      </c>
      <c r="S21" s="96">
        <f>'Ridership-25'!D13/'Revenue Miles-25'!D13</f>
        <v>0.49455273703023678</v>
      </c>
      <c r="T21" s="207">
        <f>'Ridership-25'!E13/'Revenue Miles-25'!K13</f>
        <v>0.51854760762331398</v>
      </c>
      <c r="U21" s="97">
        <f t="shared" si="5"/>
        <v>0.90269772340845067</v>
      </c>
      <c r="V21" s="98">
        <f t="shared" si="6"/>
        <v>0.17793700424830303</v>
      </c>
      <c r="W21" s="99">
        <f t="shared" si="7"/>
        <v>0.16653755408530213</v>
      </c>
      <c r="X21" s="95">
        <f>'Op Cost-25'!B14/'Revenue Hours-25'!B13</f>
        <v>89.156752379659721</v>
      </c>
      <c r="Y21" s="96">
        <f>'Op Cost-25'!C14/'Revenue Hours-25'!C13</f>
        <v>107.97198556298591</v>
      </c>
      <c r="Z21" s="96">
        <f>'Op Cost-25'!D14/'Revenue Hours-25'!D13</f>
        <v>112.49719845156518</v>
      </c>
      <c r="AA21" s="96">
        <f>'Op Cost-25'!E14/'Revenue Hours-25'!E13</f>
        <v>125.82563161812979</v>
      </c>
      <c r="AB21" s="97">
        <f t="shared" si="8"/>
        <v>1.0776912350820134</v>
      </c>
      <c r="AC21" s="98">
        <f t="shared" si="9"/>
        <v>0.18290668412879732</v>
      </c>
      <c r="AD21" s="99">
        <f t="shared" si="10"/>
        <v>0.19511737089658115</v>
      </c>
      <c r="AE21" s="95">
        <f>'Op Cost-25'!B14/'Revenue Miles-25'!B13</f>
        <v>6.6123636512548227</v>
      </c>
      <c r="AF21" s="96">
        <f>'Op Cost-25'!C14/'Revenue Miles-25'!C13</f>
        <v>7.5803465708156237</v>
      </c>
      <c r="AG21" s="96">
        <f>'Op Cost-25'!D14/'Revenue Miles-25'!D13</f>
        <v>7.7312893094311175</v>
      </c>
      <c r="AH21" s="96">
        <f>'Op Cost-25'!E14/'Revenue Miles-25'!E13</f>
        <v>8.735006108429328</v>
      </c>
      <c r="AI21" s="97">
        <f t="shared" si="11"/>
        <v>1.0599998872255201</v>
      </c>
      <c r="AJ21" s="98">
        <f t="shared" si="12"/>
        <v>0.18595938801414388</v>
      </c>
      <c r="AK21" s="99">
        <f t="shared" si="13"/>
        <v>0.19790747884996274</v>
      </c>
      <c r="AL21" s="95">
        <f>'Op Cost-25'!B14/'Ridership-25'!B13</f>
        <v>7.311803957639567</v>
      </c>
      <c r="AM21" s="96">
        <f>'Op Cost-25'!C14/'Ridership-25'!C13</f>
        <v>16.258930170067252</v>
      </c>
      <c r="AN21" s="96">
        <f>'Op Cost-25'!D14/'Ridership-25'!D13</f>
        <v>15.632891561488677</v>
      </c>
      <c r="AO21" s="96">
        <f>'Op Cost-25'!E14/'Ridership-25'!E13</f>
        <v>16.845138189847084</v>
      </c>
      <c r="AP21" s="97">
        <f t="shared" si="14"/>
        <v>1.1852646901926562</v>
      </c>
      <c r="AQ21" s="98">
        <f t="shared" si="15"/>
        <v>0.16630625374613947</v>
      </c>
      <c r="AR21" s="99">
        <f t="shared" si="16"/>
        <v>0.18056355636020685</v>
      </c>
      <c r="AT21" s="101">
        <f t="shared" si="29"/>
        <v>0</v>
      </c>
      <c r="AU21" s="102">
        <f t="shared" si="17"/>
        <v>0</v>
      </c>
      <c r="AV21" s="102">
        <f t="shared" si="18"/>
        <v>0</v>
      </c>
      <c r="AW21" s="102">
        <f t="shared" si="19"/>
        <v>0</v>
      </c>
      <c r="AX21" s="103">
        <f t="shared" si="20"/>
        <v>0</v>
      </c>
      <c r="AY21" s="293">
        <f t="shared" si="30"/>
        <v>-1</v>
      </c>
      <c r="AZ21" s="105">
        <f t="shared" si="21"/>
        <v>0</v>
      </c>
      <c r="BA21" s="106">
        <f t="shared" si="21"/>
        <v>0</v>
      </c>
      <c r="BB21" s="106">
        <f t="shared" si="21"/>
        <v>0</v>
      </c>
      <c r="BC21" s="106">
        <f t="shared" si="21"/>
        <v>0</v>
      </c>
      <c r="BD21" s="106">
        <f t="shared" si="21"/>
        <v>0</v>
      </c>
      <c r="BE21" s="107">
        <f t="shared" si="31"/>
        <v>24095672.209914774</v>
      </c>
      <c r="BG21" s="108">
        <f>'Op Cost-25'!E14</f>
        <v>120169392</v>
      </c>
      <c r="BH21" s="109">
        <f t="shared" si="22"/>
        <v>0.20051422253941981</v>
      </c>
      <c r="BI21" s="110">
        <f t="shared" si="23"/>
        <v>24095672.209914774</v>
      </c>
      <c r="BJ21" s="111">
        <f t="shared" si="24"/>
        <v>0</v>
      </c>
      <c r="BK21" s="1">
        <f t="shared" si="32"/>
        <v>0.67497623289100406</v>
      </c>
      <c r="BL21" s="294">
        <f t="shared" si="33"/>
        <v>0.69775991890273847</v>
      </c>
      <c r="BM21" s="294">
        <f t="shared" si="34"/>
        <v>0.69891359452709967</v>
      </c>
      <c r="BN21" s="295">
        <f t="shared" si="35"/>
        <v>0.6516157090670891</v>
      </c>
      <c r="BO21" s="114">
        <f t="shared" si="25"/>
        <v>24095672.209914774</v>
      </c>
      <c r="BP21" s="296">
        <f t="shared" si="36"/>
        <v>0.67497623289100406</v>
      </c>
      <c r="BQ21" s="116">
        <f t="shared" si="37"/>
        <v>0.13304924306880755</v>
      </c>
      <c r="BR21" s="297">
        <f t="shared" si="38"/>
        <v>0.13304924306880755</v>
      </c>
      <c r="BS21" s="302">
        <f t="shared" si="39"/>
        <v>0.14872713737745408</v>
      </c>
      <c r="BT21" s="298">
        <f t="shared" si="40"/>
        <v>25373924.622238554</v>
      </c>
      <c r="BU21" s="119">
        <f t="shared" si="41"/>
        <v>36050817.600000001</v>
      </c>
      <c r="BV21" s="119">
        <f t="shared" si="42"/>
        <v>25373924.622238554</v>
      </c>
      <c r="BW21" s="119">
        <f t="shared" si="43"/>
        <v>0</v>
      </c>
      <c r="BX21" s="120">
        <f t="shared" si="44"/>
        <v>0.13304924306880755</v>
      </c>
      <c r="BY21" s="121">
        <f t="shared" si="45"/>
        <v>0.26360452349439889</v>
      </c>
      <c r="BZ21" s="299">
        <f t="shared" si="46"/>
        <v>25601519.809605788</v>
      </c>
      <c r="CA21" s="109">
        <f t="shared" si="26"/>
        <v>0.21885398373566148</v>
      </c>
      <c r="CB21" s="123">
        <f t="shared" si="57"/>
        <v>1880965.623286356</v>
      </c>
      <c r="CC21" s="111">
        <f>ROUND((CB21+BI21),0)</f>
        <v>25976638</v>
      </c>
      <c r="CE21" s="124">
        <f t="shared" si="28"/>
        <v>0</v>
      </c>
      <c r="CF21" s="17"/>
      <c r="CG21" s="108">
        <f t="shared" si="47"/>
        <v>120169392</v>
      </c>
      <c r="CH21" s="125">
        <f t="shared" si="48"/>
        <v>0.21616684221885721</v>
      </c>
      <c r="CI21" s="110">
        <f t="shared" si="49"/>
        <v>25373924.622238554</v>
      </c>
      <c r="CJ21" s="300">
        <f t="shared" si="50"/>
        <v>0</v>
      </c>
      <c r="CL21" s="127">
        <f t="shared" si="51"/>
        <v>25373924.622238554</v>
      </c>
      <c r="CM21" s="128">
        <f t="shared" si="52"/>
        <v>0.2952978019858819</v>
      </c>
      <c r="CN21" s="129">
        <f t="shared" si="53"/>
        <v>254959.0488098624</v>
      </c>
      <c r="CO21" s="130">
        <f t="shared" si="55"/>
        <v>25628884</v>
      </c>
      <c r="CQ21" s="131">
        <f t="shared" si="54"/>
        <v>0.21304526371911567</v>
      </c>
      <c r="CR21" s="301"/>
    </row>
    <row r="22" spans="1:96">
      <c r="A22" s="133" t="s">
        <v>92</v>
      </c>
      <c r="B22" s="90" t="s">
        <v>96</v>
      </c>
      <c r="C22" s="91">
        <f>'Sizing - Reimb Exp-25'!B15</f>
        <v>1246809</v>
      </c>
      <c r="D22" s="92">
        <f>'Ridership-25'!$E14</f>
        <v>91713</v>
      </c>
      <c r="E22" s="92">
        <f>'Revenue Hours-25'!$E14</f>
        <v>20260</v>
      </c>
      <c r="F22" s="92">
        <f>'Revenue Miles-25'!$E14</f>
        <v>510877</v>
      </c>
      <c r="G22" s="134">
        <f t="shared" si="0"/>
        <v>3.3956274807346006E-3</v>
      </c>
      <c r="H22" s="94">
        <f t="shared" si="1"/>
        <v>3.395627480734601E-3</v>
      </c>
      <c r="J22" s="95">
        <f>'Ridership-25'!B14/'Revenue Hours-25'!B14</f>
        <v>5.1587647801630121</v>
      </c>
      <c r="K22" s="96">
        <f>'Ridership-25'!C14/'Revenue Hours-25'!C14</f>
        <v>2.5445369916707494</v>
      </c>
      <c r="L22" s="96">
        <f>'Ridership-25'!D14/'Revenue Hours-25'!D14</f>
        <v>3.1323175227328584</v>
      </c>
      <c r="M22" s="207">
        <f>'Ridership-25'!E14/'Revenue Hours-25'!K14</f>
        <v>4.5268015794669303</v>
      </c>
      <c r="N22" s="97">
        <f t="shared" si="2"/>
        <v>1.0414257978498263</v>
      </c>
      <c r="O22" s="98">
        <f t="shared" si="3"/>
        <v>3.5362940583248273E-3</v>
      </c>
      <c r="P22" s="99">
        <f t="shared" si="4"/>
        <v>3.311368192238851E-3</v>
      </c>
      <c r="Q22" s="95">
        <f>'Ridership-25'!B14/'Revenue Miles-25'!B14</f>
        <v>0.22008311029377553</v>
      </c>
      <c r="R22" s="96">
        <f>'Ridership-25'!C14/'Revenue Miles-25'!C14</f>
        <v>0.1120356208297289</v>
      </c>
      <c r="S22" s="96">
        <f>'Ridership-25'!D14/'Revenue Miles-25'!D14</f>
        <v>0.13193504175827817</v>
      </c>
      <c r="T22" s="207">
        <f>'Ridership-25'!E14/'Revenue Miles-25'!K14</f>
        <v>0.17952070654971744</v>
      </c>
      <c r="U22" s="97">
        <f t="shared" si="5"/>
        <v>1.0164527966738026</v>
      </c>
      <c r="V22" s="98">
        <f t="shared" si="6"/>
        <v>3.4514950492551041E-3</v>
      </c>
      <c r="W22" s="99">
        <f t="shared" si="7"/>
        <v>3.2303766485714354E-3</v>
      </c>
      <c r="X22" s="95">
        <f>'Op Cost-25'!B15/'Revenue Hours-25'!B14</f>
        <v>42.671162897485935</v>
      </c>
      <c r="Y22" s="96">
        <f>'Op Cost-25'!C15/'Revenue Hours-25'!C14</f>
        <v>48.696570308672221</v>
      </c>
      <c r="Z22" s="96">
        <f>'Op Cost-25'!D15/'Revenue Hours-25'!D14</f>
        <v>59.030916687146721</v>
      </c>
      <c r="AA22" s="96">
        <f>'Op Cost-25'!E15/'Revenue Hours-25'!E14</f>
        <v>61.540424481737411</v>
      </c>
      <c r="AB22" s="97">
        <f t="shared" si="8"/>
        <v>1.0880724721451041</v>
      </c>
      <c r="AC22" s="98">
        <f t="shared" si="9"/>
        <v>3.1207732643398446E-3</v>
      </c>
      <c r="AD22" s="99">
        <f t="shared" si="10"/>
        <v>3.3291132984158791E-3</v>
      </c>
      <c r="AE22" s="95">
        <f>'Op Cost-25'!B15/'Revenue Miles-25'!B14</f>
        <v>1.8204362188489445</v>
      </c>
      <c r="AF22" s="96">
        <f>'Op Cost-25'!C15/'Revenue Miles-25'!C14</f>
        <v>2.1441034281165527</v>
      </c>
      <c r="AG22" s="96">
        <f>'Op Cost-25'!D15/'Revenue Miles-25'!D14</f>
        <v>2.4864166552799274</v>
      </c>
      <c r="AH22" s="96">
        <f>'Op Cost-25'!E15/'Revenue Miles-25'!E14</f>
        <v>2.4405267804187702</v>
      </c>
      <c r="AI22" s="97">
        <f t="shared" si="11"/>
        <v>1.063030778927097</v>
      </c>
      <c r="AJ22" s="98">
        <f t="shared" si="12"/>
        <v>3.1942889594991438E-3</v>
      </c>
      <c r="AK22" s="99">
        <f t="shared" si="13"/>
        <v>3.3995254632945113E-3</v>
      </c>
      <c r="AL22" s="95">
        <f>'Op Cost-25'!B15/'Ridership-25'!B14</f>
        <v>8.2715852952957416</v>
      </c>
      <c r="AM22" s="96">
        <f>'Op Cost-25'!C15/'Ridership-25'!C14</f>
        <v>19.13769399622598</v>
      </c>
      <c r="AN22" s="96">
        <f>'Op Cost-25'!D15/'Ridership-25'!D14</f>
        <v>18.84576396189998</v>
      </c>
      <c r="AO22" s="96">
        <f>'Op Cost-25'!E15/'Ridership-25'!E14</f>
        <v>13.594681233849073</v>
      </c>
      <c r="AP22" s="100">
        <f t="shared" si="14"/>
        <v>1.0553612396000409</v>
      </c>
      <c r="AQ22" s="98">
        <f t="shared" si="15"/>
        <v>3.2175025510899663E-3</v>
      </c>
      <c r="AR22" s="99">
        <f t="shared" si="16"/>
        <v>3.4933364809579723E-3</v>
      </c>
      <c r="AT22" s="101">
        <f t="shared" si="29"/>
        <v>0</v>
      </c>
      <c r="AU22" s="102">
        <f t="shared" si="17"/>
        <v>0</v>
      </c>
      <c r="AV22" s="102">
        <f t="shared" si="18"/>
        <v>0</v>
      </c>
      <c r="AW22" s="102">
        <f t="shared" si="19"/>
        <v>0</v>
      </c>
      <c r="AX22" s="103">
        <f t="shared" si="20"/>
        <v>0</v>
      </c>
      <c r="AY22" s="293">
        <f t="shared" si="30"/>
        <v>-1</v>
      </c>
      <c r="AZ22" s="105">
        <f t="shared" si="21"/>
        <v>0</v>
      </c>
      <c r="BA22" s="106">
        <f t="shared" si="21"/>
        <v>0</v>
      </c>
      <c r="BB22" s="106">
        <f t="shared" si="21"/>
        <v>0</v>
      </c>
      <c r="BC22" s="106">
        <f t="shared" si="21"/>
        <v>0</v>
      </c>
      <c r="BD22" s="106">
        <f t="shared" si="21"/>
        <v>0</v>
      </c>
      <c r="BE22" s="107">
        <f t="shared" si="31"/>
        <v>415083.20258677035</v>
      </c>
      <c r="BG22" s="108">
        <f>'Op Cost-25'!E15</f>
        <v>1246809</v>
      </c>
      <c r="BH22" s="109">
        <f t="shared" si="22"/>
        <v>0.33291643113481723</v>
      </c>
      <c r="BI22" s="110">
        <f t="shared" si="23"/>
        <v>374042.7</v>
      </c>
      <c r="BJ22" s="111">
        <f t="shared" si="24"/>
        <v>41040.502586770337</v>
      </c>
      <c r="BK22" s="1">
        <f t="shared" si="32"/>
        <v>0.56991511436627063</v>
      </c>
      <c r="BL22" s="294">
        <f t="shared" si="33"/>
        <v>0.4228661644429505</v>
      </c>
      <c r="BM22" s="294">
        <f t="shared" si="34"/>
        <v>0.24196324592408849</v>
      </c>
      <c r="BN22" s="295">
        <f t="shared" si="35"/>
        <v>0.80741552354902169</v>
      </c>
      <c r="BO22" s="114">
        <f t="shared" si="25"/>
        <v>0</v>
      </c>
      <c r="BP22" s="296">
        <f t="shared" si="36"/>
        <v>0.56991511436627063</v>
      </c>
      <c r="BQ22" s="116">
        <f t="shared" si="37"/>
        <v>1.9352194240281116E-3</v>
      </c>
      <c r="BR22" s="297">
        <f t="shared" si="38"/>
        <v>0</v>
      </c>
      <c r="BS22" s="117">
        <f t="shared" si="39"/>
        <v>0</v>
      </c>
      <c r="BT22" s="298">
        <f t="shared" si="40"/>
        <v>374042.7</v>
      </c>
      <c r="BU22" s="119">
        <f t="shared" si="41"/>
        <v>374042.7</v>
      </c>
      <c r="BV22" s="119">
        <f t="shared" si="42"/>
        <v>374042.7</v>
      </c>
      <c r="BW22" s="119">
        <f t="shared" si="43"/>
        <v>0</v>
      </c>
      <c r="BX22" s="120">
        <f t="shared" si="44"/>
        <v>0</v>
      </c>
      <c r="BY22" s="121">
        <f t="shared" si="45"/>
        <v>0</v>
      </c>
      <c r="BZ22" s="299">
        <f t="shared" si="46"/>
        <v>374042.7</v>
      </c>
      <c r="CA22" s="109">
        <f t="shared" si="26"/>
        <v>0</v>
      </c>
      <c r="CB22" s="123">
        <f t="shared" si="57"/>
        <v>0</v>
      </c>
      <c r="CC22" s="111">
        <f t="shared" si="56"/>
        <v>374043</v>
      </c>
      <c r="CE22" s="124">
        <f t="shared" si="28"/>
        <v>1</v>
      </c>
      <c r="CF22" s="17"/>
      <c r="CG22" s="108">
        <f t="shared" si="47"/>
        <v>1246809</v>
      </c>
      <c r="CH22" s="125">
        <f t="shared" si="48"/>
        <v>0.30000024061424002</v>
      </c>
      <c r="CI22" s="110">
        <f t="shared" si="49"/>
        <v>374042.7</v>
      </c>
      <c r="CJ22" s="300">
        <f t="shared" si="50"/>
        <v>0</v>
      </c>
      <c r="CL22" s="127">
        <f t="shared" si="51"/>
        <v>0</v>
      </c>
      <c r="CM22" s="128">
        <f t="shared" si="52"/>
        <v>0</v>
      </c>
      <c r="CN22" s="129">
        <f t="shared" si="53"/>
        <v>0</v>
      </c>
      <c r="CO22" s="130">
        <f t="shared" si="55"/>
        <v>374043</v>
      </c>
      <c r="CQ22" s="131">
        <f t="shared" si="54"/>
        <v>0.3</v>
      </c>
      <c r="CR22" s="301"/>
    </row>
    <row r="23" spans="1:96">
      <c r="A23" s="133" t="s">
        <v>92</v>
      </c>
      <c r="B23" s="90" t="s">
        <v>97</v>
      </c>
      <c r="C23" s="91">
        <f>'Sizing - Reimb Exp-25'!B16</f>
        <v>50424</v>
      </c>
      <c r="D23" s="92">
        <f>'Ridership-25'!$E15</f>
        <v>3145</v>
      </c>
      <c r="E23" s="92">
        <f>'Revenue Hours-25'!$E15</f>
        <v>502</v>
      </c>
      <c r="F23" s="92">
        <f>'Revenue Miles-25'!$E15</f>
        <v>4641</v>
      </c>
      <c r="G23" s="93">
        <f t="shared" si="0"/>
        <v>8.4622050029392335E-5</v>
      </c>
      <c r="H23" s="94">
        <f t="shared" si="1"/>
        <v>8.4622050029392349E-5</v>
      </c>
      <c r="J23" s="95">
        <f>'Ridership-25'!B15/'Revenue Hours-25'!B15</f>
        <v>8.9790310918293557</v>
      </c>
      <c r="K23" s="96">
        <f>'Ridership-25'!C15/'Revenue Hours-25'!C15</f>
        <v>1.0119225037257824</v>
      </c>
      <c r="L23" s="96">
        <f>'Ridership-25'!D15/'Revenue Hours-25'!D15</f>
        <v>3.4102272727272727</v>
      </c>
      <c r="M23" s="207">
        <f>'Ridership-25'!E15/'Revenue Hours-25'!K15</f>
        <v>6.2649402390438249</v>
      </c>
      <c r="N23" s="97">
        <f t="shared" si="2"/>
        <v>1.4571700207400993</v>
      </c>
      <c r="O23" s="98">
        <f t="shared" si="3"/>
        <v>1.2330871439639936E-4</v>
      </c>
      <c r="P23" s="99">
        <f t="shared" si="4"/>
        <v>1.1546566771416251E-4</v>
      </c>
      <c r="Q23" s="95">
        <f>'Ridership-25'!B15/'Revenue Miles-25'!B15</f>
        <v>0.71335018382352944</v>
      </c>
      <c r="R23" s="96">
        <f>'Ridership-25'!C15/'Revenue Miles-25'!C15</f>
        <v>0.14279705573080967</v>
      </c>
      <c r="S23" s="96">
        <f>'Ridership-25'!D15/'Revenue Miles-25'!D15</f>
        <v>0.44282130736314002</v>
      </c>
      <c r="T23" s="207">
        <f>'Ridership-25'!E15/'Revenue Miles-25'!K15</f>
        <v>0.67765567765567769</v>
      </c>
      <c r="U23" s="97">
        <f t="shared" si="5"/>
        <v>1.3760274920295139</v>
      </c>
      <c r="V23" s="98">
        <f t="shared" si="6"/>
        <v>1.1644226727234081E-4</v>
      </c>
      <c r="W23" s="99">
        <f t="shared" si="7"/>
        <v>1.0898244839854667E-4</v>
      </c>
      <c r="X23" s="95">
        <f>'Op Cost-25'!B16/'Revenue Hours-25'!B15</f>
        <v>67.96963123644251</v>
      </c>
      <c r="Y23" s="96">
        <f>'Op Cost-25'!C16/'Revenue Hours-25'!C15</f>
        <v>58.488077496274215</v>
      </c>
      <c r="Z23" s="96">
        <f>'Op Cost-25'!D16/'Revenue Hours-25'!D15</f>
        <v>76.226136363636357</v>
      </c>
      <c r="AA23" s="96">
        <f>'Op Cost-25'!E16/'Revenue Hours-25'!E15</f>
        <v>100.44621513944223</v>
      </c>
      <c r="AB23" s="97">
        <f t="shared" si="8"/>
        <v>1.1402815557474089</v>
      </c>
      <c r="AC23" s="98">
        <f t="shared" si="9"/>
        <v>7.4211539775302239E-5</v>
      </c>
      <c r="AD23" s="99">
        <f t="shared" si="10"/>
        <v>7.9165835847462443E-5</v>
      </c>
      <c r="AE23" s="95">
        <f>'Op Cost-25'!B16/'Revenue Miles-25'!B15</f>
        <v>5.399931066176471</v>
      </c>
      <c r="AF23" s="96">
        <f>'Op Cost-25'!C16/'Revenue Miles-25'!C15</f>
        <v>8.2535226077812833</v>
      </c>
      <c r="AG23" s="96">
        <f>'Op Cost-25'!D16/'Revenue Miles-25'!D15</f>
        <v>9.8980374797107871</v>
      </c>
      <c r="AH23" s="96">
        <f>'Op Cost-25'!E16/'Revenue Miles-25'!E15</f>
        <v>10.864899806076277</v>
      </c>
      <c r="AI23" s="97">
        <f t="shared" si="11"/>
        <v>1.2123808252271491</v>
      </c>
      <c r="AJ23" s="98">
        <f t="shared" si="12"/>
        <v>6.9798241830109565E-5</v>
      </c>
      <c r="AK23" s="99">
        <f t="shared" si="13"/>
        <v>7.4282853994477244E-5</v>
      </c>
      <c r="AL23" s="95">
        <f>'Op Cost-25'!B16/'Ridership-25'!B15</f>
        <v>7.5698180061201485</v>
      </c>
      <c r="AM23" s="96">
        <f>'Op Cost-25'!C16/'Ridership-25'!C15</f>
        <v>57.798969072164951</v>
      </c>
      <c r="AN23" s="96">
        <f>'Op Cost-25'!D16/'Ridership-25'!D15</f>
        <v>22.352215928023991</v>
      </c>
      <c r="AO23" s="96">
        <f>'Op Cost-25'!E16/'Ridership-25'!E15</f>
        <v>16.033068362480126</v>
      </c>
      <c r="AP23" s="100">
        <f t="shared" si="14"/>
        <v>1.5437268946082094</v>
      </c>
      <c r="AQ23" s="98">
        <f t="shared" si="15"/>
        <v>5.4816723297982717E-5</v>
      </c>
      <c r="AR23" s="99">
        <f t="shared" si="16"/>
        <v>5.951611730612343E-5</v>
      </c>
      <c r="AT23" s="101">
        <f t="shared" si="29"/>
        <v>0</v>
      </c>
      <c r="AU23" s="102">
        <f t="shared" si="17"/>
        <v>0</v>
      </c>
      <c r="AV23" s="102">
        <f t="shared" si="18"/>
        <v>0</v>
      </c>
      <c r="AW23" s="102">
        <f t="shared" si="19"/>
        <v>0</v>
      </c>
      <c r="AX23" s="103">
        <f t="shared" si="20"/>
        <v>0</v>
      </c>
      <c r="AY23" s="293">
        <f t="shared" si="30"/>
        <v>-1</v>
      </c>
      <c r="AZ23" s="105">
        <f t="shared" si="21"/>
        <v>0</v>
      </c>
      <c r="BA23" s="106">
        <f t="shared" si="21"/>
        <v>0</v>
      </c>
      <c r="BB23" s="106">
        <f t="shared" si="21"/>
        <v>0</v>
      </c>
      <c r="BC23" s="106">
        <f t="shared" si="21"/>
        <v>0</v>
      </c>
      <c r="BD23" s="106">
        <f t="shared" si="21"/>
        <v>0</v>
      </c>
      <c r="BE23" s="107">
        <f t="shared" si="31"/>
        <v>10344.241744697856</v>
      </c>
      <c r="BG23" s="108">
        <f>'Op Cost-25'!E16</f>
        <v>50424</v>
      </c>
      <c r="BH23" s="109">
        <f t="shared" si="22"/>
        <v>0.20514520356770299</v>
      </c>
      <c r="BI23" s="110">
        <f t="shared" si="23"/>
        <v>10344.241744697856</v>
      </c>
      <c r="BJ23" s="111">
        <f t="shared" si="24"/>
        <v>0</v>
      </c>
      <c r="BK23" s="1">
        <f t="shared" si="32"/>
        <v>0.7169590587639918</v>
      </c>
      <c r="BL23" s="294">
        <f t="shared" si="33"/>
        <v>0.58523246553712072</v>
      </c>
      <c r="BM23" s="294">
        <f t="shared" si="34"/>
        <v>0.91336409340081037</v>
      </c>
      <c r="BN23" s="295">
        <f t="shared" si="35"/>
        <v>0.68461983805901816</v>
      </c>
      <c r="BO23" s="114">
        <f t="shared" si="25"/>
        <v>10344.241744697856</v>
      </c>
      <c r="BP23" s="296">
        <f t="shared" si="36"/>
        <v>0.7169590587639918</v>
      </c>
      <c r="BQ23" s="116">
        <f t="shared" si="37"/>
        <v>6.0670545339752563E-5</v>
      </c>
      <c r="BR23" s="297">
        <f t="shared" si="38"/>
        <v>6.0670545339752563E-5</v>
      </c>
      <c r="BS23" s="117">
        <f t="shared" si="39"/>
        <v>6.7819675808632209E-5</v>
      </c>
      <c r="BT23" s="298">
        <f t="shared" si="40"/>
        <v>10927.125714187492</v>
      </c>
      <c r="BU23" s="119">
        <f t="shared" si="41"/>
        <v>15127.199999999999</v>
      </c>
      <c r="BV23" s="119">
        <f t="shared" si="42"/>
        <v>10927.125714187492</v>
      </c>
      <c r="BW23" s="119">
        <f t="shared" si="43"/>
        <v>0</v>
      </c>
      <c r="BX23" s="120">
        <f t="shared" si="44"/>
        <v>6.0670545339752563E-5</v>
      </c>
      <c r="BY23" s="121">
        <f t="shared" si="45"/>
        <v>1.2020384201779987E-4</v>
      </c>
      <c r="BZ23" s="299">
        <f t="shared" si="46"/>
        <v>11030.909274437678</v>
      </c>
      <c r="CA23" s="109">
        <f t="shared" si="26"/>
        <v>9.3953739693567248E-5</v>
      </c>
      <c r="CB23" s="123">
        <f t="shared" si="57"/>
        <v>807.49617405295726</v>
      </c>
      <c r="CC23" s="111">
        <f t="shared" si="56"/>
        <v>11152</v>
      </c>
      <c r="CE23" s="124">
        <f t="shared" si="28"/>
        <v>0</v>
      </c>
      <c r="CF23" s="17"/>
      <c r="CG23" s="108">
        <f t="shared" si="47"/>
        <v>50424</v>
      </c>
      <c r="CH23" s="125">
        <f t="shared" si="48"/>
        <v>0.22116452482944629</v>
      </c>
      <c r="CI23" s="110">
        <f t="shared" si="49"/>
        <v>10927.125714187492</v>
      </c>
      <c r="CJ23" s="300">
        <f t="shared" si="50"/>
        <v>0</v>
      </c>
      <c r="CL23" s="127">
        <f t="shared" si="51"/>
        <v>10927.125714187492</v>
      </c>
      <c r="CM23" s="128">
        <f t="shared" si="52"/>
        <v>1.2716819543930305E-4</v>
      </c>
      <c r="CN23" s="129">
        <f t="shared" si="53"/>
        <v>109.79655767848047</v>
      </c>
      <c r="CO23" s="130">
        <f t="shared" si="55"/>
        <v>11037</v>
      </c>
      <c r="CQ23" s="131">
        <f t="shared" si="54"/>
        <v>0.2187630746160098</v>
      </c>
      <c r="CR23" s="301"/>
    </row>
    <row r="24" spans="1:96">
      <c r="A24" s="133" t="s">
        <v>92</v>
      </c>
      <c r="B24" s="90" t="s">
        <v>98</v>
      </c>
      <c r="C24" s="91">
        <f>'Sizing - Reimb Exp-25'!B17</f>
        <v>7910674</v>
      </c>
      <c r="D24" s="92">
        <f>'Ridership-25'!$E16</f>
        <v>1655082</v>
      </c>
      <c r="E24" s="92">
        <f>'Revenue Hours-25'!$E16</f>
        <v>71283</v>
      </c>
      <c r="F24" s="92">
        <f>'Revenue Miles-25'!$E16</f>
        <v>1099660</v>
      </c>
      <c r="G24" s="134">
        <f t="shared" si="0"/>
        <v>2.2491692379718854E-2</v>
      </c>
      <c r="H24" s="94">
        <f t="shared" si="1"/>
        <v>2.2491692379718858E-2</v>
      </c>
      <c r="J24" s="95">
        <f>'Ridership-25'!B16/'Revenue Hours-25'!B16</f>
        <v>23.310953988801508</v>
      </c>
      <c r="K24" s="96">
        <f>'Ridership-25'!C16/'Revenue Hours-25'!C16</f>
        <v>14.316342020333447</v>
      </c>
      <c r="L24" s="96">
        <f>'Ridership-25'!D16/'Revenue Hours-25'!D16</f>
        <v>19.466079261836335</v>
      </c>
      <c r="M24" s="207">
        <f>'Ridership-25'!E16/'Revenue Hours-25'!K16</f>
        <v>23.218467236227433</v>
      </c>
      <c r="N24" s="97">
        <f t="shared" si="2"/>
        <v>1.0827952067365614</v>
      </c>
      <c r="O24" s="98">
        <f t="shared" si="3"/>
        <v>2.4353896700152821E-2</v>
      </c>
      <c r="P24" s="99">
        <f t="shared" si="4"/>
        <v>2.2804867909700603E-2</v>
      </c>
      <c r="Q24" s="95">
        <f>'Ridership-25'!B16/'Revenue Miles-25'!B16</f>
        <v>1.6285925776934442</v>
      </c>
      <c r="R24" s="96">
        <f>'Ridership-25'!C16/'Revenue Miles-25'!C16</f>
        <v>1.0462325686324412</v>
      </c>
      <c r="S24" s="96">
        <f>'Ridership-25'!D16/'Revenue Miles-25'!D16</f>
        <v>1.4050534441156883</v>
      </c>
      <c r="T24" s="207">
        <f>'Ridership-25'!E16/'Revenue Miles-25'!K16</f>
        <v>1.5050852081552479</v>
      </c>
      <c r="U24" s="97">
        <f t="shared" si="5"/>
        <v>1.0649155001693644</v>
      </c>
      <c r="V24" s="98">
        <f t="shared" si="6"/>
        <v>2.3951751840203789E-2</v>
      </c>
      <c r="W24" s="99">
        <f t="shared" si="7"/>
        <v>2.241729416754365E-2</v>
      </c>
      <c r="X24" s="95">
        <f>'Op Cost-25'!B17/'Revenue Hours-25'!B16</f>
        <v>79.983720905617247</v>
      </c>
      <c r="Y24" s="96">
        <f>'Op Cost-25'!C17/'Revenue Hours-25'!C16</f>
        <v>90.654407919074401</v>
      </c>
      <c r="Z24" s="96">
        <f>'Op Cost-25'!D17/'Revenue Hours-25'!D16</f>
        <v>94.089194776382797</v>
      </c>
      <c r="AA24" s="96">
        <f>'Op Cost-25'!E17/'Revenue Hours-25'!E16</f>
        <v>110.97560428152575</v>
      </c>
      <c r="AB24" s="97">
        <f t="shared" si="8"/>
        <v>1.0770025946706425</v>
      </c>
      <c r="AC24" s="98">
        <f t="shared" si="9"/>
        <v>2.0883600922611545E-2</v>
      </c>
      <c r="AD24" s="99">
        <f t="shared" si="10"/>
        <v>2.227777145642236E-2</v>
      </c>
      <c r="AE24" s="95">
        <f>'Op Cost-25'!B17/'Revenue Miles-25'!B16</f>
        <v>5.5879692553882192</v>
      </c>
      <c r="AF24" s="96">
        <f>'Op Cost-25'!C17/'Revenue Miles-25'!C16</f>
        <v>6.6249879976545323</v>
      </c>
      <c r="AG24" s="96">
        <f>'Op Cost-25'!D17/'Revenue Miles-25'!D16</f>
        <v>6.7913186521237527</v>
      </c>
      <c r="AH24" s="96">
        <f>'Op Cost-25'!E17/'Revenue Miles-25'!E16</f>
        <v>7.1937453394685633</v>
      </c>
      <c r="AI24" s="97">
        <f t="shared" si="11"/>
        <v>1.0470712277412029</v>
      </c>
      <c r="AJ24" s="98">
        <f t="shared" si="12"/>
        <v>2.1480575326512524E-2</v>
      </c>
      <c r="AK24" s="99">
        <f t="shared" si="13"/>
        <v>2.2860725411687571E-2</v>
      </c>
      <c r="AL24" s="95">
        <f>'Op Cost-25'!B17/'Ridership-25'!B16</f>
        <v>3.4311646337614974</v>
      </c>
      <c r="AM24" s="96">
        <f>'Op Cost-25'!C17/'Ridership-25'!C16</f>
        <v>6.3322326185221254</v>
      </c>
      <c r="AN24" s="96">
        <f>'Op Cost-25'!D17/'Ridership-25'!D16</f>
        <v>4.833494896984555</v>
      </c>
      <c r="AO24" s="96">
        <f>'Op Cost-25'!E17/'Ridership-25'!E16</f>
        <v>4.779626628771263</v>
      </c>
      <c r="AP24" s="97">
        <f t="shared" si="14"/>
        <v>1.0093254200826904</v>
      </c>
      <c r="AQ24" s="98">
        <f t="shared" si="15"/>
        <v>2.2283885783711058E-2</v>
      </c>
      <c r="AR24" s="99">
        <f t="shared" si="16"/>
        <v>2.4194265555241793E-2</v>
      </c>
      <c r="AT24" s="101">
        <f t="shared" si="29"/>
        <v>0</v>
      </c>
      <c r="AU24" s="102">
        <f t="shared" si="17"/>
        <v>0</v>
      </c>
      <c r="AV24" s="102">
        <f t="shared" si="18"/>
        <v>0</v>
      </c>
      <c r="AW24" s="102">
        <f t="shared" si="19"/>
        <v>0</v>
      </c>
      <c r="AX24" s="103">
        <f t="shared" si="20"/>
        <v>0</v>
      </c>
      <c r="AY24" s="293">
        <f t="shared" si="30"/>
        <v>-1</v>
      </c>
      <c r="AZ24" s="105">
        <f t="shared" si="21"/>
        <v>0</v>
      </c>
      <c r="BA24" s="106">
        <f t="shared" si="21"/>
        <v>0</v>
      </c>
      <c r="BB24" s="106">
        <f t="shared" si="21"/>
        <v>0</v>
      </c>
      <c r="BC24" s="106">
        <f t="shared" si="21"/>
        <v>0</v>
      </c>
      <c r="BD24" s="106">
        <f t="shared" si="21"/>
        <v>0</v>
      </c>
      <c r="BE24" s="107">
        <f t="shared" si="31"/>
        <v>2749395.7324642842</v>
      </c>
      <c r="BG24" s="108">
        <f>'Op Cost-25'!E17</f>
        <v>7910674</v>
      </c>
      <c r="BH24" s="109">
        <f t="shared" si="22"/>
        <v>0.34755518081825698</v>
      </c>
      <c r="BI24" s="110">
        <f t="shared" si="23"/>
        <v>2373202.1999999997</v>
      </c>
      <c r="BJ24" s="111">
        <f t="shared" si="24"/>
        <v>376193.53246428445</v>
      </c>
      <c r="BK24" s="1">
        <f t="shared" si="32"/>
        <v>2.1976463758928118</v>
      </c>
      <c r="BL24" s="294">
        <f t="shared" si="33"/>
        <v>2.1689274451441714</v>
      </c>
      <c r="BM24" s="294">
        <f t="shared" si="34"/>
        <v>2.0285977554166963</v>
      </c>
      <c r="BN24" s="295">
        <f t="shared" si="35"/>
        <v>2.2965301515051899</v>
      </c>
      <c r="BO24" s="114">
        <f t="shared" si="25"/>
        <v>0</v>
      </c>
      <c r="BP24" s="296">
        <f t="shared" si="36"/>
        <v>2.1976463758928118</v>
      </c>
      <c r="BQ24" s="116">
        <f t="shared" si="37"/>
        <v>4.9428786245985117E-2</v>
      </c>
      <c r="BR24" s="297">
        <f t="shared" si="38"/>
        <v>0</v>
      </c>
      <c r="BS24" s="117">
        <f t="shared" si="39"/>
        <v>0</v>
      </c>
      <c r="BT24" s="298">
        <f t="shared" si="40"/>
        <v>2373202.1999999997</v>
      </c>
      <c r="BU24" s="119">
        <f t="shared" si="41"/>
        <v>2373202.1999999997</v>
      </c>
      <c r="BV24" s="119">
        <f t="shared" si="42"/>
        <v>2373202.1999999997</v>
      </c>
      <c r="BW24" s="119">
        <f t="shared" si="43"/>
        <v>0</v>
      </c>
      <c r="BX24" s="120">
        <f t="shared" si="44"/>
        <v>0</v>
      </c>
      <c r="BY24" s="121">
        <f t="shared" si="45"/>
        <v>0</v>
      </c>
      <c r="BZ24" s="299">
        <f t="shared" si="46"/>
        <v>2373202.1999999997</v>
      </c>
      <c r="CA24" s="109">
        <f t="shared" si="26"/>
        <v>0</v>
      </c>
      <c r="CB24" s="123">
        <f t="shared" si="57"/>
        <v>0</v>
      </c>
      <c r="CC24" s="111">
        <f t="shared" si="56"/>
        <v>2373202</v>
      </c>
      <c r="CE24" s="124">
        <f t="shared" si="28"/>
        <v>0</v>
      </c>
      <c r="CF24" s="17"/>
      <c r="CG24" s="108">
        <f t="shared" si="47"/>
        <v>7910674</v>
      </c>
      <c r="CH24" s="125">
        <f t="shared" si="48"/>
        <v>0.29999997471770423</v>
      </c>
      <c r="CI24" s="110">
        <f t="shared" si="49"/>
        <v>2373202.1999999997</v>
      </c>
      <c r="CJ24" s="300">
        <f t="shared" si="50"/>
        <v>0</v>
      </c>
      <c r="CL24" s="127">
        <f t="shared" si="51"/>
        <v>0</v>
      </c>
      <c r="CM24" s="128">
        <f t="shared" si="52"/>
        <v>0</v>
      </c>
      <c r="CN24" s="129">
        <f t="shared" si="53"/>
        <v>0</v>
      </c>
      <c r="CO24" s="130">
        <f t="shared" si="55"/>
        <v>2373202</v>
      </c>
      <c r="CQ24" s="131">
        <f t="shared" si="54"/>
        <v>0.3</v>
      </c>
      <c r="CR24" s="301"/>
    </row>
    <row r="25" spans="1:96">
      <c r="A25" s="133" t="s">
        <v>99</v>
      </c>
      <c r="B25" s="90" t="s">
        <v>100</v>
      </c>
      <c r="C25" s="91">
        <f>'Sizing - Reimb Exp-25'!B18</f>
        <v>3419477</v>
      </c>
      <c r="D25" s="92">
        <f>'Ridership-25'!$E17</f>
        <v>235586</v>
      </c>
      <c r="E25" s="92">
        <f>'Revenue Hours-25'!$E17</f>
        <v>29937</v>
      </c>
      <c r="F25" s="92">
        <f>'Revenue Miles-25'!$E17</f>
        <v>470807</v>
      </c>
      <c r="G25" s="93">
        <f t="shared" si="0"/>
        <v>6.1354436726635013E-3</v>
      </c>
      <c r="H25" s="94">
        <f t="shared" si="1"/>
        <v>6.1354436726635021E-3</v>
      </c>
      <c r="J25" s="95">
        <f>'Ridership-25'!B17/'Revenue Hours-25'!B17</f>
        <v>8.8925454444382677</v>
      </c>
      <c r="K25" s="96">
        <f>'Ridership-25'!C17/'Revenue Hours-25'!C17</f>
        <v>5.7639186016175321</v>
      </c>
      <c r="L25" s="96">
        <f>'Ridership-25'!D17/'Revenue Hours-25'!D17</f>
        <v>6.4797153630255435</v>
      </c>
      <c r="M25" s="207">
        <f>'Ridership-25'!E17/'Revenue Hours-25'!K17</f>
        <v>7.8693923906871097</v>
      </c>
      <c r="N25" s="97">
        <f t="shared" si="2"/>
        <v>1.0499909933163976</v>
      </c>
      <c r="O25" s="98">
        <f t="shared" si="3"/>
        <v>6.4421605962967574E-3</v>
      </c>
      <c r="P25" s="99">
        <f t="shared" si="4"/>
        <v>6.0324071856108245E-3</v>
      </c>
      <c r="Q25" s="95">
        <f>'Ridership-25'!B17/'Revenue Miles-25'!B17</f>
        <v>0.59288580032429927</v>
      </c>
      <c r="R25" s="96">
        <f>'Ridership-25'!C17/'Revenue Miles-25'!C17</f>
        <v>0.39323250859241093</v>
      </c>
      <c r="S25" s="96">
        <f>'Ridership-25'!D17/'Revenue Miles-25'!D17</f>
        <v>0.42963025620782347</v>
      </c>
      <c r="T25" s="207">
        <f>'Ridership-25'!E17/'Revenue Miles-25'!K17</f>
        <v>0.50038763229943484</v>
      </c>
      <c r="U25" s="97">
        <f t="shared" si="5"/>
        <v>1.0379042251721813</v>
      </c>
      <c r="V25" s="98">
        <f t="shared" si="6"/>
        <v>6.3680029111633741E-3</v>
      </c>
      <c r="W25" s="99">
        <f t="shared" si="7"/>
        <v>5.9600398113555733E-3</v>
      </c>
      <c r="X25" s="95">
        <f>'Op Cost-25'!B18/'Revenue Hours-25'!B17</f>
        <v>81.611429206737455</v>
      </c>
      <c r="Y25" s="96">
        <f>'Op Cost-25'!C18/'Revenue Hours-25'!C17</f>
        <v>72.997808505087406</v>
      </c>
      <c r="Z25" s="96">
        <f>'Op Cost-25'!D18/'Revenue Hours-25'!D17</f>
        <v>89.842457403679873</v>
      </c>
      <c r="AA25" s="96">
        <f>'Op Cost-25'!E18/'Revenue Hours-25'!E17</f>
        <v>122.89167251227578</v>
      </c>
      <c r="AB25" s="97">
        <f t="shared" si="8"/>
        <v>1.1433754529366269</v>
      </c>
      <c r="AC25" s="98">
        <f t="shared" si="9"/>
        <v>5.3660795820876933E-3</v>
      </c>
      <c r="AD25" s="99">
        <f t="shared" si="10"/>
        <v>5.7243142592946434E-3</v>
      </c>
      <c r="AE25" s="95">
        <f>'Op Cost-25'!B18/'Revenue Miles-25'!B17</f>
        <v>5.4412156590224692</v>
      </c>
      <c r="AF25" s="96">
        <f>'Op Cost-25'!C18/'Revenue Miles-25'!C17</f>
        <v>4.9801382261276927</v>
      </c>
      <c r="AG25" s="96">
        <f>'Op Cost-25'!D18/'Revenue Miles-25'!D17</f>
        <v>5.9569033252504751</v>
      </c>
      <c r="AH25" s="96">
        <f>'Op Cost-25'!E18/'Revenue Miles-25'!E17</f>
        <v>7.8142593461864411</v>
      </c>
      <c r="AI25" s="97">
        <f t="shared" si="11"/>
        <v>1.1229656613500592</v>
      </c>
      <c r="AJ25" s="98">
        <f t="shared" si="12"/>
        <v>5.4636075561627665E-3</v>
      </c>
      <c r="AK25" s="99">
        <f t="shared" si="13"/>
        <v>5.8146502223568163E-3</v>
      </c>
      <c r="AL25" s="95">
        <f>'Op Cost-25'!B18/'Ridership-25'!B17</f>
        <v>9.1775105021004197</v>
      </c>
      <c r="AM25" s="96">
        <f>'Op Cost-25'!C18/'Ridership-25'!C17</f>
        <v>12.664614743969837</v>
      </c>
      <c r="AN25" s="96">
        <f>'Op Cost-25'!D18/'Ridership-25'!D17</f>
        <v>13.865185794477576</v>
      </c>
      <c r="AO25" s="96">
        <f>'Op Cost-25'!E18/'Ridership-25'!E17</f>
        <v>15.616411841111102</v>
      </c>
      <c r="AP25" s="100">
        <f t="shared" si="14"/>
        <v>1.1449369771833227</v>
      </c>
      <c r="AQ25" s="98">
        <f t="shared" si="15"/>
        <v>5.3587610453087152E-3</v>
      </c>
      <c r="AR25" s="99">
        <f t="shared" si="16"/>
        <v>5.8181633596442088E-3</v>
      </c>
      <c r="AT25" s="101">
        <f t="shared" si="29"/>
        <v>0</v>
      </c>
      <c r="AU25" s="102">
        <f t="shared" si="17"/>
        <v>0</v>
      </c>
      <c r="AV25" s="102">
        <f t="shared" si="18"/>
        <v>0</v>
      </c>
      <c r="AW25" s="102">
        <f t="shared" si="19"/>
        <v>0</v>
      </c>
      <c r="AX25" s="103">
        <f t="shared" si="20"/>
        <v>0</v>
      </c>
      <c r="AY25" s="293">
        <f t="shared" si="30"/>
        <v>-1</v>
      </c>
      <c r="AZ25" s="105">
        <f t="shared" si="21"/>
        <v>0</v>
      </c>
      <c r="BA25" s="106">
        <f t="shared" si="21"/>
        <v>0</v>
      </c>
      <c r="BB25" s="106">
        <f t="shared" si="21"/>
        <v>0</v>
      </c>
      <c r="BC25" s="106">
        <f t="shared" si="21"/>
        <v>0</v>
      </c>
      <c r="BD25" s="106">
        <f t="shared" si="21"/>
        <v>0</v>
      </c>
      <c r="BE25" s="107">
        <f t="shared" si="31"/>
        <v>749999.70502917236</v>
      </c>
      <c r="BG25" s="108">
        <f>'Op Cost-25'!E18</f>
        <v>3679008</v>
      </c>
      <c r="BH25" s="109">
        <f t="shared" si="22"/>
        <v>0.20385922102620391</v>
      </c>
      <c r="BI25" s="110">
        <f t="shared" si="23"/>
        <v>749999.70502917236</v>
      </c>
      <c r="BJ25" s="111">
        <f t="shared" si="24"/>
        <v>0</v>
      </c>
      <c r="BK25" s="1">
        <f t="shared" si="32"/>
        <v>0.70382989100671867</v>
      </c>
      <c r="BL25" s="294">
        <f t="shared" si="33"/>
        <v>0.73511058930448281</v>
      </c>
      <c r="BM25" s="294">
        <f t="shared" si="34"/>
        <v>0.67443704995618003</v>
      </c>
      <c r="BN25" s="295">
        <f t="shared" si="35"/>
        <v>0.70288596238310597</v>
      </c>
      <c r="BO25" s="114">
        <f t="shared" si="25"/>
        <v>749999.70502917236</v>
      </c>
      <c r="BP25" s="296">
        <f t="shared" si="36"/>
        <v>0.70382989100671867</v>
      </c>
      <c r="BQ25" s="116">
        <f t="shared" si="37"/>
        <v>4.3183086514086144E-3</v>
      </c>
      <c r="BR25" s="297">
        <f t="shared" si="38"/>
        <v>4.3183086514086144E-3</v>
      </c>
      <c r="BS25" s="117">
        <f t="shared" si="39"/>
        <v>4.8271577441756095E-3</v>
      </c>
      <c r="BT25" s="298">
        <f t="shared" si="40"/>
        <v>791487.26499948383</v>
      </c>
      <c r="BU25" s="119">
        <f t="shared" si="41"/>
        <v>1103702.3999999999</v>
      </c>
      <c r="BV25" s="119">
        <f t="shared" si="42"/>
        <v>791487.26499948383</v>
      </c>
      <c r="BW25" s="119">
        <f t="shared" si="43"/>
        <v>0</v>
      </c>
      <c r="BX25" s="120">
        <f t="shared" si="44"/>
        <v>4.3183086514086144E-3</v>
      </c>
      <c r="BY25" s="121">
        <f t="shared" si="45"/>
        <v>8.5556720812580145E-3</v>
      </c>
      <c r="BZ25" s="299">
        <f t="shared" si="46"/>
        <v>798874.20117407455</v>
      </c>
      <c r="CA25" s="109">
        <f t="shared" si="26"/>
        <v>6.8120292231841394E-3</v>
      </c>
      <c r="CB25" s="123">
        <f t="shared" si="57"/>
        <v>58546.765176125795</v>
      </c>
      <c r="CC25" s="111">
        <f t="shared" si="56"/>
        <v>808546</v>
      </c>
      <c r="CE25" s="124">
        <f t="shared" si="28"/>
        <v>0</v>
      </c>
      <c r="CF25" s="17"/>
      <c r="CG25" s="108">
        <f t="shared" si="47"/>
        <v>3679008</v>
      </c>
      <c r="CH25" s="125">
        <f t="shared" si="48"/>
        <v>0.21977283006723553</v>
      </c>
      <c r="CI25" s="110">
        <f t="shared" si="49"/>
        <v>791487.26499948383</v>
      </c>
      <c r="CJ25" s="300">
        <f t="shared" si="50"/>
        <v>0</v>
      </c>
      <c r="CL25" s="127">
        <f t="shared" si="51"/>
        <v>791487.26499948383</v>
      </c>
      <c r="CM25" s="128">
        <f t="shared" si="52"/>
        <v>9.2112061154828555E-3</v>
      </c>
      <c r="CN25" s="129">
        <f t="shared" si="53"/>
        <v>7952.9218768359697</v>
      </c>
      <c r="CO25" s="130">
        <f t="shared" si="55"/>
        <v>799440</v>
      </c>
      <c r="CQ25" s="131">
        <f t="shared" si="54"/>
        <v>0.21714391520053083</v>
      </c>
      <c r="CR25" s="301"/>
    </row>
    <row r="26" spans="1:96">
      <c r="A26" s="133" t="s">
        <v>99</v>
      </c>
      <c r="B26" s="90" t="s">
        <v>101</v>
      </c>
      <c r="C26" s="91">
        <f>'Sizing - Reimb Exp-25'!B19</f>
        <v>703038</v>
      </c>
      <c r="D26" s="92">
        <f>'Ridership-25'!$E18</f>
        <v>90145</v>
      </c>
      <c r="E26" s="92">
        <f>'Revenue Hours-25'!$E18</f>
        <v>11560</v>
      </c>
      <c r="F26" s="92">
        <f>'Revenue Miles-25'!$E18</f>
        <v>171222</v>
      </c>
      <c r="G26" s="93">
        <f t="shared" si="0"/>
        <v>1.9267836815085944E-3</v>
      </c>
      <c r="H26" s="94">
        <f t="shared" si="1"/>
        <v>1.9267836815085946E-3</v>
      </c>
      <c r="J26" s="95">
        <f>'Ridership-25'!B18/'Revenue Hours-25'!B18</f>
        <v>12.121389319430746</v>
      </c>
      <c r="K26" s="96">
        <f>'Ridership-25'!C18/'Revenue Hours-25'!C18</f>
        <v>6.5520235467255334</v>
      </c>
      <c r="L26" s="96">
        <f>'Ridership-25'!D18/'Revenue Hours-25'!D18</f>
        <v>6.5625580805947452</v>
      </c>
      <c r="M26" s="207">
        <f>'Ridership-25'!E18/'Revenue Hours-25'!K18</f>
        <v>7.7980103806228378</v>
      </c>
      <c r="N26" s="97">
        <f t="shared" si="2"/>
        <v>0.9411305771415881</v>
      </c>
      <c r="O26" s="98">
        <f t="shared" si="3"/>
        <v>1.8133550382051775E-3</v>
      </c>
      <c r="P26" s="99">
        <f t="shared" si="4"/>
        <v>1.6980166512490656E-3</v>
      </c>
      <c r="Q26" s="95">
        <f>'Ridership-25'!B18/'Revenue Miles-25'!B18</f>
        <v>0.79351997048242784</v>
      </c>
      <c r="R26" s="96">
        <f>'Ridership-25'!C18/'Revenue Miles-25'!C18</f>
        <v>0.47317713453679738</v>
      </c>
      <c r="S26" s="96">
        <f>'Ridership-25'!D18/'Revenue Miles-25'!D18</f>
        <v>0.44629120011030743</v>
      </c>
      <c r="T26" s="207">
        <f>'Ridership-25'!E18/'Revenue Miles-25'!K18</f>
        <v>0.52648024202497345</v>
      </c>
      <c r="U26" s="97">
        <f t="shared" si="5"/>
        <v>0.95968549774921197</v>
      </c>
      <c r="V26" s="98">
        <f t="shared" si="6"/>
        <v>1.8491063564436347E-3</v>
      </c>
      <c r="W26" s="99">
        <f t="shared" si="7"/>
        <v>1.7306442307862145E-3</v>
      </c>
      <c r="X26" s="95">
        <f>'Op Cost-25'!B19/'Revenue Hours-25'!B18</f>
        <v>47.958362688459914</v>
      </c>
      <c r="Y26" s="96">
        <f>'Op Cost-25'!C19/'Revenue Hours-25'!C18</f>
        <v>45.519278881530539</v>
      </c>
      <c r="Z26" s="96">
        <f>'Op Cost-25'!D19/'Revenue Hours-25'!D18</f>
        <v>51.194390470558417</v>
      </c>
      <c r="AA26" s="96">
        <f>'Op Cost-25'!E19/'Revenue Hours-25'!E18</f>
        <v>60.816435986159171</v>
      </c>
      <c r="AB26" s="97">
        <f t="shared" si="8"/>
        <v>1.0585987264876684</v>
      </c>
      <c r="AC26" s="98">
        <f t="shared" si="9"/>
        <v>1.8201265817704908E-3</v>
      </c>
      <c r="AD26" s="99">
        <f t="shared" si="10"/>
        <v>1.9416366057128985E-3</v>
      </c>
      <c r="AE26" s="95">
        <f>'Op Cost-25'!B19/'Revenue Miles-25'!B18</f>
        <v>3.1395673830827415</v>
      </c>
      <c r="AF26" s="96">
        <f>'Op Cost-25'!C19/'Revenue Miles-25'!C18</f>
        <v>3.2873328054671349</v>
      </c>
      <c r="AG26" s="96">
        <f>'Op Cost-25'!D19/'Revenue Miles-25'!D18</f>
        <v>3.4815091434513583</v>
      </c>
      <c r="AH26" s="96">
        <f>'Op Cost-25'!E19/'Revenue Miles-25'!E18</f>
        <v>4.1060027332936189</v>
      </c>
      <c r="AI26" s="97">
        <f t="shared" si="11"/>
        <v>1.0643484033760391</v>
      </c>
      <c r="AJ26" s="98">
        <f t="shared" si="12"/>
        <v>1.8102941437192661E-3</v>
      </c>
      <c r="AK26" s="99">
        <f t="shared" si="13"/>
        <v>1.9266074909489504E-3</v>
      </c>
      <c r="AL26" s="95">
        <f>'Op Cost-25'!B19/'Ridership-25'!B18</f>
        <v>3.95650708220237</v>
      </c>
      <c r="AM26" s="96">
        <f>'Op Cost-25'!C19/'Ridership-25'!C18</f>
        <v>6.9473619190943596</v>
      </c>
      <c r="AN26" s="96">
        <f>'Op Cost-25'!D19/'Ridership-25'!D18</f>
        <v>7.8009809348489334</v>
      </c>
      <c r="AO26" s="96">
        <f>'Op Cost-25'!E19/'Ridership-25'!E18</f>
        <v>7.7989683288035945</v>
      </c>
      <c r="AP26" s="100">
        <f t="shared" si="14"/>
        <v>1.1555135455372394</v>
      </c>
      <c r="AQ26" s="98">
        <f t="shared" si="15"/>
        <v>1.6674695757138566E-3</v>
      </c>
      <c r="AR26" s="99">
        <f t="shared" si="16"/>
        <v>1.8104204137322066E-3</v>
      </c>
      <c r="AT26" s="101">
        <f t="shared" si="29"/>
        <v>0</v>
      </c>
      <c r="AU26" s="102">
        <f t="shared" si="17"/>
        <v>0</v>
      </c>
      <c r="AV26" s="102">
        <f t="shared" si="18"/>
        <v>0</v>
      </c>
      <c r="AW26" s="102">
        <f t="shared" si="19"/>
        <v>0</v>
      </c>
      <c r="AX26" s="103">
        <f t="shared" si="20"/>
        <v>0</v>
      </c>
      <c r="AY26" s="293">
        <f t="shared" si="30"/>
        <v>-1</v>
      </c>
      <c r="AZ26" s="105">
        <f t="shared" si="21"/>
        <v>0</v>
      </c>
      <c r="BA26" s="106">
        <f t="shared" si="21"/>
        <v>0</v>
      </c>
      <c r="BB26" s="106">
        <f t="shared" si="21"/>
        <v>0</v>
      </c>
      <c r="BC26" s="106">
        <f t="shared" si="21"/>
        <v>0</v>
      </c>
      <c r="BD26" s="106">
        <f t="shared" si="21"/>
        <v>0</v>
      </c>
      <c r="BE26" s="107">
        <f t="shared" si="31"/>
        <v>235531.00148650398</v>
      </c>
      <c r="BG26" s="108">
        <f>'Op Cost-25'!E19</f>
        <v>703038</v>
      </c>
      <c r="BH26" s="109">
        <f t="shared" si="22"/>
        <v>0.33501887733878394</v>
      </c>
      <c r="BI26" s="110">
        <f t="shared" si="23"/>
        <v>210911.4</v>
      </c>
      <c r="BJ26" s="111">
        <f t="shared" si="24"/>
        <v>24619.601486503991</v>
      </c>
      <c r="BK26" s="1">
        <f t="shared" si="32"/>
        <v>1.0632304921016367</v>
      </c>
      <c r="BL26" s="294">
        <f t="shared" si="33"/>
        <v>0.72844251775855451</v>
      </c>
      <c r="BM26" s="294">
        <f t="shared" si="34"/>
        <v>0.70960543061355719</v>
      </c>
      <c r="BN26" s="295">
        <f t="shared" si="35"/>
        <v>1.4074370100172178</v>
      </c>
      <c r="BO26" s="114">
        <f t="shared" si="25"/>
        <v>0</v>
      </c>
      <c r="BP26" s="296">
        <f t="shared" si="36"/>
        <v>1.0632304921016367</v>
      </c>
      <c r="BQ26" s="116">
        <f t="shared" si="37"/>
        <v>2.0486151618637864E-3</v>
      </c>
      <c r="BR26" s="297">
        <f t="shared" si="38"/>
        <v>0</v>
      </c>
      <c r="BS26" s="117">
        <f t="shared" si="39"/>
        <v>0</v>
      </c>
      <c r="BT26" s="298">
        <f t="shared" si="40"/>
        <v>210911.4</v>
      </c>
      <c r="BU26" s="119">
        <f t="shared" si="41"/>
        <v>210911.4</v>
      </c>
      <c r="BV26" s="119">
        <f t="shared" si="42"/>
        <v>210911.4</v>
      </c>
      <c r="BW26" s="119">
        <f t="shared" si="43"/>
        <v>0</v>
      </c>
      <c r="BX26" s="120">
        <f t="shared" si="44"/>
        <v>0</v>
      </c>
      <c r="BY26" s="121">
        <f t="shared" si="45"/>
        <v>0</v>
      </c>
      <c r="BZ26" s="299">
        <f t="shared" si="46"/>
        <v>210911.4</v>
      </c>
      <c r="CA26" s="109">
        <f t="shared" si="26"/>
        <v>0</v>
      </c>
      <c r="CB26" s="123">
        <f t="shared" si="57"/>
        <v>0</v>
      </c>
      <c r="CC26" s="111">
        <f t="shared" si="56"/>
        <v>210911</v>
      </c>
      <c r="CE26" s="124">
        <f t="shared" si="28"/>
        <v>0</v>
      </c>
      <c r="CF26" s="17"/>
      <c r="CG26" s="108">
        <f t="shared" si="47"/>
        <v>703038</v>
      </c>
      <c r="CH26" s="125">
        <f t="shared" si="48"/>
        <v>0.29999943104071186</v>
      </c>
      <c r="CI26" s="110">
        <f t="shared" si="49"/>
        <v>210911.4</v>
      </c>
      <c r="CJ26" s="300">
        <f t="shared" si="50"/>
        <v>0</v>
      </c>
      <c r="CL26" s="127">
        <f t="shared" si="51"/>
        <v>0</v>
      </c>
      <c r="CM26" s="128">
        <f t="shared" si="52"/>
        <v>0</v>
      </c>
      <c r="CN26" s="129">
        <f t="shared" si="53"/>
        <v>0</v>
      </c>
      <c r="CO26" s="130">
        <f t="shared" si="55"/>
        <v>210911</v>
      </c>
      <c r="CQ26" s="131">
        <f t="shared" si="54"/>
        <v>0.3</v>
      </c>
      <c r="CR26" s="301"/>
    </row>
    <row r="27" spans="1:96">
      <c r="A27" s="133" t="s">
        <v>99</v>
      </c>
      <c r="B27" s="90" t="s">
        <v>102</v>
      </c>
      <c r="C27" s="91">
        <f>'Sizing - Reimb Exp-25'!B20</f>
        <v>8312589</v>
      </c>
      <c r="D27" s="92">
        <f>'Ridership-25'!$E19</f>
        <v>519342</v>
      </c>
      <c r="E27" s="92">
        <f>'Revenue Hours-25'!$E19</f>
        <v>79599</v>
      </c>
      <c r="F27" s="92">
        <f>'Revenue Miles-25'!$E19</f>
        <v>1150861</v>
      </c>
      <c r="G27" s="93">
        <f t="shared" si="0"/>
        <v>1.4764019756276369E-2</v>
      </c>
      <c r="H27" s="94">
        <f t="shared" si="1"/>
        <v>1.4764019756276371E-2</v>
      </c>
      <c r="J27" s="95">
        <f>'Ridership-25'!B19/'Revenue Hours-25'!B19</f>
        <v>21.272344057919085</v>
      </c>
      <c r="K27" s="96">
        <f>'Ridership-25'!C19/'Revenue Hours-25'!C19</f>
        <v>6.2106387495687709</v>
      </c>
      <c r="L27" s="96">
        <f>'Ridership-25'!D19/'Revenue Hours-25'!D19</f>
        <v>5.9993407953505891</v>
      </c>
      <c r="M27" s="207">
        <f>'Ridership-25'!E19/'Revenue Hours-25'!K19</f>
        <v>6.5244789507405869</v>
      </c>
      <c r="N27" s="97">
        <f t="shared" si="2"/>
        <v>0.74254458405060142</v>
      </c>
      <c r="O27" s="98">
        <f t="shared" si="3"/>
        <v>1.0962942908839099E-2</v>
      </c>
      <c r="P27" s="99">
        <f t="shared" si="4"/>
        <v>1.0265645289367421E-2</v>
      </c>
      <c r="Q27" s="95">
        <f>'Ridership-25'!B19/'Revenue Miles-25'!B19</f>
        <v>1.6130997617774709</v>
      </c>
      <c r="R27" s="96">
        <f>'Ridership-25'!C19/'Revenue Miles-25'!C19</f>
        <v>0.43710720015539234</v>
      </c>
      <c r="S27" s="96">
        <f>'Ridership-25'!D19/'Revenue Miles-25'!D19</f>
        <v>0.41539215330115964</v>
      </c>
      <c r="T27" s="207">
        <f>'Ridership-25'!E19/'Revenue Miles-25'!K19</f>
        <v>0.45126387982562621</v>
      </c>
      <c r="U27" s="97">
        <f t="shared" si="5"/>
        <v>0.72761827424943293</v>
      </c>
      <c r="V27" s="98">
        <f t="shared" si="6"/>
        <v>1.0742570576046346E-2</v>
      </c>
      <c r="W27" s="99">
        <f t="shared" si="7"/>
        <v>1.005435286426969E-2</v>
      </c>
      <c r="X27" s="95">
        <f>'Op Cost-25'!B20/'Revenue Hours-25'!B19</f>
        <v>85.260382965718563</v>
      </c>
      <c r="Y27" s="96">
        <f>'Op Cost-25'!C20/'Revenue Hours-25'!C19</f>
        <v>88.890998593530242</v>
      </c>
      <c r="Z27" s="96">
        <f>'Op Cost-25'!D20/'Revenue Hours-25'!D19</f>
        <v>103.53699617930367</v>
      </c>
      <c r="AA27" s="96">
        <f>'Op Cost-25'!E20/'Revenue Hours-25'!E19</f>
        <v>108.98527619693715</v>
      </c>
      <c r="AB27" s="97">
        <f t="shared" si="8"/>
        <v>1.0489833242149993</v>
      </c>
      <c r="AC27" s="98">
        <f t="shared" si="9"/>
        <v>1.4074599105114414E-2</v>
      </c>
      <c r="AD27" s="99">
        <f t="shared" si="10"/>
        <v>1.5014206762829448E-2</v>
      </c>
      <c r="AE27" s="95">
        <f>'Op Cost-25'!B20/'Revenue Miles-25'!B19</f>
        <v>6.465366631744411</v>
      </c>
      <c r="AF27" s="96">
        <f>'Op Cost-25'!C20/'Revenue Miles-25'!C19</f>
        <v>6.2561834749980854</v>
      </c>
      <c r="AG27" s="96">
        <f>'Op Cost-25'!D20/'Revenue Miles-25'!D19</f>
        <v>7.168863589577354</v>
      </c>
      <c r="AH27" s="96">
        <f>'Op Cost-25'!E20/'Revenue Miles-25'!E19</f>
        <v>7.537938117635405</v>
      </c>
      <c r="AI27" s="97">
        <f t="shared" si="11"/>
        <v>1.026827470444114</v>
      </c>
      <c r="AJ27" s="98">
        <f t="shared" si="12"/>
        <v>1.437828669493111E-2</v>
      </c>
      <c r="AK27" s="99">
        <f t="shared" si="13"/>
        <v>1.5302107091035102E-2</v>
      </c>
      <c r="AL27" s="95">
        <f>'Op Cost-25'!B20/'Ridership-25'!B19</f>
        <v>4.008038922912144</v>
      </c>
      <c r="AM27" s="96">
        <f>'Op Cost-25'!C20/'Ridership-25'!C19</f>
        <v>14.312698287225656</v>
      </c>
      <c r="AN27" s="96">
        <f>'Op Cost-25'!D20/'Ridership-25'!D19</f>
        <v>17.258062129016487</v>
      </c>
      <c r="AO27" s="96">
        <f>'Op Cost-25'!E20/'Ridership-25'!E19</f>
        <v>16.704058212122263</v>
      </c>
      <c r="AP27" s="97">
        <f t="shared" si="14"/>
        <v>1.4319841470376262</v>
      </c>
      <c r="AQ27" s="98">
        <f t="shared" si="15"/>
        <v>1.031018380113983E-2</v>
      </c>
      <c r="AR27" s="99">
        <f t="shared" si="16"/>
        <v>1.1194067642837625E-2</v>
      </c>
      <c r="AT27" s="101">
        <f t="shared" si="29"/>
        <v>0</v>
      </c>
      <c r="AU27" s="102">
        <f t="shared" si="17"/>
        <v>0</v>
      </c>
      <c r="AV27" s="102">
        <f t="shared" si="18"/>
        <v>0</v>
      </c>
      <c r="AW27" s="102">
        <f t="shared" si="19"/>
        <v>0</v>
      </c>
      <c r="AX27" s="103">
        <f t="shared" si="20"/>
        <v>0</v>
      </c>
      <c r="AY27" s="293">
        <f t="shared" si="30"/>
        <v>-1</v>
      </c>
      <c r="AZ27" s="105">
        <f t="shared" si="21"/>
        <v>0</v>
      </c>
      <c r="BA27" s="106">
        <f t="shared" si="21"/>
        <v>0</v>
      </c>
      <c r="BB27" s="106">
        <f t="shared" si="21"/>
        <v>0</v>
      </c>
      <c r="BC27" s="106">
        <f t="shared" si="21"/>
        <v>0</v>
      </c>
      <c r="BD27" s="106">
        <f t="shared" si="21"/>
        <v>0</v>
      </c>
      <c r="BE27" s="107">
        <f t="shared" si="31"/>
        <v>1804761.1636609104</v>
      </c>
      <c r="BG27" s="108">
        <f>'Op Cost-25'!E20</f>
        <v>8675119</v>
      </c>
      <c r="BH27" s="109">
        <f t="shared" si="22"/>
        <v>0.2080387789102271</v>
      </c>
      <c r="BI27" s="110">
        <f t="shared" si="23"/>
        <v>1804761.1636609104</v>
      </c>
      <c r="BJ27" s="111">
        <f t="shared" si="24"/>
        <v>0</v>
      </c>
      <c r="BK27" s="1">
        <f t="shared" si="32"/>
        <v>0.63298548157205015</v>
      </c>
      <c r="BL27" s="294">
        <f t="shared" si="33"/>
        <v>0.60947698732872935</v>
      </c>
      <c r="BM27" s="294">
        <f t="shared" si="34"/>
        <v>0.60822662315372988</v>
      </c>
      <c r="BN27" s="295">
        <f t="shared" si="35"/>
        <v>0.65711915790287057</v>
      </c>
      <c r="BO27" s="114">
        <f t="shared" si="25"/>
        <v>1804761.1636609104</v>
      </c>
      <c r="BP27" s="296">
        <f t="shared" si="36"/>
        <v>0.63298548157205015</v>
      </c>
      <c r="BQ27" s="116">
        <f t="shared" si="37"/>
        <v>9.345410155365861E-3</v>
      </c>
      <c r="BR27" s="297">
        <f t="shared" si="38"/>
        <v>9.345410155365861E-3</v>
      </c>
      <c r="BS27" s="117">
        <f t="shared" si="39"/>
        <v>1.0446629142466791E-2</v>
      </c>
      <c r="BT27" s="298">
        <f t="shared" si="40"/>
        <v>1894545.9140264099</v>
      </c>
      <c r="BU27" s="119">
        <f t="shared" si="41"/>
        <v>2602535.6999999997</v>
      </c>
      <c r="BV27" s="119">
        <f t="shared" si="42"/>
        <v>1894545.9140264099</v>
      </c>
      <c r="BW27" s="119">
        <f t="shared" si="43"/>
        <v>0</v>
      </c>
      <c r="BX27" s="120">
        <f t="shared" si="44"/>
        <v>9.345410155365861E-3</v>
      </c>
      <c r="BY27" s="121">
        <f t="shared" si="45"/>
        <v>1.8515643787548029E-2</v>
      </c>
      <c r="BZ27" s="299">
        <f t="shared" si="46"/>
        <v>1910532.2535671329</v>
      </c>
      <c r="CA27" s="109">
        <f t="shared" si="26"/>
        <v>1.6392120830564513E-2</v>
      </c>
      <c r="CB27" s="123">
        <f t="shared" si="57"/>
        <v>140883.95947267333</v>
      </c>
      <c r="CC27" s="111">
        <f t="shared" si="56"/>
        <v>1945645</v>
      </c>
      <c r="CE27" s="124">
        <f t="shared" si="28"/>
        <v>0</v>
      </c>
      <c r="CF27" s="17"/>
      <c r="CG27" s="108">
        <f t="shared" si="47"/>
        <v>8675119</v>
      </c>
      <c r="CH27" s="125">
        <f t="shared" si="48"/>
        <v>0.22427876781863165</v>
      </c>
      <c r="CI27" s="110">
        <f t="shared" si="49"/>
        <v>1894545.9140264099</v>
      </c>
      <c r="CJ27" s="300">
        <f t="shared" si="50"/>
        <v>0</v>
      </c>
      <c r="CL27" s="127">
        <f t="shared" si="51"/>
        <v>1894545.9140264099</v>
      </c>
      <c r="CM27" s="128">
        <f t="shared" si="52"/>
        <v>2.2048431707052805E-2</v>
      </c>
      <c r="CN27" s="129">
        <f t="shared" si="53"/>
        <v>19036.535788533074</v>
      </c>
      <c r="CO27" s="130">
        <f t="shared" si="55"/>
        <v>1913582</v>
      </c>
      <c r="CQ27" s="131">
        <f t="shared" si="54"/>
        <v>0.22023124450132994</v>
      </c>
      <c r="CR27" s="301"/>
    </row>
    <row r="28" spans="1:96">
      <c r="A28" s="133" t="s">
        <v>99</v>
      </c>
      <c r="B28" s="90" t="s">
        <v>103</v>
      </c>
      <c r="C28" s="91">
        <f>'Sizing - Reimb Exp-25'!B21</f>
        <v>177126</v>
      </c>
      <c r="D28" s="92">
        <f>'Ridership-25'!$E20</f>
        <v>14298</v>
      </c>
      <c r="E28" s="92">
        <f>'Revenue Hours-25'!$E20</f>
        <v>3028</v>
      </c>
      <c r="F28" s="92">
        <f>'Revenue Miles-25'!$E20</f>
        <v>48742</v>
      </c>
      <c r="G28" s="134">
        <f t="shared" si="0"/>
        <v>4.4038078920761829E-4</v>
      </c>
      <c r="H28" s="94">
        <f t="shared" si="1"/>
        <v>4.4038078920761835E-4</v>
      </c>
      <c r="J28" s="95">
        <f>'Ridership-25'!B20/'Revenue Hours-25'!B20</f>
        <v>5.9558432934926957</v>
      </c>
      <c r="K28" s="96">
        <f>'Ridership-25'!C20/'Revenue Hours-25'!C20</f>
        <v>4.686815011624045</v>
      </c>
      <c r="L28" s="96">
        <f>'Ridership-25'!D20/'Revenue Hours-25'!D20</f>
        <v>4.8892540256325994</v>
      </c>
      <c r="M28" s="207">
        <f>'Ridership-25'!E20/'Revenue Hours-25'!K20</f>
        <v>4.7219286657859971</v>
      </c>
      <c r="N28" s="97">
        <f t="shared" si="2"/>
        <v>1.0497324316835372</v>
      </c>
      <c r="O28" s="98">
        <f t="shared" si="3"/>
        <v>4.6228199672162845E-4</v>
      </c>
      <c r="P28" s="99">
        <f t="shared" si="4"/>
        <v>4.3287856567952149E-4</v>
      </c>
      <c r="Q28" s="95">
        <f>'Ridership-25'!B20/'Revenue Miles-25'!B20</f>
        <v>0.37067112984544176</v>
      </c>
      <c r="R28" s="96">
        <f>'Ridership-25'!C20/'Revenue Miles-25'!C20</f>
        <v>0.28707433174661295</v>
      </c>
      <c r="S28" s="96">
        <f>'Ridership-25'!D20/'Revenue Miles-25'!D20</f>
        <v>0.30552817479875144</v>
      </c>
      <c r="T28" s="207">
        <f>'Ridership-25'!E20/'Revenue Miles-25'!K20</f>
        <v>0.29334044561158756</v>
      </c>
      <c r="U28" s="97">
        <f t="shared" si="5"/>
        <v>1.0445386621931119</v>
      </c>
      <c r="V28" s="98">
        <f t="shared" si="6"/>
        <v>4.5999476041447247E-4</v>
      </c>
      <c r="W28" s="99">
        <f t="shared" si="7"/>
        <v>4.3052541327817363E-4</v>
      </c>
      <c r="X28" s="95">
        <f>'Op Cost-25'!B21/'Revenue Hours-25'!B20</f>
        <v>35.128818061088978</v>
      </c>
      <c r="Y28" s="96">
        <f>'Op Cost-25'!C21/'Revenue Hours-25'!C20</f>
        <v>38.42344735968117</v>
      </c>
      <c r="Z28" s="96">
        <f>'Op Cost-25'!D21/'Revenue Hours-25'!D20</f>
        <v>35.43739730529083</v>
      </c>
      <c r="AA28" s="96">
        <f>'Op Cost-25'!E21/'Revenue Hours-25'!E20</f>
        <v>58.537318361955087</v>
      </c>
      <c r="AB28" s="97">
        <f t="shared" si="8"/>
        <v>1.1968858090440895</v>
      </c>
      <c r="AC28" s="98">
        <f t="shared" si="9"/>
        <v>3.6793885087444973E-4</v>
      </c>
      <c r="AD28" s="99">
        <f t="shared" si="10"/>
        <v>3.9250211972996377E-4</v>
      </c>
      <c r="AE28" s="95">
        <f>'Op Cost-25'!B21/'Revenue Miles-25'!B20</f>
        <v>2.1862963881312507</v>
      </c>
      <c r="AF28" s="96">
        <f>'Op Cost-25'!C21/'Revenue Miles-25'!C20</f>
        <v>2.3534928190731925</v>
      </c>
      <c r="AG28" s="96">
        <f>'Op Cost-25'!D21/'Revenue Miles-25'!D20</f>
        <v>2.2144734680466569</v>
      </c>
      <c r="AH28" s="96">
        <f>'Op Cost-25'!E21/'Revenue Miles-25'!E20</f>
        <v>3.6365147101062738</v>
      </c>
      <c r="AI28" s="97">
        <f t="shared" si="11"/>
        <v>1.1975235749946818</v>
      </c>
      <c r="AJ28" s="98">
        <f t="shared" si="12"/>
        <v>3.6774289742861564E-4</v>
      </c>
      <c r="AK28" s="99">
        <f t="shared" si="13"/>
        <v>3.9137077440555063E-4</v>
      </c>
      <c r="AL28" s="95">
        <f>'Op Cost-25'!B21/'Ridership-25'!B20</f>
        <v>5.8982106025976924</v>
      </c>
      <c r="AM28" s="96">
        <f>'Op Cost-25'!C21/'Ridership-25'!C20</f>
        <v>8.1982001133786842</v>
      </c>
      <c r="AN28" s="96">
        <f>'Op Cost-25'!D21/'Ridership-25'!D20</f>
        <v>7.2480172066137918</v>
      </c>
      <c r="AO28" s="96">
        <f>'Op Cost-25'!E21/'Ridership-25'!E20</f>
        <v>12.396908658553643</v>
      </c>
      <c r="AP28" s="100">
        <f t="shared" si="14"/>
        <v>1.3061052839788061</v>
      </c>
      <c r="AQ28" s="98">
        <f t="shared" si="15"/>
        <v>3.3717097282240556E-4</v>
      </c>
      <c r="AR28" s="99">
        <f t="shared" si="16"/>
        <v>3.6607637165092142E-4</v>
      </c>
      <c r="AT28" s="101">
        <f t="shared" si="29"/>
        <v>0</v>
      </c>
      <c r="AU28" s="102">
        <f t="shared" si="17"/>
        <v>0</v>
      </c>
      <c r="AV28" s="102">
        <f t="shared" si="18"/>
        <v>0</v>
      </c>
      <c r="AW28" s="102">
        <f t="shared" si="19"/>
        <v>0</v>
      </c>
      <c r="AX28" s="103">
        <f t="shared" si="20"/>
        <v>0</v>
      </c>
      <c r="AY28" s="293">
        <f t="shared" si="30"/>
        <v>-1</v>
      </c>
      <c r="AZ28" s="105">
        <f t="shared" si="21"/>
        <v>0</v>
      </c>
      <c r="BA28" s="106">
        <f t="shared" si="21"/>
        <v>0</v>
      </c>
      <c r="BB28" s="106">
        <f t="shared" si="21"/>
        <v>0</v>
      </c>
      <c r="BC28" s="106">
        <f t="shared" si="21"/>
        <v>0</v>
      </c>
      <c r="BD28" s="106">
        <f t="shared" si="21"/>
        <v>0</v>
      </c>
      <c r="BE28" s="107">
        <f t="shared" si="31"/>
        <v>53832.36806130522</v>
      </c>
      <c r="BG28" s="108">
        <f>'Op Cost-25'!E21</f>
        <v>177251</v>
      </c>
      <c r="BH28" s="109">
        <f t="shared" si="22"/>
        <v>0.30370699212588487</v>
      </c>
      <c r="BI28" s="110">
        <f t="shared" si="23"/>
        <v>53175.299999999996</v>
      </c>
      <c r="BJ28" s="111">
        <f t="shared" si="24"/>
        <v>657.06806130522455</v>
      </c>
      <c r="BK28" s="1">
        <f t="shared" si="32"/>
        <v>0.65183009971520889</v>
      </c>
      <c r="BL28" s="294">
        <f t="shared" si="33"/>
        <v>0.44109374546725261</v>
      </c>
      <c r="BM28" s="294">
        <f t="shared" si="34"/>
        <v>0.39537281099849808</v>
      </c>
      <c r="BN28" s="295">
        <f t="shared" si="35"/>
        <v>0.88542692119754252</v>
      </c>
      <c r="BO28" s="114">
        <f t="shared" si="25"/>
        <v>0</v>
      </c>
      <c r="BP28" s="296">
        <f t="shared" si="36"/>
        <v>0.65183009971520889</v>
      </c>
      <c r="BQ28" s="116">
        <f t="shared" si="37"/>
        <v>2.8705345374186424E-4</v>
      </c>
      <c r="BR28" s="297">
        <f t="shared" si="38"/>
        <v>0</v>
      </c>
      <c r="BS28" s="117">
        <f t="shared" si="39"/>
        <v>0</v>
      </c>
      <c r="BT28" s="298">
        <f t="shared" si="40"/>
        <v>53175.299999999996</v>
      </c>
      <c r="BU28" s="119">
        <f t="shared" si="41"/>
        <v>53175.299999999996</v>
      </c>
      <c r="BV28" s="119">
        <f t="shared" si="42"/>
        <v>53175.299999999996</v>
      </c>
      <c r="BW28" s="119">
        <f t="shared" si="43"/>
        <v>0</v>
      </c>
      <c r="BX28" s="120">
        <f t="shared" si="44"/>
        <v>0</v>
      </c>
      <c r="BY28" s="121">
        <f t="shared" si="45"/>
        <v>0</v>
      </c>
      <c r="BZ28" s="299">
        <f t="shared" si="46"/>
        <v>53175.299999999996</v>
      </c>
      <c r="CA28" s="109">
        <f t="shared" si="26"/>
        <v>0</v>
      </c>
      <c r="CB28" s="123">
        <f t="shared" si="57"/>
        <v>0</v>
      </c>
      <c r="CC28" s="111">
        <f t="shared" si="56"/>
        <v>53175</v>
      </c>
      <c r="CE28" s="124">
        <f t="shared" si="28"/>
        <v>0</v>
      </c>
      <c r="CF28" s="17"/>
      <c r="CG28" s="108">
        <f t="shared" si="47"/>
        <v>177251</v>
      </c>
      <c r="CH28" s="125">
        <f t="shared" si="48"/>
        <v>0.29999830748486611</v>
      </c>
      <c r="CI28" s="110">
        <f t="shared" si="49"/>
        <v>53175.299999999996</v>
      </c>
      <c r="CJ28" s="300">
        <f t="shared" si="50"/>
        <v>0</v>
      </c>
      <c r="CL28" s="127">
        <f t="shared" si="51"/>
        <v>0</v>
      </c>
      <c r="CM28" s="128">
        <f t="shared" si="52"/>
        <v>0</v>
      </c>
      <c r="CN28" s="129">
        <f t="shared" si="53"/>
        <v>0</v>
      </c>
      <c r="CO28" s="130">
        <f t="shared" si="55"/>
        <v>53175</v>
      </c>
      <c r="CQ28" s="131">
        <f t="shared" si="54"/>
        <v>0.3</v>
      </c>
      <c r="CR28" s="301"/>
    </row>
    <row r="29" spans="1:96">
      <c r="A29" s="133" t="s">
        <v>104</v>
      </c>
      <c r="B29" s="90" t="s">
        <v>105</v>
      </c>
      <c r="C29" s="91">
        <f>'Sizing - Reimb Exp-25'!B22</f>
        <v>18874570</v>
      </c>
      <c r="D29" s="92">
        <f>'Ridership-25'!$E21</f>
        <v>527426</v>
      </c>
      <c r="E29" s="92">
        <f>'Revenue Hours-25'!$E21</f>
        <v>118492</v>
      </c>
      <c r="F29" s="92">
        <f>'Revenue Miles-25'!$E21</f>
        <v>2591443</v>
      </c>
      <c r="G29" s="134">
        <f t="shared" si="0"/>
        <v>2.6570525216407369E-2</v>
      </c>
      <c r="H29" s="94">
        <f t="shared" si="1"/>
        <v>2.6570525216407372E-2</v>
      </c>
      <c r="J29" s="95">
        <f>'Ridership-25'!B21/'Revenue Hours-25'!B21</f>
        <v>9.5977192221126977</v>
      </c>
      <c r="K29" s="96">
        <f>'Ridership-25'!C21/'Revenue Hours-25'!C21</f>
        <v>3.470492023892092</v>
      </c>
      <c r="L29" s="96">
        <f>'Ridership-25'!D21/'Revenue Hours-25'!D21</f>
        <v>4.2679119210326499</v>
      </c>
      <c r="M29" s="207">
        <f>'Ridership-25'!E21/'Revenue Hours-25'!K21</f>
        <v>4.8706758029662192</v>
      </c>
      <c r="N29" s="97">
        <f t="shared" si="2"/>
        <v>0.87094536090663588</v>
      </c>
      <c r="O29" s="98">
        <f t="shared" si="3"/>
        <v>2.3141475674082788E-2</v>
      </c>
      <c r="P29" s="99">
        <f t="shared" si="4"/>
        <v>2.1669562882710929E-2</v>
      </c>
      <c r="Q29" s="95">
        <f>'Ridership-25'!B21/'Revenue Miles-25'!B21</f>
        <v>0.37124438856652447</v>
      </c>
      <c r="R29" s="96">
        <f>'Ridership-25'!C21/'Revenue Miles-25'!C21</f>
        <v>0.16305901321605187</v>
      </c>
      <c r="S29" s="96">
        <f>'Ridership-25'!D21/'Revenue Miles-25'!D21</f>
        <v>0.18749795684455406</v>
      </c>
      <c r="T29" s="207">
        <f>'Ridership-25'!E21/'Revenue Miles-25'!K21</f>
        <v>0.2523477615168061</v>
      </c>
      <c r="U29" s="97">
        <f t="shared" si="5"/>
        <v>0.96033271710497858</v>
      </c>
      <c r="V29" s="98">
        <f t="shared" si="6"/>
        <v>2.5516544675978841E-2</v>
      </c>
      <c r="W29" s="99">
        <f t="shared" si="7"/>
        <v>2.3881839289122353E-2</v>
      </c>
      <c r="X29" s="95">
        <f>'Op Cost-25'!B22/'Revenue Hours-25'!B21</f>
        <v>112.24563612250527</v>
      </c>
      <c r="Y29" s="96">
        <f>'Op Cost-25'!C22/'Revenue Hours-25'!C21</f>
        <v>179.69728056645377</v>
      </c>
      <c r="Z29" s="96">
        <f>'Op Cost-25'!D22/'Revenue Hours-25'!D21</f>
        <v>158.41301948873704</v>
      </c>
      <c r="AA29" s="96">
        <f>'Op Cost-25'!E22/'Revenue Hours-25'!E21</f>
        <v>159.2898254734497</v>
      </c>
      <c r="AB29" s="97">
        <f t="shared" si="8"/>
        <v>1.0903539930795201</v>
      </c>
      <c r="AC29" s="98">
        <f t="shared" si="9"/>
        <v>2.4368714550550161E-2</v>
      </c>
      <c r="AD29" s="99">
        <f t="shared" si="10"/>
        <v>2.5995548155497986E-2</v>
      </c>
      <c r="AE29" s="95">
        <f>'Op Cost-25'!B22/'Revenue Miles-25'!B21</f>
        <v>4.3417151082679135</v>
      </c>
      <c r="AF29" s="96">
        <f>'Op Cost-25'!C22/'Revenue Miles-25'!C21</f>
        <v>8.4429703468712045</v>
      </c>
      <c r="AG29" s="96">
        <f>'Op Cost-25'!D22/'Revenue Miles-25'!D21</f>
        <v>6.9594026402794391</v>
      </c>
      <c r="AH29" s="96">
        <f>'Op Cost-25'!E22/'Revenue Miles-25'!E21</f>
        <v>7.2834208585718461</v>
      </c>
      <c r="AI29" s="97">
        <f t="shared" si="11"/>
        <v>1.1782619786185278</v>
      </c>
      <c r="AJ29" s="98">
        <f t="shared" si="12"/>
        <v>2.2550609031414568E-2</v>
      </c>
      <c r="AK29" s="99">
        <f t="shared" si="13"/>
        <v>2.3999509933851852E-2</v>
      </c>
      <c r="AL29" s="95">
        <f>'Op Cost-25'!B22/'Ridership-25'!B21</f>
        <v>11.695032280575219</v>
      </c>
      <c r="AM29" s="96">
        <f>'Op Cost-25'!C22/'Ridership-25'!C21</f>
        <v>51.778617939287642</v>
      </c>
      <c r="AN29" s="96">
        <f>'Op Cost-25'!D22/'Ridership-25'!D21</f>
        <v>37.117218541475417</v>
      </c>
      <c r="AO29" s="96">
        <f>'Op Cost-25'!E22/'Ridership-25'!E21</f>
        <v>35.786195599003463</v>
      </c>
      <c r="AP29" s="97">
        <f t="shared" si="14"/>
        <v>1.3409477845398807</v>
      </c>
      <c r="AQ29" s="98">
        <f t="shared" si="15"/>
        <v>1.9814735161760615E-2</v>
      </c>
      <c r="AR29" s="99">
        <f t="shared" si="16"/>
        <v>2.1513436617991214E-2</v>
      </c>
      <c r="AT29" s="101">
        <f t="shared" si="29"/>
        <v>0</v>
      </c>
      <c r="AU29" s="102">
        <f t="shared" si="17"/>
        <v>0</v>
      </c>
      <c r="AV29" s="102">
        <f t="shared" si="18"/>
        <v>0</v>
      </c>
      <c r="AW29" s="102">
        <f t="shared" si="19"/>
        <v>0</v>
      </c>
      <c r="AX29" s="103">
        <f t="shared" si="20"/>
        <v>0</v>
      </c>
      <c r="AY29" s="293">
        <f t="shared" si="30"/>
        <v>-1</v>
      </c>
      <c r="AZ29" s="105">
        <f t="shared" si="21"/>
        <v>0</v>
      </c>
      <c r="BA29" s="106">
        <f t="shared" si="21"/>
        <v>0</v>
      </c>
      <c r="BB29" s="106">
        <f t="shared" si="21"/>
        <v>0</v>
      </c>
      <c r="BC29" s="106">
        <f t="shared" si="21"/>
        <v>0</v>
      </c>
      <c r="BD29" s="106">
        <f t="shared" si="21"/>
        <v>0</v>
      </c>
      <c r="BE29" s="107">
        <f t="shared" si="31"/>
        <v>3247994.2996729813</v>
      </c>
      <c r="BG29" s="108">
        <f>'Op Cost-25'!E22</f>
        <v>18874570</v>
      </c>
      <c r="BH29" s="109">
        <f t="shared" si="22"/>
        <v>0.17208308849806811</v>
      </c>
      <c r="BI29" s="110">
        <f t="shared" si="23"/>
        <v>3247994.2996729813</v>
      </c>
      <c r="BJ29" s="111">
        <f t="shared" si="24"/>
        <v>0</v>
      </c>
      <c r="BK29" s="1">
        <f t="shared" si="32"/>
        <v>0.35214061803603269</v>
      </c>
      <c r="BL29" s="294">
        <f t="shared" si="33"/>
        <v>0.45498879482319921</v>
      </c>
      <c r="BM29" s="294">
        <f t="shared" si="34"/>
        <v>0.34012167538664523</v>
      </c>
      <c r="BN29" s="295">
        <f t="shared" si="35"/>
        <v>0.30672600096714314</v>
      </c>
      <c r="BO29" s="114">
        <f t="shared" si="25"/>
        <v>3247994.2996729813</v>
      </c>
      <c r="BP29" s="296">
        <f t="shared" si="36"/>
        <v>0.35214061803603269</v>
      </c>
      <c r="BQ29" s="116">
        <f t="shared" si="37"/>
        <v>9.3565611712476838E-3</v>
      </c>
      <c r="BR29" s="297">
        <f t="shared" si="38"/>
        <v>9.3565611712476838E-3</v>
      </c>
      <c r="BS29" s="117">
        <f t="shared" si="39"/>
        <v>1.0459094141385248E-2</v>
      </c>
      <c r="BT29" s="298">
        <f t="shared" si="40"/>
        <v>3337886.1818990014</v>
      </c>
      <c r="BU29" s="119">
        <f t="shared" si="41"/>
        <v>5662371</v>
      </c>
      <c r="BV29" s="119">
        <f t="shared" si="42"/>
        <v>3337886.1818990014</v>
      </c>
      <c r="BW29" s="119">
        <f t="shared" si="43"/>
        <v>0</v>
      </c>
      <c r="BX29" s="120">
        <f t="shared" si="44"/>
        <v>9.3565611712476838E-3</v>
      </c>
      <c r="BY29" s="121">
        <f t="shared" si="45"/>
        <v>1.8537736797325514E-2</v>
      </c>
      <c r="BZ29" s="299">
        <f t="shared" si="46"/>
        <v>3353891.596464057</v>
      </c>
      <c r="CA29" s="109">
        <f t="shared" si="26"/>
        <v>2.9500587717227501E-2</v>
      </c>
      <c r="CB29" s="123">
        <f t="shared" si="57"/>
        <v>253546.17912676733</v>
      </c>
      <c r="CC29" s="111">
        <f t="shared" si="56"/>
        <v>3501540</v>
      </c>
      <c r="CE29" s="124">
        <f t="shared" si="28"/>
        <v>0</v>
      </c>
      <c r="CF29" s="17"/>
      <c r="CG29" s="108">
        <f t="shared" si="47"/>
        <v>18874570</v>
      </c>
      <c r="CH29" s="125">
        <f t="shared" si="48"/>
        <v>0.18551627931126377</v>
      </c>
      <c r="CI29" s="110">
        <f t="shared" si="49"/>
        <v>3337886.1818990014</v>
      </c>
      <c r="CJ29" s="300">
        <f t="shared" si="50"/>
        <v>0</v>
      </c>
      <c r="CL29" s="127">
        <f t="shared" si="51"/>
        <v>3337886.1818990014</v>
      </c>
      <c r="CM29" s="128">
        <f t="shared" si="52"/>
        <v>3.8845802037653573E-2</v>
      </c>
      <c r="CN29" s="129">
        <f t="shared" si="53"/>
        <v>33539.32427255209</v>
      </c>
      <c r="CO29" s="130">
        <f t="shared" si="55"/>
        <v>3371426</v>
      </c>
      <c r="CQ29" s="131">
        <f t="shared" si="54"/>
        <v>0.17769366912539236</v>
      </c>
      <c r="CR29" s="301"/>
    </row>
    <row r="30" spans="1:96">
      <c r="A30" s="133" t="s">
        <v>104</v>
      </c>
      <c r="B30" s="90" t="s">
        <v>106</v>
      </c>
      <c r="C30" s="91">
        <f>'Sizing - Reimb Exp-25'!B23</f>
        <v>23750125</v>
      </c>
      <c r="D30" s="92">
        <f>'Ridership-25'!$E22</f>
        <v>2106063</v>
      </c>
      <c r="E30" s="92">
        <f>'Revenue Hours-25'!$E22</f>
        <v>216250</v>
      </c>
      <c r="F30" s="92">
        <f>'Revenue Miles-25'!$E22</f>
        <v>2205880</v>
      </c>
      <c r="G30" s="134">
        <f t="shared" si="0"/>
        <v>4.384667664976441E-2</v>
      </c>
      <c r="H30" s="94">
        <f t="shared" si="1"/>
        <v>4.3846676649764417E-2</v>
      </c>
      <c r="J30" s="95">
        <f>'Ridership-25'!B22/'Revenue Hours-25'!B22</f>
        <v>12.903471027599291</v>
      </c>
      <c r="K30" s="96">
        <f>'Ridership-25'!C22/'Revenue Hours-25'!C22</f>
        <v>7.8216167510040826</v>
      </c>
      <c r="L30" s="96">
        <f>'Ridership-25'!D22/'Revenue Hours-25'!D22</f>
        <v>8.8817225863249529</v>
      </c>
      <c r="M30" s="207">
        <f>'Ridership-25'!E22/'Revenue Hours-25'!K22</f>
        <v>9.7390196531791915</v>
      </c>
      <c r="N30" s="97">
        <f t="shared" si="2"/>
        <v>0.99278724982653765</v>
      </c>
      <c r="O30" s="98">
        <f t="shared" si="3"/>
        <v>4.353042152515308E-2</v>
      </c>
      <c r="P30" s="99">
        <f t="shared" si="4"/>
        <v>4.076167051034895E-2</v>
      </c>
      <c r="Q30" s="95">
        <f>'Ridership-25'!B22/'Revenue Miles-25'!B22</f>
        <v>1.2587048387152435</v>
      </c>
      <c r="R30" s="96">
        <f>'Ridership-25'!C22/'Revenue Miles-25'!C22</f>
        <v>0.78433143162528551</v>
      </c>
      <c r="S30" s="96">
        <f>'Ridership-25'!D22/'Revenue Miles-25'!D22</f>
        <v>0.87157122671755427</v>
      </c>
      <c r="T30" s="207">
        <f>'Ridership-25'!E22/'Revenue Miles-25'!K22</f>
        <v>0.95474957839955032</v>
      </c>
      <c r="U30" s="97">
        <f t="shared" si="5"/>
        <v>0.99791433128261009</v>
      </c>
      <c r="V30" s="98">
        <f t="shared" si="6"/>
        <v>4.3755227007914496E-2</v>
      </c>
      <c r="W30" s="99">
        <f t="shared" si="7"/>
        <v>4.0952069048980445E-2</v>
      </c>
      <c r="X30" s="95">
        <f>'Op Cost-25'!B23/'Revenue Hours-25'!B22</f>
        <v>70.784446046283321</v>
      </c>
      <c r="Y30" s="96">
        <f>'Op Cost-25'!C23/'Revenue Hours-25'!C22</f>
        <v>115.12446224595757</v>
      </c>
      <c r="Z30" s="96">
        <f>'Op Cost-25'!D23/'Revenue Hours-25'!D22</f>
        <v>128.33355179497212</v>
      </c>
      <c r="AA30" s="96">
        <f>'Op Cost-25'!E23/'Revenue Hours-25'!E22</f>
        <v>109.8271676300578</v>
      </c>
      <c r="AB30" s="97">
        <f t="shared" si="8"/>
        <v>1.1212511733586463</v>
      </c>
      <c r="AC30" s="98">
        <f t="shared" si="9"/>
        <v>3.9105133347084133E-2</v>
      </c>
      <c r="AD30" s="99">
        <f t="shared" si="10"/>
        <v>4.1715757100874461E-2</v>
      </c>
      <c r="AE30" s="95">
        <f>'Op Cost-25'!B23/'Revenue Miles-25'!B22</f>
        <v>6.9048649432129956</v>
      </c>
      <c r="AF30" s="96">
        <f>'Op Cost-25'!C23/'Revenue Miles-25'!C22</f>
        <v>11.544382339734495</v>
      </c>
      <c r="AG30" s="96">
        <f>'Op Cost-25'!D23/'Revenue Miles-25'!D22</f>
        <v>12.593483986899244</v>
      </c>
      <c r="AH30" s="96">
        <f>'Op Cost-25'!E23/'Revenue Miles-25'!E22</f>
        <v>10.766734817850473</v>
      </c>
      <c r="AI30" s="97">
        <f t="shared" si="11"/>
        <v>1.1272229978943926</v>
      </c>
      <c r="AJ30" s="98">
        <f t="shared" si="12"/>
        <v>3.8897961389776692E-2</v>
      </c>
      <c r="AK30" s="99">
        <f t="shared" si="13"/>
        <v>4.1397197276581595E-2</v>
      </c>
      <c r="AL30" s="95">
        <f>'Op Cost-25'!B23/'Ridership-25'!B22</f>
        <v>5.485690315023156</v>
      </c>
      <c r="AM30" s="96">
        <f>'Op Cost-25'!C23/'Ridership-25'!C22</f>
        <v>14.718755202519828</v>
      </c>
      <c r="AN30" s="96">
        <f>'Op Cost-25'!D23/'Ridership-25'!D22</f>
        <v>14.449173631313958</v>
      </c>
      <c r="AO30" s="96">
        <f>'Op Cost-25'!E23/'Ridership-25'!E22</f>
        <v>11.277024951295379</v>
      </c>
      <c r="AP30" s="97">
        <f t="shared" si="14"/>
        <v>1.1311670338589401</v>
      </c>
      <c r="AQ30" s="98">
        <f t="shared" si="15"/>
        <v>3.8762336009901983E-2</v>
      </c>
      <c r="AR30" s="99">
        <f t="shared" si="16"/>
        <v>4.20854001886245E-2</v>
      </c>
      <c r="AT30" s="101">
        <f t="shared" si="29"/>
        <v>0</v>
      </c>
      <c r="AU30" s="102">
        <f t="shared" si="17"/>
        <v>0</v>
      </c>
      <c r="AV30" s="102">
        <f t="shared" si="18"/>
        <v>0</v>
      </c>
      <c r="AW30" s="102">
        <f t="shared" si="19"/>
        <v>0</v>
      </c>
      <c r="AX30" s="103">
        <f t="shared" si="20"/>
        <v>0</v>
      </c>
      <c r="AY30" s="293">
        <f t="shared" si="30"/>
        <v>-1</v>
      </c>
      <c r="AZ30" s="105">
        <f t="shared" si="21"/>
        <v>0</v>
      </c>
      <c r="BA30" s="106">
        <f t="shared" si="21"/>
        <v>0</v>
      </c>
      <c r="BB30" s="106">
        <f t="shared" si="21"/>
        <v>0</v>
      </c>
      <c r="BC30" s="106">
        <f t="shared" si="21"/>
        <v>0</v>
      </c>
      <c r="BD30" s="106">
        <f t="shared" si="21"/>
        <v>0</v>
      </c>
      <c r="BE30" s="107">
        <f t="shared" si="31"/>
        <v>5359839.6967365313</v>
      </c>
      <c r="BG30" s="108">
        <f>'Op Cost-25'!E23</f>
        <v>23750125</v>
      </c>
      <c r="BH30" s="109">
        <f t="shared" si="22"/>
        <v>0.2256762731453637</v>
      </c>
      <c r="BI30" s="110">
        <f t="shared" si="23"/>
        <v>5359839.6967365313</v>
      </c>
      <c r="BJ30" s="111">
        <f t="shared" si="24"/>
        <v>0</v>
      </c>
      <c r="BK30" s="1">
        <f t="shared" si="32"/>
        <v>1.035827629194235</v>
      </c>
      <c r="BL30" s="294">
        <f t="shared" si="33"/>
        <v>0.90975975285830046</v>
      </c>
      <c r="BM30" s="294">
        <f t="shared" si="34"/>
        <v>1.2868393372228168</v>
      </c>
      <c r="BN30" s="295">
        <f t="shared" si="35"/>
        <v>0.97335571334791149</v>
      </c>
      <c r="BO30" s="114">
        <f t="shared" si="25"/>
        <v>5359839.6967365313</v>
      </c>
      <c r="BP30" s="296">
        <f t="shared" si="36"/>
        <v>1.035827629194235</v>
      </c>
      <c r="BQ30" s="116">
        <f t="shared" si="37"/>
        <v>4.5417599122171699E-2</v>
      </c>
      <c r="BR30" s="297">
        <f t="shared" si="38"/>
        <v>4.5417599122171699E-2</v>
      </c>
      <c r="BS30" s="302">
        <f t="shared" si="39"/>
        <v>5.0769394460245441E-2</v>
      </c>
      <c r="BT30" s="298">
        <f t="shared" si="40"/>
        <v>5796183.0708198138</v>
      </c>
      <c r="BU30" s="119">
        <f t="shared" si="41"/>
        <v>7125037.5</v>
      </c>
      <c r="BV30" s="119">
        <f t="shared" si="42"/>
        <v>5796183.0708198138</v>
      </c>
      <c r="BW30" s="119">
        <f t="shared" si="43"/>
        <v>0</v>
      </c>
      <c r="BX30" s="120">
        <f t="shared" si="44"/>
        <v>4.5417599122171699E-2</v>
      </c>
      <c r="BY30" s="121">
        <f t="shared" si="45"/>
        <v>8.9983860852692943E-2</v>
      </c>
      <c r="BZ30" s="299">
        <f t="shared" si="46"/>
        <v>5873874.809183442</v>
      </c>
      <c r="CA30" s="109">
        <f t="shared" si="26"/>
        <v>4.8681865340642373E-2</v>
      </c>
      <c r="CB30" s="123">
        <f t="shared" si="57"/>
        <v>418401.86603047431</v>
      </c>
      <c r="CC30" s="111">
        <f t="shared" si="56"/>
        <v>5778242</v>
      </c>
      <c r="CE30" s="124">
        <f t="shared" si="28"/>
        <v>0</v>
      </c>
      <c r="CF30" s="17"/>
      <c r="CG30" s="108">
        <f t="shared" si="47"/>
        <v>23750125</v>
      </c>
      <c r="CH30" s="125">
        <f t="shared" si="48"/>
        <v>0.24329311950989732</v>
      </c>
      <c r="CI30" s="110">
        <f t="shared" si="49"/>
        <v>5796183.0708198138</v>
      </c>
      <c r="CJ30" s="300">
        <f t="shared" si="50"/>
        <v>0</v>
      </c>
      <c r="CL30" s="127">
        <f t="shared" si="51"/>
        <v>5796183.0708198138</v>
      </c>
      <c r="CM30" s="128">
        <f t="shared" si="52"/>
        <v>6.7455080213360719E-2</v>
      </c>
      <c r="CN30" s="129">
        <f t="shared" si="53"/>
        <v>58240.471053061417</v>
      </c>
      <c r="CO30" s="130">
        <f t="shared" si="55"/>
        <v>5854424</v>
      </c>
      <c r="CQ30" s="131">
        <f t="shared" si="54"/>
        <v>0.24731974291434011</v>
      </c>
      <c r="CR30" s="301"/>
    </row>
    <row r="31" spans="1:96">
      <c r="A31" s="133" t="s">
        <v>104</v>
      </c>
      <c r="B31" s="90" t="s">
        <v>107</v>
      </c>
      <c r="C31" s="91">
        <f>'Sizing - Reimb Exp-25'!B24</f>
        <v>31898625</v>
      </c>
      <c r="D31" s="92">
        <f>'Ridership-25'!$E23</f>
        <v>4580046</v>
      </c>
      <c r="E31" s="92">
        <f>'Revenue Hours-25'!$E23</f>
        <v>310607</v>
      </c>
      <c r="F31" s="92">
        <f>'Revenue Miles-25'!$E23</f>
        <v>3036654</v>
      </c>
      <c r="G31" s="134">
        <f t="shared" si="0"/>
        <v>7.2685784455415361E-2</v>
      </c>
      <c r="H31" s="94">
        <f t="shared" si="1"/>
        <v>7.2685784455415375E-2</v>
      </c>
      <c r="J31" s="95">
        <f>'Ridership-25'!B23/'Revenue Hours-25'!B23</f>
        <v>15.892603773584906</v>
      </c>
      <c r="K31" s="96">
        <f>'Ridership-25'!C23/'Revenue Hours-25'!C23</f>
        <v>7.2218469159098948</v>
      </c>
      <c r="L31" s="96">
        <f>'Ridership-25'!D23/'Revenue Hours-25'!D23</f>
        <v>11.021126607734487</v>
      </c>
      <c r="M31" s="207">
        <f>'Ridership-25'!E23/'Revenue Hours-25'!K23</f>
        <v>14.745469355165852</v>
      </c>
      <c r="N31" s="97">
        <f t="shared" si="2"/>
        <v>1.0626677883283782</v>
      </c>
      <c r="O31" s="98">
        <f t="shared" si="3"/>
        <v>7.7240841810149466E-2</v>
      </c>
      <c r="P31" s="99">
        <f t="shared" si="4"/>
        <v>7.2327940633150706E-2</v>
      </c>
      <c r="Q31" s="95">
        <f>'Ridership-25'!B23/'Revenue Miles-25'!B23</f>
        <v>1.6926824335930128</v>
      </c>
      <c r="R31" s="96">
        <f>'Ridership-25'!C23/'Revenue Miles-25'!C23</f>
        <v>0.80452628182287345</v>
      </c>
      <c r="S31" s="96">
        <f>'Ridership-25'!D23/'Revenue Miles-25'!D23</f>
        <v>1.2173072182855937</v>
      </c>
      <c r="T31" s="207">
        <f>'Ridership-25'!E23/'Revenue Miles-25'!K23</f>
        <v>1.5082541507857004</v>
      </c>
      <c r="U31" s="97">
        <f t="shared" si="5"/>
        <v>1.0498988916910428</v>
      </c>
      <c r="V31" s="98">
        <f t="shared" si="6"/>
        <v>7.6312724541434632E-2</v>
      </c>
      <c r="W31" s="99">
        <f t="shared" si="7"/>
        <v>7.142378587525948E-2</v>
      </c>
      <c r="X31" s="95">
        <f>'Op Cost-25'!B24/'Revenue Hours-25'!B23</f>
        <v>83.128810327706063</v>
      </c>
      <c r="Y31" s="96">
        <f>'Op Cost-25'!C24/'Revenue Hours-25'!C23</f>
        <v>113.69054841372804</v>
      </c>
      <c r="Z31" s="96">
        <f>'Op Cost-25'!D24/'Revenue Hours-25'!D23</f>
        <v>98.632543150219192</v>
      </c>
      <c r="AA31" s="96">
        <f>'Op Cost-25'!E24/'Revenue Hours-25'!E23</f>
        <v>103.11566062580688</v>
      </c>
      <c r="AB31" s="97">
        <f t="shared" si="8"/>
        <v>1.0363020583866838</v>
      </c>
      <c r="AC31" s="98">
        <f t="shared" si="9"/>
        <v>7.0139573560794324E-2</v>
      </c>
      <c r="AD31" s="99">
        <f t="shared" si="10"/>
        <v>7.4822028807611352E-2</v>
      </c>
      <c r="AE31" s="95">
        <f>'Op Cost-25'!B24/'Revenue Miles-25'!B23</f>
        <v>8.8538466680374093</v>
      </c>
      <c r="AF31" s="96">
        <f>'Op Cost-25'!C24/'Revenue Miles-25'!C23</f>
        <v>12.665324432756394</v>
      </c>
      <c r="AG31" s="96">
        <f>'Op Cost-25'!D24/'Revenue Miles-25'!D23</f>
        <v>10.894177247756708</v>
      </c>
      <c r="AH31" s="96">
        <f>'Op Cost-25'!E24/'Revenue Miles-25'!E23</f>
        <v>10.547281975490128</v>
      </c>
      <c r="AI31" s="97">
        <f t="shared" si="11"/>
        <v>1.0241555778199913</v>
      </c>
      <c r="AJ31" s="98">
        <f t="shared" si="12"/>
        <v>7.0971428589134578E-2</v>
      </c>
      <c r="AK31" s="99">
        <f t="shared" si="13"/>
        <v>7.5531419265519872E-2</v>
      </c>
      <c r="AL31" s="95">
        <f>'Op Cost-25'!B24/'Ridership-25'!B23</f>
        <v>5.2306602185523836</v>
      </c>
      <c r="AM31" s="96">
        <f>'Op Cost-25'!C24/'Ridership-25'!C23</f>
        <v>15.742586313102974</v>
      </c>
      <c r="AN31" s="96">
        <f>'Op Cost-25'!D24/'Ridership-25'!D23</f>
        <v>8.9494065952386492</v>
      </c>
      <c r="AO31" s="96">
        <f>'Op Cost-25'!E24/'Ridership-25'!E23</f>
        <v>6.9930402445739626</v>
      </c>
      <c r="AP31" s="97">
        <f t="shared" si="14"/>
        <v>1.0002872892817887</v>
      </c>
      <c r="AQ31" s="98">
        <f t="shared" si="15"/>
        <v>7.2664908606010714E-2</v>
      </c>
      <c r="AR31" s="99">
        <f t="shared" si="16"/>
        <v>7.8894413318448459E-2</v>
      </c>
      <c r="AT31" s="101">
        <f t="shared" si="29"/>
        <v>0</v>
      </c>
      <c r="AU31" s="102">
        <f t="shared" si="17"/>
        <v>0</v>
      </c>
      <c r="AV31" s="102">
        <f t="shared" si="18"/>
        <v>0</v>
      </c>
      <c r="AW31" s="102">
        <f t="shared" si="19"/>
        <v>0</v>
      </c>
      <c r="AX31" s="103">
        <f t="shared" si="20"/>
        <v>0</v>
      </c>
      <c r="AY31" s="293">
        <f t="shared" si="30"/>
        <v>-1</v>
      </c>
      <c r="AZ31" s="105">
        <f t="shared" si="21"/>
        <v>0</v>
      </c>
      <c r="BA31" s="106">
        <f t="shared" si="21"/>
        <v>0</v>
      </c>
      <c r="BB31" s="106">
        <f t="shared" si="21"/>
        <v>0</v>
      </c>
      <c r="BC31" s="106">
        <f t="shared" si="21"/>
        <v>0</v>
      </c>
      <c r="BD31" s="106">
        <f t="shared" si="21"/>
        <v>0</v>
      </c>
      <c r="BE31" s="107">
        <f t="shared" si="31"/>
        <v>8885146.667430805</v>
      </c>
      <c r="BG31" s="108">
        <f>'Op Cost-25'!E24</f>
        <v>32028446</v>
      </c>
      <c r="BH31" s="109">
        <f t="shared" si="22"/>
        <v>0.27741422944562483</v>
      </c>
      <c r="BI31" s="110">
        <f t="shared" si="23"/>
        <v>8885146.667430805</v>
      </c>
      <c r="BJ31" s="111">
        <f t="shared" si="24"/>
        <v>0</v>
      </c>
      <c r="BK31" s="1">
        <f t="shared" si="32"/>
        <v>1.6373952360856938</v>
      </c>
      <c r="BL31" s="294">
        <f t="shared" si="33"/>
        <v>1.3774317163387395</v>
      </c>
      <c r="BM31" s="294">
        <f t="shared" si="34"/>
        <v>2.0328689487500351</v>
      </c>
      <c r="BN31" s="295">
        <f t="shared" si="35"/>
        <v>1.5696401396270006</v>
      </c>
      <c r="BO31" s="114">
        <f t="shared" si="25"/>
        <v>8885146.667430805</v>
      </c>
      <c r="BP31" s="296">
        <f t="shared" si="36"/>
        <v>1.6373952360856938</v>
      </c>
      <c r="BQ31" s="116">
        <f t="shared" si="37"/>
        <v>0.11901535719844872</v>
      </c>
      <c r="BR31" s="297">
        <f t="shared" si="38"/>
        <v>0.11901535719844872</v>
      </c>
      <c r="BS31" s="302">
        <f t="shared" si="39"/>
        <v>0.13303956468904016</v>
      </c>
      <c r="BT31" s="298">
        <f t="shared" si="40"/>
        <v>10028570.439964537</v>
      </c>
      <c r="BU31" s="119">
        <f t="shared" si="41"/>
        <v>9608533.7999999989</v>
      </c>
      <c r="BV31" s="119">
        <f t="shared" si="42"/>
        <v>9608533.7999999989</v>
      </c>
      <c r="BW31" s="119">
        <f t="shared" si="43"/>
        <v>420036.6399645377</v>
      </c>
      <c r="BX31" s="120">
        <f t="shared" si="44"/>
        <v>0</v>
      </c>
      <c r="BY31" s="121">
        <f t="shared" si="45"/>
        <v>0</v>
      </c>
      <c r="BZ31" s="299">
        <f t="shared" si="46"/>
        <v>9608533.7999999989</v>
      </c>
      <c r="CA31" s="109">
        <f t="shared" si="26"/>
        <v>8.0701203407088765E-2</v>
      </c>
      <c r="CB31" s="123">
        <f t="shared" si="57"/>
        <v>693595.73344535416</v>
      </c>
      <c r="CC31" s="111">
        <f t="shared" si="56"/>
        <v>9578742</v>
      </c>
      <c r="CE31" s="124">
        <f t="shared" si="28"/>
        <v>0</v>
      </c>
      <c r="CF31" s="17"/>
      <c r="CG31" s="108">
        <f t="shared" si="47"/>
        <v>32028446</v>
      </c>
      <c r="CH31" s="125">
        <f t="shared" si="48"/>
        <v>0.29906983311022955</v>
      </c>
      <c r="CI31" s="110">
        <f t="shared" si="49"/>
        <v>9608533.7999999989</v>
      </c>
      <c r="CJ31" s="300">
        <f t="shared" si="50"/>
        <v>420036.6399645377</v>
      </c>
      <c r="CL31" s="127">
        <f t="shared" si="51"/>
        <v>0</v>
      </c>
      <c r="CM31" s="128">
        <f t="shared" si="52"/>
        <v>0</v>
      </c>
      <c r="CN31" s="129">
        <f t="shared" si="53"/>
        <v>0</v>
      </c>
      <c r="CO31" s="130">
        <f t="shared" si="55"/>
        <v>9608534</v>
      </c>
      <c r="CQ31" s="131">
        <f t="shared" si="54"/>
        <v>0.3</v>
      </c>
      <c r="CR31" s="301"/>
    </row>
    <row r="32" spans="1:96">
      <c r="A32" s="133" t="s">
        <v>104</v>
      </c>
      <c r="B32" s="90" t="s">
        <v>108</v>
      </c>
      <c r="C32" s="91">
        <f>'Sizing - Reimb Exp-25'!B25</f>
        <v>5328325</v>
      </c>
      <c r="D32" s="92">
        <f>'Ridership-25'!$E24</f>
        <v>847511</v>
      </c>
      <c r="E32" s="92">
        <f>'Revenue Hours-25'!$E24</f>
        <v>34638</v>
      </c>
      <c r="F32" s="92">
        <f>'Revenue Miles-25'!$E24</f>
        <v>439291</v>
      </c>
      <c r="G32" s="134">
        <f t="shared" si="0"/>
        <v>1.2012856017456658E-2</v>
      </c>
      <c r="H32" s="94">
        <f t="shared" si="1"/>
        <v>1.201285601745666E-2</v>
      </c>
      <c r="J32" s="95">
        <f>'Ridership-25'!B24/'Revenue Hours-25'!B24</f>
        <v>17.559390774078722</v>
      </c>
      <c r="K32" s="96">
        <f>'Ridership-25'!C24/'Revenue Hours-25'!C24</f>
        <v>9.5356184364060681</v>
      </c>
      <c r="L32" s="96">
        <f>'Ridership-25'!D24/'Revenue Hours-25'!D24</f>
        <v>13.465131541402728</v>
      </c>
      <c r="M32" s="207">
        <f>'Ridership-25'!E24/'Revenue Hours-25'!K24</f>
        <v>24.467665569605636</v>
      </c>
      <c r="N32" s="97">
        <f t="shared" si="2"/>
        <v>1.2242812771624043</v>
      </c>
      <c r="O32" s="98">
        <f t="shared" si="3"/>
        <v>1.4707114707419913E-2</v>
      </c>
      <c r="P32" s="99">
        <f t="shared" si="4"/>
        <v>1.3771669165100036E-2</v>
      </c>
      <c r="Q32" s="95">
        <f>'Ridership-25'!B24/'Revenue Miles-25'!B24</f>
        <v>1.3807895890071515</v>
      </c>
      <c r="R32" s="96">
        <f>'Ridership-25'!C24/'Revenue Miles-25'!C24</f>
        <v>0.74451206457520036</v>
      </c>
      <c r="S32" s="96">
        <f>'Ridership-25'!D24/'Revenue Miles-25'!D24</f>
        <v>1.0865963144527517</v>
      </c>
      <c r="T32" s="207">
        <f>'Ridership-25'!E24/'Revenue Miles-25'!K24</f>
        <v>1.9292701193514095</v>
      </c>
      <c r="U32" s="97">
        <f t="shared" si="5"/>
        <v>1.2259407232504442</v>
      </c>
      <c r="V32" s="98">
        <f t="shared" si="6"/>
        <v>1.4727049394344268E-2</v>
      </c>
      <c r="W32" s="99">
        <f t="shared" si="7"/>
        <v>1.3783567928372127E-2</v>
      </c>
      <c r="X32" s="95">
        <f>'Op Cost-25'!B25/'Revenue Hours-25'!B24</f>
        <v>115.9866367111137</v>
      </c>
      <c r="Y32" s="96">
        <f>'Op Cost-25'!C25/'Revenue Hours-25'!C24</f>
        <v>133.20037922987166</v>
      </c>
      <c r="Z32" s="96">
        <f>'Op Cost-25'!D25/'Revenue Hours-25'!D24</f>
        <v>152.54685270786965</v>
      </c>
      <c r="AA32" s="96">
        <f>'Op Cost-25'!E25/'Revenue Hours-25'!E24</f>
        <v>153.82888734915412</v>
      </c>
      <c r="AB32" s="97">
        <f t="shared" si="8"/>
        <v>1.0555488667259996</v>
      </c>
      <c r="AC32" s="98">
        <f t="shared" si="9"/>
        <v>1.138067255447584E-2</v>
      </c>
      <c r="AD32" s="99">
        <f t="shared" si="10"/>
        <v>1.2140436083246409E-2</v>
      </c>
      <c r="AE32" s="95">
        <f>'Op Cost-25'!B25/'Revenue Miles-25'!B24</f>
        <v>9.1206547251673182</v>
      </c>
      <c r="AF32" s="96">
        <f>'Op Cost-25'!C25/'Revenue Miles-25'!C24</f>
        <v>10.399880196968939</v>
      </c>
      <c r="AG32" s="96">
        <f>'Op Cost-25'!D25/'Revenue Miles-25'!D24</f>
        <v>12.310080107577638</v>
      </c>
      <c r="AH32" s="96">
        <f>'Op Cost-25'!E25/'Revenue Miles-25'!E24</f>
        <v>12.129374378259513</v>
      </c>
      <c r="AI32" s="97">
        <f t="shared" si="11"/>
        <v>1.0624696456281881</v>
      </c>
      <c r="AJ32" s="98">
        <f t="shared" si="12"/>
        <v>1.1306540442719214E-2</v>
      </c>
      <c r="AK32" s="99">
        <f t="shared" si="13"/>
        <v>1.2032997835868914E-2</v>
      </c>
      <c r="AL32" s="95">
        <f>'Op Cost-25'!B25/'Ridership-25'!B24</f>
        <v>6.6053907110680559</v>
      </c>
      <c r="AM32" s="96">
        <f>'Op Cost-25'!C25/'Ridership-25'!C24</f>
        <v>13.968719503427852</v>
      </c>
      <c r="AN32" s="96">
        <f>'Op Cost-25'!D25/'Ridership-25'!D24</f>
        <v>11.329028033541075</v>
      </c>
      <c r="AO32" s="96">
        <f>'Op Cost-25'!E25/'Ridership-25'!E24</f>
        <v>6.2870275430053413</v>
      </c>
      <c r="AP32" s="100">
        <f t="shared" si="14"/>
        <v>0.88176517012639621</v>
      </c>
      <c r="AQ32" s="98">
        <f t="shared" si="15"/>
        <v>1.362364541540542E-2</v>
      </c>
      <c r="AR32" s="99">
        <f t="shared" si="16"/>
        <v>1.4791589680993183E-2</v>
      </c>
      <c r="AT32" s="101">
        <f t="shared" si="29"/>
        <v>0</v>
      </c>
      <c r="AU32" s="102">
        <f t="shared" si="17"/>
        <v>0</v>
      </c>
      <c r="AV32" s="102">
        <f t="shared" si="18"/>
        <v>0</v>
      </c>
      <c r="AW32" s="102">
        <f t="shared" si="19"/>
        <v>0</v>
      </c>
      <c r="AX32" s="103">
        <f t="shared" si="20"/>
        <v>0</v>
      </c>
      <c r="AY32" s="293">
        <f t="shared" si="30"/>
        <v>-1</v>
      </c>
      <c r="AZ32" s="105">
        <f t="shared" si="21"/>
        <v>0</v>
      </c>
      <c r="BA32" s="106">
        <f t="shared" si="21"/>
        <v>0</v>
      </c>
      <c r="BB32" s="106">
        <f t="shared" si="21"/>
        <v>0</v>
      </c>
      <c r="BC32" s="106">
        <f t="shared" si="21"/>
        <v>0</v>
      </c>
      <c r="BD32" s="106">
        <f t="shared" si="21"/>
        <v>0</v>
      </c>
      <c r="BE32" s="107">
        <f t="shared" si="31"/>
        <v>1468457.531407696</v>
      </c>
      <c r="BG32" s="108">
        <f>'Op Cost-25'!E25</f>
        <v>5328325</v>
      </c>
      <c r="BH32" s="109">
        <f t="shared" si="22"/>
        <v>0.27559458768143758</v>
      </c>
      <c r="BI32" s="110">
        <f t="shared" si="23"/>
        <v>1468457.531407696</v>
      </c>
      <c r="BJ32" s="111">
        <f t="shared" si="24"/>
        <v>0</v>
      </c>
      <c r="BK32" s="1">
        <f t="shared" si="32"/>
        <v>2.0944394258825003</v>
      </c>
      <c r="BL32" s="294">
        <f t="shared" si="33"/>
        <v>2.2856199262681995</v>
      </c>
      <c r="BM32" s="294">
        <f t="shared" si="34"/>
        <v>2.6003265546046581</v>
      </c>
      <c r="BN32" s="295">
        <f t="shared" si="35"/>
        <v>1.7459056113285718</v>
      </c>
      <c r="BO32" s="114">
        <f t="shared" si="25"/>
        <v>1468457.531407696</v>
      </c>
      <c r="BP32" s="296">
        <f t="shared" si="36"/>
        <v>2.0944394258825003</v>
      </c>
      <c r="BQ32" s="116">
        <f t="shared" si="37"/>
        <v>2.5160199260411065E-2</v>
      </c>
      <c r="BR32" s="297">
        <f t="shared" si="38"/>
        <v>2.5160199260411065E-2</v>
      </c>
      <c r="BS32" s="117">
        <f t="shared" si="39"/>
        <v>2.8124958290157764E-2</v>
      </c>
      <c r="BT32" s="298">
        <f t="shared" si="40"/>
        <v>1710180.7059058405</v>
      </c>
      <c r="BU32" s="119">
        <f t="shared" si="41"/>
        <v>1598497.5</v>
      </c>
      <c r="BV32" s="119">
        <f t="shared" si="42"/>
        <v>1598497.5</v>
      </c>
      <c r="BW32" s="119">
        <f t="shared" si="43"/>
        <v>111683.2059058405</v>
      </c>
      <c r="BX32" s="120">
        <f t="shared" si="44"/>
        <v>0</v>
      </c>
      <c r="BY32" s="121">
        <f t="shared" si="45"/>
        <v>0</v>
      </c>
      <c r="BZ32" s="299">
        <f t="shared" si="46"/>
        <v>1598497.5</v>
      </c>
      <c r="CA32" s="109">
        <f t="shared" si="26"/>
        <v>1.3337572734865246E-2</v>
      </c>
      <c r="CB32" s="123">
        <f t="shared" si="57"/>
        <v>114631.29610043738</v>
      </c>
      <c r="CC32" s="111">
        <f t="shared" si="56"/>
        <v>1583089</v>
      </c>
      <c r="CE32" s="124">
        <f t="shared" si="28"/>
        <v>0</v>
      </c>
      <c r="CF32" s="17"/>
      <c r="CG32" s="108">
        <f t="shared" si="47"/>
        <v>5328325</v>
      </c>
      <c r="CH32" s="125">
        <f t="shared" si="48"/>
        <v>0.29710819066029193</v>
      </c>
      <c r="CI32" s="110">
        <f t="shared" si="49"/>
        <v>1598497.5</v>
      </c>
      <c r="CJ32" s="300">
        <f t="shared" si="50"/>
        <v>111683.2059058405</v>
      </c>
      <c r="CL32" s="127">
        <f t="shared" si="51"/>
        <v>0</v>
      </c>
      <c r="CM32" s="128">
        <f t="shared" si="52"/>
        <v>0</v>
      </c>
      <c r="CN32" s="129">
        <f t="shared" si="53"/>
        <v>0</v>
      </c>
      <c r="CO32" s="130">
        <f t="shared" si="55"/>
        <v>1598498</v>
      </c>
      <c r="CQ32" s="131">
        <f t="shared" si="54"/>
        <v>0.3</v>
      </c>
      <c r="CR32" s="301"/>
    </row>
    <row r="33" spans="1:96">
      <c r="A33" s="133" t="s">
        <v>104</v>
      </c>
      <c r="B33" s="90" t="s">
        <v>109</v>
      </c>
      <c r="C33" s="91">
        <f>'Sizing - Reimb Exp-25'!B26</f>
        <v>108069575</v>
      </c>
      <c r="D33" s="92">
        <f>'Ridership-25'!$E25</f>
        <v>8365287</v>
      </c>
      <c r="E33" s="92">
        <f>'Revenue Hours-25'!$E25</f>
        <v>848788</v>
      </c>
      <c r="F33" s="92">
        <f>'Revenue Miles-25'!$E25</f>
        <v>11068404</v>
      </c>
      <c r="G33" s="134">
        <f t="shared" si="0"/>
        <v>0.18842659681657439</v>
      </c>
      <c r="H33" s="94">
        <f t="shared" si="1"/>
        <v>0.18842659681657442</v>
      </c>
      <c r="J33" s="95">
        <f>'Ridership-25'!B25/'Revenue Hours-25'!B25</f>
        <v>10.935817531005453</v>
      </c>
      <c r="K33" s="96">
        <f>'Ridership-25'!C25/'Revenue Hours-25'!C25</f>
        <v>5.8735316212753474</v>
      </c>
      <c r="L33" s="96">
        <f>'Ridership-25'!D25/'Revenue Hours-25'!D25</f>
        <v>6.1587343955565519</v>
      </c>
      <c r="M33" s="207">
        <f>'Ridership-25'!E25/'Revenue Hours-25'!K25</f>
        <v>9.8555669967058908</v>
      </c>
      <c r="N33" s="97">
        <f t="shared" si="2"/>
        <v>1.0659076257589852</v>
      </c>
      <c r="O33" s="98">
        <f t="shared" si="3"/>
        <v>0.20084534644260041</v>
      </c>
      <c r="P33" s="99">
        <f t="shared" si="4"/>
        <v>0.1880705848552284</v>
      </c>
      <c r="Q33" s="95">
        <f>'Ridership-25'!B25/'Revenue Miles-25'!B25</f>
        <v>0.82322383518472986</v>
      </c>
      <c r="R33" s="96">
        <f>'Ridership-25'!C25/'Revenue Miles-25'!C25</f>
        <v>0.454872375587629</v>
      </c>
      <c r="S33" s="96">
        <f>'Ridership-25'!D25/'Revenue Miles-25'!D25</f>
        <v>0.47446458788106716</v>
      </c>
      <c r="T33" s="207">
        <f>'Ridership-25'!E25/'Revenue Miles-25'!K25</f>
        <v>0.7557807792342961</v>
      </c>
      <c r="U33" s="97">
        <f t="shared" si="5"/>
        <v>1.0732650953909619</v>
      </c>
      <c r="V33" s="98">
        <f t="shared" si="6"/>
        <v>0.20223168940653508</v>
      </c>
      <c r="W33" s="99">
        <f t="shared" si="7"/>
        <v>0.18927581170977287</v>
      </c>
      <c r="X33" s="95">
        <f>'Op Cost-25'!B26/'Revenue Hours-25'!B25</f>
        <v>111.12397982480542</v>
      </c>
      <c r="Y33" s="96">
        <f>'Op Cost-25'!C26/'Revenue Hours-25'!C25</f>
        <v>123.96447205256577</v>
      </c>
      <c r="Z33" s="96">
        <f>'Op Cost-25'!D26/'Revenue Hours-25'!D25</f>
        <v>123.17011468072208</v>
      </c>
      <c r="AA33" s="96">
        <f>'Op Cost-25'!E26/'Revenue Hours-25'!E25</f>
        <v>127.77476943594867</v>
      </c>
      <c r="AB33" s="97">
        <f t="shared" si="8"/>
        <v>1.0065131598163113</v>
      </c>
      <c r="AC33" s="98">
        <f t="shared" si="9"/>
        <v>0.1872072858450875</v>
      </c>
      <c r="AD33" s="99">
        <f t="shared" si="10"/>
        <v>0.19970507693998077</v>
      </c>
      <c r="AE33" s="95">
        <f>'Op Cost-25'!B26/'Revenue Miles-25'!B25</f>
        <v>8.3651641583266318</v>
      </c>
      <c r="AF33" s="96">
        <f>'Op Cost-25'!C26/'Revenue Miles-25'!C25</f>
        <v>9.6003592943580749</v>
      </c>
      <c r="AG33" s="96">
        <f>'Op Cost-25'!D26/'Revenue Miles-25'!D25</f>
        <v>9.4889394391510358</v>
      </c>
      <c r="AH33" s="96">
        <f>'Op Cost-25'!E26/'Revenue Miles-25'!E25</f>
        <v>9.7984940737616739</v>
      </c>
      <c r="AI33" s="97">
        <f t="shared" si="11"/>
        <v>1.0148352621303056</v>
      </c>
      <c r="AJ33" s="98">
        <f t="shared" si="12"/>
        <v>0.18567210250561858</v>
      </c>
      <c r="AK33" s="99">
        <f t="shared" si="13"/>
        <v>0.19760173493829719</v>
      </c>
      <c r="AL33" s="95">
        <f>'Op Cost-25'!B26/'Ridership-25'!B25</f>
        <v>10.161469822420175</v>
      </c>
      <c r="AM33" s="96">
        <f>'Op Cost-25'!C26/'Ridership-25'!C25</f>
        <v>21.10561073742015</v>
      </c>
      <c r="AN33" s="96">
        <f>'Op Cost-25'!D26/'Ridership-25'!D25</f>
        <v>19.999257439903197</v>
      </c>
      <c r="AO33" s="96">
        <f>'Op Cost-25'!E26/'Ridership-25'!E25</f>
        <v>12.964730439015423</v>
      </c>
      <c r="AP33" s="97">
        <f t="shared" si="14"/>
        <v>0.97494497637420541</v>
      </c>
      <c r="AQ33" s="98">
        <f t="shared" si="15"/>
        <v>0.19326895505152297</v>
      </c>
      <c r="AR33" s="99">
        <f t="shared" si="16"/>
        <v>0.2098377485635235</v>
      </c>
      <c r="AT33" s="101">
        <f t="shared" si="29"/>
        <v>0</v>
      </c>
      <c r="AU33" s="102">
        <f t="shared" si="17"/>
        <v>0</v>
      </c>
      <c r="AV33" s="102">
        <f t="shared" si="18"/>
        <v>0</v>
      </c>
      <c r="AW33" s="102">
        <f t="shared" si="19"/>
        <v>0</v>
      </c>
      <c r="AX33" s="103">
        <f t="shared" si="20"/>
        <v>0</v>
      </c>
      <c r="AY33" s="293">
        <f t="shared" si="30"/>
        <v>-1</v>
      </c>
      <c r="AZ33" s="105">
        <f t="shared" si="21"/>
        <v>0</v>
      </c>
      <c r="BA33" s="106">
        <f t="shared" si="21"/>
        <v>0</v>
      </c>
      <c r="BB33" s="106">
        <f t="shared" si="21"/>
        <v>0</v>
      </c>
      <c r="BC33" s="106">
        <f t="shared" si="21"/>
        <v>0</v>
      </c>
      <c r="BD33" s="106">
        <f t="shared" si="21"/>
        <v>0</v>
      </c>
      <c r="BE33" s="107">
        <f t="shared" si="31"/>
        <v>23033361.492948432</v>
      </c>
      <c r="BG33" s="108">
        <f>'Op Cost-25'!E26</f>
        <v>108453691</v>
      </c>
      <c r="BH33" s="109">
        <f t="shared" si="22"/>
        <v>0.21237969201941159</v>
      </c>
      <c r="BI33" s="110">
        <f t="shared" si="23"/>
        <v>23033361.492948432</v>
      </c>
      <c r="BJ33" s="111">
        <f t="shared" si="24"/>
        <v>0</v>
      </c>
      <c r="BK33" s="1">
        <f t="shared" si="32"/>
        <v>0.90815132167599355</v>
      </c>
      <c r="BL33" s="294">
        <f t="shared" si="33"/>
        <v>0.92064689409212364</v>
      </c>
      <c r="BM33" s="294">
        <f t="shared" si="34"/>
        <v>1.0186633846604314</v>
      </c>
      <c r="BN33" s="295">
        <f t="shared" si="35"/>
        <v>0.84664750397570943</v>
      </c>
      <c r="BO33" s="114">
        <f t="shared" si="25"/>
        <v>23033361.492948432</v>
      </c>
      <c r="BP33" s="296">
        <f t="shared" si="36"/>
        <v>0.90815132167599355</v>
      </c>
      <c r="BQ33" s="116">
        <f t="shared" si="37"/>
        <v>0.17111986293788162</v>
      </c>
      <c r="BR33" s="297">
        <f t="shared" si="38"/>
        <v>0.17111986293788162</v>
      </c>
      <c r="BS33" s="302">
        <f t="shared" si="39"/>
        <v>0.19128381925488788</v>
      </c>
      <c r="BT33" s="298">
        <f t="shared" si="40"/>
        <v>24677372.180658553</v>
      </c>
      <c r="BU33" s="119">
        <f t="shared" si="41"/>
        <v>32536107.299999997</v>
      </c>
      <c r="BV33" s="119">
        <f t="shared" si="42"/>
        <v>24677372.180658553</v>
      </c>
      <c r="BW33" s="119">
        <f t="shared" si="43"/>
        <v>0</v>
      </c>
      <c r="BX33" s="120">
        <f t="shared" si="44"/>
        <v>0.17111986293788162</v>
      </c>
      <c r="BY33" s="121">
        <f t="shared" si="45"/>
        <v>0.33903214245900792</v>
      </c>
      <c r="BZ33" s="299">
        <f t="shared" si="46"/>
        <v>24970091.300056033</v>
      </c>
      <c r="CA33" s="109">
        <f t="shared" si="26"/>
        <v>0.20920532441012887</v>
      </c>
      <c r="CB33" s="123">
        <f t="shared" si="57"/>
        <v>1798039.1158847415</v>
      </c>
      <c r="CC33" s="111">
        <f>ROUND((CB33+BI33),0)</f>
        <v>24831401</v>
      </c>
      <c r="CE33" s="124">
        <f t="shared" si="28"/>
        <v>0</v>
      </c>
      <c r="CF33" s="17"/>
      <c r="CG33" s="108">
        <f t="shared" si="47"/>
        <v>108453691</v>
      </c>
      <c r="CH33" s="125">
        <f t="shared" si="48"/>
        <v>0.22895856075566851</v>
      </c>
      <c r="CI33" s="110">
        <f t="shared" si="49"/>
        <v>24677372.180658553</v>
      </c>
      <c r="CJ33" s="300">
        <f t="shared" si="50"/>
        <v>0</v>
      </c>
      <c r="CL33" s="127">
        <f t="shared" si="51"/>
        <v>24677372.180658553</v>
      </c>
      <c r="CM33" s="128">
        <f t="shared" si="52"/>
        <v>0.28719143263117042</v>
      </c>
      <c r="CN33" s="129">
        <f t="shared" si="53"/>
        <v>247960.03897613031</v>
      </c>
      <c r="CO33" s="130">
        <f t="shared" si="55"/>
        <v>24925332</v>
      </c>
      <c r="CQ33" s="131">
        <f t="shared" si="54"/>
        <v>0.23023735817396968</v>
      </c>
      <c r="CR33" s="301"/>
    </row>
    <row r="34" spans="1:96">
      <c r="A34" s="133" t="s">
        <v>104</v>
      </c>
      <c r="B34" s="90" t="s">
        <v>110</v>
      </c>
      <c r="C34" s="91"/>
      <c r="D34" s="92">
        <v>0</v>
      </c>
      <c r="E34" s="92">
        <v>0</v>
      </c>
      <c r="F34" s="92">
        <v>0</v>
      </c>
      <c r="G34" s="163">
        <f>$C$4</f>
        <v>0</v>
      </c>
      <c r="H34" s="164">
        <f>$C$4</f>
        <v>0</v>
      </c>
      <c r="J34" s="95">
        <v>0</v>
      </c>
      <c r="K34" s="96">
        <v>0</v>
      </c>
      <c r="L34" s="96">
        <v>0</v>
      </c>
      <c r="M34" s="207">
        <f>'Ridership-25'!E26/'Revenue Hours-25'!K26</f>
        <v>18.573292460478314</v>
      </c>
      <c r="N34" s="97">
        <f t="shared" si="2"/>
        <v>1</v>
      </c>
      <c r="O34" s="98">
        <f t="shared" si="3"/>
        <v>0</v>
      </c>
      <c r="P34" s="99">
        <f t="shared" si="4"/>
        <v>0</v>
      </c>
      <c r="Q34" s="95">
        <v>0</v>
      </c>
      <c r="R34" s="96">
        <v>0</v>
      </c>
      <c r="S34" s="96">
        <v>0</v>
      </c>
      <c r="T34" s="207">
        <f>'Ridership-25'!E26/'Revenue Miles-25'!K26</f>
        <v>0.60720848091657109</v>
      </c>
      <c r="U34" s="97">
        <f t="shared" si="5"/>
        <v>1</v>
      </c>
      <c r="V34" s="98">
        <f t="shared" si="6"/>
        <v>0</v>
      </c>
      <c r="W34" s="99">
        <f t="shared" si="7"/>
        <v>0</v>
      </c>
      <c r="X34" s="95">
        <v>0</v>
      </c>
      <c r="Y34" s="96">
        <v>0</v>
      </c>
      <c r="Z34" s="96">
        <v>0</v>
      </c>
      <c r="AA34" s="96">
        <v>0</v>
      </c>
      <c r="AB34" s="97">
        <f t="shared" si="8"/>
        <v>1</v>
      </c>
      <c r="AC34" s="98">
        <f t="shared" si="9"/>
        <v>0</v>
      </c>
      <c r="AD34" s="99">
        <f t="shared" si="10"/>
        <v>0</v>
      </c>
      <c r="AE34" s="95">
        <v>0</v>
      </c>
      <c r="AF34" s="96">
        <v>0</v>
      </c>
      <c r="AG34" s="96">
        <v>0</v>
      </c>
      <c r="AH34" s="96">
        <v>0</v>
      </c>
      <c r="AI34" s="97">
        <f t="shared" si="11"/>
        <v>1</v>
      </c>
      <c r="AJ34" s="98">
        <f t="shared" si="12"/>
        <v>0</v>
      </c>
      <c r="AK34" s="99">
        <f t="shared" si="13"/>
        <v>0</v>
      </c>
      <c r="AL34" s="95">
        <v>0</v>
      </c>
      <c r="AM34" s="96">
        <v>0</v>
      </c>
      <c r="AN34" s="96">
        <v>0</v>
      </c>
      <c r="AO34" s="96">
        <v>0</v>
      </c>
      <c r="AP34" s="97">
        <f t="shared" si="14"/>
        <v>1</v>
      </c>
      <c r="AQ34" s="98">
        <f t="shared" si="15"/>
        <v>0</v>
      </c>
      <c r="AR34" s="99">
        <f t="shared" si="16"/>
        <v>0</v>
      </c>
      <c r="AT34" s="101">
        <f t="shared" si="29"/>
        <v>0</v>
      </c>
      <c r="AU34" s="102">
        <f t="shared" si="17"/>
        <v>0</v>
      </c>
      <c r="AV34" s="102">
        <f t="shared" si="18"/>
        <v>0</v>
      </c>
      <c r="AW34" s="102">
        <f t="shared" si="19"/>
        <v>0</v>
      </c>
      <c r="AX34" s="103">
        <f t="shared" si="20"/>
        <v>0</v>
      </c>
      <c r="AY34" s="293" t="e">
        <f t="shared" si="30"/>
        <v>#DIV/0!</v>
      </c>
      <c r="AZ34" s="105">
        <f t="shared" si="21"/>
        <v>0</v>
      </c>
      <c r="BA34" s="106">
        <f t="shared" si="21"/>
        <v>0</v>
      </c>
      <c r="BB34" s="106">
        <f t="shared" si="21"/>
        <v>0</v>
      </c>
      <c r="BC34" s="106">
        <f t="shared" si="21"/>
        <v>0</v>
      </c>
      <c r="BD34" s="106">
        <f t="shared" si="21"/>
        <v>0</v>
      </c>
      <c r="BE34" s="107">
        <f t="shared" si="31"/>
        <v>0</v>
      </c>
      <c r="BG34" s="108">
        <v>0</v>
      </c>
      <c r="BH34" s="109">
        <v>0</v>
      </c>
      <c r="BI34" s="110">
        <f t="shared" si="23"/>
        <v>0</v>
      </c>
      <c r="BJ34" s="111">
        <f t="shared" si="24"/>
        <v>0</v>
      </c>
      <c r="BK34" s="1">
        <f t="shared" si="32"/>
        <v>0.63835422143572373</v>
      </c>
      <c r="BL34" s="294">
        <f t="shared" si="33"/>
        <v>1.7350035794510157</v>
      </c>
      <c r="BM34" s="294">
        <f t="shared" si="34"/>
        <v>0.81841330629187936</v>
      </c>
      <c r="BN34" s="295">
        <v>0</v>
      </c>
      <c r="BO34" s="114">
        <f t="shared" si="25"/>
        <v>0</v>
      </c>
      <c r="BP34" s="296">
        <f t="shared" si="36"/>
        <v>0.63835422143572373</v>
      </c>
      <c r="BQ34" s="116">
        <f t="shared" si="37"/>
        <v>0</v>
      </c>
      <c r="BR34" s="297">
        <f t="shared" si="38"/>
        <v>0</v>
      </c>
      <c r="BS34" s="117">
        <f t="shared" si="39"/>
        <v>0</v>
      </c>
      <c r="BT34" s="298">
        <f t="shared" si="40"/>
        <v>0</v>
      </c>
      <c r="BU34" s="119">
        <f t="shared" si="41"/>
        <v>0</v>
      </c>
      <c r="BV34" s="119">
        <f t="shared" si="42"/>
        <v>0</v>
      </c>
      <c r="BW34" s="119">
        <f t="shared" si="43"/>
        <v>0</v>
      </c>
      <c r="BX34" s="120">
        <f t="shared" si="44"/>
        <v>0</v>
      </c>
      <c r="BY34" s="121">
        <f t="shared" si="45"/>
        <v>0</v>
      </c>
      <c r="BZ34" s="299">
        <f t="shared" si="46"/>
        <v>0</v>
      </c>
      <c r="CA34" s="109">
        <f t="shared" si="26"/>
        <v>0</v>
      </c>
      <c r="CB34" s="123">
        <f t="shared" si="57"/>
        <v>0</v>
      </c>
      <c r="CC34" s="111">
        <f>ROUND((CB34+BI34),0)</f>
        <v>0</v>
      </c>
      <c r="CE34" s="124">
        <f t="shared" si="28"/>
        <v>0</v>
      </c>
      <c r="CF34" s="17"/>
      <c r="CG34" s="108">
        <f t="shared" si="47"/>
        <v>0</v>
      </c>
      <c r="CH34" s="125">
        <v>0</v>
      </c>
      <c r="CI34" s="110">
        <f t="shared" si="49"/>
        <v>0</v>
      </c>
      <c r="CJ34" s="300">
        <f t="shared" si="50"/>
        <v>0</v>
      </c>
      <c r="CL34" s="127">
        <f t="shared" si="51"/>
        <v>0</v>
      </c>
      <c r="CM34" s="128">
        <f t="shared" si="52"/>
        <v>0</v>
      </c>
      <c r="CN34" s="129">
        <f t="shared" si="53"/>
        <v>0</v>
      </c>
      <c r="CO34" s="130">
        <f t="shared" si="55"/>
        <v>0</v>
      </c>
      <c r="CQ34" s="131" t="e">
        <f t="shared" si="54"/>
        <v>#DIV/0!</v>
      </c>
      <c r="CR34" s="301"/>
    </row>
    <row r="35" spans="1:96">
      <c r="A35" s="133" t="s">
        <v>104</v>
      </c>
      <c r="B35" s="90" t="s">
        <v>111</v>
      </c>
      <c r="C35" s="91">
        <f>'Sizing - Reimb Exp-25'!B28</f>
        <v>41578430</v>
      </c>
      <c r="D35" s="92">
        <f>'Ridership-25'!$E27</f>
        <v>1572283</v>
      </c>
      <c r="E35" s="92">
        <f>'Revenue Hours-25'!$E27</f>
        <v>207877</v>
      </c>
      <c r="F35" s="92">
        <f>'Revenue Miles-25'!$E27</f>
        <v>5086977</v>
      </c>
      <c r="G35" s="134">
        <f t="shared" ref="G35:G50" si="58">IFERROR($C$9*(C35/C$51),0) + IFERROR($D$9*(D35/D$51),0) + IFERROR($E$9*(E35/E$51),0) + IFERROR($F$9*(F35/F$51),0)</f>
        <v>5.831523176862316E-2</v>
      </c>
      <c r="H35" s="94">
        <f t="shared" ref="H35:H50" si="59">G35/(SUM($G$11:$G$50)-$G$34)*(1-$G$34)</f>
        <v>5.8315231768623167E-2</v>
      </c>
      <c r="J35" s="95">
        <f>'Ridership-25'!B27/'Revenue Hours-25'!B27</f>
        <v>10.619348493496171</v>
      </c>
      <c r="K35" s="96">
        <f>'Ridership-25'!C27/'Revenue Hours-25'!C27</f>
        <v>3.1822121529637459</v>
      </c>
      <c r="L35" s="96">
        <f>'Ridership-25'!D27/'Revenue Hours-25'!D27</f>
        <v>5.6143685300207036</v>
      </c>
      <c r="M35" s="207">
        <f>'Ridership-25'!E27/'Revenue Hours-25'!K27</f>
        <v>10.489718990179334</v>
      </c>
      <c r="N35" s="97">
        <f t="shared" si="2"/>
        <v>1.1717717962741352</v>
      </c>
      <c r="O35" s="98">
        <f t="shared" si="3"/>
        <v>6.8332143879662077E-2</v>
      </c>
      <c r="P35" s="99">
        <f t="shared" si="4"/>
        <v>6.3985880138539467E-2</v>
      </c>
      <c r="Q35" s="95">
        <f>'Ridership-25'!B27/'Revenue Miles-25'!B27</f>
        <v>0.5403360203480656</v>
      </c>
      <c r="R35" s="96">
        <f>'Ridership-25'!C27/'Revenue Miles-25'!C27</f>
        <v>0.14309026388335411</v>
      </c>
      <c r="S35" s="96">
        <f>'Ridership-25'!D27/'Revenue Miles-25'!D27</f>
        <v>0.23387194455837201</v>
      </c>
      <c r="T35" s="207">
        <f>'Ridership-25'!E27/'Revenue Miles-25'!K27</f>
        <v>0.47612101471833368</v>
      </c>
      <c r="U35" s="97">
        <f t="shared" si="5"/>
        <v>1.1693991576842995</v>
      </c>
      <c r="V35" s="98">
        <f t="shared" si="6"/>
        <v>6.8193782910392631E-2</v>
      </c>
      <c r="W35" s="99">
        <f t="shared" si="7"/>
        <v>6.3824980406396684E-2</v>
      </c>
      <c r="X35" s="95">
        <f>'Op Cost-25'!B28/'Revenue Hours-25'!B27</f>
        <v>147.42823097382487</v>
      </c>
      <c r="Y35" s="96">
        <f>'Op Cost-25'!C28/'Revenue Hours-25'!C27</f>
        <v>162.67460550900779</v>
      </c>
      <c r="Z35" s="96">
        <f>'Op Cost-25'!D28/'Revenue Hours-25'!D27</f>
        <v>182.82648723257418</v>
      </c>
      <c r="AA35" s="96">
        <f>'Op Cost-25'!E28/'Revenue Hours-25'!E27</f>
        <v>219.6294299032601</v>
      </c>
      <c r="AB35" s="97">
        <f t="shared" si="8"/>
        <v>1.1052316025815632</v>
      </c>
      <c r="AC35" s="98">
        <f t="shared" si="9"/>
        <v>5.2762906554981226E-2</v>
      </c>
      <c r="AD35" s="99">
        <f t="shared" si="10"/>
        <v>5.6285311042107836E-2</v>
      </c>
      <c r="AE35" s="95">
        <f>'Op Cost-25'!B28/'Revenue Miles-25'!B27</f>
        <v>7.5014755999523217</v>
      </c>
      <c r="AF35" s="96">
        <f>'Op Cost-25'!C28/'Revenue Miles-25'!C27</f>
        <v>7.31477070368339</v>
      </c>
      <c r="AG35" s="96">
        <f>'Op Cost-25'!D28/'Revenue Miles-25'!D27</f>
        <v>7.6158139347686928</v>
      </c>
      <c r="AH35" s="96">
        <f>'Op Cost-25'!E28/'Revenue Miles-25'!E27</f>
        <v>8.9750566987033746</v>
      </c>
      <c r="AI35" s="97">
        <f t="shared" si="11"/>
        <v>1.0385690261414711</v>
      </c>
      <c r="AJ35" s="98">
        <f t="shared" si="12"/>
        <v>5.6149596512884668E-2</v>
      </c>
      <c r="AK35" s="99">
        <f t="shared" si="13"/>
        <v>5.9757268525009684E-2</v>
      </c>
      <c r="AL35" s="95">
        <f>'Op Cost-25'!B28/'Ridership-25'!B27</f>
        <v>13.882982657939651</v>
      </c>
      <c r="AM35" s="96">
        <f>'Op Cost-25'!C28/'Ridership-25'!C27</f>
        <v>51.119974938660576</v>
      </c>
      <c r="AN35" s="96">
        <f>'Op Cost-25'!D28/'Ridership-25'!D27</f>
        <v>32.564033916722593</v>
      </c>
      <c r="AO35" s="96">
        <f>'Op Cost-25'!E28/'Ridership-25'!E27</f>
        <v>29.037970263623023</v>
      </c>
      <c r="AP35" s="97">
        <f t="shared" si="14"/>
        <v>1.17121247832242</v>
      </c>
      <c r="AQ35" s="98">
        <f t="shared" si="15"/>
        <v>4.9790480248426555E-2</v>
      </c>
      <c r="AR35" s="99">
        <f t="shared" si="16"/>
        <v>5.4058978445043773E-2</v>
      </c>
      <c r="AT35" s="101">
        <f t="shared" si="29"/>
        <v>0</v>
      </c>
      <c r="AU35" s="102">
        <f t="shared" si="17"/>
        <v>0</v>
      </c>
      <c r="AV35" s="102">
        <f t="shared" si="18"/>
        <v>0</v>
      </c>
      <c r="AW35" s="102">
        <f t="shared" si="19"/>
        <v>0</v>
      </c>
      <c r="AX35" s="103">
        <f t="shared" si="20"/>
        <v>0</v>
      </c>
      <c r="AY35" s="293">
        <f t="shared" si="30"/>
        <v>-1</v>
      </c>
      <c r="AZ35" s="105">
        <f t="shared" si="21"/>
        <v>0</v>
      </c>
      <c r="BA35" s="106">
        <f t="shared" si="21"/>
        <v>0</v>
      </c>
      <c r="BB35" s="106">
        <f t="shared" si="21"/>
        <v>0</v>
      </c>
      <c r="BC35" s="106">
        <f t="shared" si="21"/>
        <v>0</v>
      </c>
      <c r="BD35" s="106">
        <f t="shared" si="21"/>
        <v>0</v>
      </c>
      <c r="BE35" s="107">
        <f t="shared" si="31"/>
        <v>7128483.1152542336</v>
      </c>
      <c r="BG35" s="108">
        <f>'Op Cost-25'!E28</f>
        <v>45655907</v>
      </c>
      <c r="BH35" s="109">
        <f t="shared" si="22"/>
        <v>0.15613495785450573</v>
      </c>
      <c r="BI35" s="110">
        <f t="shared" si="23"/>
        <v>7128483.1152542336</v>
      </c>
      <c r="BJ35" s="111">
        <f t="shared" si="24"/>
        <v>0</v>
      </c>
      <c r="BK35" s="1">
        <f t="shared" si="32"/>
        <v>0.59440733507603749</v>
      </c>
      <c r="BL35" s="294">
        <f t="shared" si="33"/>
        <v>0.97988550140601971</v>
      </c>
      <c r="BM35" s="294">
        <f t="shared" si="34"/>
        <v>0.64172979478561465</v>
      </c>
      <c r="BN35" s="295">
        <f t="shared" si="35"/>
        <v>0.37800702205625791</v>
      </c>
      <c r="BO35" s="114">
        <f t="shared" si="25"/>
        <v>7128483.1152542336</v>
      </c>
      <c r="BP35" s="296">
        <f t="shared" si="36"/>
        <v>0.59440733507603749</v>
      </c>
      <c r="BQ35" s="116">
        <f t="shared" si="37"/>
        <v>3.4663001509928779E-2</v>
      </c>
      <c r="BR35" s="297">
        <f t="shared" si="38"/>
        <v>3.4663001509928779E-2</v>
      </c>
      <c r="BS35" s="302">
        <f t="shared" si="39"/>
        <v>3.8747525867666548E-2</v>
      </c>
      <c r="BT35" s="298">
        <f t="shared" si="40"/>
        <v>7461503.1631438332</v>
      </c>
      <c r="BU35" s="119">
        <f t="shared" si="41"/>
        <v>13696772.1</v>
      </c>
      <c r="BV35" s="119">
        <f t="shared" si="42"/>
        <v>7461503.1631438332</v>
      </c>
      <c r="BW35" s="119">
        <f t="shared" si="43"/>
        <v>0</v>
      </c>
      <c r="BX35" s="120">
        <f t="shared" si="44"/>
        <v>3.4663001509928779E-2</v>
      </c>
      <c r="BY35" s="121">
        <f t="shared" si="45"/>
        <v>6.8676256889225296E-2</v>
      </c>
      <c r="BZ35" s="299">
        <f t="shared" si="46"/>
        <v>7520797.9936997872</v>
      </c>
      <c r="CA35" s="109">
        <f t="shared" si="26"/>
        <v>6.4745939194999769E-2</v>
      </c>
      <c r="CB35" s="123">
        <f t="shared" si="57"/>
        <v>556466.38820282451</v>
      </c>
      <c r="CC35" s="111">
        <f t="shared" si="56"/>
        <v>7684950</v>
      </c>
      <c r="CE35" s="124">
        <f t="shared" si="28"/>
        <v>0</v>
      </c>
      <c r="CF35" s="17"/>
      <c r="CG35" s="108">
        <f t="shared" si="47"/>
        <v>45655907</v>
      </c>
      <c r="CH35" s="125">
        <f t="shared" si="48"/>
        <v>0.16832323580823835</v>
      </c>
      <c r="CI35" s="110">
        <f t="shared" si="49"/>
        <v>7461503.1631438332</v>
      </c>
      <c r="CJ35" s="300">
        <f t="shared" si="50"/>
        <v>0</v>
      </c>
      <c r="CL35" s="127">
        <f t="shared" si="51"/>
        <v>7461503.1631438332</v>
      </c>
      <c r="CM35" s="128">
        <f t="shared" si="52"/>
        <v>8.6835817335721724E-2</v>
      </c>
      <c r="CN35" s="129">
        <f t="shared" si="53"/>
        <v>74973.72903439714</v>
      </c>
      <c r="CO35" s="130">
        <f t="shared" si="55"/>
        <v>7536477</v>
      </c>
      <c r="CQ35" s="131">
        <f t="shared" si="54"/>
        <v>0.1647278191998198</v>
      </c>
      <c r="CR35" s="301"/>
    </row>
    <row r="36" spans="1:96">
      <c r="A36" s="133" t="s">
        <v>112</v>
      </c>
      <c r="B36" s="90" t="s">
        <v>113</v>
      </c>
      <c r="C36" s="91">
        <f>'Sizing - Reimb Exp-25'!B29</f>
        <v>4660277</v>
      </c>
      <c r="D36" s="92">
        <f>'Ridership-25'!$E28</f>
        <v>475942</v>
      </c>
      <c r="E36" s="92">
        <f>'Revenue Hours-25'!$E28</f>
        <v>43849</v>
      </c>
      <c r="F36" s="92">
        <f>'Revenue Miles-25'!$E28</f>
        <v>553318</v>
      </c>
      <c r="G36" s="93">
        <f t="shared" si="58"/>
        <v>9.3995318174305044E-3</v>
      </c>
      <c r="H36" s="94">
        <f t="shared" si="59"/>
        <v>9.3995318174305061E-3</v>
      </c>
      <c r="J36" s="95">
        <f>'Ridership-25'!B28/'Revenue Hours-25'!B28</f>
        <v>7.2311072676573369</v>
      </c>
      <c r="K36" s="96">
        <f>'Ridership-25'!C28/'Revenue Hours-25'!C28</f>
        <v>7.0651748073074137</v>
      </c>
      <c r="L36" s="96">
        <f>'Ridership-25'!D28/'Revenue Hours-25'!D28</f>
        <v>8.5454680032144825</v>
      </c>
      <c r="M36" s="207">
        <f>'Ridership-25'!E28/'Revenue Hours-25'!K28</f>
        <v>10.854112978631212</v>
      </c>
      <c r="N36" s="97">
        <f t="shared" si="2"/>
        <v>1.3009855746270713</v>
      </c>
      <c r="O36" s="98">
        <f t="shared" si="3"/>
        <v>1.2228655302725266E-2</v>
      </c>
      <c r="P36" s="99">
        <f t="shared" si="4"/>
        <v>1.1450852088493897E-2</v>
      </c>
      <c r="Q36" s="95">
        <f>'Ridership-25'!B28/'Revenue Miles-25'!B28</f>
        <v>0.68740479018609113</v>
      </c>
      <c r="R36" s="96">
        <f>'Ridership-25'!C28/'Revenue Miles-25'!C28</f>
        <v>0.60435953803758868</v>
      </c>
      <c r="S36" s="96">
        <f>'Ridership-25'!D28/'Revenue Miles-25'!D28</f>
        <v>0.7290038463481342</v>
      </c>
      <c r="T36" s="207">
        <f>'Ridership-25'!E28/'Revenue Miles-25'!K28</f>
        <v>0.86015998033680452</v>
      </c>
      <c r="U36" s="97">
        <f t="shared" si="5"/>
        <v>1.2103155382207087</v>
      </c>
      <c r="V36" s="98">
        <f t="shared" si="6"/>
        <v>1.137639941063608E-2</v>
      </c>
      <c r="W36" s="99">
        <f t="shared" si="7"/>
        <v>1.0647575753838028E-2</v>
      </c>
      <c r="X36" s="95">
        <f>'Op Cost-25'!B29/'Revenue Hours-25'!B28</f>
        <v>63.118368571529423</v>
      </c>
      <c r="Y36" s="96">
        <f>'Op Cost-25'!C29/'Revenue Hours-25'!C28</f>
        <v>99.128071370778855</v>
      </c>
      <c r="Z36" s="96">
        <f>'Op Cost-25'!D29/'Revenue Hours-25'!D28</f>
        <v>86.295224802267057</v>
      </c>
      <c r="AA36" s="96">
        <f>'Op Cost-25'!E29/'Revenue Hours-25'!E28</f>
        <v>108.01972678966453</v>
      </c>
      <c r="AB36" s="97">
        <f t="shared" si="8"/>
        <v>1.1665516654755821</v>
      </c>
      <c r="AC36" s="98">
        <f t="shared" si="9"/>
        <v>8.0575358088391964E-3</v>
      </c>
      <c r="AD36" s="99">
        <f t="shared" si="10"/>
        <v>8.5954496983756522E-3</v>
      </c>
      <c r="AE36" s="95">
        <f>'Op Cost-25'!B29/'Revenue Miles-25'!B28</f>
        <v>6.0001694483031685</v>
      </c>
      <c r="AF36" s="96">
        <f>'Op Cost-25'!C29/'Revenue Miles-25'!C28</f>
        <v>8.4794781522232086</v>
      </c>
      <c r="AG36" s="96">
        <f>'Op Cost-25'!D29/'Revenue Miles-25'!D28</f>
        <v>7.3617443513527165</v>
      </c>
      <c r="AH36" s="96">
        <f>'Op Cost-25'!E29/'Revenue Miles-25'!E28</f>
        <v>8.5602799836621983</v>
      </c>
      <c r="AI36" s="97">
        <f t="shared" si="11"/>
        <v>1.0918608229846662</v>
      </c>
      <c r="AJ36" s="98">
        <f t="shared" si="12"/>
        <v>8.6087270644406213E-3</v>
      </c>
      <c r="AK36" s="99">
        <f t="shared" si="13"/>
        <v>9.1618470442659233E-3</v>
      </c>
      <c r="AL36" s="95">
        <f>'Op Cost-25'!B29/'Ridership-25'!B28</f>
        <v>8.7287280129060925</v>
      </c>
      <c r="AM36" s="96">
        <f>'Op Cost-25'!C29/'Ridership-25'!C28</f>
        <v>14.030519282870687</v>
      </c>
      <c r="AN36" s="96">
        <f>'Op Cost-25'!D29/'Ridership-25'!D28</f>
        <v>10.098361467131589</v>
      </c>
      <c r="AO36" s="96">
        <f>'Op Cost-25'!E29/'Ridership-25'!E28</f>
        <v>9.9519626341024754</v>
      </c>
      <c r="AP36" s="100">
        <f t="shared" si="14"/>
        <v>0.95582060414578562</v>
      </c>
      <c r="AQ36" s="98">
        <f t="shared" si="15"/>
        <v>9.833991626316577E-3</v>
      </c>
      <c r="AR36" s="99">
        <f t="shared" si="16"/>
        <v>1.0677051892316073E-2</v>
      </c>
      <c r="AT36" s="101">
        <f t="shared" si="29"/>
        <v>0</v>
      </c>
      <c r="AU36" s="102">
        <f t="shared" si="17"/>
        <v>0</v>
      </c>
      <c r="AV36" s="102">
        <f t="shared" si="18"/>
        <v>0</v>
      </c>
      <c r="AW36" s="102">
        <f t="shared" si="19"/>
        <v>0</v>
      </c>
      <c r="AX36" s="103">
        <f t="shared" si="20"/>
        <v>0</v>
      </c>
      <c r="AY36" s="293">
        <f t="shared" si="30"/>
        <v>-1</v>
      </c>
      <c r="AZ36" s="105">
        <f t="shared" si="21"/>
        <v>0</v>
      </c>
      <c r="BA36" s="106">
        <f t="shared" si="21"/>
        <v>0</v>
      </c>
      <c r="BB36" s="106">
        <f t="shared" si="21"/>
        <v>0</v>
      </c>
      <c r="BC36" s="106">
        <f t="shared" si="21"/>
        <v>0</v>
      </c>
      <c r="BD36" s="106">
        <f t="shared" si="21"/>
        <v>0</v>
      </c>
      <c r="BE36" s="107">
        <f t="shared" si="31"/>
        <v>1149003.473358403</v>
      </c>
      <c r="BG36" s="108">
        <f>'Op Cost-25'!E29</f>
        <v>4736557</v>
      </c>
      <c r="BH36" s="109">
        <f t="shared" si="22"/>
        <v>0.24258200067230332</v>
      </c>
      <c r="BI36" s="110">
        <f t="shared" si="23"/>
        <v>1149003.473358403</v>
      </c>
      <c r="BJ36" s="111">
        <f t="shared" si="24"/>
        <v>0</v>
      </c>
      <c r="BK36" s="1">
        <f t="shared" si="32"/>
        <v>1.0947954035045289</v>
      </c>
      <c r="BL36" s="294">
        <f t="shared" si="33"/>
        <v>1.0139249629414333</v>
      </c>
      <c r="BM36" s="294">
        <f t="shared" si="34"/>
        <v>1.1593487172392201</v>
      </c>
      <c r="BN36" s="295">
        <f t="shared" si="35"/>
        <v>1.1029539669187312</v>
      </c>
      <c r="BO36" s="114">
        <f t="shared" si="25"/>
        <v>1149003.473358403</v>
      </c>
      <c r="BP36" s="296">
        <f t="shared" si="36"/>
        <v>1.0947954035045289</v>
      </c>
      <c r="BQ36" s="116">
        <f t="shared" si="37"/>
        <v>1.0290564228817488E-2</v>
      </c>
      <c r="BR36" s="297">
        <f t="shared" si="38"/>
        <v>1.0290564228817488E-2</v>
      </c>
      <c r="BS36" s="117">
        <f t="shared" si="39"/>
        <v>1.150315570723953E-2</v>
      </c>
      <c r="BT36" s="298">
        <f t="shared" si="40"/>
        <v>1247868.6622633566</v>
      </c>
      <c r="BU36" s="119">
        <f t="shared" si="41"/>
        <v>1420967.0999999999</v>
      </c>
      <c r="BV36" s="119">
        <f t="shared" si="42"/>
        <v>1247868.6622633566</v>
      </c>
      <c r="BW36" s="119">
        <f t="shared" si="43"/>
        <v>0</v>
      </c>
      <c r="BX36" s="120">
        <f t="shared" si="44"/>
        <v>1.0290564228817488E-2</v>
      </c>
      <c r="BY36" s="121">
        <f t="shared" si="45"/>
        <v>2.0388235343985203E-2</v>
      </c>
      <c r="BZ36" s="299">
        <f t="shared" si="46"/>
        <v>1265471.7905469278</v>
      </c>
      <c r="CA36" s="109">
        <f t="shared" si="26"/>
        <v>1.0436064421856106E-2</v>
      </c>
      <c r="CB36" s="123">
        <f t="shared" si="57"/>
        <v>89693.950664488249</v>
      </c>
      <c r="CC36" s="111">
        <f t="shared" si="56"/>
        <v>1238697</v>
      </c>
      <c r="CE36" s="124">
        <f t="shared" si="28"/>
        <v>0</v>
      </c>
      <c r="CF36" s="17"/>
      <c r="CG36" s="108">
        <f t="shared" si="47"/>
        <v>4736557</v>
      </c>
      <c r="CH36" s="125">
        <f t="shared" si="48"/>
        <v>0.26151844050435791</v>
      </c>
      <c r="CI36" s="110">
        <f t="shared" si="49"/>
        <v>1247868.6622633566</v>
      </c>
      <c r="CJ36" s="300">
        <f t="shared" si="50"/>
        <v>0</v>
      </c>
      <c r="CL36" s="127">
        <f t="shared" si="51"/>
        <v>1247868.6622633566</v>
      </c>
      <c r="CM36" s="128">
        <f t="shared" si="52"/>
        <v>1.4522502081151157E-2</v>
      </c>
      <c r="CN36" s="129">
        <f t="shared" si="53"/>
        <v>12538.675506723102</v>
      </c>
      <c r="CO36" s="130">
        <f t="shared" si="55"/>
        <v>1260407</v>
      </c>
      <c r="CQ36" s="131">
        <f t="shared" si="54"/>
        <v>0.26717123652199853</v>
      </c>
      <c r="CR36" s="301"/>
    </row>
    <row r="37" spans="1:96">
      <c r="A37" s="133" t="s">
        <v>112</v>
      </c>
      <c r="B37" s="90" t="s">
        <v>114</v>
      </c>
      <c r="C37" s="91">
        <f>'Sizing - Reimb Exp-25'!B30</f>
        <v>67417899</v>
      </c>
      <c r="D37" s="92">
        <f>'Ridership-25'!$E29</f>
        <v>9625071</v>
      </c>
      <c r="E37" s="92">
        <f>'Revenue Hours-25'!$E29</f>
        <v>583725</v>
      </c>
      <c r="F37" s="92">
        <f>'Revenue Miles-25'!$E29</f>
        <v>7022292</v>
      </c>
      <c r="G37" s="134">
        <f t="shared" si="58"/>
        <v>0.1522113163962201</v>
      </c>
      <c r="H37" s="94">
        <f t="shared" si="59"/>
        <v>0.15221131639622013</v>
      </c>
      <c r="J37" s="95">
        <f>'Ridership-25'!B29/'Revenue Hours-25'!B29</f>
        <v>15.08483737680125</v>
      </c>
      <c r="K37" s="96">
        <f>'Ridership-25'!C29/'Revenue Hours-25'!C29</f>
        <v>12.685908078458269</v>
      </c>
      <c r="L37" s="96">
        <f>'Ridership-25'!D29/'Revenue Hours-25'!D29</f>
        <v>14.999735241854868</v>
      </c>
      <c r="M37" s="207">
        <f>'Ridership-25'!E29/'Revenue Hours-25'!K29</f>
        <v>16.535848596310085</v>
      </c>
      <c r="N37" s="97">
        <f t="shared" si="2"/>
        <v>1.1589035149089713</v>
      </c>
      <c r="O37" s="98">
        <f t="shared" si="3"/>
        <v>0.17639822958050103</v>
      </c>
      <c r="P37" s="99">
        <f t="shared" si="4"/>
        <v>0.16517842604888461</v>
      </c>
      <c r="Q37" s="95">
        <f>'Ridership-25'!B29/'Revenue Miles-25'!B29</f>
        <v>1.1884855709632467</v>
      </c>
      <c r="R37" s="96">
        <f>'Ridership-25'!C29/'Revenue Miles-25'!C29</f>
        <v>1.0554722157446399</v>
      </c>
      <c r="S37" s="96">
        <f>'Ridership-25'!D29/'Revenue Miles-25'!D29</f>
        <v>1.2009259173704827</v>
      </c>
      <c r="T37" s="207">
        <f>'Ridership-25'!E29/'Revenue Miles-25'!K29</f>
        <v>1.3773946096971872</v>
      </c>
      <c r="U37" s="97">
        <f t="shared" si="5"/>
        <v>1.1886814417752132</v>
      </c>
      <c r="V37" s="98">
        <f t="shared" si="6"/>
        <v>0.18093076702836208</v>
      </c>
      <c r="W37" s="99">
        <f t="shared" si="7"/>
        <v>0.16933952286638215</v>
      </c>
      <c r="X37" s="95">
        <f>'Op Cost-25'!B30/'Revenue Hours-25'!B29</f>
        <v>87.19640419871854</v>
      </c>
      <c r="Y37" s="96">
        <f>'Op Cost-25'!C30/'Revenue Hours-25'!C29</f>
        <v>106.94058914595765</v>
      </c>
      <c r="Z37" s="96">
        <f>'Op Cost-25'!D30/'Revenue Hours-25'!D29</f>
        <v>99.059409351732896</v>
      </c>
      <c r="AA37" s="96">
        <f>'Op Cost-25'!E30/'Revenue Hours-25'!E29</f>
        <v>117.86879438091567</v>
      </c>
      <c r="AB37" s="97">
        <f t="shared" si="8"/>
        <v>1.069009747172706</v>
      </c>
      <c r="AC37" s="98">
        <f t="shared" si="9"/>
        <v>0.14238534007644491</v>
      </c>
      <c r="AD37" s="99">
        <f t="shared" si="10"/>
        <v>0.15189085812942957</v>
      </c>
      <c r="AE37" s="95">
        <f>'Op Cost-25'!B30/'Revenue Miles-25'!B29</f>
        <v>6.8699228000581352</v>
      </c>
      <c r="AF37" s="96">
        <f>'Op Cost-25'!C30/'Revenue Miles-25'!C29</f>
        <v>8.897496330640184</v>
      </c>
      <c r="AG37" s="96">
        <f>'Op Cost-25'!D30/'Revenue Miles-25'!D29</f>
        <v>7.9310074565820816</v>
      </c>
      <c r="AH37" s="96">
        <f>'Op Cost-25'!E30/'Revenue Miles-25'!E29</f>
        <v>9.7977928004133119</v>
      </c>
      <c r="AI37" s="97">
        <f t="shared" si="11"/>
        <v>1.0939620676553767</v>
      </c>
      <c r="AJ37" s="98">
        <f t="shared" si="12"/>
        <v>0.13913765467430284</v>
      </c>
      <c r="AK37" s="99">
        <f t="shared" si="13"/>
        <v>0.14807739874683615</v>
      </c>
      <c r="AL37" s="95">
        <f>'Op Cost-25'!B30/'Ridership-25'!B29</f>
        <v>5.7804006778897481</v>
      </c>
      <c r="AM37" s="96">
        <f>'Op Cost-25'!C30/'Ridership-25'!C29</f>
        <v>8.4298726180707302</v>
      </c>
      <c r="AN37" s="96">
        <f>'Op Cost-25'!D30/'Ridership-25'!D29</f>
        <v>6.6040771889973175</v>
      </c>
      <c r="AO37" s="96">
        <f>'Op Cost-25'!E30/'Ridership-25'!E29</f>
        <v>7.148306957943479</v>
      </c>
      <c r="AP37" s="97">
        <f t="shared" si="14"/>
        <v>1.0036922938781936</v>
      </c>
      <c r="AQ37" s="98">
        <f t="shared" si="15"/>
        <v>0.15165137495286202</v>
      </c>
      <c r="AR37" s="99">
        <f t="shared" si="16"/>
        <v>0.16465232648558537</v>
      </c>
      <c r="AT37" s="101">
        <f t="shared" si="29"/>
        <v>0</v>
      </c>
      <c r="AU37" s="102">
        <f t="shared" si="17"/>
        <v>0</v>
      </c>
      <c r="AV37" s="102">
        <f t="shared" si="18"/>
        <v>0</v>
      </c>
      <c r="AW37" s="102">
        <f t="shared" si="19"/>
        <v>0</v>
      </c>
      <c r="AX37" s="103">
        <f t="shared" si="20"/>
        <v>0</v>
      </c>
      <c r="AY37" s="293">
        <f t="shared" si="30"/>
        <v>-1</v>
      </c>
      <c r="AZ37" s="105">
        <f t="shared" si="21"/>
        <v>0</v>
      </c>
      <c r="BA37" s="106">
        <f t="shared" si="21"/>
        <v>0</v>
      </c>
      <c r="BB37" s="106">
        <f t="shared" si="21"/>
        <v>0</v>
      </c>
      <c r="BC37" s="106">
        <f t="shared" si="21"/>
        <v>0</v>
      </c>
      <c r="BD37" s="106">
        <f t="shared" si="21"/>
        <v>0</v>
      </c>
      <c r="BE37" s="107">
        <f t="shared" si="31"/>
        <v>18606387.490427237</v>
      </c>
      <c r="BF37" s="301"/>
      <c r="BG37" s="108">
        <f>'Op Cost-25'!E30</f>
        <v>68802962</v>
      </c>
      <c r="BH37" s="303">
        <f t="shared" si="22"/>
        <v>0.27043003599797399</v>
      </c>
      <c r="BI37" s="304">
        <f>IF(BE37&gt;BG37*$BI$6,BG37*$BI$6,BE37)</f>
        <v>18606387.490427237</v>
      </c>
      <c r="BJ37" s="111">
        <f t="shared" si="24"/>
        <v>0</v>
      </c>
      <c r="BK37" s="1">
        <f t="shared" si="32"/>
        <v>1.6180658392958747</v>
      </c>
      <c r="BL37" s="294">
        <f t="shared" si="33"/>
        <v>1.5446780135997067</v>
      </c>
      <c r="BM37" s="294">
        <f t="shared" si="34"/>
        <v>1.8564926413565241</v>
      </c>
      <c r="BN37" s="295">
        <f t="shared" si="35"/>
        <v>1.535546351113634</v>
      </c>
      <c r="BO37" s="114">
        <f t="shared" si="25"/>
        <v>18606387.490427237</v>
      </c>
      <c r="BP37" s="296">
        <f t="shared" si="36"/>
        <v>1.6180658392958747</v>
      </c>
      <c r="BQ37" s="116">
        <f t="shared" si="37"/>
        <v>0.24628793141497984</v>
      </c>
      <c r="BR37" s="297">
        <f t="shared" si="38"/>
        <v>0.24628793141497984</v>
      </c>
      <c r="BS37" s="302">
        <f t="shared" si="39"/>
        <v>0.2753093378443448</v>
      </c>
      <c r="BT37" s="298">
        <f t="shared" si="40"/>
        <v>20972565.119071245</v>
      </c>
      <c r="BU37" s="119">
        <f t="shared" si="41"/>
        <v>20640888.599999998</v>
      </c>
      <c r="BV37" s="119">
        <f t="shared" si="42"/>
        <v>20640888.599999998</v>
      </c>
      <c r="BW37" s="119">
        <f t="shared" si="43"/>
        <v>331676.51907124743</v>
      </c>
      <c r="BX37" s="120">
        <f t="shared" si="44"/>
        <v>0</v>
      </c>
      <c r="BY37" s="121">
        <f t="shared" si="45"/>
        <v>0</v>
      </c>
      <c r="BZ37" s="299">
        <f t="shared" si="46"/>
        <v>20640888.599999998</v>
      </c>
      <c r="CA37" s="109">
        <f t="shared" si="26"/>
        <v>0.16899640689558421</v>
      </c>
      <c r="CB37" s="123">
        <f t="shared" si="57"/>
        <v>1452458.9701480968</v>
      </c>
      <c r="CC37" s="111">
        <f>ROUND((CB37+BI37),0)</f>
        <v>20058846</v>
      </c>
      <c r="CE37" s="124">
        <f t="shared" si="28"/>
        <v>0</v>
      </c>
      <c r="CF37" s="17"/>
      <c r="CG37" s="108">
        <f t="shared" si="47"/>
        <v>68802962</v>
      </c>
      <c r="CH37" s="125">
        <f t="shared" si="48"/>
        <v>0.29154044269198759</v>
      </c>
      <c r="CI37" s="110">
        <f t="shared" si="49"/>
        <v>20640888.599999998</v>
      </c>
      <c r="CJ37" s="300">
        <f t="shared" si="50"/>
        <v>331676.51907124743</v>
      </c>
      <c r="CL37" s="127">
        <f t="shared" si="51"/>
        <v>0</v>
      </c>
      <c r="CM37" s="128">
        <f t="shared" si="52"/>
        <v>0</v>
      </c>
      <c r="CN37" s="129">
        <f t="shared" si="53"/>
        <v>0</v>
      </c>
      <c r="CO37" s="130">
        <f t="shared" si="55"/>
        <v>20640889</v>
      </c>
      <c r="CQ37" s="131">
        <f t="shared" si="54"/>
        <v>0.3</v>
      </c>
      <c r="CR37" s="301"/>
    </row>
    <row r="38" spans="1:96">
      <c r="A38" s="133" t="s">
        <v>115</v>
      </c>
      <c r="B38" s="90" t="s">
        <v>116</v>
      </c>
      <c r="C38" s="91">
        <f>'Sizing - Reimb Exp-25'!B31</f>
        <v>10986817</v>
      </c>
      <c r="D38" s="92">
        <f>'Ridership-25'!$E30</f>
        <v>3520078</v>
      </c>
      <c r="E38" s="92">
        <f>'Revenue Hours-25'!$E30</f>
        <v>92885</v>
      </c>
      <c r="F38" s="92">
        <f>'Revenue Miles-25'!$E30</f>
        <v>970481</v>
      </c>
      <c r="G38" s="134">
        <f t="shared" si="58"/>
        <v>3.8743461880209475E-2</v>
      </c>
      <c r="H38" s="94">
        <f t="shared" si="59"/>
        <v>3.8743461880209482E-2</v>
      </c>
      <c r="J38" s="95">
        <f>'Ridership-25'!B30/'Revenue Hours-25'!B30</f>
        <v>41.020012326113751</v>
      </c>
      <c r="K38" s="96">
        <f>'Ridership-25'!C30/'Revenue Hours-25'!C30</f>
        <v>7.7359808402431227</v>
      </c>
      <c r="L38" s="96">
        <f>'Ridership-25'!D30/'Revenue Hours-25'!D30</f>
        <v>32.633977790205321</v>
      </c>
      <c r="M38" s="207">
        <f>'Ridership-25'!E30/'Revenue Hours-25'!K30</f>
        <v>37.897163158744682</v>
      </c>
      <c r="N38" s="97">
        <f t="shared" si="2"/>
        <v>1.5374893226393143</v>
      </c>
      <c r="O38" s="98">
        <f t="shared" si="3"/>
        <v>5.9567658962905369E-2</v>
      </c>
      <c r="P38" s="99">
        <f t="shared" si="4"/>
        <v>5.577885999371205E-2</v>
      </c>
      <c r="Q38" s="95">
        <f>'Ridership-25'!B30/'Revenue Miles-25'!B30</f>
        <v>4.0590237544714967</v>
      </c>
      <c r="R38" s="96">
        <f>'Ridership-25'!C30/'Revenue Miles-25'!C30</f>
        <v>0.74890286156611607</v>
      </c>
      <c r="S38" s="96">
        <f>'Ridership-25'!D30/'Revenue Miles-25'!D30</f>
        <v>3.1121743743196539</v>
      </c>
      <c r="T38" s="207">
        <f>'Ridership-25'!E30/'Revenue Miles-25'!K30</f>
        <v>3.6271477751754029</v>
      </c>
      <c r="U38" s="97">
        <f t="shared" si="5"/>
        <v>1.5439223358228489</v>
      </c>
      <c r="V38" s="98">
        <f t="shared" si="6"/>
        <v>5.981689616395653E-2</v>
      </c>
      <c r="W38" s="99">
        <f t="shared" si="7"/>
        <v>5.5984754954166972E-2</v>
      </c>
      <c r="X38" s="95">
        <f>'Op Cost-25'!B31/'Revenue Hours-25'!B30</f>
        <v>80.165865469272759</v>
      </c>
      <c r="Y38" s="96">
        <f>'Op Cost-25'!C31/'Revenue Hours-25'!C30</f>
        <v>94.638769882541524</v>
      </c>
      <c r="Z38" s="96">
        <f>'Op Cost-25'!D31/'Revenue Hours-25'!D30</f>
        <v>99.879114404410004</v>
      </c>
      <c r="AA38" s="96">
        <f>'Op Cost-25'!E31/'Revenue Hours-25'!E30</f>
        <v>129.41512623136137</v>
      </c>
      <c r="AB38" s="97">
        <f t="shared" si="8"/>
        <v>1.1373094562186856</v>
      </c>
      <c r="AC38" s="98">
        <f t="shared" si="9"/>
        <v>3.4065892680628304E-2</v>
      </c>
      <c r="AD38" s="99">
        <f t="shared" si="10"/>
        <v>3.6340101231121628E-2</v>
      </c>
      <c r="AE38" s="95">
        <f>'Op Cost-25'!B31/'Revenue Miles-25'!B30</f>
        <v>7.9325951842875142</v>
      </c>
      <c r="AF38" s="96">
        <f>'Op Cost-25'!C31/'Revenue Miles-25'!C30</f>
        <v>9.1617659148578081</v>
      </c>
      <c r="AG38" s="96">
        <f>'Op Cost-25'!D31/'Revenue Miles-25'!D30</f>
        <v>9.5250791177666656</v>
      </c>
      <c r="AH38" s="96">
        <f>'Op Cost-25'!E31/'Revenue Miles-25'!E30</f>
        <v>12.386356868398249</v>
      </c>
      <c r="AI38" s="97">
        <f t="shared" si="11"/>
        <v>1.1300370084817091</v>
      </c>
      <c r="AJ38" s="98">
        <f t="shared" si="12"/>
        <v>3.4285126583831337E-2</v>
      </c>
      <c r="AK38" s="99">
        <f t="shared" si="13"/>
        <v>3.6487982869366151E-2</v>
      </c>
      <c r="AL38" s="95">
        <f>'Op Cost-25'!B31/'Ridership-25'!B30</f>
        <v>1.9543111014191081</v>
      </c>
      <c r="AM38" s="96">
        <f>'Op Cost-25'!C31/'Ridership-25'!C30</f>
        <v>12.233583799771571</v>
      </c>
      <c r="AN38" s="96">
        <f>'Op Cost-25'!D31/'Ridership-25'!D30</f>
        <v>3.0605865777841972</v>
      </c>
      <c r="AO38" s="96">
        <f>'Op Cost-25'!E31/'Ridership-25'!E30</f>
        <v>3.4149027379506931</v>
      </c>
      <c r="AP38" s="97">
        <f t="shared" si="14"/>
        <v>1.4628694458817215</v>
      </c>
      <c r="AQ38" s="98">
        <f t="shared" si="15"/>
        <v>2.648456565230773E-2</v>
      </c>
      <c r="AR38" s="99">
        <f t="shared" si="16"/>
        <v>2.8755066361700634E-2</v>
      </c>
      <c r="AT38" s="101">
        <f t="shared" si="29"/>
        <v>0</v>
      </c>
      <c r="AU38" s="102">
        <f t="shared" si="17"/>
        <v>0</v>
      </c>
      <c r="AV38" s="102">
        <f t="shared" si="18"/>
        <v>0</v>
      </c>
      <c r="AW38" s="102">
        <f t="shared" si="19"/>
        <v>0</v>
      </c>
      <c r="AX38" s="103">
        <f t="shared" si="20"/>
        <v>0</v>
      </c>
      <c r="AY38" s="293">
        <f t="shared" si="30"/>
        <v>-1</v>
      </c>
      <c r="AZ38" s="105">
        <f t="shared" si="21"/>
        <v>0</v>
      </c>
      <c r="BA38" s="106">
        <f t="shared" si="21"/>
        <v>0</v>
      </c>
      <c r="BB38" s="106">
        <f t="shared" si="21"/>
        <v>0</v>
      </c>
      <c r="BC38" s="106">
        <f t="shared" si="21"/>
        <v>0</v>
      </c>
      <c r="BD38" s="106">
        <f t="shared" si="21"/>
        <v>0</v>
      </c>
      <c r="BE38" s="107">
        <f t="shared" si="31"/>
        <v>4736020.1694023041</v>
      </c>
      <c r="BG38" s="108">
        <f>'Op Cost-25'!E31</f>
        <v>12020724</v>
      </c>
      <c r="BH38" s="109">
        <f t="shared" si="22"/>
        <v>0.3939879302945733</v>
      </c>
      <c r="BI38" s="110">
        <f t="shared" si="23"/>
        <v>3606217.1999999997</v>
      </c>
      <c r="BJ38" s="111">
        <f t="shared" si="24"/>
        <v>1129802.9694023044</v>
      </c>
      <c r="BK38" s="1">
        <f t="shared" si="32"/>
        <v>3.7143793923621673</v>
      </c>
      <c r="BL38" s="294">
        <f t="shared" si="33"/>
        <v>3.5401215951007479</v>
      </c>
      <c r="BM38" s="294">
        <f t="shared" si="34"/>
        <v>4.8887755958375703</v>
      </c>
      <c r="BN38" s="295">
        <f t="shared" si="35"/>
        <v>3.2143101892551753</v>
      </c>
      <c r="BO38" s="114">
        <f t="shared" si="25"/>
        <v>0</v>
      </c>
      <c r="BP38" s="296">
        <f t="shared" si="36"/>
        <v>3.7143793923621673</v>
      </c>
      <c r="BQ38" s="116">
        <f t="shared" si="37"/>
        <v>0.14390791639661929</v>
      </c>
      <c r="BR38" s="297">
        <f t="shared" si="38"/>
        <v>0</v>
      </c>
      <c r="BS38" s="117">
        <f t="shared" si="39"/>
        <v>0</v>
      </c>
      <c r="BT38" s="298">
        <f t="shared" si="40"/>
        <v>3606217.1999999997</v>
      </c>
      <c r="BU38" s="119">
        <f t="shared" si="41"/>
        <v>3606217.1999999997</v>
      </c>
      <c r="BV38" s="119">
        <f t="shared" si="42"/>
        <v>3606217.1999999997</v>
      </c>
      <c r="BW38" s="119">
        <f t="shared" si="43"/>
        <v>0</v>
      </c>
      <c r="BX38" s="120">
        <f t="shared" si="44"/>
        <v>0</v>
      </c>
      <c r="BY38" s="121">
        <f t="shared" si="45"/>
        <v>0</v>
      </c>
      <c r="BZ38" s="299">
        <f t="shared" si="46"/>
        <v>3606217.1999999997</v>
      </c>
      <c r="CA38" s="109">
        <f t="shared" si="26"/>
        <v>0</v>
      </c>
      <c r="CB38" s="123">
        <f t="shared" si="57"/>
        <v>0</v>
      </c>
      <c r="CC38" s="111">
        <f t="shared" si="56"/>
        <v>3606217</v>
      </c>
      <c r="CE38" s="124">
        <f t="shared" si="28"/>
        <v>0</v>
      </c>
      <c r="CF38" s="17"/>
      <c r="CG38" s="108">
        <f t="shared" si="47"/>
        <v>12020724</v>
      </c>
      <c r="CH38" s="125">
        <f t="shared" si="48"/>
        <v>0.29999998336206707</v>
      </c>
      <c r="CI38" s="110">
        <f t="shared" si="49"/>
        <v>3606217.1999999997</v>
      </c>
      <c r="CJ38" s="300">
        <f t="shared" si="50"/>
        <v>0</v>
      </c>
      <c r="CL38" s="127">
        <f t="shared" si="51"/>
        <v>0</v>
      </c>
      <c r="CM38" s="128">
        <f t="shared" si="52"/>
        <v>0</v>
      </c>
      <c r="CN38" s="129">
        <f t="shared" si="53"/>
        <v>0</v>
      </c>
      <c r="CO38" s="130">
        <f t="shared" si="55"/>
        <v>3606217</v>
      </c>
      <c r="CQ38" s="131">
        <f t="shared" si="54"/>
        <v>0.3</v>
      </c>
      <c r="CR38" s="301"/>
    </row>
    <row r="39" spans="1:96">
      <c r="A39" s="133" t="s">
        <v>115</v>
      </c>
      <c r="B39" s="90" t="s">
        <v>117</v>
      </c>
      <c r="C39" s="91">
        <f>'Sizing - Reimb Exp-25'!B32</f>
        <v>2604889</v>
      </c>
      <c r="D39" s="92">
        <f>'Ridership-25'!$E31</f>
        <v>120233</v>
      </c>
      <c r="E39" s="92">
        <f>'Revenue Hours-25'!$E31</f>
        <v>32095</v>
      </c>
      <c r="F39" s="92">
        <f>'Revenue Miles-25'!$E31</f>
        <v>388317</v>
      </c>
      <c r="G39" s="134">
        <f t="shared" si="58"/>
        <v>4.6171945352911758E-3</v>
      </c>
      <c r="H39" s="94">
        <f t="shared" si="59"/>
        <v>4.6171945352911766E-3</v>
      </c>
      <c r="J39" s="95">
        <f>'Ridership-25'!B31/'Revenue Hours-25'!B31</f>
        <v>8.58772210149559</v>
      </c>
      <c r="K39" s="96">
        <f>'Ridership-25'!C31/'Revenue Hours-25'!C31</f>
        <v>3.353975911522431</v>
      </c>
      <c r="L39" s="96">
        <f>'Ridership-25'!D31/'Revenue Hours-25'!D31</f>
        <v>4.039822296622992</v>
      </c>
      <c r="M39" s="207">
        <f>'Ridership-25'!E31/'Revenue Hours-25'!K31</f>
        <v>3.7461598379809939</v>
      </c>
      <c r="N39" s="97">
        <f t="shared" si="2"/>
        <v>0.82355293566047949</v>
      </c>
      <c r="O39" s="98">
        <f t="shared" si="3"/>
        <v>3.8025041140545717E-3</v>
      </c>
      <c r="P39" s="99">
        <f t="shared" si="4"/>
        <v>3.5606459662187646E-3</v>
      </c>
      <c r="Q39" s="95">
        <f>'Ridership-25'!B31/'Revenue Miles-25'!B31</f>
        <v>0.78227240838260248</v>
      </c>
      <c r="R39" s="96">
        <f>'Ridership-25'!C31/'Revenue Miles-25'!C31</f>
        <v>0.29134203947124609</v>
      </c>
      <c r="S39" s="96">
        <f>'Ridership-25'!D31/'Revenue Miles-25'!D31</f>
        <v>0.3358526722031458</v>
      </c>
      <c r="T39" s="207">
        <f>'Ridership-25'!E31/'Revenue Miles-25'!K31</f>
        <v>0.30962589842834592</v>
      </c>
      <c r="U39" s="97">
        <f t="shared" si="5"/>
        <v>0.80034342624183574</v>
      </c>
      <c r="V39" s="98">
        <f t="shared" si="6"/>
        <v>3.6953412940000209E-3</v>
      </c>
      <c r="W39" s="99">
        <f t="shared" si="7"/>
        <v>3.4586009987804321E-3</v>
      </c>
      <c r="X39" s="95">
        <f>'Op Cost-25'!B32/'Revenue Hours-25'!B31</f>
        <v>50.245430141889301</v>
      </c>
      <c r="Y39" s="96">
        <f>'Op Cost-25'!C32/'Revenue Hours-25'!C31</f>
        <v>54.975878704341831</v>
      </c>
      <c r="Z39" s="96">
        <f>'Op Cost-25'!D32/'Revenue Hours-25'!D31</f>
        <v>56.597366641985644</v>
      </c>
      <c r="AA39" s="96">
        <f>'Op Cost-25'!E32/'Revenue Hours-25'!E31</f>
        <v>81.316934101885025</v>
      </c>
      <c r="AB39" s="97">
        <f t="shared" si="8"/>
        <v>1.1556230050053564</v>
      </c>
      <c r="AC39" s="98">
        <f t="shared" si="9"/>
        <v>3.9954159057864862E-3</v>
      </c>
      <c r="AD39" s="99">
        <f t="shared" si="10"/>
        <v>4.2621463009328217E-3</v>
      </c>
      <c r="AE39" s="95">
        <f>'Op Cost-25'!B32/'Revenue Miles-25'!B31</f>
        <v>4.5769545384416093</v>
      </c>
      <c r="AF39" s="96">
        <f>'Op Cost-25'!C32/'Revenue Miles-25'!C31</f>
        <v>4.775462032515458</v>
      </c>
      <c r="AG39" s="96">
        <f>'Op Cost-25'!D32/'Revenue Miles-25'!D31</f>
        <v>4.7052507339893959</v>
      </c>
      <c r="AH39" s="96">
        <f>'Op Cost-25'!E32/'Revenue Miles-25'!E31</f>
        <v>6.7209702382331962</v>
      </c>
      <c r="AI39" s="97">
        <f t="shared" si="11"/>
        <v>1.127283500961868</v>
      </c>
      <c r="AJ39" s="98">
        <f t="shared" si="12"/>
        <v>4.0958592327054377E-3</v>
      </c>
      <c r="AK39" s="99">
        <f t="shared" si="13"/>
        <v>4.3590225969523111E-3</v>
      </c>
      <c r="AL39" s="95">
        <f>'Op Cost-25'!B32/'Ridership-25'!B31</f>
        <v>5.8508449095178374</v>
      </c>
      <c r="AM39" s="96">
        <f>'Op Cost-25'!C32/'Ridership-25'!C31</f>
        <v>16.391256274523233</v>
      </c>
      <c r="AN39" s="96">
        <f>'Op Cost-25'!D32/'Ridership-25'!D31</f>
        <v>14.009865406529656</v>
      </c>
      <c r="AO39" s="96">
        <f>'Op Cost-25'!E32/'Ridership-25'!E31</f>
        <v>21.706744404614373</v>
      </c>
      <c r="AP39" s="100">
        <f t="shared" si="14"/>
        <v>1.4225629168992857</v>
      </c>
      <c r="AQ39" s="98">
        <f t="shared" si="15"/>
        <v>3.2456874001433457E-3</v>
      </c>
      <c r="AR39" s="99">
        <f t="shared" si="16"/>
        <v>3.5239375946618636E-3</v>
      </c>
      <c r="AT39" s="101">
        <f t="shared" si="29"/>
        <v>0</v>
      </c>
      <c r="AU39" s="102">
        <f t="shared" si="17"/>
        <v>0</v>
      </c>
      <c r="AV39" s="102">
        <f t="shared" si="18"/>
        <v>0</v>
      </c>
      <c r="AW39" s="102">
        <f t="shared" si="19"/>
        <v>0</v>
      </c>
      <c r="AX39" s="103">
        <f t="shared" si="20"/>
        <v>0</v>
      </c>
      <c r="AY39" s="293">
        <f t="shared" si="30"/>
        <v>-1</v>
      </c>
      <c r="AZ39" s="105">
        <f t="shared" si="21"/>
        <v>0</v>
      </c>
      <c r="BA39" s="106">
        <f t="shared" si="21"/>
        <v>0</v>
      </c>
      <c r="BB39" s="106">
        <f t="shared" si="21"/>
        <v>0</v>
      </c>
      <c r="BC39" s="106">
        <f t="shared" si="21"/>
        <v>0</v>
      </c>
      <c r="BD39" s="106">
        <f t="shared" si="21"/>
        <v>0</v>
      </c>
      <c r="BE39" s="107">
        <f t="shared" si="31"/>
        <v>564408.17066899862</v>
      </c>
      <c r="BG39" s="108">
        <f>'Op Cost-25'!E32</f>
        <v>2609867</v>
      </c>
      <c r="BH39" s="109">
        <f t="shared" si="22"/>
        <v>0.21625936136554033</v>
      </c>
      <c r="BI39" s="110">
        <f t="shared" si="23"/>
        <v>564408.17066899862</v>
      </c>
      <c r="BJ39" s="111">
        <f t="shared" si="24"/>
        <v>0</v>
      </c>
      <c r="BK39" s="1">
        <f t="shared" si="32"/>
        <v>0.4446540194870211</v>
      </c>
      <c r="BL39" s="294">
        <f t="shared" si="33"/>
        <v>0.34994337928630659</v>
      </c>
      <c r="BM39" s="294">
        <f t="shared" si="34"/>
        <v>0.41732281944387561</v>
      </c>
      <c r="BN39" s="295">
        <f t="shared" si="35"/>
        <v>0.50567493960895105</v>
      </c>
      <c r="BO39" s="114">
        <f t="shared" si="25"/>
        <v>564408.17066899862</v>
      </c>
      <c r="BP39" s="296">
        <f t="shared" si="36"/>
        <v>0.4446540194870211</v>
      </c>
      <c r="BQ39" s="116">
        <f t="shared" si="37"/>
        <v>2.05305410887073E-3</v>
      </c>
      <c r="BR39" s="297">
        <f t="shared" si="38"/>
        <v>2.05305410887073E-3</v>
      </c>
      <c r="BS39" s="117">
        <f t="shared" si="39"/>
        <v>2.2949763068960257E-3</v>
      </c>
      <c r="BT39" s="298">
        <f t="shared" si="40"/>
        <v>584132.60732692131</v>
      </c>
      <c r="BU39" s="119">
        <f t="shared" si="41"/>
        <v>782960.1</v>
      </c>
      <c r="BV39" s="119">
        <f t="shared" si="42"/>
        <v>584132.60732692131</v>
      </c>
      <c r="BW39" s="119">
        <f t="shared" si="43"/>
        <v>0</v>
      </c>
      <c r="BX39" s="120">
        <f t="shared" si="44"/>
        <v>2.05305410887073E-3</v>
      </c>
      <c r="BY39" s="121">
        <f t="shared" si="45"/>
        <v>4.0676244193076942E-3</v>
      </c>
      <c r="BZ39" s="299">
        <f t="shared" si="46"/>
        <v>587644.57946449937</v>
      </c>
      <c r="CA39" s="109">
        <f t="shared" si="26"/>
        <v>5.1263552860351747E-3</v>
      </c>
      <c r="CB39" s="123">
        <f t="shared" si="57"/>
        <v>44059.047503704394</v>
      </c>
      <c r="CC39" s="111">
        <f t="shared" si="56"/>
        <v>608467</v>
      </c>
      <c r="CE39" s="124">
        <f t="shared" si="28"/>
        <v>0</v>
      </c>
      <c r="CF39" s="17"/>
      <c r="CG39" s="108">
        <f t="shared" si="47"/>
        <v>2609867</v>
      </c>
      <c r="CH39" s="125">
        <f t="shared" si="48"/>
        <v>0.23314099913903658</v>
      </c>
      <c r="CI39" s="110">
        <f t="shared" si="49"/>
        <v>584132.60732692131</v>
      </c>
      <c r="CJ39" s="300">
        <f t="shared" si="50"/>
        <v>0</v>
      </c>
      <c r="CL39" s="127">
        <f t="shared" si="51"/>
        <v>584132.60732692131</v>
      </c>
      <c r="CM39" s="128">
        <f t="shared" si="52"/>
        <v>6.7980447479040517E-3</v>
      </c>
      <c r="CN39" s="129">
        <f t="shared" si="53"/>
        <v>5869.4071240508683</v>
      </c>
      <c r="CO39" s="130">
        <f t="shared" si="55"/>
        <v>590002</v>
      </c>
      <c r="CQ39" s="131">
        <f t="shared" si="54"/>
        <v>0.22516265367717947</v>
      </c>
      <c r="CR39" s="301"/>
    </row>
    <row r="40" spans="1:96">
      <c r="A40" s="133" t="s">
        <v>115</v>
      </c>
      <c r="B40" s="90" t="s">
        <v>118</v>
      </c>
      <c r="C40" s="91">
        <f>'Sizing - Reimb Exp-25'!B33</f>
        <v>12745096</v>
      </c>
      <c r="D40" s="92">
        <f>'Ridership-25'!$E32</f>
        <v>1287135</v>
      </c>
      <c r="E40" s="92">
        <f>'Revenue Hours-25'!$E32</f>
        <v>141516</v>
      </c>
      <c r="F40" s="92">
        <f>'Revenue Miles-25'!$E32</f>
        <v>2266478</v>
      </c>
      <c r="G40" s="134">
        <f t="shared" si="58"/>
        <v>2.8104578816997367E-2</v>
      </c>
      <c r="H40" s="94">
        <f t="shared" si="59"/>
        <v>2.8104578816997371E-2</v>
      </c>
      <c r="J40" s="95">
        <f>'Ridership-25'!B32/'Revenue Hours-25'!B32</f>
        <v>13.061303342191943</v>
      </c>
      <c r="K40" s="96">
        <f>'Ridership-25'!C32/'Revenue Hours-25'!C32</f>
        <v>7.5369057433360815</v>
      </c>
      <c r="L40" s="96">
        <f>'Ridership-25'!D32/'Revenue Hours-25'!D32</f>
        <v>7.2816302952503209</v>
      </c>
      <c r="M40" s="207">
        <f>'Ridership-25'!E32/'Revenue Hours-25'!K32</f>
        <v>9.0953319765962863</v>
      </c>
      <c r="N40" s="97">
        <f t="shared" si="2"/>
        <v>0.97259602799562239</v>
      </c>
      <c r="O40" s="98">
        <f t="shared" si="3"/>
        <v>2.7334401725901552E-2</v>
      </c>
      <c r="P40" s="99">
        <f t="shared" si="4"/>
        <v>2.5595798012314208E-2</v>
      </c>
      <c r="Q40" s="95">
        <f>'Ridership-25'!B32/'Revenue Miles-25'!B32</f>
        <v>0.76270122520155903</v>
      </c>
      <c r="R40" s="96">
        <f>'Ridership-25'!C32/'Revenue Miles-25'!C32</f>
        <v>0.4322966250764449</v>
      </c>
      <c r="S40" s="96">
        <f>'Ridership-25'!D32/'Revenue Miles-25'!D32</f>
        <v>0.43926607650153893</v>
      </c>
      <c r="T40" s="207">
        <f>'Ridership-25'!E32/'Revenue Miles-25'!K32</f>
        <v>0.56790094587284767</v>
      </c>
      <c r="U40" s="97">
        <f t="shared" si="5"/>
        <v>0.99166885616900835</v>
      </c>
      <c r="V40" s="98">
        <f t="shared" si="6"/>
        <v>2.7870435528563525E-2</v>
      </c>
      <c r="W40" s="99">
        <f t="shared" si="7"/>
        <v>2.6084929235641773E-2</v>
      </c>
      <c r="X40" s="95">
        <f>'Op Cost-25'!B33/'Revenue Hours-25'!B32</f>
        <v>69.193957147306961</v>
      </c>
      <c r="Y40" s="96">
        <f>'Op Cost-25'!C33/'Revenue Hours-25'!C32</f>
        <v>71.568899422918378</v>
      </c>
      <c r="Z40" s="96">
        <f>'Op Cost-25'!D33/'Revenue Hours-25'!D32</f>
        <v>68.191964056482675</v>
      </c>
      <c r="AA40" s="96">
        <f>'Op Cost-25'!E33/'Revenue Hours-25'!E32</f>
        <v>90.06116622855366</v>
      </c>
      <c r="AB40" s="97">
        <f t="shared" si="8"/>
        <v>1.0722259277819035</v>
      </c>
      <c r="AC40" s="98">
        <f t="shared" si="9"/>
        <v>2.6211433699553286E-2</v>
      </c>
      <c r="AD40" s="99">
        <f t="shared" si="10"/>
        <v>2.7961285588040875E-2</v>
      </c>
      <c r="AE40" s="95">
        <f>'Op Cost-25'!B33/'Revenue Miles-25'!B32</f>
        <v>4.0405091674364728</v>
      </c>
      <c r="AF40" s="96">
        <f>'Op Cost-25'!C33/'Revenue Miles-25'!C32</f>
        <v>4.104999416812201</v>
      </c>
      <c r="AG40" s="96">
        <f>'Op Cost-25'!D33/'Revenue Miles-25'!D32</f>
        <v>4.1136964231161048</v>
      </c>
      <c r="AH40" s="96">
        <f>'Op Cost-25'!E33/'Revenue Miles-25'!E32</f>
        <v>5.6233045279945362</v>
      </c>
      <c r="AI40" s="97">
        <f t="shared" si="11"/>
        <v>1.1036725581218729</v>
      </c>
      <c r="AJ40" s="98">
        <f t="shared" si="12"/>
        <v>2.5464598725570494E-2</v>
      </c>
      <c r="AK40" s="99">
        <f t="shared" si="13"/>
        <v>2.7100726602306956E-2</v>
      </c>
      <c r="AL40" s="95">
        <f>'Op Cost-25'!B33/'Ridership-25'!B32</f>
        <v>5.2976303615726961</v>
      </c>
      <c r="AM40" s="96">
        <f>'Op Cost-25'!C33/'Ridership-25'!C32</f>
        <v>9.4957933481120662</v>
      </c>
      <c r="AN40" s="96">
        <f>'Op Cost-25'!D33/'Ridership-25'!D32</f>
        <v>9.3649308316247648</v>
      </c>
      <c r="AO40" s="96">
        <f>'Op Cost-25'!E33/'Ridership-25'!E32</f>
        <v>9.9019108329740089</v>
      </c>
      <c r="AP40" s="97">
        <f t="shared" si="14"/>
        <v>1.1267330999760947</v>
      </c>
      <c r="AQ40" s="98">
        <f t="shared" si="15"/>
        <v>2.4943421665338181E-2</v>
      </c>
      <c r="AR40" s="99">
        <f t="shared" si="16"/>
        <v>2.7081801328774417E-2</v>
      </c>
      <c r="AT40" s="101">
        <f t="shared" si="29"/>
        <v>0</v>
      </c>
      <c r="AU40" s="102">
        <f t="shared" si="17"/>
        <v>0</v>
      </c>
      <c r="AV40" s="102">
        <f t="shared" si="18"/>
        <v>0</v>
      </c>
      <c r="AW40" s="102">
        <f t="shared" si="19"/>
        <v>0</v>
      </c>
      <c r="AX40" s="103">
        <f t="shared" si="20"/>
        <v>0</v>
      </c>
      <c r="AY40" s="293">
        <f t="shared" si="30"/>
        <v>-1</v>
      </c>
      <c r="AZ40" s="105">
        <f t="shared" si="21"/>
        <v>0</v>
      </c>
      <c r="BA40" s="106">
        <f t="shared" si="21"/>
        <v>0</v>
      </c>
      <c r="BB40" s="106">
        <f t="shared" si="21"/>
        <v>0</v>
      </c>
      <c r="BC40" s="106">
        <f t="shared" si="21"/>
        <v>0</v>
      </c>
      <c r="BD40" s="106">
        <f t="shared" si="21"/>
        <v>0</v>
      </c>
      <c r="BE40" s="107">
        <f t="shared" si="31"/>
        <v>3435517.7795262272</v>
      </c>
      <c r="BG40" s="108">
        <f>'Op Cost-25'!E33</f>
        <v>12745096</v>
      </c>
      <c r="BH40" s="109">
        <f t="shared" si="22"/>
        <v>0.26955605352256484</v>
      </c>
      <c r="BI40" s="110">
        <f t="shared" si="23"/>
        <v>3435517.7795262272</v>
      </c>
      <c r="BJ40" s="111">
        <f t="shared" si="24"/>
        <v>0</v>
      </c>
      <c r="BK40" s="1">
        <f t="shared" si="32"/>
        <v>0.95803052927353283</v>
      </c>
      <c r="BL40" s="294">
        <f t="shared" si="33"/>
        <v>0.84963038024995641</v>
      </c>
      <c r="BM40" s="294">
        <f t="shared" si="34"/>
        <v>0.76543346373639032</v>
      </c>
      <c r="BN40" s="295">
        <f t="shared" si="35"/>
        <v>1.1085291365538923</v>
      </c>
      <c r="BO40" s="114">
        <f t="shared" si="25"/>
        <v>3435517.7795262272</v>
      </c>
      <c r="BP40" s="296">
        <f t="shared" si="36"/>
        <v>0.95803052927353283</v>
      </c>
      <c r="BQ40" s="116">
        <f t="shared" si="37"/>
        <v>2.6925044519057709E-2</v>
      </c>
      <c r="BR40" s="297">
        <f t="shared" si="38"/>
        <v>2.6925044519057709E-2</v>
      </c>
      <c r="BS40" s="302">
        <f t="shared" si="39"/>
        <v>3.0097764577352828E-2</v>
      </c>
      <c r="BT40" s="298">
        <f t="shared" si="40"/>
        <v>3694196.4635576094</v>
      </c>
      <c r="BU40" s="119">
        <f t="shared" si="41"/>
        <v>3823528.8</v>
      </c>
      <c r="BV40" s="119">
        <f t="shared" si="42"/>
        <v>3694196.4635576094</v>
      </c>
      <c r="BW40" s="119">
        <f t="shared" si="43"/>
        <v>0</v>
      </c>
      <c r="BX40" s="120">
        <f t="shared" si="44"/>
        <v>2.6925044519057709E-2</v>
      </c>
      <c r="BY40" s="121">
        <f t="shared" si="45"/>
        <v>5.3345388269823664E-2</v>
      </c>
      <c r="BZ40" s="299">
        <f t="shared" si="46"/>
        <v>3740254.6778761749</v>
      </c>
      <c r="CA40" s="109">
        <f t="shared" si="26"/>
        <v>3.1203808953486262E-2</v>
      </c>
      <c r="CB40" s="123">
        <f t="shared" si="57"/>
        <v>268184.70907065697</v>
      </c>
      <c r="CC40" s="111">
        <f t="shared" si="56"/>
        <v>3703702</v>
      </c>
      <c r="CE40" s="124">
        <f t="shared" si="28"/>
        <v>0</v>
      </c>
      <c r="CF40" s="17"/>
      <c r="CG40" s="108">
        <f t="shared" si="47"/>
        <v>12745096</v>
      </c>
      <c r="CH40" s="125">
        <f t="shared" si="48"/>
        <v>0.29059820341878945</v>
      </c>
      <c r="CI40" s="110">
        <f t="shared" si="49"/>
        <v>3694196.4635576094</v>
      </c>
      <c r="CJ40" s="300">
        <f t="shared" si="50"/>
        <v>0</v>
      </c>
      <c r="CL40" s="127">
        <f t="shared" si="51"/>
        <v>3694196.4635576094</v>
      </c>
      <c r="CM40" s="128">
        <f t="shared" si="52"/>
        <v>4.2992485870179079E-2</v>
      </c>
      <c r="CN40" s="129">
        <f t="shared" si="53"/>
        <v>37119.556020116819</v>
      </c>
      <c r="CO40" s="130">
        <f t="shared" si="55"/>
        <v>3731316</v>
      </c>
      <c r="CQ40" s="131">
        <f t="shared" si="54"/>
        <v>0.29346618321871998</v>
      </c>
      <c r="CR40" s="301"/>
    </row>
    <row r="41" spans="1:96">
      <c r="A41" s="133" t="s">
        <v>115</v>
      </c>
      <c r="B41" s="90" t="s">
        <v>119</v>
      </c>
      <c r="C41" s="91">
        <f>'Sizing - Reimb Exp-25'!B34</f>
        <v>736481</v>
      </c>
      <c r="D41" s="92">
        <f>'Ridership-25'!$E33</f>
        <v>27254</v>
      </c>
      <c r="E41" s="92">
        <f>'Revenue Hours-25'!$E33</f>
        <v>18878</v>
      </c>
      <c r="F41" s="92">
        <f>'Revenue Miles-25'!$E33</f>
        <v>227896</v>
      </c>
      <c r="G41" s="134">
        <f t="shared" si="58"/>
        <v>1.8632723851484084E-3</v>
      </c>
      <c r="H41" s="94">
        <f t="shared" si="59"/>
        <v>1.8632723851484086E-3</v>
      </c>
      <c r="J41" s="95">
        <f>'Ridership-25'!B33/'Revenue Hours-25'!B33</f>
        <v>3.4694402420574888</v>
      </c>
      <c r="K41" s="96">
        <f>'Ridership-25'!C33/'Revenue Hours-25'!C33</f>
        <v>2.0660778541053322</v>
      </c>
      <c r="L41" s="96">
        <f>'Ridership-25'!D33/'Revenue Hours-25'!D33</f>
        <v>1.5442640125720273</v>
      </c>
      <c r="M41" s="207">
        <f>'Ridership-25'!E33/'Revenue Hours-25'!K33</f>
        <v>1.4436910689691704</v>
      </c>
      <c r="N41" s="97">
        <f t="shared" si="2"/>
        <v>0.84040025493262005</v>
      </c>
      <c r="O41" s="98">
        <f t="shared" si="3"/>
        <v>1.5658945874876336E-3</v>
      </c>
      <c r="P41" s="99">
        <f t="shared" si="4"/>
        <v>1.4662959142775094E-3</v>
      </c>
      <c r="Q41" s="95">
        <f>'Ridership-25'!B33/'Revenue Miles-25'!B33</f>
        <v>0.3128535569419939</v>
      </c>
      <c r="R41" s="96">
        <f>'Ridership-25'!C33/'Revenue Miles-25'!C33</f>
        <v>0.17929853281414856</v>
      </c>
      <c r="S41" s="96">
        <f>'Ridership-25'!D33/'Revenue Miles-25'!D33</f>
        <v>0.13392938268912755</v>
      </c>
      <c r="T41" s="207">
        <f>'Ridership-25'!E33/'Revenue Miles-25'!K33</f>
        <v>0.11958963737845332</v>
      </c>
      <c r="U41" s="97">
        <f t="shared" si="5"/>
        <v>0.8130013884664985</v>
      </c>
      <c r="V41" s="98">
        <f t="shared" si="6"/>
        <v>1.5148430362169406E-3</v>
      </c>
      <c r="W41" s="99">
        <f t="shared" si="7"/>
        <v>1.4177953323451437E-3</v>
      </c>
      <c r="X41" s="95">
        <f>'Op Cost-25'!B34/'Revenue Hours-25'!B33</f>
        <v>37.011396873424104</v>
      </c>
      <c r="Y41" s="96">
        <f>'Op Cost-25'!C34/'Revenue Hours-25'!C33</f>
        <v>43.551303020390364</v>
      </c>
      <c r="Z41" s="96">
        <f>'Op Cost-25'!D34/'Revenue Hours-25'!D33</f>
        <v>41.282399161864852</v>
      </c>
      <c r="AA41" s="96">
        <f>'Op Cost-25'!E34/'Revenue Hours-25'!E33</f>
        <v>39.012660239432144</v>
      </c>
      <c r="AB41" s="97">
        <f t="shared" si="8"/>
        <v>0.97493531099601194</v>
      </c>
      <c r="AC41" s="98">
        <f t="shared" si="9"/>
        <v>1.9111754022375653E-3</v>
      </c>
      <c r="AD41" s="99">
        <f t="shared" si="10"/>
        <v>2.0387637640635506E-3</v>
      </c>
      <c r="AE41" s="95">
        <f>'Op Cost-25'!B34/'Revenue Miles-25'!B33</f>
        <v>3.3374683958746383</v>
      </c>
      <c r="AF41" s="96">
        <f>'Op Cost-25'!C34/'Revenue Miles-25'!C33</f>
        <v>3.7794726458078038</v>
      </c>
      <c r="AG41" s="96">
        <f>'Op Cost-25'!D34/'Revenue Miles-25'!D33</f>
        <v>3.5802985698449907</v>
      </c>
      <c r="AH41" s="96">
        <f>'Op Cost-25'!E34/'Revenue Miles-25'!E33</f>
        <v>3.2316539123108785</v>
      </c>
      <c r="AI41" s="97">
        <f t="shared" si="11"/>
        <v>0.95024092814342698</v>
      </c>
      <c r="AJ41" s="98">
        <f t="shared" si="12"/>
        <v>1.9608420664313578E-3</v>
      </c>
      <c r="AK41" s="99">
        <f t="shared" si="13"/>
        <v>2.0868282797363545E-3</v>
      </c>
      <c r="AL41" s="95">
        <f>'Op Cost-25'!B34/'Ridership-25'!B33</f>
        <v>10.667829474265615</v>
      </c>
      <c r="AM41" s="96">
        <f>'Op Cost-25'!C34/'Ridership-25'!C33</f>
        <v>21.079216803884314</v>
      </c>
      <c r="AN41" s="96">
        <f>'Op Cost-25'!D34/'Ridership-25'!D33</f>
        <v>26.732734056987788</v>
      </c>
      <c r="AO41" s="96">
        <f>'Op Cost-25'!E34/'Ridership-25'!E33</f>
        <v>27.022859029867174</v>
      </c>
      <c r="AP41" s="100">
        <f t="shared" si="14"/>
        <v>1.2534142474100449</v>
      </c>
      <c r="AQ41" s="98">
        <f t="shared" si="15"/>
        <v>1.4865575279669318E-3</v>
      </c>
      <c r="AR41" s="99">
        <f t="shared" si="16"/>
        <v>1.613998920290018E-3</v>
      </c>
      <c r="AT41" s="101">
        <f t="shared" si="29"/>
        <v>0</v>
      </c>
      <c r="AU41" s="102">
        <f t="shared" si="17"/>
        <v>0</v>
      </c>
      <c r="AV41" s="102">
        <f t="shared" si="18"/>
        <v>0</v>
      </c>
      <c r="AW41" s="102">
        <f t="shared" si="19"/>
        <v>0</v>
      </c>
      <c r="AX41" s="103">
        <f t="shared" si="20"/>
        <v>0</v>
      </c>
      <c r="AY41" s="293">
        <f t="shared" si="30"/>
        <v>-1</v>
      </c>
      <c r="AZ41" s="105">
        <f t="shared" si="21"/>
        <v>0</v>
      </c>
      <c r="BA41" s="106">
        <f t="shared" si="21"/>
        <v>0</v>
      </c>
      <c r="BB41" s="106">
        <f t="shared" si="21"/>
        <v>0</v>
      </c>
      <c r="BC41" s="106">
        <f t="shared" si="21"/>
        <v>0</v>
      </c>
      <c r="BD41" s="106">
        <f t="shared" si="21"/>
        <v>0</v>
      </c>
      <c r="BE41" s="107">
        <f t="shared" si="31"/>
        <v>227767.34883520659</v>
      </c>
      <c r="BG41" s="108">
        <f>'Op Cost-25'!E34</f>
        <v>736481</v>
      </c>
      <c r="BH41" s="109">
        <f t="shared" si="22"/>
        <v>0.30926439220456003</v>
      </c>
      <c r="BI41" s="110">
        <f t="shared" si="23"/>
        <v>220944.3</v>
      </c>
      <c r="BJ41" s="111">
        <f t="shared" si="24"/>
        <v>6823.0488352066022</v>
      </c>
      <c r="BK41" s="1">
        <f t="shared" si="32"/>
        <v>0.27710942103608438</v>
      </c>
      <c r="BL41" s="294">
        <f t="shared" si="33"/>
        <v>0.13486080497644132</v>
      </c>
      <c r="BM41" s="294">
        <f t="shared" si="34"/>
        <v>0.16118640236613313</v>
      </c>
      <c r="BN41" s="295">
        <f t="shared" si="35"/>
        <v>0.40619523840088151</v>
      </c>
      <c r="BO41" s="114">
        <f t="shared" si="25"/>
        <v>0</v>
      </c>
      <c r="BP41" s="296">
        <f t="shared" si="36"/>
        <v>0.27710942103608438</v>
      </c>
      <c r="BQ41" s="116">
        <f t="shared" si="37"/>
        <v>5.1633033188099953E-4</v>
      </c>
      <c r="BR41" s="297">
        <f t="shared" si="38"/>
        <v>0</v>
      </c>
      <c r="BS41" s="117">
        <f t="shared" si="39"/>
        <v>0</v>
      </c>
      <c r="BT41" s="298">
        <f t="shared" si="40"/>
        <v>220944.3</v>
      </c>
      <c r="BU41" s="119">
        <f t="shared" si="41"/>
        <v>220944.3</v>
      </c>
      <c r="BV41" s="119">
        <f t="shared" si="42"/>
        <v>220944.3</v>
      </c>
      <c r="BW41" s="119">
        <f t="shared" si="43"/>
        <v>0</v>
      </c>
      <c r="BX41" s="120">
        <f t="shared" si="44"/>
        <v>0</v>
      </c>
      <c r="BY41" s="121">
        <f t="shared" si="45"/>
        <v>0</v>
      </c>
      <c r="BZ41" s="299">
        <f t="shared" si="46"/>
        <v>220944.3</v>
      </c>
      <c r="CA41" s="109">
        <f t="shared" si="26"/>
        <v>0</v>
      </c>
      <c r="CB41" s="123">
        <f t="shared" si="57"/>
        <v>0</v>
      </c>
      <c r="CC41" s="111">
        <f t="shared" si="56"/>
        <v>220944</v>
      </c>
      <c r="CE41" s="124">
        <f t="shared" si="28"/>
        <v>0</v>
      </c>
      <c r="CF41" s="17"/>
      <c r="CG41" s="108">
        <f t="shared" si="47"/>
        <v>736481</v>
      </c>
      <c r="CH41" s="125">
        <f t="shared" si="48"/>
        <v>0.29999959265751597</v>
      </c>
      <c r="CI41" s="110">
        <f t="shared" si="49"/>
        <v>220944.3</v>
      </c>
      <c r="CJ41" s="300">
        <f t="shared" si="50"/>
        <v>0</v>
      </c>
      <c r="CL41" s="127">
        <f t="shared" si="51"/>
        <v>0</v>
      </c>
      <c r="CM41" s="128">
        <f t="shared" si="52"/>
        <v>0</v>
      </c>
      <c r="CN41" s="129">
        <f t="shared" si="53"/>
        <v>0</v>
      </c>
      <c r="CO41" s="130">
        <f t="shared" si="55"/>
        <v>220944</v>
      </c>
      <c r="CQ41" s="131">
        <f t="shared" si="54"/>
        <v>0.3</v>
      </c>
      <c r="CR41" s="301"/>
    </row>
    <row r="42" spans="1:96">
      <c r="A42" s="133" t="s">
        <v>120</v>
      </c>
      <c r="B42" s="90" t="s">
        <v>121</v>
      </c>
      <c r="C42" s="91">
        <f>'Sizing - Reimb Exp-25'!B35</f>
        <v>2068694</v>
      </c>
      <c r="D42" s="92">
        <f>'Ridership-25'!$E34</f>
        <v>196967</v>
      </c>
      <c r="E42" s="92">
        <f>'Revenue Hours-25'!$E34</f>
        <v>37781</v>
      </c>
      <c r="F42" s="92">
        <f>'Revenue Miles-25'!$E34</f>
        <v>740596</v>
      </c>
      <c r="G42" s="134">
        <f t="shared" si="58"/>
        <v>5.8512263302081102E-3</v>
      </c>
      <c r="H42" s="94">
        <f t="shared" si="59"/>
        <v>5.851226330208111E-3</v>
      </c>
      <c r="J42" s="95">
        <f>'Ridership-25'!B34/'Revenue Hours-25'!B34</f>
        <v>8.9718507404266425</v>
      </c>
      <c r="K42" s="96">
        <f>'Ridership-25'!C34/'Revenue Hours-25'!C34</f>
        <v>4.4820247253569612</v>
      </c>
      <c r="L42" s="96">
        <f>'Ridership-25'!D34/'Revenue Hours-25'!D34</f>
        <v>4.4056907707718551</v>
      </c>
      <c r="M42" s="207">
        <f>'Ridership-25'!E34/'Revenue Hours-25'!K34</f>
        <v>5.2133876816389186</v>
      </c>
      <c r="N42" s="97">
        <f t="shared" si="2"/>
        <v>0.90835246138830117</v>
      </c>
      <c r="O42" s="98">
        <f t="shared" si="3"/>
        <v>5.3149758391845747E-3</v>
      </c>
      <c r="P42" s="99">
        <f t="shared" si="4"/>
        <v>4.9769169775239199E-3</v>
      </c>
      <c r="Q42" s="95">
        <f>'Ridership-25'!B34/'Revenue Miles-25'!B34</f>
        <v>0.47298136165339449</v>
      </c>
      <c r="R42" s="96">
        <f>'Ridership-25'!C34/'Revenue Miles-25'!C34</f>
        <v>0.24753017027607868</v>
      </c>
      <c r="S42" s="96">
        <f>'Ridership-25'!D34/'Revenue Miles-25'!D34</f>
        <v>0.22914428374898088</v>
      </c>
      <c r="T42" s="207">
        <f>'Ridership-25'!E34/'Revenue Miles-25'!K34</f>
        <v>0.26595741807949275</v>
      </c>
      <c r="U42" s="97">
        <f t="shared" si="5"/>
        <v>0.90311901263706085</v>
      </c>
      <c r="V42" s="98">
        <f t="shared" si="6"/>
        <v>5.2843537460535222E-3</v>
      </c>
      <c r="W42" s="99">
        <f t="shared" si="7"/>
        <v>4.9458141183561614E-3</v>
      </c>
      <c r="X42" s="95">
        <f>'Op Cost-25'!B35/'Revenue Hours-25'!B34</f>
        <v>69.175941026811927</v>
      </c>
      <c r="Y42" s="96">
        <f>'Op Cost-25'!C35/'Revenue Hours-25'!C34</f>
        <v>68.510851019247468</v>
      </c>
      <c r="Z42" s="96">
        <f>'Op Cost-25'!D35/'Revenue Hours-25'!D34</f>
        <v>68.297046322116032</v>
      </c>
      <c r="AA42" s="96">
        <f>'Op Cost-25'!E35/'Revenue Hours-25'!E34</f>
        <v>80.659776077922771</v>
      </c>
      <c r="AB42" s="97">
        <f t="shared" si="8"/>
        <v>1.0248673110642346</v>
      </c>
      <c r="AC42" s="98">
        <f t="shared" si="9"/>
        <v>5.7092525705909457E-3</v>
      </c>
      <c r="AD42" s="99">
        <f t="shared" si="10"/>
        <v>6.0903971698148887E-3</v>
      </c>
      <c r="AE42" s="95">
        <f>'Op Cost-25'!B35/'Revenue Miles-25'!B34</f>
        <v>3.6468429677599077</v>
      </c>
      <c r="AF42" s="96">
        <f>'Op Cost-25'!C35/'Revenue Miles-25'!C34</f>
        <v>3.7836700281038187</v>
      </c>
      <c r="AG42" s="96">
        <f>'Op Cost-25'!D35/'Revenue Miles-25'!D34</f>
        <v>3.5521961426517614</v>
      </c>
      <c r="AH42" s="96">
        <f>'Op Cost-25'!E35/'Revenue Miles-25'!E34</f>
        <v>4.1148034826005002</v>
      </c>
      <c r="AI42" s="97">
        <f t="shared" si="11"/>
        <v>1.0132979492896574</v>
      </c>
      <c r="AJ42" s="98">
        <f t="shared" si="12"/>
        <v>5.7744381445851535E-3</v>
      </c>
      <c r="AK42" s="99">
        <f t="shared" si="13"/>
        <v>6.145452010645377E-3</v>
      </c>
      <c r="AL42" s="95">
        <f>'Op Cost-25'!B35/'Ridership-25'!B34</f>
        <v>7.7103312380252964</v>
      </c>
      <c r="AM42" s="96">
        <f>'Op Cost-25'!C35/'Ridership-25'!C34</f>
        <v>15.285692341599267</v>
      </c>
      <c r="AN42" s="96">
        <f>'Op Cost-25'!D35/'Ridership-25'!D34</f>
        <v>15.502006353966314</v>
      </c>
      <c r="AO42" s="96">
        <f>'Op Cost-25'!E35/'Ridership-25'!E34</f>
        <v>15.471662765844025</v>
      </c>
      <c r="AP42" s="100">
        <f t="shared" si="14"/>
        <v>1.1399698582123643</v>
      </c>
      <c r="AQ42" s="98">
        <f t="shared" si="15"/>
        <v>5.1327903874438139E-3</v>
      </c>
      <c r="AR42" s="99">
        <f t="shared" si="16"/>
        <v>5.5728204173431635E-3</v>
      </c>
      <c r="AT42" s="101">
        <f t="shared" si="29"/>
        <v>0</v>
      </c>
      <c r="AU42" s="102">
        <f t="shared" si="17"/>
        <v>0</v>
      </c>
      <c r="AV42" s="102">
        <f t="shared" si="18"/>
        <v>0</v>
      </c>
      <c r="AW42" s="102">
        <f t="shared" si="19"/>
        <v>0</v>
      </c>
      <c r="AX42" s="103">
        <f t="shared" si="20"/>
        <v>0</v>
      </c>
      <c r="AY42" s="293">
        <f t="shared" si="30"/>
        <v>-1</v>
      </c>
      <c r="AZ42" s="105">
        <f t="shared" si="21"/>
        <v>0</v>
      </c>
      <c r="BA42" s="106">
        <f t="shared" si="21"/>
        <v>0</v>
      </c>
      <c r="BB42" s="106">
        <f t="shared" si="21"/>
        <v>0</v>
      </c>
      <c r="BC42" s="106">
        <f t="shared" si="21"/>
        <v>0</v>
      </c>
      <c r="BD42" s="106">
        <f t="shared" si="21"/>
        <v>0</v>
      </c>
      <c r="BE42" s="107">
        <f t="shared" si="31"/>
        <v>715256.83485085634</v>
      </c>
      <c r="BG42" s="108">
        <f>'Op Cost-25'!E35</f>
        <v>3047407</v>
      </c>
      <c r="BH42" s="109">
        <f t="shared" si="22"/>
        <v>0.2347099796157377</v>
      </c>
      <c r="BI42" s="110">
        <f t="shared" si="23"/>
        <v>715256.83485085634</v>
      </c>
      <c r="BJ42" s="111">
        <f t="shared" si="24"/>
        <v>0</v>
      </c>
      <c r="BK42" s="1">
        <f t="shared" si="32"/>
        <v>0.56609799877471101</v>
      </c>
      <c r="BL42" s="294">
        <f t="shared" si="33"/>
        <v>0.48700284604663008</v>
      </c>
      <c r="BM42" s="294">
        <f t="shared" si="34"/>
        <v>0.35846516757264407</v>
      </c>
      <c r="BN42" s="295">
        <f t="shared" si="35"/>
        <v>0.709461990739785</v>
      </c>
      <c r="BO42" s="114">
        <f t="shared" si="25"/>
        <v>715256.83485085634</v>
      </c>
      <c r="BP42" s="296">
        <f t="shared" si="36"/>
        <v>0.56609799877471101</v>
      </c>
      <c r="BQ42" s="116">
        <f t="shared" si="37"/>
        <v>3.3123675159087082E-3</v>
      </c>
      <c r="BR42" s="297">
        <f t="shared" si="38"/>
        <v>3.3123675159087082E-3</v>
      </c>
      <c r="BS42" s="117">
        <f t="shared" si="39"/>
        <v>3.7026812571071769E-3</v>
      </c>
      <c r="BT42" s="298">
        <f t="shared" si="40"/>
        <v>747079.95289387717</v>
      </c>
      <c r="BU42" s="119">
        <f t="shared" si="41"/>
        <v>914222.1</v>
      </c>
      <c r="BV42" s="119">
        <f t="shared" si="42"/>
        <v>747079.95289387717</v>
      </c>
      <c r="BW42" s="119">
        <f t="shared" si="43"/>
        <v>0</v>
      </c>
      <c r="BX42" s="120">
        <f t="shared" si="44"/>
        <v>3.3123675159087082E-3</v>
      </c>
      <c r="BY42" s="121">
        <f t="shared" si="45"/>
        <v>6.562645833451914E-3</v>
      </c>
      <c r="BZ42" s="299">
        <f t="shared" si="46"/>
        <v>752746.11745087884</v>
      </c>
      <c r="CA42" s="109">
        <f t="shared" si="26"/>
        <v>6.4964698364737457E-3</v>
      </c>
      <c r="CB42" s="123">
        <f t="shared" si="57"/>
        <v>55834.653893634859</v>
      </c>
      <c r="CC42" s="111">
        <f t="shared" si="56"/>
        <v>771091</v>
      </c>
      <c r="CE42" s="124">
        <f t="shared" si="28"/>
        <v>0</v>
      </c>
      <c r="CF42" s="17"/>
      <c r="CG42" s="108">
        <f t="shared" si="47"/>
        <v>3047407</v>
      </c>
      <c r="CH42" s="125">
        <f t="shared" si="48"/>
        <v>0.25303183985598249</v>
      </c>
      <c r="CI42" s="110">
        <f t="shared" si="49"/>
        <v>747079.95289387717</v>
      </c>
      <c r="CJ42" s="300">
        <f t="shared" si="50"/>
        <v>0</v>
      </c>
      <c r="CL42" s="127">
        <f t="shared" si="51"/>
        <v>747079.95289387717</v>
      </c>
      <c r="CM42" s="128">
        <f t="shared" si="52"/>
        <v>8.6944006999976342E-3</v>
      </c>
      <c r="CN42" s="129">
        <f t="shared" si="53"/>
        <v>7506.7139597238829</v>
      </c>
      <c r="CO42" s="130">
        <f t="shared" si="55"/>
        <v>754587</v>
      </c>
      <c r="CQ42" s="131">
        <f t="shared" si="54"/>
        <v>0.24701200642082888</v>
      </c>
      <c r="CR42" s="301"/>
    </row>
    <row r="43" spans="1:96">
      <c r="A43" s="133" t="s">
        <v>120</v>
      </c>
      <c r="B43" s="90" t="s">
        <v>122</v>
      </c>
      <c r="C43" s="91">
        <f>'Sizing - Reimb Exp-25'!B36</f>
        <v>6482376</v>
      </c>
      <c r="D43" s="92">
        <f>'Ridership-25'!$E35</f>
        <v>1522746</v>
      </c>
      <c r="E43" s="92">
        <f>'Revenue Hours-25'!$E35</f>
        <v>72014</v>
      </c>
      <c r="F43" s="92">
        <f>'Revenue Miles-25'!$E35</f>
        <v>723645</v>
      </c>
      <c r="G43" s="134">
        <f t="shared" si="58"/>
        <v>1.969668618813409E-2</v>
      </c>
      <c r="H43" s="94">
        <f t="shared" si="59"/>
        <v>1.9696686188134093E-2</v>
      </c>
      <c r="J43" s="95">
        <f>'Ridership-25'!B35/'Revenue Hours-25'!B35</f>
        <v>28.025032050011234</v>
      </c>
      <c r="K43" s="96">
        <f>'Ridership-25'!C35/'Revenue Hours-25'!C35</f>
        <v>6.5232631919715116</v>
      </c>
      <c r="L43" s="96">
        <f>'Ridership-25'!D35/'Revenue Hours-25'!D35</f>
        <v>18.24961092626382</v>
      </c>
      <c r="M43" s="207">
        <f>'Ridership-25'!E35/'Revenue Hours-25'!K35</f>
        <v>21.145138445302301</v>
      </c>
      <c r="N43" s="97">
        <f t="shared" si="2"/>
        <v>1.1978340749715837</v>
      </c>
      <c r="O43" s="98">
        <f t="shared" si="3"/>
        <v>2.359336188016917E-2</v>
      </c>
      <c r="P43" s="99">
        <f t="shared" si="4"/>
        <v>2.2092706881673158E-2</v>
      </c>
      <c r="Q43" s="95">
        <f>'Ridership-25'!B35/'Revenue Miles-25'!B35</f>
        <v>2.8699282943585609</v>
      </c>
      <c r="R43" s="96">
        <f>'Ridership-25'!C35/'Revenue Miles-25'!C35</f>
        <v>0.66929775146545356</v>
      </c>
      <c r="S43" s="96">
        <f>'Ridership-25'!D35/'Revenue Miles-25'!D35</f>
        <v>1.8049204125068334</v>
      </c>
      <c r="T43" s="207">
        <f>'Ridership-25'!E35/'Revenue Miles-25'!K35</f>
        <v>2.1042721223804488</v>
      </c>
      <c r="U43" s="97">
        <f t="shared" si="5"/>
        <v>1.1884918056903948</v>
      </c>
      <c r="V43" s="98">
        <f t="shared" si="6"/>
        <v>2.3409350133852549E-2</v>
      </c>
      <c r="W43" s="99">
        <f t="shared" si="7"/>
        <v>2.1909641170411148E-2</v>
      </c>
      <c r="X43" s="95">
        <f>'Op Cost-25'!B36/'Revenue Hours-25'!B35</f>
        <v>65.071448396177786</v>
      </c>
      <c r="Y43" s="96">
        <f>'Op Cost-25'!C36/'Revenue Hours-25'!C35</f>
        <v>76.682473292327614</v>
      </c>
      <c r="Z43" s="96">
        <f>'Op Cost-25'!D36/'Revenue Hours-25'!D35</f>
        <v>79.970349898035849</v>
      </c>
      <c r="AA43" s="96">
        <f>'Op Cost-25'!E36/'Revenue Hours-25'!E35</f>
        <v>91.352487016413477</v>
      </c>
      <c r="AB43" s="97">
        <f t="shared" si="8"/>
        <v>1.0776531680080332</v>
      </c>
      <c r="AC43" s="98">
        <f t="shared" si="9"/>
        <v>1.827738902725266E-2</v>
      </c>
      <c r="AD43" s="99">
        <f t="shared" si="10"/>
        <v>1.9497571184114437E-2</v>
      </c>
      <c r="AE43" s="95">
        <f>'Op Cost-25'!B36/'Revenue Miles-25'!B35</f>
        <v>6.6636994588917435</v>
      </c>
      <c r="AF43" s="96">
        <f>'Op Cost-25'!C36/'Revenue Miles-25'!C35</f>
        <v>7.8677504557122129</v>
      </c>
      <c r="AG43" s="96">
        <f>'Op Cost-25'!D36/'Revenue Miles-25'!D35</f>
        <v>7.9092161202490328</v>
      </c>
      <c r="AH43" s="96">
        <f>'Op Cost-25'!E36/'Revenue Miles-25'!E35</f>
        <v>9.0910018033704372</v>
      </c>
      <c r="AI43" s="97">
        <f t="shared" si="11"/>
        <v>1.0712438771767705</v>
      </c>
      <c r="AJ43" s="98">
        <f t="shared" si="12"/>
        <v>1.8386743306336637E-2</v>
      </c>
      <c r="AK43" s="99">
        <f t="shared" si="13"/>
        <v>1.9568111354193868E-2</v>
      </c>
      <c r="AL43" s="95">
        <f>'Op Cost-25'!B36/'Ridership-25'!B35</f>
        <v>2.3219045130816078</v>
      </c>
      <c r="AM43" s="96">
        <f>'Op Cost-25'!C36/'Ridership-25'!C35</f>
        <v>11.755232164586637</v>
      </c>
      <c r="AN43" s="96">
        <f>'Op Cost-25'!D36/'Ridership-25'!D35</f>
        <v>4.3820304016973317</v>
      </c>
      <c r="AO43" s="96">
        <f>'Op Cost-25'!E36/'Ridership-25'!E35</f>
        <v>4.3202595836731801</v>
      </c>
      <c r="AP43" s="100">
        <f t="shared" si="14"/>
        <v>1.2919205262644085</v>
      </c>
      <c r="AQ43" s="98">
        <f t="shared" si="15"/>
        <v>1.5246050966530514E-2</v>
      </c>
      <c r="AR43" s="99">
        <f t="shared" si="16"/>
        <v>1.6553082767217481E-2</v>
      </c>
      <c r="AT43" s="101">
        <f t="shared" si="29"/>
        <v>0</v>
      </c>
      <c r="AU43" s="102">
        <f t="shared" si="17"/>
        <v>0</v>
      </c>
      <c r="AV43" s="102">
        <f t="shared" si="18"/>
        <v>0</v>
      </c>
      <c r="AW43" s="102">
        <f t="shared" si="19"/>
        <v>0</v>
      </c>
      <c r="AX43" s="103">
        <f t="shared" si="20"/>
        <v>0</v>
      </c>
      <c r="AY43" s="293">
        <f t="shared" si="30"/>
        <v>-1</v>
      </c>
      <c r="AZ43" s="105">
        <f t="shared" si="21"/>
        <v>0</v>
      </c>
      <c r="BA43" s="106">
        <f t="shared" si="21"/>
        <v>0</v>
      </c>
      <c r="BB43" s="106">
        <f t="shared" si="21"/>
        <v>0</v>
      </c>
      <c r="BC43" s="106">
        <f t="shared" si="21"/>
        <v>0</v>
      </c>
      <c r="BD43" s="106">
        <f t="shared" si="21"/>
        <v>0</v>
      </c>
      <c r="BE43" s="107">
        <f t="shared" si="31"/>
        <v>2407732.7768441141</v>
      </c>
      <c r="BG43" s="108">
        <f>'Op Cost-25'!E36</f>
        <v>6578658</v>
      </c>
      <c r="BH43" s="109">
        <f t="shared" si="22"/>
        <v>0.36599147984955505</v>
      </c>
      <c r="BI43" s="110">
        <f t="shared" si="23"/>
        <v>1973597.4</v>
      </c>
      <c r="BJ43" s="111">
        <f t="shared" si="24"/>
        <v>434135.37684411416</v>
      </c>
      <c r="BK43" s="1">
        <f t="shared" si="32"/>
        <v>2.473220737118575</v>
      </c>
      <c r="BL43" s="294">
        <f t="shared" si="33"/>
        <v>1.9752497285363904</v>
      </c>
      <c r="BM43" s="294">
        <f t="shared" si="34"/>
        <v>2.8361993600873867</v>
      </c>
      <c r="BN43" s="295">
        <f t="shared" si="35"/>
        <v>2.5407169299252614</v>
      </c>
      <c r="BO43" s="114">
        <f t="shared" si="25"/>
        <v>0</v>
      </c>
      <c r="BP43" s="296">
        <f t="shared" si="36"/>
        <v>2.473220737118575</v>
      </c>
      <c r="BQ43" s="116">
        <f t="shared" si="37"/>
        <v>4.8714252733010256E-2</v>
      </c>
      <c r="BR43" s="297">
        <f t="shared" si="38"/>
        <v>0</v>
      </c>
      <c r="BS43" s="117">
        <f t="shared" si="39"/>
        <v>0</v>
      </c>
      <c r="BT43" s="298">
        <f t="shared" si="40"/>
        <v>1973597.4</v>
      </c>
      <c r="BU43" s="119">
        <f t="shared" si="41"/>
        <v>1973597.4</v>
      </c>
      <c r="BV43" s="119">
        <f t="shared" si="42"/>
        <v>1973597.4</v>
      </c>
      <c r="BW43" s="119">
        <f t="shared" si="43"/>
        <v>0</v>
      </c>
      <c r="BX43" s="120">
        <f t="shared" si="44"/>
        <v>0</v>
      </c>
      <c r="BY43" s="121">
        <f t="shared" si="45"/>
        <v>0</v>
      </c>
      <c r="BZ43" s="299">
        <f t="shared" si="46"/>
        <v>1973597.4</v>
      </c>
      <c r="CA43" s="109">
        <f t="shared" si="26"/>
        <v>0</v>
      </c>
      <c r="CB43" s="123">
        <f t="shared" si="57"/>
        <v>0</v>
      </c>
      <c r="CC43" s="111">
        <f t="shared" si="56"/>
        <v>1973597</v>
      </c>
      <c r="CE43" s="124">
        <f t="shared" si="28"/>
        <v>0</v>
      </c>
      <c r="CF43" s="17"/>
      <c r="CG43" s="108">
        <f t="shared" si="47"/>
        <v>6578658</v>
      </c>
      <c r="CH43" s="125">
        <f t="shared" si="48"/>
        <v>0.29999993919732565</v>
      </c>
      <c r="CI43" s="110">
        <f t="shared" si="49"/>
        <v>1973597.4</v>
      </c>
      <c r="CJ43" s="300">
        <f t="shared" si="50"/>
        <v>0</v>
      </c>
      <c r="CL43" s="127">
        <f t="shared" si="51"/>
        <v>0</v>
      </c>
      <c r="CM43" s="128">
        <f t="shared" si="52"/>
        <v>0</v>
      </c>
      <c r="CN43" s="129">
        <f t="shared" si="53"/>
        <v>0</v>
      </c>
      <c r="CO43" s="130">
        <f t="shared" si="55"/>
        <v>1973597</v>
      </c>
      <c r="CQ43" s="131">
        <f t="shared" si="54"/>
        <v>0.3</v>
      </c>
      <c r="CR43" s="301"/>
    </row>
    <row r="44" spans="1:96">
      <c r="A44" s="133" t="s">
        <v>120</v>
      </c>
      <c r="B44" s="90" t="s">
        <v>123</v>
      </c>
      <c r="C44" s="91">
        <f>'Sizing - Reimb Exp-25'!B37</f>
        <v>1899811</v>
      </c>
      <c r="D44" s="92">
        <f>'Ridership-25'!$E36</f>
        <v>180625</v>
      </c>
      <c r="E44" s="92">
        <f>'Revenue Hours-25'!$E36</f>
        <v>20219</v>
      </c>
      <c r="F44" s="92">
        <f>'Revenue Miles-25'!$E36</f>
        <v>226791</v>
      </c>
      <c r="G44" s="93">
        <f t="shared" si="58"/>
        <v>3.8141294206356165E-3</v>
      </c>
      <c r="H44" s="94">
        <f t="shared" si="59"/>
        <v>3.8141294206356169E-3</v>
      </c>
      <c r="J44" s="95">
        <f>'Ridership-25'!B36/'Revenue Hours-25'!B36</f>
        <v>7.608599966141866</v>
      </c>
      <c r="K44" s="96">
        <f>'Ridership-25'!C36/'Revenue Hours-25'!C36</f>
        <v>5.1692512721104915</v>
      </c>
      <c r="L44" s="96">
        <f>'Ridership-25'!D36/'Revenue Hours-25'!D36</f>
        <v>7.7540727902946278</v>
      </c>
      <c r="M44" s="207">
        <f>'Ridership-25'!E36/'Revenue Hours-25'!K36</f>
        <v>8.9334289529650324</v>
      </c>
      <c r="N44" s="97">
        <f t="shared" si="2"/>
        <v>1.1500971386548942</v>
      </c>
      <c r="O44" s="98">
        <f t="shared" si="3"/>
        <v>4.3866193331324726E-3</v>
      </c>
      <c r="P44" s="99">
        <f t="shared" si="4"/>
        <v>4.107608556194511E-3</v>
      </c>
      <c r="Q44" s="95">
        <f>'Ridership-25'!B36/'Revenue Miles-25'!B36</f>
        <v>0.70818473562300743</v>
      </c>
      <c r="R44" s="96">
        <f>'Ridership-25'!C36/'Revenue Miles-25'!C36</f>
        <v>0.48672727894958989</v>
      </c>
      <c r="S44" s="96">
        <f>'Ridership-25'!D36/'Revenue Miles-25'!D36</f>
        <v>0.72460145651246777</v>
      </c>
      <c r="T44" s="207">
        <f>'Ridership-25'!E36/'Revenue Miles-25'!K36</f>
        <v>0.79643813026090104</v>
      </c>
      <c r="U44" s="97">
        <f t="shared" si="5"/>
        <v>1.1400155949855248</v>
      </c>
      <c r="V44" s="98">
        <f t="shared" si="6"/>
        <v>4.3481670208177078E-3</v>
      </c>
      <c r="W44" s="99">
        <f t="shared" si="7"/>
        <v>4.06960375364565E-3</v>
      </c>
      <c r="X44" s="95">
        <f>'Op Cost-25'!B37/'Revenue Hours-25'!B36</f>
        <v>63.818012527509737</v>
      </c>
      <c r="Y44" s="96">
        <f>'Op Cost-25'!C37/'Revenue Hours-25'!C36</f>
        <v>76.918100314998782</v>
      </c>
      <c r="Z44" s="96">
        <f>'Op Cost-25'!D37/'Revenue Hours-25'!D36</f>
        <v>82.248006932409012</v>
      </c>
      <c r="AA44" s="96">
        <f>'Op Cost-25'!E37/'Revenue Hours-25'!E36</f>
        <v>95.121865571986746</v>
      </c>
      <c r="AB44" s="97">
        <f t="shared" si="8"/>
        <v>1.0988498860626592</v>
      </c>
      <c r="AC44" s="98">
        <f t="shared" si="9"/>
        <v>3.4710195350724418E-3</v>
      </c>
      <c r="AD44" s="99">
        <f t="shared" si="10"/>
        <v>3.702741697165671E-3</v>
      </c>
      <c r="AE44" s="95">
        <f>'Op Cost-25'!B37/'Revenue Miles-25'!B36</f>
        <v>5.9399814066841392</v>
      </c>
      <c r="AF44" s="96">
        <f>'Op Cost-25'!C37/'Revenue Miles-25'!C36</f>
        <v>7.2424681443287211</v>
      </c>
      <c r="AG44" s="96">
        <f>'Op Cost-25'!D37/'Revenue Miles-25'!D36</f>
        <v>7.6858996852680619</v>
      </c>
      <c r="AH44" s="96">
        <f>'Op Cost-25'!E37/'Revenue Miles-25'!E36</f>
        <v>8.480358568020776</v>
      </c>
      <c r="AI44" s="97">
        <f t="shared" si="11"/>
        <v>1.0842189748815474</v>
      </c>
      <c r="AJ44" s="98">
        <f t="shared" si="12"/>
        <v>3.5178589463925555E-3</v>
      </c>
      <c r="AK44" s="99">
        <f t="shared" si="13"/>
        <v>3.7438851701178098E-3</v>
      </c>
      <c r="AL44" s="95">
        <f>'Op Cost-25'!B37/'Ridership-25'!B36</f>
        <v>8.3876156995372018</v>
      </c>
      <c r="AM44" s="96">
        <f>'Op Cost-25'!C37/'Ridership-25'!C36</f>
        <v>14.879930625541988</v>
      </c>
      <c r="AN44" s="96">
        <f>'Op Cost-25'!D37/'Ridership-25'!D36</f>
        <v>10.607071813325586</v>
      </c>
      <c r="AO44" s="96">
        <f>'Op Cost-25'!E37/'Ridership-25'!E36</f>
        <v>10.647856055363322</v>
      </c>
      <c r="AP44" s="100">
        <f t="shared" si="14"/>
        <v>0.98408901154710049</v>
      </c>
      <c r="AQ44" s="98">
        <f t="shared" si="15"/>
        <v>3.8757971848901846E-3</v>
      </c>
      <c r="AR44" s="99">
        <f t="shared" si="16"/>
        <v>4.2080661891579366E-3</v>
      </c>
      <c r="AT44" s="101">
        <f t="shared" si="29"/>
        <v>0</v>
      </c>
      <c r="AU44" s="102">
        <f t="shared" si="17"/>
        <v>0</v>
      </c>
      <c r="AV44" s="102">
        <f t="shared" si="18"/>
        <v>0</v>
      </c>
      <c r="AW44" s="102">
        <f t="shared" si="19"/>
        <v>0</v>
      </c>
      <c r="AX44" s="103">
        <f t="shared" si="20"/>
        <v>0</v>
      </c>
      <c r="AY44" s="293">
        <f t="shared" si="30"/>
        <v>-1</v>
      </c>
      <c r="AZ44" s="105">
        <f t="shared" si="21"/>
        <v>0</v>
      </c>
      <c r="BA44" s="106">
        <f t="shared" si="21"/>
        <v>0</v>
      </c>
      <c r="BB44" s="106">
        <f t="shared" si="21"/>
        <v>0</v>
      </c>
      <c r="BC44" s="106">
        <f t="shared" si="21"/>
        <v>0</v>
      </c>
      <c r="BD44" s="106">
        <f t="shared" si="21"/>
        <v>0</v>
      </c>
      <c r="BE44" s="107">
        <f t="shared" si="31"/>
        <v>466241.08915956633</v>
      </c>
      <c r="BG44" s="108">
        <f>'Op Cost-25'!E37</f>
        <v>1923269</v>
      </c>
      <c r="BH44" s="109">
        <f t="shared" si="22"/>
        <v>0.24242115333817907</v>
      </c>
      <c r="BI44" s="110">
        <f t="shared" si="23"/>
        <v>466241.08915956633</v>
      </c>
      <c r="BJ44" s="111">
        <f t="shared" si="24"/>
        <v>0</v>
      </c>
      <c r="BK44" s="1">
        <f t="shared" si="32"/>
        <v>0.99242729499058147</v>
      </c>
      <c r="BL44" s="294">
        <f t="shared" si="33"/>
        <v>0.83450638830712265</v>
      </c>
      <c r="BM44" s="294">
        <f t="shared" si="34"/>
        <v>1.0734625485794298</v>
      </c>
      <c r="BN44" s="295">
        <f t="shared" si="35"/>
        <v>1.0308701215378866</v>
      </c>
      <c r="BO44" s="114">
        <f t="shared" si="25"/>
        <v>466241.08915956633</v>
      </c>
      <c r="BP44" s="296">
        <f t="shared" si="36"/>
        <v>0.99242729499058147</v>
      </c>
      <c r="BQ44" s="116">
        <f t="shared" si="37"/>
        <v>3.7852461436653989E-3</v>
      </c>
      <c r="BR44" s="297">
        <f t="shared" si="38"/>
        <v>3.7852461436653989E-3</v>
      </c>
      <c r="BS44" s="117">
        <f t="shared" si="39"/>
        <v>4.2312816685868542E-3</v>
      </c>
      <c r="BT44" s="298">
        <f t="shared" si="40"/>
        <v>502607.32396690984</v>
      </c>
      <c r="BU44" s="119">
        <f t="shared" si="41"/>
        <v>576980.69999999995</v>
      </c>
      <c r="BV44" s="119">
        <f t="shared" si="42"/>
        <v>502607.32396690984</v>
      </c>
      <c r="BW44" s="119">
        <f t="shared" si="43"/>
        <v>0</v>
      </c>
      <c r="BX44" s="120">
        <f t="shared" si="44"/>
        <v>3.7852461436653989E-3</v>
      </c>
      <c r="BY44" s="121">
        <f t="shared" si="45"/>
        <v>7.499539140511333E-3</v>
      </c>
      <c r="BZ44" s="299">
        <f t="shared" si="46"/>
        <v>509082.39879956475</v>
      </c>
      <c r="CA44" s="109">
        <f t="shared" si="26"/>
        <v>4.2347322313688518E-3</v>
      </c>
      <c r="CB44" s="123">
        <f t="shared" si="57"/>
        <v>36395.891064283162</v>
      </c>
      <c r="CC44" s="111">
        <f t="shared" si="56"/>
        <v>502637</v>
      </c>
      <c r="CE44" s="124">
        <f t="shared" si="28"/>
        <v>0</v>
      </c>
      <c r="CF44" s="17"/>
      <c r="CG44" s="108">
        <f t="shared" si="47"/>
        <v>1923269</v>
      </c>
      <c r="CH44" s="125">
        <f t="shared" si="48"/>
        <v>0.26134513684773164</v>
      </c>
      <c r="CI44" s="110">
        <f t="shared" si="49"/>
        <v>502607.32396690984</v>
      </c>
      <c r="CJ44" s="300">
        <f t="shared" si="50"/>
        <v>0</v>
      </c>
      <c r="CL44" s="127">
        <f t="shared" si="51"/>
        <v>502607.32396690984</v>
      </c>
      <c r="CM44" s="128">
        <f t="shared" si="52"/>
        <v>5.8492661359668147E-3</v>
      </c>
      <c r="CN44" s="129">
        <f t="shared" si="53"/>
        <v>5050.235119369896</v>
      </c>
      <c r="CO44" s="130">
        <f t="shared" si="55"/>
        <v>507658</v>
      </c>
      <c r="CQ44" s="131">
        <f t="shared" si="54"/>
        <v>0.26469640949839296</v>
      </c>
      <c r="CR44" s="301"/>
    </row>
    <row r="45" spans="1:96">
      <c r="A45" s="133" t="s">
        <v>124</v>
      </c>
      <c r="B45" s="90" t="s">
        <v>125</v>
      </c>
      <c r="C45" s="91">
        <f>'Sizing - Reimb Exp-25'!B38</f>
        <v>4550086</v>
      </c>
      <c r="D45" s="92">
        <f>'Ridership-25'!$E37</f>
        <v>129839</v>
      </c>
      <c r="E45" s="92">
        <f>'Revenue Hours-25'!$E37</f>
        <v>61652</v>
      </c>
      <c r="F45" s="92">
        <f>'Revenue Miles-25'!$E37</f>
        <v>1393044</v>
      </c>
      <c r="G45" s="134">
        <f t="shared" si="58"/>
        <v>9.3510666485670055E-3</v>
      </c>
      <c r="H45" s="94">
        <f t="shared" si="59"/>
        <v>9.3510666485670073E-3</v>
      </c>
      <c r="J45" s="95">
        <f>'Ridership-25'!B37/'Revenue Hours-25'!B37</f>
        <v>2.3373679249962795</v>
      </c>
      <c r="K45" s="96">
        <f>'Ridership-25'!C37/'Revenue Hours-25'!C37</f>
        <v>1.944317205840252</v>
      </c>
      <c r="L45" s="96">
        <f>'Ridership-25'!D37/'Revenue Hours-25'!D37</f>
        <v>2.0984220777077214</v>
      </c>
      <c r="M45" s="207">
        <f>'Ridership-25'!E37/'Revenue Hours-25'!K37</f>
        <v>2.1059981833517161</v>
      </c>
      <c r="N45" s="97">
        <f t="shared" si="2"/>
        <v>1.0987525202440334</v>
      </c>
      <c r="O45" s="98">
        <f t="shared" si="3"/>
        <v>1.0274508047082926E-2</v>
      </c>
      <c r="P45" s="99">
        <f t="shared" si="4"/>
        <v>9.6209983041199206E-3</v>
      </c>
      <c r="Q45" s="95">
        <f>'Ridership-25'!B37/'Revenue Miles-25'!B37</f>
        <v>9.8864253896849164E-2</v>
      </c>
      <c r="R45" s="96">
        <f>'Ridership-25'!C37/'Revenue Miles-25'!C37</f>
        <v>8.4847547858705061E-2</v>
      </c>
      <c r="S45" s="96">
        <f>'Ridership-25'!D37/'Revenue Miles-25'!D37</f>
        <v>9.06701755136681E-2</v>
      </c>
      <c r="T45" s="207">
        <f>'Ridership-25'!E37/'Revenue Miles-25'!K37</f>
        <v>9.3205239748349655E-2</v>
      </c>
      <c r="U45" s="97">
        <f t="shared" si="5"/>
        <v>1.1181230609285835</v>
      </c>
      <c r="V45" s="98">
        <f t="shared" si="6"/>
        <v>1.0455643264042932E-2</v>
      </c>
      <c r="W45" s="99">
        <f t="shared" si="7"/>
        <v>9.7858074150350936E-3</v>
      </c>
      <c r="X45" s="95">
        <f>'Op Cost-25'!B38/'Revenue Hours-25'!B37</f>
        <v>59.71751244274683</v>
      </c>
      <c r="Y45" s="96">
        <f>'Op Cost-25'!C38/'Revenue Hours-25'!C37</f>
        <v>69.859111079301456</v>
      </c>
      <c r="Z45" s="96">
        <f>'Op Cost-25'!D38/'Revenue Hours-25'!D37</f>
        <v>76.546396857359781</v>
      </c>
      <c r="AA45" s="96">
        <f>'Op Cost-25'!E38/'Revenue Hours-25'!E37</f>
        <v>81.113410757153048</v>
      </c>
      <c r="AB45" s="97">
        <f t="shared" si="8"/>
        <v>1.0632798059501944</v>
      </c>
      <c r="AC45" s="98">
        <f t="shared" si="9"/>
        <v>8.7945492769050341E-3</v>
      </c>
      <c r="AD45" s="99">
        <f t="shared" si="10"/>
        <v>9.3816655268967961E-3</v>
      </c>
      <c r="AE45" s="95">
        <f>'Op Cost-25'!B38/'Revenue Miles-25'!B37</f>
        <v>2.5258870240710474</v>
      </c>
      <c r="AF45" s="96">
        <f>'Op Cost-25'!C38/'Revenue Miles-25'!C37</f>
        <v>3.0485633994613872</v>
      </c>
      <c r="AG45" s="96">
        <f>'Op Cost-25'!D38/'Revenue Miles-25'!D37</f>
        <v>3.3074734162048824</v>
      </c>
      <c r="AH45" s="96">
        <f>'Op Cost-25'!E38/'Revenue Miles-25'!E37</f>
        <v>3.5898392297730726</v>
      </c>
      <c r="AI45" s="97">
        <f t="shared" si="11"/>
        <v>1.082538952054394</v>
      </c>
      <c r="AJ45" s="98">
        <f t="shared" si="12"/>
        <v>8.6380879235993975E-3</v>
      </c>
      <c r="AK45" s="99">
        <f t="shared" si="13"/>
        <v>9.1930943702279774E-3</v>
      </c>
      <c r="AL45" s="95">
        <f>'Op Cost-25'!B38/'Ridership-25'!B37</f>
        <v>25.549042495242542</v>
      </c>
      <c r="AM45" s="96">
        <f>'Op Cost-25'!C38/'Ridership-25'!C37</f>
        <v>35.929893985128473</v>
      </c>
      <c r="AN45" s="96">
        <f>'Op Cost-25'!D38/'Ridership-25'!D37</f>
        <v>36.47807448774924</v>
      </c>
      <c r="AO45" s="96">
        <f>'Op Cost-25'!E38/'Ridership-25'!E37</f>
        <v>38.515422946880371</v>
      </c>
      <c r="AP45" s="100">
        <f t="shared" si="14"/>
        <v>1.0843817382136312</v>
      </c>
      <c r="AQ45" s="98">
        <f t="shared" si="15"/>
        <v>8.6234084539007407E-3</v>
      </c>
      <c r="AR45" s="99">
        <f t="shared" si="16"/>
        <v>9.3626863891709509E-3</v>
      </c>
      <c r="AT45" s="101">
        <f t="shared" si="29"/>
        <v>0</v>
      </c>
      <c r="AU45" s="102">
        <f t="shared" si="17"/>
        <v>0</v>
      </c>
      <c r="AV45" s="102">
        <f t="shared" si="18"/>
        <v>0</v>
      </c>
      <c r="AW45" s="102">
        <f t="shared" si="19"/>
        <v>0</v>
      </c>
      <c r="AX45" s="103">
        <f t="shared" si="20"/>
        <v>0</v>
      </c>
      <c r="AY45" s="293">
        <f t="shared" si="30"/>
        <v>-1</v>
      </c>
      <c r="AZ45" s="105">
        <f t="shared" si="21"/>
        <v>0</v>
      </c>
      <c r="BA45" s="106">
        <f t="shared" si="21"/>
        <v>0</v>
      </c>
      <c r="BB45" s="106">
        <f t="shared" si="21"/>
        <v>0</v>
      </c>
      <c r="BC45" s="106">
        <f t="shared" si="21"/>
        <v>0</v>
      </c>
      <c r="BD45" s="106">
        <f t="shared" si="21"/>
        <v>0</v>
      </c>
      <c r="BE45" s="107">
        <f t="shared" si="31"/>
        <v>1143079.0668621352</v>
      </c>
      <c r="BG45" s="108">
        <f>'Op Cost-25'!E38</f>
        <v>5000804</v>
      </c>
      <c r="BH45" s="109">
        <f t="shared" si="22"/>
        <v>0.22857905785992316</v>
      </c>
      <c r="BI45" s="110">
        <f t="shared" si="23"/>
        <v>1143079.0668621352</v>
      </c>
      <c r="BJ45" s="111">
        <f t="shared" si="24"/>
        <v>0</v>
      </c>
      <c r="BK45" s="1">
        <f t="shared" si="32"/>
        <v>0.22308415911139129</v>
      </c>
      <c r="BL45" s="294">
        <f t="shared" si="33"/>
        <v>0.19672949178007318</v>
      </c>
      <c r="BM45" s="294">
        <f t="shared" si="34"/>
        <v>0.12562474145787642</v>
      </c>
      <c r="BN45" s="295">
        <f t="shared" si="35"/>
        <v>0.28499120160380781</v>
      </c>
      <c r="BO45" s="114">
        <f t="shared" si="25"/>
        <v>1143079.0668621352</v>
      </c>
      <c r="BP45" s="296">
        <f t="shared" si="36"/>
        <v>0.22308415911139129</v>
      </c>
      <c r="BQ45" s="116">
        <f t="shared" si="37"/>
        <v>2.0860748400901466E-3</v>
      </c>
      <c r="BR45" s="297">
        <f t="shared" si="38"/>
        <v>2.0860748400901466E-3</v>
      </c>
      <c r="BS45" s="117">
        <f t="shared" si="39"/>
        <v>2.3318880450998599E-3</v>
      </c>
      <c r="BT45" s="298">
        <f t="shared" si="40"/>
        <v>1163120.7456806621</v>
      </c>
      <c r="BU45" s="119">
        <f t="shared" si="41"/>
        <v>1500241.2</v>
      </c>
      <c r="BV45" s="119">
        <f t="shared" si="42"/>
        <v>1163120.7456806621</v>
      </c>
      <c r="BW45" s="119">
        <f t="shared" si="43"/>
        <v>0</v>
      </c>
      <c r="BX45" s="120">
        <f t="shared" si="44"/>
        <v>2.0860748400901466E-3</v>
      </c>
      <c r="BY45" s="121">
        <f t="shared" si="45"/>
        <v>4.1330469194118796E-3</v>
      </c>
      <c r="BZ45" s="299">
        <f t="shared" si="46"/>
        <v>1166689.2033670156</v>
      </c>
      <c r="CA45" s="109">
        <f t="shared" si="26"/>
        <v>1.0382254760449601E-2</v>
      </c>
      <c r="CB45" s="123">
        <f t="shared" si="57"/>
        <v>89231.477368006876</v>
      </c>
      <c r="CC45" s="111">
        <f t="shared" si="56"/>
        <v>1232311</v>
      </c>
      <c r="CE45" s="124">
        <f t="shared" si="28"/>
        <v>0</v>
      </c>
      <c r="CF45" s="17"/>
      <c r="CG45" s="108">
        <f t="shared" si="47"/>
        <v>5000804</v>
      </c>
      <c r="CH45" s="125">
        <f t="shared" si="48"/>
        <v>0.24642257524989983</v>
      </c>
      <c r="CI45" s="110">
        <f t="shared" si="49"/>
        <v>1163120.7456806621</v>
      </c>
      <c r="CJ45" s="300">
        <f t="shared" si="50"/>
        <v>0</v>
      </c>
      <c r="CL45" s="127">
        <f t="shared" si="51"/>
        <v>1163120.7456806621</v>
      </c>
      <c r="CM45" s="128">
        <f t="shared" si="52"/>
        <v>1.3536218963252279E-2</v>
      </c>
      <c r="CN45" s="129">
        <f t="shared" si="53"/>
        <v>11687.122247925918</v>
      </c>
      <c r="CO45" s="130">
        <f t="shared" si="55"/>
        <v>1174808</v>
      </c>
      <c r="CQ45" s="131">
        <f t="shared" si="54"/>
        <v>0.23330032598098538</v>
      </c>
      <c r="CR45" s="301"/>
    </row>
    <row r="46" spans="1:96">
      <c r="A46" s="133" t="s">
        <v>124</v>
      </c>
      <c r="B46" s="90" t="s">
        <v>126</v>
      </c>
      <c r="C46" s="91">
        <f>'Sizing - Reimb Exp-25'!B39</f>
        <v>705034</v>
      </c>
      <c r="D46" s="92">
        <f>'Ridership-25'!$E38</f>
        <v>28422</v>
      </c>
      <c r="E46" s="92">
        <f>'Revenue Hours-25'!$E38</f>
        <v>15538</v>
      </c>
      <c r="F46" s="92">
        <f>'Revenue Miles-25'!$E38</f>
        <v>418259</v>
      </c>
      <c r="G46" s="134">
        <f t="shared" si="58"/>
        <v>2.1896680787776269E-3</v>
      </c>
      <c r="H46" s="94">
        <f t="shared" si="59"/>
        <v>2.1896680787776273E-3</v>
      </c>
      <c r="J46" s="95">
        <f>'Ridership-25'!B38/'Revenue Hours-25'!B38</f>
        <v>2.6155528221948887</v>
      </c>
      <c r="K46" s="96">
        <f>'Ridership-25'!C38/'Revenue Hours-25'!C38</f>
        <v>1.3983089137029627</v>
      </c>
      <c r="L46" s="96">
        <f>'Ridership-25'!D38/'Revenue Hours-25'!D38</f>
        <v>1.5445728965960179</v>
      </c>
      <c r="M46" s="207">
        <f>'Ridership-25'!E38/'Revenue Hours-25'!K38</f>
        <v>1.8291929463251384</v>
      </c>
      <c r="N46" s="97">
        <f t="shared" si="2"/>
        <v>0.9628227167983846</v>
      </c>
      <c r="O46" s="98">
        <f t="shared" si="3"/>
        <v>2.1082621684953744E-3</v>
      </c>
      <c r="P46" s="99">
        <f t="shared" si="4"/>
        <v>1.9741662233154779E-3</v>
      </c>
      <c r="Q46" s="95">
        <f>'Ridership-25'!B38/'Revenue Miles-25'!B38</f>
        <v>9.9669556205390739E-2</v>
      </c>
      <c r="R46" s="96">
        <f>'Ridership-25'!C38/'Revenue Miles-25'!C38</f>
        <v>5.2832581392513109E-2</v>
      </c>
      <c r="S46" s="96">
        <f>'Ridership-25'!D38/'Revenue Miles-25'!D38</f>
        <v>5.8014121779238044E-2</v>
      </c>
      <c r="T46" s="207">
        <f>'Ridership-25'!E38/'Revenue Miles-25'!K38</f>
        <v>6.7953110393320887E-2</v>
      </c>
      <c r="U46" s="97">
        <f t="shared" si="5"/>
        <v>0.95607670597072658</v>
      </c>
      <c r="V46" s="98">
        <f t="shared" si="6"/>
        <v>2.0934906439269633E-3</v>
      </c>
      <c r="W46" s="99">
        <f t="shared" si="7"/>
        <v>1.9593721542796269E-3</v>
      </c>
      <c r="X46" s="95">
        <f>'Op Cost-25'!B39/'Revenue Hours-25'!B38</f>
        <v>27.952507858411916</v>
      </c>
      <c r="Y46" s="96">
        <f>'Op Cost-25'!C39/'Revenue Hours-25'!C38</f>
        <v>37.360937197444009</v>
      </c>
      <c r="Z46" s="96">
        <f>'Op Cost-25'!D39/'Revenue Hours-25'!D38</f>
        <v>36.826011560693644</v>
      </c>
      <c r="AA46" s="96">
        <f>'Op Cost-25'!E39/'Revenue Hours-25'!E38</f>
        <v>46.109795340455655</v>
      </c>
      <c r="AB46" s="97">
        <f t="shared" si="8"/>
        <v>1.1411124095025229</v>
      </c>
      <c r="AC46" s="98">
        <f t="shared" si="9"/>
        <v>1.9188890249052944E-3</v>
      </c>
      <c r="AD46" s="99">
        <f t="shared" si="10"/>
        <v>2.0469923412868725E-3</v>
      </c>
      <c r="AE46" s="95">
        <f>'Op Cost-25'!B39/'Revenue Miles-25'!B38</f>
        <v>1.0651721614773884</v>
      </c>
      <c r="AF46" s="96">
        <f>'Op Cost-25'!C39/'Revenue Miles-25'!C38</f>
        <v>1.4116156566272406</v>
      </c>
      <c r="AG46" s="96">
        <f>'Op Cost-25'!D39/'Revenue Miles-25'!D38</f>
        <v>1.3831841307289821</v>
      </c>
      <c r="AH46" s="96">
        <f>'Op Cost-25'!E39/'Revenue Miles-25'!E38</f>
        <v>1.712943415443541</v>
      </c>
      <c r="AI46" s="97">
        <f t="shared" si="11"/>
        <v>1.1332954104973407</v>
      </c>
      <c r="AJ46" s="98">
        <f t="shared" si="12"/>
        <v>1.9321247209645922E-3</v>
      </c>
      <c r="AK46" s="99">
        <f t="shared" si="13"/>
        <v>2.0562658139136624E-3</v>
      </c>
      <c r="AL46" s="95">
        <f>'Op Cost-25'!B39/'Ridership-25'!B38</f>
        <v>10.687036262932386</v>
      </c>
      <c r="AM46" s="96">
        <f>'Op Cost-25'!C39/'Ridership-25'!C38</f>
        <v>26.718657680945348</v>
      </c>
      <c r="AN46" s="96">
        <f>'Op Cost-25'!D39/'Ridership-25'!D38</f>
        <v>23.842197180755957</v>
      </c>
      <c r="AO46" s="96">
        <f>'Op Cost-25'!E39/'Ridership-25'!E38</f>
        <v>25.207726409119697</v>
      </c>
      <c r="AP46" s="100">
        <f t="shared" si="14"/>
        <v>1.1857221120855641</v>
      </c>
      <c r="AQ46" s="98">
        <f t="shared" si="15"/>
        <v>1.846695829030484E-3</v>
      </c>
      <c r="AR46" s="99">
        <f t="shared" si="16"/>
        <v>2.0050115909308981E-3</v>
      </c>
      <c r="AT46" s="101">
        <f t="shared" si="29"/>
        <v>0</v>
      </c>
      <c r="AU46" s="102">
        <f t="shared" si="17"/>
        <v>0</v>
      </c>
      <c r="AV46" s="102">
        <f t="shared" si="18"/>
        <v>0</v>
      </c>
      <c r="AW46" s="102">
        <f t="shared" si="19"/>
        <v>0</v>
      </c>
      <c r="AX46" s="103">
        <f t="shared" si="20"/>
        <v>0</v>
      </c>
      <c r="AY46" s="293">
        <f t="shared" si="30"/>
        <v>-1</v>
      </c>
      <c r="AZ46" s="105">
        <f t="shared" si="21"/>
        <v>0</v>
      </c>
      <c r="BA46" s="106">
        <f t="shared" si="21"/>
        <v>0</v>
      </c>
      <c r="BB46" s="106">
        <f t="shared" si="21"/>
        <v>0</v>
      </c>
      <c r="BC46" s="106">
        <f t="shared" si="21"/>
        <v>0</v>
      </c>
      <c r="BD46" s="106">
        <f t="shared" si="21"/>
        <v>0</v>
      </c>
      <c r="BE46" s="107">
        <f t="shared" si="31"/>
        <v>267666.12176916713</v>
      </c>
      <c r="BG46" s="108">
        <f>'Op Cost-25'!E39</f>
        <v>716454</v>
      </c>
      <c r="BH46" s="109">
        <f t="shared" si="22"/>
        <v>0.37359847494628706</v>
      </c>
      <c r="BI46" s="110">
        <f t="shared" si="23"/>
        <v>214936.19999999998</v>
      </c>
      <c r="BJ46" s="111">
        <f t="shared" si="24"/>
        <v>52729.921769167151</v>
      </c>
      <c r="BK46" s="1">
        <f t="shared" si="32"/>
        <v>0.2833373737254602</v>
      </c>
      <c r="BL46" s="294">
        <f t="shared" si="33"/>
        <v>0.17087203661568437</v>
      </c>
      <c r="BM46" s="294">
        <f t="shared" si="34"/>
        <v>9.1589184765447973E-2</v>
      </c>
      <c r="BN46" s="295">
        <f t="shared" si="35"/>
        <v>0.43544413676035421</v>
      </c>
      <c r="BO46" s="114">
        <f t="shared" si="25"/>
        <v>0</v>
      </c>
      <c r="BP46" s="296">
        <f t="shared" si="36"/>
        <v>0.2833373737254602</v>
      </c>
      <c r="BQ46" s="116">
        <f t="shared" si="37"/>
        <v>6.2041480277132697E-4</v>
      </c>
      <c r="BR46" s="297">
        <f t="shared" si="38"/>
        <v>0</v>
      </c>
      <c r="BS46" s="117">
        <f t="shared" si="39"/>
        <v>0</v>
      </c>
      <c r="BT46" s="298">
        <f t="shared" si="40"/>
        <v>214936.19999999998</v>
      </c>
      <c r="BU46" s="119">
        <f t="shared" si="41"/>
        <v>214936.19999999998</v>
      </c>
      <c r="BV46" s="119">
        <f t="shared" si="42"/>
        <v>214936.19999999998</v>
      </c>
      <c r="BW46" s="119">
        <f t="shared" si="43"/>
        <v>0</v>
      </c>
      <c r="BX46" s="120">
        <f t="shared" si="44"/>
        <v>0</v>
      </c>
      <c r="BY46" s="121">
        <f t="shared" si="45"/>
        <v>0</v>
      </c>
      <c r="BZ46" s="299">
        <f t="shared" si="46"/>
        <v>214936.19999999998</v>
      </c>
      <c r="CA46" s="109">
        <f t="shared" si="26"/>
        <v>0</v>
      </c>
      <c r="CB46" s="123">
        <f t="shared" si="57"/>
        <v>0</v>
      </c>
      <c r="CC46" s="111">
        <f t="shared" si="56"/>
        <v>214936</v>
      </c>
      <c r="CE46" s="124">
        <f t="shared" si="28"/>
        <v>0</v>
      </c>
      <c r="CF46" s="17"/>
      <c r="CG46" s="108">
        <f t="shared" si="47"/>
        <v>716454</v>
      </c>
      <c r="CH46" s="125">
        <f t="shared" si="48"/>
        <v>0.29999972084739562</v>
      </c>
      <c r="CI46" s="110">
        <f t="shared" si="49"/>
        <v>214936.19999999998</v>
      </c>
      <c r="CJ46" s="300">
        <f t="shared" si="50"/>
        <v>0</v>
      </c>
      <c r="CL46" s="127">
        <f t="shared" si="51"/>
        <v>0</v>
      </c>
      <c r="CM46" s="128">
        <f t="shared" si="52"/>
        <v>0</v>
      </c>
      <c r="CN46" s="129">
        <f t="shared" si="53"/>
        <v>0</v>
      </c>
      <c r="CO46" s="130">
        <f t="shared" si="55"/>
        <v>214936</v>
      </c>
      <c r="CQ46" s="131">
        <f t="shared" si="54"/>
        <v>0.3</v>
      </c>
      <c r="CR46" s="301"/>
    </row>
    <row r="47" spans="1:96">
      <c r="A47" s="133" t="s">
        <v>124</v>
      </c>
      <c r="B47" s="90" t="s">
        <v>127</v>
      </c>
      <c r="C47" s="91">
        <f>'Sizing - Reimb Exp-25'!B40</f>
        <v>8487532</v>
      </c>
      <c r="D47" s="92">
        <f>'Ridership-25'!$E39</f>
        <v>222118</v>
      </c>
      <c r="E47" s="92">
        <f>'Revenue Hours-25'!$E39</f>
        <v>86457</v>
      </c>
      <c r="F47" s="92">
        <f>'Revenue Miles-25'!$E39</f>
        <v>1402006</v>
      </c>
      <c r="G47" s="134">
        <f t="shared" si="58"/>
        <v>1.3507504471797943E-2</v>
      </c>
      <c r="H47" s="94">
        <f t="shared" si="59"/>
        <v>1.3507504471797945E-2</v>
      </c>
      <c r="J47" s="95">
        <f>'Ridership-25'!B39/'Revenue Hours-25'!B39</f>
        <v>2.8967768637798126</v>
      </c>
      <c r="K47" s="96">
        <f>'Ridership-25'!C39/'Revenue Hours-25'!C39</f>
        <v>2.1946189886707304</v>
      </c>
      <c r="L47" s="96">
        <f>'Ridership-25'!D39/'Revenue Hours-25'!D39</f>
        <v>2.3000506032439341</v>
      </c>
      <c r="M47" s="207">
        <f>'Ridership-25'!E39/'Revenue Hours-25'!K39</f>
        <v>2.5691152827417096</v>
      </c>
      <c r="N47" s="97">
        <f t="shared" si="2"/>
        <v>1.074118069474993</v>
      </c>
      <c r="O47" s="98">
        <f t="shared" si="3"/>
        <v>1.4508654626672442E-2</v>
      </c>
      <c r="P47" s="99">
        <f t="shared" si="4"/>
        <v>1.3585832131194651E-2</v>
      </c>
      <c r="Q47" s="95">
        <f>'Ridership-25'!B39/'Revenue Miles-25'!B39</f>
        <v>0.17887553870187622</v>
      </c>
      <c r="R47" s="96">
        <f>'Ridership-25'!C39/'Revenue Miles-25'!C39</f>
        <v>0.13508021153120933</v>
      </c>
      <c r="S47" s="96">
        <f>'Ridership-25'!D39/'Revenue Miles-25'!D39</f>
        <v>0.14506873798932982</v>
      </c>
      <c r="T47" s="207">
        <f>'Ridership-25'!E39/'Revenue Miles-25'!K39</f>
        <v>0.15842870857899324</v>
      </c>
      <c r="U47" s="97">
        <f t="shared" si="5"/>
        <v>1.0715098961184502</v>
      </c>
      <c r="V47" s="98">
        <f t="shared" si="6"/>
        <v>1.4473424713395716E-2</v>
      </c>
      <c r="W47" s="99">
        <f t="shared" si="7"/>
        <v>1.3546191592857925E-2</v>
      </c>
      <c r="X47" s="95">
        <f>'Op Cost-25'!B40/'Revenue Hours-25'!B39</f>
        <v>82.421987686895335</v>
      </c>
      <c r="Y47" s="96">
        <f>'Op Cost-25'!C40/'Revenue Hours-25'!C39</f>
        <v>132.58479715436326</v>
      </c>
      <c r="Z47" s="96">
        <f>'Op Cost-25'!D40/'Revenue Hours-25'!D39</f>
        <v>102.20353157376088</v>
      </c>
      <c r="AA47" s="96">
        <f>'Op Cost-25'!E40/'Revenue Hours-25'!E39</f>
        <v>99.657968701204069</v>
      </c>
      <c r="AB47" s="97">
        <f t="shared" si="8"/>
        <v>1.0447289457201427</v>
      </c>
      <c r="AC47" s="98">
        <f t="shared" si="9"/>
        <v>1.2929195201428136E-2</v>
      </c>
      <c r="AD47" s="99">
        <f t="shared" si="10"/>
        <v>1.3792336718186499E-2</v>
      </c>
      <c r="AE47" s="95">
        <f>'Op Cost-25'!B40/'Revenue Miles-25'!B39</f>
        <v>5.0895454298593386</v>
      </c>
      <c r="AF47" s="96">
        <f>'Op Cost-25'!C40/'Revenue Miles-25'!C39</f>
        <v>8.1606796158642627</v>
      </c>
      <c r="AG47" s="96">
        <f>'Op Cost-25'!D40/'Revenue Miles-25'!D39</f>
        <v>6.4461787590877941</v>
      </c>
      <c r="AH47" s="96">
        <f>'Op Cost-25'!E40/'Revenue Miles-25'!E39</f>
        <v>6.1455721302191293</v>
      </c>
      <c r="AI47" s="97">
        <f t="shared" si="11"/>
        <v>1.0414417240324765</v>
      </c>
      <c r="AJ47" s="98">
        <f t="shared" si="12"/>
        <v>1.2970005099754121E-2</v>
      </c>
      <c r="AK47" s="99">
        <f t="shared" si="13"/>
        <v>1.3803341887575284E-2</v>
      </c>
      <c r="AL47" s="95">
        <f>'Op Cost-25'!B40/'Ridership-25'!B39</f>
        <v>28.452998474776663</v>
      </c>
      <c r="AM47" s="96">
        <f>'Op Cost-25'!C40/'Ridership-25'!C39</f>
        <v>60.413583332143318</v>
      </c>
      <c r="AN47" s="96">
        <f>'Op Cost-25'!D40/'Ridership-25'!D39</f>
        <v>44.435340435386756</v>
      </c>
      <c r="AO47" s="96">
        <f>'Op Cost-25'!E40/'Ridership-25'!E39</f>
        <v>38.790773372711804</v>
      </c>
      <c r="AP47" s="100">
        <f t="shared" si="14"/>
        <v>0.98675734644543533</v>
      </c>
      <c r="AQ47" s="98">
        <f t="shared" si="15"/>
        <v>1.3688780246182709E-2</v>
      </c>
      <c r="AR47" s="99">
        <f t="shared" si="16"/>
        <v>1.4862308468910925E-2</v>
      </c>
      <c r="AT47" s="101">
        <f t="shared" si="29"/>
        <v>0</v>
      </c>
      <c r="AU47" s="102">
        <f t="shared" si="17"/>
        <v>0</v>
      </c>
      <c r="AV47" s="102">
        <f t="shared" si="18"/>
        <v>0</v>
      </c>
      <c r="AW47" s="102">
        <f t="shared" si="19"/>
        <v>0</v>
      </c>
      <c r="AX47" s="103">
        <f t="shared" si="20"/>
        <v>0</v>
      </c>
      <c r="AY47" s="293">
        <f t="shared" si="30"/>
        <v>-1</v>
      </c>
      <c r="AZ47" s="105">
        <f t="shared" si="21"/>
        <v>0</v>
      </c>
      <c r="BA47" s="106">
        <f t="shared" si="21"/>
        <v>0</v>
      </c>
      <c r="BB47" s="106">
        <f t="shared" si="21"/>
        <v>0</v>
      </c>
      <c r="BC47" s="106">
        <f t="shared" si="21"/>
        <v>0</v>
      </c>
      <c r="BD47" s="106">
        <f t="shared" si="21"/>
        <v>0</v>
      </c>
      <c r="BE47" s="107">
        <f t="shared" si="31"/>
        <v>1651164.1064631934</v>
      </c>
      <c r="BG47" s="108">
        <f>'Op Cost-25'!E40</f>
        <v>8616129</v>
      </c>
      <c r="BH47" s="109">
        <f t="shared" si="22"/>
        <v>0.19163641891424715</v>
      </c>
      <c r="BI47" s="110">
        <f t="shared" si="23"/>
        <v>1651164.1064631934</v>
      </c>
      <c r="BJ47" s="111">
        <f t="shared" si="24"/>
        <v>0</v>
      </c>
      <c r="BK47" s="1">
        <f t="shared" si="32"/>
        <v>0.25486559218950777</v>
      </c>
      <c r="BL47" s="294">
        <f t="shared" si="33"/>
        <v>0.2399910635695866</v>
      </c>
      <c r="BM47" s="294">
        <f t="shared" si="34"/>
        <v>0.21353483568603426</v>
      </c>
      <c r="BN47" s="295">
        <f t="shared" si="35"/>
        <v>0.28296823475120508</v>
      </c>
      <c r="BO47" s="114">
        <f t="shared" si="25"/>
        <v>1651164.1064631934</v>
      </c>
      <c r="BP47" s="296">
        <f t="shared" si="36"/>
        <v>0.25486559218950777</v>
      </c>
      <c r="BQ47" s="116">
        <f t="shared" si="37"/>
        <v>3.4425981262072077E-3</v>
      </c>
      <c r="BR47" s="297">
        <f t="shared" si="38"/>
        <v>3.4425981262072077E-3</v>
      </c>
      <c r="BS47" s="117">
        <f t="shared" si="39"/>
        <v>3.8482576273432545E-3</v>
      </c>
      <c r="BT47" s="298">
        <f t="shared" si="40"/>
        <v>1684238.3972895599</v>
      </c>
      <c r="BU47" s="119">
        <f t="shared" si="41"/>
        <v>2584838.6999999997</v>
      </c>
      <c r="BV47" s="119">
        <f t="shared" si="42"/>
        <v>1684238.3972895599</v>
      </c>
      <c r="BW47" s="119">
        <f t="shared" si="43"/>
        <v>0</v>
      </c>
      <c r="BX47" s="120">
        <f t="shared" si="44"/>
        <v>3.4425981262072077E-3</v>
      </c>
      <c r="BY47" s="121">
        <f t="shared" si="45"/>
        <v>6.8206659257147983E-3</v>
      </c>
      <c r="BZ47" s="299">
        <f t="shared" si="46"/>
        <v>1690127.3354563033</v>
      </c>
      <c r="CA47" s="109">
        <f t="shared" si="26"/>
        <v>1.4997043425587083E-2</v>
      </c>
      <c r="CB47" s="123">
        <f t="shared" si="57"/>
        <v>128893.80697101477</v>
      </c>
      <c r="CC47" s="111">
        <f t="shared" si="56"/>
        <v>1780058</v>
      </c>
      <c r="CE47" s="124">
        <f t="shared" si="28"/>
        <v>0</v>
      </c>
      <c r="CF47" s="17"/>
      <c r="CG47" s="108">
        <f t="shared" si="47"/>
        <v>8616129</v>
      </c>
      <c r="CH47" s="125">
        <f t="shared" si="48"/>
        <v>0.20659602473454147</v>
      </c>
      <c r="CI47" s="110">
        <f t="shared" si="49"/>
        <v>1684238.3972895599</v>
      </c>
      <c r="CJ47" s="300">
        <f t="shared" si="50"/>
        <v>0</v>
      </c>
      <c r="CL47" s="127">
        <f t="shared" si="51"/>
        <v>1684238.3972895599</v>
      </c>
      <c r="CM47" s="128">
        <f t="shared" si="52"/>
        <v>1.9600905423354797E-2</v>
      </c>
      <c r="CN47" s="129">
        <f t="shared" si="53"/>
        <v>16923.350492089128</v>
      </c>
      <c r="CO47" s="130">
        <f t="shared" si="55"/>
        <v>1701162</v>
      </c>
      <c r="CQ47" s="131">
        <f t="shared" si="54"/>
        <v>0.19615854584539105</v>
      </c>
      <c r="CR47" s="301"/>
    </row>
    <row r="48" spans="1:96" ht="16.5" customHeight="1">
      <c r="A48" s="133" t="s">
        <v>124</v>
      </c>
      <c r="B48" s="90" t="s">
        <v>128</v>
      </c>
      <c r="C48" s="91">
        <f>'Sizing - Reimb Exp-25'!B41</f>
        <v>170603</v>
      </c>
      <c r="D48" s="92">
        <f>'Ridership-25'!$E40</f>
        <v>11675</v>
      </c>
      <c r="E48" s="92">
        <f>'Revenue Hours-25'!$E40</f>
        <v>5322</v>
      </c>
      <c r="F48" s="92">
        <f>'Revenue Miles-25'!$E40</f>
        <v>60529</v>
      </c>
      <c r="G48" s="93">
        <f t="shared" si="58"/>
        <v>5.2132852965308478E-4</v>
      </c>
      <c r="H48" s="94">
        <f t="shared" si="59"/>
        <v>5.2132852965308489E-4</v>
      </c>
      <c r="J48" s="95">
        <f>'Ridership-25'!B40/'Revenue Hours-25'!B40</f>
        <v>2.6243417203042716</v>
      </c>
      <c r="K48" s="96">
        <f>'Ridership-25'!C40/'Revenue Hours-25'!C40</f>
        <v>2.06749490079733</v>
      </c>
      <c r="L48" s="96">
        <f>'Ridership-25'!D40/'Revenue Hours-25'!D40</f>
        <v>2.1966604823747682</v>
      </c>
      <c r="M48" s="207">
        <f>'Ridership-25'!E40/'Revenue Hours-25'!K40</f>
        <v>2.1937241638481773</v>
      </c>
      <c r="N48" s="97">
        <f t="shared" si="2"/>
        <v>1.0644651232169628</v>
      </c>
      <c r="O48" s="98">
        <f t="shared" si="3"/>
        <v>5.5493603755368912E-4</v>
      </c>
      <c r="P48" s="99">
        <f t="shared" si="4"/>
        <v>5.1963934932290005E-4</v>
      </c>
      <c r="Q48" s="95">
        <f>'Ridership-25'!B40/'Revenue Miles-25'!B40</f>
        <v>0.22349384582163678</v>
      </c>
      <c r="R48" s="96">
        <f>'Ridership-25'!C40/'Revenue Miles-25'!C40</f>
        <v>0.21433239783168659</v>
      </c>
      <c r="S48" s="96">
        <f>'Ridership-25'!D40/'Revenue Miles-25'!D40</f>
        <v>0.21260549470281917</v>
      </c>
      <c r="T48" s="207">
        <f>'Ridership-25'!E40/'Revenue Miles-25'!K40</f>
        <v>0.19288275041715541</v>
      </c>
      <c r="U48" s="97">
        <f t="shared" si="5"/>
        <v>1.1286096730909378</v>
      </c>
      <c r="V48" s="98">
        <f t="shared" si="6"/>
        <v>5.8837642142474747E-4</v>
      </c>
      <c r="W48" s="99">
        <f t="shared" si="7"/>
        <v>5.5068236379209967E-4</v>
      </c>
      <c r="X48" s="95">
        <f>'Op Cost-25'!B41/'Revenue Hours-25'!B40</f>
        <v>28.064170079968793</v>
      </c>
      <c r="Y48" s="96">
        <f>'Op Cost-25'!C41/'Revenue Hours-25'!C40</f>
        <v>27.145188206934915</v>
      </c>
      <c r="Z48" s="96">
        <f>'Op Cost-25'!D41/'Revenue Hours-25'!D40</f>
        <v>30.05751391465677</v>
      </c>
      <c r="AA48" s="96">
        <f>'Op Cost-25'!E41/'Revenue Hours-25'!E40</f>
        <v>32.056181886508831</v>
      </c>
      <c r="AB48" s="97">
        <f t="shared" si="8"/>
        <v>1.0142681961187796</v>
      </c>
      <c r="AC48" s="98">
        <f t="shared" si="9"/>
        <v>5.1399475173135841E-4</v>
      </c>
      <c r="AD48" s="99">
        <f t="shared" si="10"/>
        <v>5.4830858199716168E-4</v>
      </c>
      <c r="AE48" s="95">
        <f>'Op Cost-25'!B41/'Revenue Miles-25'!B40</f>
        <v>2.3899971762204539</v>
      </c>
      <c r="AF48" s="96">
        <f>'Op Cost-25'!C41/'Revenue Miles-25'!C40</f>
        <v>2.8140786590288722</v>
      </c>
      <c r="AG48" s="96">
        <f>'Op Cost-25'!D41/'Revenue Miles-25'!D40</f>
        <v>2.9091398814868019</v>
      </c>
      <c r="AH48" s="96">
        <f>'Op Cost-25'!E41/'Revenue Miles-25'!E40</f>
        <v>2.8185332650465065</v>
      </c>
      <c r="AI48" s="97">
        <f t="shared" si="11"/>
        <v>1.0155039326167026</v>
      </c>
      <c r="AJ48" s="98">
        <f t="shared" si="12"/>
        <v>5.1336928682270107E-4</v>
      </c>
      <c r="AK48" s="99">
        <f t="shared" si="13"/>
        <v>5.463538160620135E-4</v>
      </c>
      <c r="AL48" s="95">
        <f>'Op Cost-25'!B41/'Ridership-25'!B40</f>
        <v>10.693794128576737</v>
      </c>
      <c r="AM48" s="96">
        <f>'Op Cost-25'!C41/'Ridership-25'!C40</f>
        <v>13.129506726457398</v>
      </c>
      <c r="AN48" s="96">
        <f>'Op Cost-25'!D41/'Ridership-25'!D40</f>
        <v>13.683277027027026</v>
      </c>
      <c r="AO48" s="96">
        <f>'Op Cost-25'!E41/'Ridership-25'!E40</f>
        <v>14.612676659528908</v>
      </c>
      <c r="AP48" s="100">
        <f t="shared" si="14"/>
        <v>1.0760456886888583</v>
      </c>
      <c r="AQ48" s="98">
        <f t="shared" si="15"/>
        <v>4.8448549641819951E-4</v>
      </c>
      <c r="AR48" s="99">
        <f t="shared" si="16"/>
        <v>5.2602005196837696E-4</v>
      </c>
      <c r="AT48" s="101">
        <f t="shared" si="29"/>
        <v>0</v>
      </c>
      <c r="AU48" s="102">
        <f t="shared" si="17"/>
        <v>0</v>
      </c>
      <c r="AV48" s="102">
        <f t="shared" si="18"/>
        <v>0</v>
      </c>
      <c r="AW48" s="102">
        <f t="shared" si="19"/>
        <v>0</v>
      </c>
      <c r="AX48" s="103">
        <f t="shared" si="20"/>
        <v>0</v>
      </c>
      <c r="AY48" s="293">
        <f t="shared" si="30"/>
        <v>-1</v>
      </c>
      <c r="AZ48" s="105">
        <f t="shared" si="21"/>
        <v>0</v>
      </c>
      <c r="BA48" s="106">
        <f t="shared" si="21"/>
        <v>0</v>
      </c>
      <c r="BB48" s="106">
        <f t="shared" si="21"/>
        <v>0</v>
      </c>
      <c r="BC48" s="106">
        <f t="shared" si="21"/>
        <v>0</v>
      </c>
      <c r="BD48" s="106">
        <f t="shared" si="21"/>
        <v>0</v>
      </c>
      <c r="BE48" s="107">
        <f t="shared" si="31"/>
        <v>63727.460363655759</v>
      </c>
      <c r="BG48" s="108">
        <f>'Op Cost-25'!E41</f>
        <v>170603</v>
      </c>
      <c r="BH48" s="109">
        <f t="shared" si="22"/>
        <v>0.37354243690706351</v>
      </c>
      <c r="BI48" s="110">
        <f t="shared" si="23"/>
        <v>51180.9</v>
      </c>
      <c r="BJ48" s="111">
        <f t="shared" si="24"/>
        <v>12546.560363655757</v>
      </c>
      <c r="BK48" s="1">
        <f t="shared" si="32"/>
        <v>0.49180769814657255</v>
      </c>
      <c r="BL48" s="294">
        <f t="shared" si="33"/>
        <v>0.20492431725305185</v>
      </c>
      <c r="BM48" s="294">
        <f t="shared" si="34"/>
        <v>0.25997299849516559</v>
      </c>
      <c r="BN48" s="295">
        <f t="shared" si="35"/>
        <v>0.75116673841903636</v>
      </c>
      <c r="BO48" s="114">
        <f t="shared" si="25"/>
        <v>0</v>
      </c>
      <c r="BP48" s="296">
        <f t="shared" si="36"/>
        <v>0.49180769814657255</v>
      </c>
      <c r="BQ48" s="116">
        <f t="shared" si="37"/>
        <v>2.5639338414682085E-4</v>
      </c>
      <c r="BR48" s="297">
        <f t="shared" si="38"/>
        <v>0</v>
      </c>
      <c r="BS48" s="117">
        <f t="shared" si="39"/>
        <v>0</v>
      </c>
      <c r="BT48" s="298">
        <f t="shared" si="40"/>
        <v>51180.9</v>
      </c>
      <c r="BU48" s="119">
        <f t="shared" si="41"/>
        <v>51180.9</v>
      </c>
      <c r="BV48" s="119">
        <f t="shared" si="42"/>
        <v>51180.9</v>
      </c>
      <c r="BW48" s="119">
        <f t="shared" si="43"/>
        <v>0</v>
      </c>
      <c r="BX48" s="120">
        <f t="shared" si="44"/>
        <v>0</v>
      </c>
      <c r="BY48" s="121">
        <f t="shared" si="45"/>
        <v>0</v>
      </c>
      <c r="BZ48" s="299">
        <f t="shared" si="46"/>
        <v>51180.9</v>
      </c>
      <c r="CA48" s="109">
        <f t="shared" si="26"/>
        <v>0</v>
      </c>
      <c r="CB48" s="123">
        <f t="shared" si="57"/>
        <v>0</v>
      </c>
      <c r="CC48" s="111">
        <f t="shared" si="56"/>
        <v>51181</v>
      </c>
      <c r="CE48" s="124">
        <f t="shared" si="28"/>
        <v>1</v>
      </c>
      <c r="CF48" s="17"/>
      <c r="CG48" s="108">
        <f t="shared" si="47"/>
        <v>170603</v>
      </c>
      <c r="CH48" s="125">
        <f t="shared" si="48"/>
        <v>0.30000058615616371</v>
      </c>
      <c r="CI48" s="110">
        <f t="shared" si="49"/>
        <v>51180.9</v>
      </c>
      <c r="CJ48" s="300">
        <f t="shared" si="50"/>
        <v>0</v>
      </c>
      <c r="CL48" s="127">
        <f t="shared" si="51"/>
        <v>0</v>
      </c>
      <c r="CM48" s="128">
        <f t="shared" si="52"/>
        <v>0</v>
      </c>
      <c r="CN48" s="129">
        <f t="shared" si="53"/>
        <v>0</v>
      </c>
      <c r="CO48" s="130">
        <f t="shared" si="55"/>
        <v>51181</v>
      </c>
      <c r="CQ48" s="131">
        <f t="shared" si="54"/>
        <v>0.3</v>
      </c>
      <c r="CR48" s="301"/>
    </row>
    <row r="49" spans="1:96">
      <c r="A49" s="133" t="s">
        <v>124</v>
      </c>
      <c r="B49" s="90" t="s">
        <v>129</v>
      </c>
      <c r="C49" s="91">
        <f>'Sizing - Reimb Exp-25'!B42</f>
        <v>1199851</v>
      </c>
      <c r="D49" s="92">
        <f>'Ridership-25'!$E41</f>
        <v>61663</v>
      </c>
      <c r="E49" s="92">
        <f>'Revenue Hours-25'!$E41</f>
        <v>18247</v>
      </c>
      <c r="F49" s="92">
        <f>'Revenue Miles-25'!$E41</f>
        <v>313578</v>
      </c>
      <c r="G49" s="134">
        <f t="shared" si="58"/>
        <v>2.6079262501788238E-3</v>
      </c>
      <c r="H49" s="94">
        <f t="shared" si="59"/>
        <v>2.6079262501788243E-3</v>
      </c>
      <c r="J49" s="95">
        <f>'Ridership-25'!B41/'Revenue Hours-25'!B41</f>
        <v>2.3018086155869781</v>
      </c>
      <c r="K49" s="96">
        <f>'Ridership-25'!C41/'Revenue Hours-25'!C41</f>
        <v>1.8714498597475455</v>
      </c>
      <c r="L49" s="96">
        <f>'Ridership-25'!D41/'Revenue Hours-25'!D41</f>
        <v>2.7255388346838654</v>
      </c>
      <c r="M49" s="207">
        <f>'Ridership-25'!E41/'Revenue Hours-25'!K41</f>
        <v>3.379350030141941</v>
      </c>
      <c r="N49" s="97">
        <f t="shared" si="2"/>
        <v>1.2499873812155375</v>
      </c>
      <c r="O49" s="98">
        <f t="shared" si="3"/>
        <v>3.2598749038642853E-3</v>
      </c>
      <c r="P49" s="99">
        <f t="shared" si="4"/>
        <v>3.0525306689137138E-3</v>
      </c>
      <c r="Q49" s="95">
        <f>'Ridership-25'!B41/'Revenue Miles-25'!B41</f>
        <v>0.15794010138539991</v>
      </c>
      <c r="R49" s="96">
        <f>'Ridership-25'!C41/'Revenue Miles-25'!C41</f>
        <v>0.12054951539089166</v>
      </c>
      <c r="S49" s="96">
        <f>'Ridership-25'!D41/'Revenue Miles-25'!D41</f>
        <v>0.1590504069225078</v>
      </c>
      <c r="T49" s="207">
        <f>'Ridership-25'!E41/'Revenue Miles-25'!K41</f>
        <v>0.19664325941233121</v>
      </c>
      <c r="U49" s="97">
        <f t="shared" si="5"/>
        <v>1.1819101496945379</v>
      </c>
      <c r="V49" s="98">
        <f t="shared" si="6"/>
        <v>3.0823345047411689E-3</v>
      </c>
      <c r="W49" s="99">
        <f t="shared" si="7"/>
        <v>2.884866200040124E-3</v>
      </c>
      <c r="X49" s="95">
        <f>'Op Cost-25'!B42/'Revenue Hours-25'!B41</f>
        <v>30.822514523731229</v>
      </c>
      <c r="Y49" s="96">
        <f>'Op Cost-25'!C42/'Revenue Hours-25'!C41</f>
        <v>53.352691093969142</v>
      </c>
      <c r="Z49" s="96">
        <f>'Op Cost-25'!D42/'Revenue Hours-25'!D41</f>
        <v>79.509949837384923</v>
      </c>
      <c r="AA49" s="96">
        <f>'Op Cost-25'!E42/'Revenue Hours-25'!E41</f>
        <v>73.872855811914292</v>
      </c>
      <c r="AB49" s="97">
        <f t="shared" si="8"/>
        <v>1.3009553130389218</v>
      </c>
      <c r="AC49" s="98">
        <f t="shared" si="9"/>
        <v>2.0046240051758034E-3</v>
      </c>
      <c r="AD49" s="99">
        <f t="shared" si="10"/>
        <v>2.1384509122184432E-3</v>
      </c>
      <c r="AE49" s="95">
        <f>'Op Cost-25'!B42/'Revenue Miles-25'!B41</f>
        <v>2.1149069631011295</v>
      </c>
      <c r="AF49" s="96">
        <f>'Op Cost-25'!C42/'Revenue Miles-25'!C41</f>
        <v>3.4367156686984583</v>
      </c>
      <c r="AG49" s="96">
        <f>'Op Cost-25'!D42/'Revenue Miles-25'!D41</f>
        <v>4.639849454756007</v>
      </c>
      <c r="AH49" s="96">
        <f>'Op Cost-25'!E42/'Revenue Miles-25'!E41</f>
        <v>4.2986370217298404</v>
      </c>
      <c r="AI49" s="97">
        <f t="shared" si="11"/>
        <v>1.2285075855666157</v>
      </c>
      <c r="AJ49" s="98">
        <f t="shared" si="12"/>
        <v>2.1228409826838713E-3</v>
      </c>
      <c r="AK49" s="99">
        <f t="shared" si="13"/>
        <v>2.2592358007243389E-3</v>
      </c>
      <c r="AL49" s="95">
        <f>'Op Cost-25'!B42/'Ridership-25'!B41</f>
        <v>13.390563539910664</v>
      </c>
      <c r="AM49" s="96">
        <f>'Op Cost-25'!C42/'Ridership-25'!C41</f>
        <v>28.508747277453804</v>
      </c>
      <c r="AN49" s="96">
        <f>'Op Cost-25'!D42/'Ridership-25'!D41</f>
        <v>29.17219480624545</v>
      </c>
      <c r="AO49" s="96">
        <f>'Op Cost-25'!E42/'Ridership-25'!E41</f>
        <v>21.860078166809917</v>
      </c>
      <c r="AP49" s="100">
        <f t="shared" si="14"/>
        <v>1.0579537896315043</v>
      </c>
      <c r="AQ49" s="98">
        <f t="shared" si="15"/>
        <v>2.4650663155024858E-3</v>
      </c>
      <c r="AR49" s="99">
        <f t="shared" si="16"/>
        <v>2.6763944864653826E-3</v>
      </c>
      <c r="AT49" s="101">
        <f t="shared" si="29"/>
        <v>0</v>
      </c>
      <c r="AU49" s="102">
        <f t="shared" si="17"/>
        <v>0</v>
      </c>
      <c r="AV49" s="102">
        <f t="shared" si="18"/>
        <v>0</v>
      </c>
      <c r="AW49" s="102">
        <f t="shared" si="19"/>
        <v>0</v>
      </c>
      <c r="AX49" s="103">
        <f t="shared" si="20"/>
        <v>0</v>
      </c>
      <c r="AY49" s="293">
        <f t="shared" si="30"/>
        <v>-1</v>
      </c>
      <c r="AZ49" s="105">
        <f t="shared" si="21"/>
        <v>0</v>
      </c>
      <c r="BA49" s="106">
        <f t="shared" si="21"/>
        <v>0</v>
      </c>
      <c r="BB49" s="106">
        <f t="shared" si="21"/>
        <v>0</v>
      </c>
      <c r="BC49" s="106">
        <f t="shared" si="21"/>
        <v>0</v>
      </c>
      <c r="BD49" s="106">
        <f t="shared" si="21"/>
        <v>0</v>
      </c>
      <c r="BE49" s="107">
        <f t="shared" si="31"/>
        <v>318794.20995855134</v>
      </c>
      <c r="BG49" s="108">
        <f>'Op Cost-25'!E42</f>
        <v>1347958</v>
      </c>
      <c r="BH49" s="109">
        <f t="shared" si="22"/>
        <v>0.23650158978139627</v>
      </c>
      <c r="BI49" s="110">
        <f t="shared" si="23"/>
        <v>318794.20995855134</v>
      </c>
      <c r="BJ49" s="111">
        <f t="shared" si="24"/>
        <v>0</v>
      </c>
      <c r="BK49" s="1">
        <f t="shared" si="32"/>
        <v>0.39624392703833694</v>
      </c>
      <c r="BL49" s="294">
        <f t="shared" si="33"/>
        <v>0.31567824665391458</v>
      </c>
      <c r="BM49" s="294">
        <f t="shared" si="34"/>
        <v>0.26504152223422228</v>
      </c>
      <c r="BN49" s="295">
        <f t="shared" si="35"/>
        <v>0.50212796963260542</v>
      </c>
      <c r="BO49" s="114">
        <f t="shared" si="25"/>
        <v>318794.20995855134</v>
      </c>
      <c r="BP49" s="296">
        <f>BL49*$BO$8+BM49*$BP$8+BN49*$BQ$8</f>
        <v>0.39624392703833694</v>
      </c>
      <c r="BQ49" s="116">
        <f t="shared" si="37"/>
        <v>1.0333749387972217E-3</v>
      </c>
      <c r="BR49" s="297">
        <f t="shared" si="38"/>
        <v>1.0333749387972217E-3</v>
      </c>
      <c r="BS49" s="117">
        <f t="shared" si="39"/>
        <v>1.1551429601552113E-3</v>
      </c>
      <c r="BT49" s="298">
        <f t="shared" si="40"/>
        <v>328722.21840027819</v>
      </c>
      <c r="BU49" s="119">
        <f t="shared" si="41"/>
        <v>404387.39999999997</v>
      </c>
      <c r="BV49" s="119">
        <f t="shared" si="42"/>
        <v>328722.21840027819</v>
      </c>
      <c r="BW49" s="119">
        <f t="shared" si="43"/>
        <v>0</v>
      </c>
      <c r="BX49" s="120">
        <f t="shared" si="44"/>
        <v>1.0333749387972217E-3</v>
      </c>
      <c r="BY49" s="121">
        <f t="shared" si="45"/>
        <v>2.0473796171228127E-3</v>
      </c>
      <c r="BZ49" s="299">
        <f t="shared" si="46"/>
        <v>330489.91851935763</v>
      </c>
      <c r="CA49" s="109">
        <f t="shared" si="26"/>
        <v>2.8955151046827182E-3</v>
      </c>
      <c r="CB49" s="123">
        <f t="shared" si="57"/>
        <v>24885.836120730033</v>
      </c>
      <c r="CC49" s="111">
        <f t="shared" si="56"/>
        <v>343680</v>
      </c>
      <c r="CE49" s="124">
        <f t="shared" si="28"/>
        <v>0</v>
      </c>
      <c r="CF49" s="17"/>
      <c r="CG49" s="108">
        <f t="shared" si="47"/>
        <v>1347958</v>
      </c>
      <c r="CH49" s="125">
        <f t="shared" si="48"/>
        <v>0.25496343357879103</v>
      </c>
      <c r="CI49" s="110">
        <f t="shared" si="49"/>
        <v>328722.21840027819</v>
      </c>
      <c r="CJ49" s="300">
        <f t="shared" si="50"/>
        <v>0</v>
      </c>
      <c r="CL49" s="127">
        <f t="shared" si="51"/>
        <v>328722.21840027819</v>
      </c>
      <c r="CM49" s="128">
        <f t="shared" si="52"/>
        <v>3.8256182282676503E-3</v>
      </c>
      <c r="CN49" s="129">
        <f t="shared" si="53"/>
        <v>3303.0248719407114</v>
      </c>
      <c r="CO49" s="130">
        <f t="shared" si="55"/>
        <v>332025</v>
      </c>
      <c r="CQ49" s="131">
        <f t="shared" si="54"/>
        <v>0.24517820178325855</v>
      </c>
      <c r="CR49" s="301"/>
    </row>
    <row r="50" spans="1:96">
      <c r="A50" s="133" t="s">
        <v>124</v>
      </c>
      <c r="B50" s="90" t="s">
        <v>130</v>
      </c>
      <c r="C50" s="91">
        <f>'Sizing - Reimb Exp-25'!B43</f>
        <v>4543756</v>
      </c>
      <c r="D50" s="92">
        <f>'Ridership-25'!$E42</f>
        <v>187266</v>
      </c>
      <c r="E50" s="92">
        <f>'Revenue Hours-25'!$E42</f>
        <v>63759</v>
      </c>
      <c r="F50" s="92">
        <f>'Revenue Miles-25'!$E42</f>
        <v>994681</v>
      </c>
      <c r="G50" s="134">
        <f t="shared" si="58"/>
        <v>8.8990972899338511E-3</v>
      </c>
      <c r="H50" s="94">
        <f t="shared" si="59"/>
        <v>8.8990972899338529E-3</v>
      </c>
      <c r="J50" s="95">
        <f>'Ridership-25'!B42/'Revenue Hours-25'!B42</f>
        <v>4.6066913646259025</v>
      </c>
      <c r="K50" s="96">
        <f>'Ridership-25'!C42/'Revenue Hours-25'!C42</f>
        <v>2.6052602436323364</v>
      </c>
      <c r="L50" s="96">
        <f>'Ridership-25'!D42/'Revenue Hours-25'!D42</f>
        <v>2.7993357457988401</v>
      </c>
      <c r="M50" s="207">
        <f>'Ridership-25'!E42/'Revenue Hours-25'!K42</f>
        <v>2.9370912341787041</v>
      </c>
      <c r="N50" s="97">
        <f t="shared" si="2"/>
        <v>0.93744466278837724</v>
      </c>
      <c r="O50" s="98">
        <f t="shared" si="3"/>
        <v>8.3424112580830021E-3</v>
      </c>
      <c r="P50" s="99">
        <f t="shared" si="4"/>
        <v>7.8117924671902012E-3</v>
      </c>
      <c r="Q50" s="95">
        <f>'Ridership-25'!B42/'Revenue Miles-25'!B42</f>
        <v>0.25866990351642838</v>
      </c>
      <c r="R50" s="96">
        <f>'Ridership-25'!C42/'Revenue Miles-25'!C42</f>
        <v>0.16890249812434263</v>
      </c>
      <c r="S50" s="96">
        <f>'Ridership-25'!D42/'Revenue Miles-25'!D42</f>
        <v>0.1810610173694088</v>
      </c>
      <c r="T50" s="207">
        <f>'Ridership-25'!E42/'Revenue Miles-25'!K42</f>
        <v>0.18826739427012279</v>
      </c>
      <c r="U50" s="97">
        <f t="shared" si="5"/>
        <v>0.99109648571081632</v>
      </c>
      <c r="V50" s="98">
        <f t="shared" si="6"/>
        <v>8.8198640500520911E-3</v>
      </c>
      <c r="W50" s="99">
        <f t="shared" si="7"/>
        <v>8.2548236240442951E-3</v>
      </c>
      <c r="X50" s="95">
        <f>'Op Cost-25'!B43/'Revenue Hours-25'!B42</f>
        <v>60.089370965893899</v>
      </c>
      <c r="Y50" s="96">
        <f>'Op Cost-25'!C43/'Revenue Hours-25'!C42</f>
        <v>61.375230712440015</v>
      </c>
      <c r="Z50" s="96">
        <f>'Op Cost-25'!D43/'Revenue Hours-25'!D42</f>
        <v>66.464250896412693</v>
      </c>
      <c r="AA50" s="96">
        <f>'Op Cost-25'!E43/'Revenue Hours-25'!E42</f>
        <v>73.070531219122003</v>
      </c>
      <c r="AB50" s="97">
        <f t="shared" si="8"/>
        <v>1.0327254943983701</v>
      </c>
      <c r="AC50" s="98">
        <f t="shared" si="9"/>
        <v>8.617098481836314E-3</v>
      </c>
      <c r="AD50" s="99">
        <f t="shared" si="10"/>
        <v>9.1923682753379862E-3</v>
      </c>
      <c r="AE50" s="95">
        <f>'Op Cost-25'!B43/'Revenue Miles-25'!B42</f>
        <v>3.3740727476265127</v>
      </c>
      <c r="AF50" s="96">
        <f>'Op Cost-25'!C43/'Revenue Miles-25'!C42</f>
        <v>3.9790381078535897</v>
      </c>
      <c r="AG50" s="96">
        <f>'Op Cost-25'!D43/'Revenue Miles-25'!D42</f>
        <v>4.2989073047277451</v>
      </c>
      <c r="AH50" s="96">
        <f>'Op Cost-25'!E43/'Revenue Miles-25'!E42</f>
        <v>4.6838172238134641</v>
      </c>
      <c r="AI50" s="97">
        <f t="shared" si="11"/>
        <v>1.0750496667822353</v>
      </c>
      <c r="AJ50" s="98">
        <f t="shared" si="12"/>
        <v>8.2778475868654691E-3</v>
      </c>
      <c r="AK50" s="99">
        <f t="shared" si="13"/>
        <v>8.8097082041170699E-3</v>
      </c>
      <c r="AL50" s="95">
        <f>'Op Cost-25'!B43/'Ridership-25'!B42</f>
        <v>13.043932447333294</v>
      </c>
      <c r="AM50" s="96">
        <f>'Op Cost-25'!C43/'Ridership-25'!C42</f>
        <v>23.558195716704567</v>
      </c>
      <c r="AN50" s="96">
        <f>'Op Cost-25'!D43/'Ridership-25'!D42</f>
        <v>23.742865069386646</v>
      </c>
      <c r="AO50" s="96">
        <f>'Op Cost-25'!E43/'Ridership-25'!E42</f>
        <v>24.878536413443978</v>
      </c>
      <c r="AP50" s="100">
        <f t="shared" si="14"/>
        <v>1.133836263732076</v>
      </c>
      <c r="AQ50" s="98">
        <f t="shared" si="15"/>
        <v>7.8486617288479124E-3</v>
      </c>
      <c r="AR50" s="99">
        <f t="shared" si="16"/>
        <v>8.5215212447290554E-3</v>
      </c>
      <c r="AT50" s="101">
        <f t="shared" si="29"/>
        <v>0</v>
      </c>
      <c r="AU50" s="102">
        <f t="shared" si="17"/>
        <v>0</v>
      </c>
      <c r="AV50" s="102">
        <f t="shared" si="18"/>
        <v>0</v>
      </c>
      <c r="AW50" s="102">
        <f t="shared" si="19"/>
        <v>0</v>
      </c>
      <c r="AX50" s="103">
        <f t="shared" si="20"/>
        <v>0</v>
      </c>
      <c r="AY50" s="293">
        <f t="shared" si="30"/>
        <v>-1</v>
      </c>
      <c r="AZ50" s="105">
        <f t="shared" si="21"/>
        <v>0</v>
      </c>
      <c r="BA50" s="106">
        <f t="shared" si="21"/>
        <v>0</v>
      </c>
      <c r="BB50" s="106">
        <f t="shared" si="21"/>
        <v>0</v>
      </c>
      <c r="BC50" s="106">
        <f t="shared" si="21"/>
        <v>0</v>
      </c>
      <c r="BD50" s="106">
        <f t="shared" si="21"/>
        <v>0</v>
      </c>
      <c r="BE50" s="107">
        <f>$AZ$6*H50</f>
        <v>1087830.1062747529</v>
      </c>
      <c r="BG50" s="108">
        <f>'Op Cost-25'!E43</f>
        <v>4658904</v>
      </c>
      <c r="BH50" s="109">
        <f t="shared" si="22"/>
        <v>0.23349485335494205</v>
      </c>
      <c r="BI50" s="110">
        <f t="shared" si="23"/>
        <v>1087830.1062747529</v>
      </c>
      <c r="BJ50" s="111">
        <f t="shared" si="24"/>
        <v>0</v>
      </c>
      <c r="BK50" s="1">
        <f t="shared" si="32"/>
        <v>0.35263229656150574</v>
      </c>
      <c r="BL50" s="294">
        <f t="shared" si="33"/>
        <v>0.27436513021682213</v>
      </c>
      <c r="BM50" s="294">
        <f t="shared" si="34"/>
        <v>0.25375228682410034</v>
      </c>
      <c r="BN50" s="295">
        <f t="shared" si="35"/>
        <v>0.44120588460255034</v>
      </c>
      <c r="BO50" s="114">
        <f t="shared" si="25"/>
        <v>1087830.1062747529</v>
      </c>
      <c r="BP50" s="296">
        <f t="shared" si="36"/>
        <v>0.35263229656150574</v>
      </c>
      <c r="BQ50" s="116">
        <f t="shared" si="37"/>
        <v>3.1381091146736465E-3</v>
      </c>
      <c r="BR50" s="297">
        <f t="shared" si="38"/>
        <v>3.1381091146736465E-3</v>
      </c>
      <c r="BS50" s="117">
        <f t="shared" si="39"/>
        <v>3.5078890690279155E-3</v>
      </c>
      <c r="BT50" s="298">
        <f t="shared" si="40"/>
        <v>1117979.0605524736</v>
      </c>
      <c r="BU50" s="119">
        <f t="shared" si="41"/>
        <v>1397671.2</v>
      </c>
      <c r="BV50" s="119">
        <f t="shared" si="42"/>
        <v>1117979.0605524736</v>
      </c>
      <c r="BW50" s="119">
        <f t="shared" si="43"/>
        <v>0</v>
      </c>
      <c r="BX50" s="120">
        <f t="shared" si="44"/>
        <v>3.1381091146736465E-3</v>
      </c>
      <c r="BY50" s="121">
        <f t="shared" si="45"/>
        <v>6.2173954452275446E-3</v>
      </c>
      <c r="BZ50" s="299">
        <f t="shared" si="46"/>
        <v>1123347.1371792876</v>
      </c>
      <c r="CA50" s="109">
        <f t="shared" si="26"/>
        <v>9.8804445176613621E-3</v>
      </c>
      <c r="CB50" s="123">
        <f t="shared" si="57"/>
        <v>84918.611776134829</v>
      </c>
      <c r="CC50" s="111">
        <f t="shared" si="56"/>
        <v>1172749</v>
      </c>
      <c r="CE50" s="124">
        <f t="shared" si="28"/>
        <v>0</v>
      </c>
      <c r="CF50" s="17"/>
      <c r="CG50" s="108">
        <f t="shared" si="47"/>
        <v>4658904</v>
      </c>
      <c r="CH50" s="125">
        <f t="shared" si="48"/>
        <v>0.25172207884086045</v>
      </c>
      <c r="CI50" s="110">
        <f t="shared" si="49"/>
        <v>1117979.0605524736</v>
      </c>
      <c r="CJ50" s="300">
        <f t="shared" si="50"/>
        <v>0</v>
      </c>
      <c r="CL50" s="127">
        <f t="shared" si="51"/>
        <v>1117979.0605524736</v>
      </c>
      <c r="CM50" s="128">
        <f t="shared" si="52"/>
        <v>1.3010867028352554E-2</v>
      </c>
      <c r="CN50" s="129">
        <f t="shared" si="53"/>
        <v>11233.535297018445</v>
      </c>
      <c r="CO50" s="130">
        <f t="shared" si="55"/>
        <v>1129213</v>
      </c>
      <c r="CQ50" s="131">
        <f t="shared" si="54"/>
        <v>0.24111832679516204</v>
      </c>
      <c r="CR50" s="301"/>
    </row>
    <row r="51" spans="1:96" s="171" customFormat="1" ht="15" thickBot="1">
      <c r="A51" s="165"/>
      <c r="B51" s="166" t="s">
        <v>131</v>
      </c>
      <c r="C51" s="167">
        <f>SUM(C11:C50)-C34</f>
        <v>525422953</v>
      </c>
      <c r="D51" s="168">
        <f>SUM(D11:D50)-D34</f>
        <v>47351081</v>
      </c>
      <c r="E51" s="168">
        <f>SUM(E11:E50)-E34</f>
        <v>4481273</v>
      </c>
      <c r="F51" s="168">
        <f>SUM(F11:F50)-F34</f>
        <v>63382684</v>
      </c>
      <c r="G51" s="169">
        <f>SUM(G11:G50)</f>
        <v>0.99999999999999989</v>
      </c>
      <c r="H51" s="170">
        <f>SUM(H11:H50)</f>
        <v>1</v>
      </c>
      <c r="J51" s="172">
        <f>'Ridership-25'!B43/'Revenue Hours-25'!B43</f>
        <v>13.526760546299428</v>
      </c>
      <c r="K51" s="173">
        <f>'Ridership-25'!C43/'Revenue Hours-25'!C43</f>
        <v>6.9491805201049877</v>
      </c>
      <c r="L51" s="173">
        <f>'Ridership-25'!D43/'Revenue Hours-25'!D43</f>
        <v>8.9536027544539518</v>
      </c>
      <c r="M51" s="173">
        <f>'Ridership-25'!E43/'Revenue Hours-25'!E43</f>
        <v>10.705045615153841</v>
      </c>
      <c r="N51" s="174"/>
      <c r="O51" s="175">
        <f>SUM(O11:O50)</f>
        <v>1.067925356839857</v>
      </c>
      <c r="P51" s="176">
        <f>SUM(P11:P50)</f>
        <v>1</v>
      </c>
      <c r="Q51" s="172">
        <f>'Ridership-25'!B43/'Revenue Miles-25'!B43</f>
        <v>0.94516480852199081</v>
      </c>
      <c r="R51" s="173">
        <f>'Ridership-25'!C43/'Revenue Miles-25'!C43</f>
        <v>0.49283534368231213</v>
      </c>
      <c r="S51" s="173">
        <f>'Ridership-25'!D43/'Revenue Miles-25'!D43</f>
        <v>0.61981636789595917</v>
      </c>
      <c r="T51" s="173">
        <f>'Ridership-25'!E43/'Revenue Miles-25'!E43</f>
        <v>0.74193378363769658</v>
      </c>
      <c r="U51" s="174"/>
      <c r="V51" s="175">
        <f>SUM(V11:V50)</f>
        <v>1.0684497273039208</v>
      </c>
      <c r="W51" s="176">
        <f>SUM(W11:W50)</f>
        <v>0.99999999999999989</v>
      </c>
      <c r="X51" s="177">
        <f>'Op Cost-25'!B44/'Revenue Hours-25'!B43</f>
        <v>103.16343259700481</v>
      </c>
      <c r="Y51" s="178">
        <f>'Op Cost-25'!C44/'Revenue Hours-25'!C43</f>
        <v>125.95961510933006</v>
      </c>
      <c r="Z51" s="178">
        <f>'Op Cost-25'!D44/'Revenue Hours-25'!D43</f>
        <v>126.23027057650225</v>
      </c>
      <c r="AA51" s="178">
        <f>'Op Cost-25'!E44/'Revenue Hours-25'!E43</f>
        <v>117.50453980589081</v>
      </c>
      <c r="AB51" s="174"/>
      <c r="AC51" s="175">
        <f>SUM(AC11:AC50)</f>
        <v>0.93741876127340851</v>
      </c>
      <c r="AD51" s="176">
        <f>SUM(AD11:AD50)</f>
        <v>1.0000000000000002</v>
      </c>
      <c r="AE51" s="177">
        <f>'Op Cost-25'!B44/'Revenue Miles-25'!B43</f>
        <v>7.2084107413060252</v>
      </c>
      <c r="AF51" s="178">
        <f>'Op Cost-25'!C44/'Revenue Miles-25'!C43</f>
        <v>8.9330461372962819</v>
      </c>
      <c r="AG51" s="178">
        <f>'Op Cost-25'!D44/'Revenue Miles-25'!D43</f>
        <v>8.7383358378650051</v>
      </c>
      <c r="AH51" s="178">
        <f>'Op Cost-25'!E44/'Revenue Miles-25'!E43</f>
        <v>8.1438782184524161</v>
      </c>
      <c r="AI51" s="174"/>
      <c r="AJ51" s="175">
        <f>SUM(AJ11:AJ50)</f>
        <v>0.93962789630160004</v>
      </c>
      <c r="AK51" s="176">
        <f>SUM(AK11:AK50)</f>
        <v>1.0000000000000002</v>
      </c>
      <c r="AL51" s="177">
        <f>'Op Cost-25'!B44/'Ridership-25'!B43</f>
        <v>7.6266177880429513</v>
      </c>
      <c r="AM51" s="178">
        <f>'Op Cost-25'!C44/'Ridership-25'!C43</f>
        <v>18.125822857085176</v>
      </c>
      <c r="AN51" s="178">
        <f>'Op Cost-25'!D44/'Ridership-25'!D43</f>
        <v>14.098265696868143</v>
      </c>
      <c r="AO51" s="178">
        <f>'Op Cost-25'!E44/'Ridership-25'!E43</f>
        <v>10.97655666591031</v>
      </c>
      <c r="AP51" s="179"/>
      <c r="AQ51" s="175">
        <f>SUM(AQ11:AQ50)</f>
        <v>0.92103997671808457</v>
      </c>
      <c r="AR51" s="176">
        <f>SUM(AR11:AR50)</f>
        <v>1</v>
      </c>
      <c r="AT51" s="180">
        <f>SUM(AT11:AT50)</f>
        <v>0</v>
      </c>
      <c r="AU51" s="181">
        <f>SUM(AU11:AU50)</f>
        <v>0</v>
      </c>
      <c r="AV51" s="181">
        <f>SUM(AV11:AV50)</f>
        <v>0</v>
      </c>
      <c r="AW51" s="181">
        <f>SUM(AW11:AW50)</f>
        <v>0</v>
      </c>
      <c r="AX51" s="182">
        <f>SUM(AX11:AX50)</f>
        <v>0</v>
      </c>
      <c r="AZ51" s="183">
        <f t="shared" si="21"/>
        <v>0</v>
      </c>
      <c r="BA51" s="184">
        <f t="shared" si="21"/>
        <v>0</v>
      </c>
      <c r="BB51" s="184">
        <f t="shared" si="21"/>
        <v>0</v>
      </c>
      <c r="BC51" s="184">
        <f t="shared" si="21"/>
        <v>0</v>
      </c>
      <c r="BD51" s="184">
        <f t="shared" si="21"/>
        <v>0</v>
      </c>
      <c r="BE51" s="185">
        <f t="shared" ref="BE51" si="60">SUM(AZ51:BD51)</f>
        <v>0</v>
      </c>
      <c r="BG51" s="186">
        <f>'Op Cost-25'!E44</f>
        <v>535846200</v>
      </c>
      <c r="BH51" s="187"/>
      <c r="BI51" s="188">
        <f>SUM(BI11:BI50)</f>
        <v>120079596.49410993</v>
      </c>
      <c r="BJ51" s="189">
        <f>SUM(BJ11:BJ50)</f>
        <v>2160903.9558901167</v>
      </c>
      <c r="BK51" s="1"/>
      <c r="BO51" s="190">
        <f t="shared" ref="BO51:BT51" si="61">SUM(BO11:BO50)</f>
        <v>110099308.21738325</v>
      </c>
      <c r="BP51" s="192">
        <f t="shared" si="61"/>
        <v>34.397079855141584</v>
      </c>
      <c r="BQ51" s="305">
        <f t="shared" si="61"/>
        <v>1.1465381940953818</v>
      </c>
      <c r="BR51" s="305">
        <f t="shared" si="61"/>
        <v>0.8945861892785737</v>
      </c>
      <c r="BS51" s="191">
        <f t="shared" si="61"/>
        <v>0.99999999999999989</v>
      </c>
      <c r="BT51" s="192">
        <f t="shared" si="61"/>
        <v>128674211.00000003</v>
      </c>
      <c r="BU51" s="192"/>
      <c r="BV51" s="192">
        <f t="shared" ref="BV51:CC51" si="62">SUM(BV11:BV50)</f>
        <v>127810814.6350584</v>
      </c>
      <c r="BW51" s="192">
        <f t="shared" si="62"/>
        <v>863396.36494162562</v>
      </c>
      <c r="BX51" s="306">
        <f t="shared" si="62"/>
        <v>0.50473050046743451</v>
      </c>
      <c r="BY51" s="192">
        <f t="shared" si="62"/>
        <v>1.0000000000000002</v>
      </c>
      <c r="BZ51" s="192">
        <f t="shared" si="62"/>
        <v>128674210.99999999</v>
      </c>
      <c r="CA51" s="307">
        <f t="shared" si="62"/>
        <v>0.99999999999999978</v>
      </c>
      <c r="CB51" s="194">
        <f t="shared" si="62"/>
        <v>8594614.5058901161</v>
      </c>
      <c r="CC51" s="189">
        <f t="shared" si="62"/>
        <v>128674209</v>
      </c>
      <c r="CE51" s="195">
        <f>SUM(CE11:CE50)</f>
        <v>2</v>
      </c>
      <c r="CG51" s="196">
        <f>SUM(CG11:CG50)</f>
        <v>535846200</v>
      </c>
      <c r="CH51" s="197"/>
      <c r="CI51" s="198">
        <f>SUM(CI11:CI50)</f>
        <v>127810814.6350584</v>
      </c>
      <c r="CJ51" s="308">
        <f>SUM(CJ11:CJ50)</f>
        <v>863396.36494162562</v>
      </c>
      <c r="CK51" s="1"/>
      <c r="CL51" s="200">
        <f>SUM(CL11:CL50)</f>
        <v>85926561.090528116</v>
      </c>
      <c r="CM51" s="201">
        <f t="shared" si="52"/>
        <v>1</v>
      </c>
      <c r="CN51" s="202">
        <f t="shared" si="53"/>
        <v>863396.36494162562</v>
      </c>
      <c r="CO51" s="203">
        <f>SUM(CO11:CO50)</f>
        <v>128674211</v>
      </c>
      <c r="CP51" s="1"/>
      <c r="CQ51" s="131">
        <f t="shared" si="54"/>
        <v>0.24013273024983658</v>
      </c>
      <c r="CR51" s="309"/>
    </row>
    <row r="53" spans="1:96">
      <c r="CR53" s="301"/>
    </row>
    <row r="58" spans="1:96">
      <c r="B58" s="1">
        <v>1</v>
      </c>
      <c r="C58" s="1">
        <f>B58+1</f>
        <v>2</v>
      </c>
      <c r="D58" s="1">
        <f t="shared" ref="D58:BO58" si="63">C58+1</f>
        <v>3</v>
      </c>
      <c r="E58" s="1">
        <f t="shared" si="63"/>
        <v>4</v>
      </c>
      <c r="F58" s="1">
        <f t="shared" si="63"/>
        <v>5</v>
      </c>
      <c r="G58" s="1">
        <f t="shared" si="63"/>
        <v>6</v>
      </c>
      <c r="H58" s="1">
        <f t="shared" si="63"/>
        <v>7</v>
      </c>
      <c r="I58" s="1">
        <f t="shared" si="63"/>
        <v>8</v>
      </c>
      <c r="J58" s="1">
        <f t="shared" si="63"/>
        <v>9</v>
      </c>
      <c r="K58" s="1">
        <f t="shared" si="63"/>
        <v>10</v>
      </c>
      <c r="L58" s="1">
        <f t="shared" si="63"/>
        <v>11</v>
      </c>
      <c r="M58" s="1">
        <f t="shared" si="63"/>
        <v>12</v>
      </c>
      <c r="N58" s="1">
        <f t="shared" si="63"/>
        <v>13</v>
      </c>
      <c r="O58" s="1">
        <f t="shared" si="63"/>
        <v>14</v>
      </c>
      <c r="P58" s="1">
        <f t="shared" si="63"/>
        <v>15</v>
      </c>
      <c r="Q58" s="1">
        <f t="shared" si="63"/>
        <v>16</v>
      </c>
      <c r="R58" s="1">
        <f t="shared" si="63"/>
        <v>17</v>
      </c>
      <c r="S58" s="1">
        <f t="shared" si="63"/>
        <v>18</v>
      </c>
      <c r="T58" s="1">
        <f t="shared" si="63"/>
        <v>19</v>
      </c>
      <c r="U58" s="1">
        <f t="shared" si="63"/>
        <v>20</v>
      </c>
      <c r="V58" s="1">
        <f t="shared" si="63"/>
        <v>21</v>
      </c>
      <c r="W58" s="1">
        <f t="shared" si="63"/>
        <v>22</v>
      </c>
      <c r="X58" s="1">
        <f t="shared" si="63"/>
        <v>23</v>
      </c>
      <c r="Y58" s="1">
        <f t="shared" si="63"/>
        <v>24</v>
      </c>
      <c r="Z58" s="1">
        <f t="shared" si="63"/>
        <v>25</v>
      </c>
      <c r="AA58" s="1">
        <f t="shared" si="63"/>
        <v>26</v>
      </c>
      <c r="AB58" s="1">
        <f t="shared" si="63"/>
        <v>27</v>
      </c>
      <c r="AC58" s="1">
        <f t="shared" si="63"/>
        <v>28</v>
      </c>
      <c r="AD58" s="1">
        <f t="shared" si="63"/>
        <v>29</v>
      </c>
      <c r="AE58" s="1">
        <f t="shared" si="63"/>
        <v>30</v>
      </c>
      <c r="AF58" s="1">
        <f t="shared" si="63"/>
        <v>31</v>
      </c>
      <c r="AG58" s="1">
        <f t="shared" si="63"/>
        <v>32</v>
      </c>
      <c r="AH58" s="1">
        <f t="shared" si="63"/>
        <v>33</v>
      </c>
      <c r="AI58" s="1">
        <f t="shared" si="63"/>
        <v>34</v>
      </c>
      <c r="AJ58" s="1">
        <f t="shared" si="63"/>
        <v>35</v>
      </c>
      <c r="AK58" s="1">
        <f t="shared" si="63"/>
        <v>36</v>
      </c>
      <c r="AL58" s="1">
        <f t="shared" si="63"/>
        <v>37</v>
      </c>
      <c r="AM58" s="1">
        <f t="shared" si="63"/>
        <v>38</v>
      </c>
      <c r="AN58" s="1">
        <f t="shared" si="63"/>
        <v>39</v>
      </c>
      <c r="AO58" s="1">
        <f t="shared" si="63"/>
        <v>40</v>
      </c>
      <c r="AP58" s="1">
        <f t="shared" si="63"/>
        <v>41</v>
      </c>
      <c r="AQ58" s="1">
        <f t="shared" si="63"/>
        <v>42</v>
      </c>
      <c r="AR58" s="1">
        <f t="shared" si="63"/>
        <v>43</v>
      </c>
      <c r="AS58" s="1">
        <f t="shared" si="63"/>
        <v>44</v>
      </c>
      <c r="AT58" s="1">
        <f t="shared" si="63"/>
        <v>45</v>
      </c>
      <c r="AU58" s="1">
        <f t="shared" si="63"/>
        <v>46</v>
      </c>
      <c r="AV58" s="1">
        <f t="shared" si="63"/>
        <v>47</v>
      </c>
      <c r="AW58" s="1">
        <f t="shared" si="63"/>
        <v>48</v>
      </c>
      <c r="AX58" s="1">
        <f t="shared" si="63"/>
        <v>49</v>
      </c>
      <c r="AY58" s="1">
        <f t="shared" si="63"/>
        <v>50</v>
      </c>
      <c r="AZ58" s="1">
        <f t="shared" si="63"/>
        <v>51</v>
      </c>
      <c r="BA58" s="1">
        <f t="shared" si="63"/>
        <v>52</v>
      </c>
      <c r="BB58" s="1">
        <f t="shared" si="63"/>
        <v>53</v>
      </c>
      <c r="BC58" s="1">
        <f t="shared" si="63"/>
        <v>54</v>
      </c>
      <c r="BD58" s="1">
        <f t="shared" si="63"/>
        <v>55</v>
      </c>
      <c r="BE58" s="1">
        <f t="shared" si="63"/>
        <v>56</v>
      </c>
      <c r="BF58" s="1">
        <f t="shared" si="63"/>
        <v>57</v>
      </c>
      <c r="BG58" s="1">
        <f t="shared" si="63"/>
        <v>58</v>
      </c>
      <c r="BH58" s="1">
        <f t="shared" si="63"/>
        <v>59</v>
      </c>
      <c r="BI58" s="1">
        <f t="shared" si="63"/>
        <v>60</v>
      </c>
      <c r="BJ58" s="1">
        <f t="shared" si="63"/>
        <v>61</v>
      </c>
      <c r="BK58" s="1">
        <f t="shared" si="63"/>
        <v>62</v>
      </c>
      <c r="BL58" s="1">
        <f t="shared" si="63"/>
        <v>63</v>
      </c>
      <c r="BM58" s="1">
        <f t="shared" si="63"/>
        <v>64</v>
      </c>
      <c r="BN58" s="1">
        <f t="shared" si="63"/>
        <v>65</v>
      </c>
      <c r="BO58" s="1">
        <f t="shared" si="63"/>
        <v>66</v>
      </c>
      <c r="BP58" s="1">
        <f t="shared" ref="BP58:BQ58" si="64">BO58+1</f>
        <v>67</v>
      </c>
      <c r="BQ58" s="1">
        <f t="shared" si="64"/>
        <v>68</v>
      </c>
      <c r="CA58" s="1">
        <f>BO58+1</f>
        <v>67</v>
      </c>
      <c r="CB58" s="1">
        <f t="shared" ref="CB58:CO58" si="65">CA58+1</f>
        <v>68</v>
      </c>
      <c r="CC58" s="1">
        <f t="shared" si="65"/>
        <v>69</v>
      </c>
      <c r="CD58" s="1">
        <f t="shared" si="65"/>
        <v>70</v>
      </c>
      <c r="CE58" s="1">
        <f t="shared" si="65"/>
        <v>71</v>
      </c>
      <c r="CF58" s="1">
        <f t="shared" si="65"/>
        <v>72</v>
      </c>
      <c r="CG58" s="1">
        <f t="shared" si="65"/>
        <v>73</v>
      </c>
      <c r="CH58" s="1">
        <f t="shared" si="65"/>
        <v>74</v>
      </c>
      <c r="CI58" s="1">
        <f t="shared" si="65"/>
        <v>75</v>
      </c>
      <c r="CJ58" s="1">
        <f t="shared" si="65"/>
        <v>76</v>
      </c>
      <c r="CK58" s="1">
        <f t="shared" si="65"/>
        <v>77</v>
      </c>
      <c r="CL58" s="1">
        <f t="shared" si="65"/>
        <v>78</v>
      </c>
      <c r="CM58" s="1">
        <f t="shared" si="65"/>
        <v>79</v>
      </c>
      <c r="CN58" s="1">
        <f t="shared" si="65"/>
        <v>80</v>
      </c>
      <c r="CO58" s="1">
        <f t="shared" si="65"/>
        <v>81</v>
      </c>
    </row>
  </sheetData>
  <autoFilter ref="A10:CQ10" xr:uid="{00000000-0001-0000-0F00-000000000000}"/>
  <mergeCells count="1">
    <mergeCell ref="CL3:CO3"/>
  </mergeCells>
  <conditionalFormatting sqref="BK11:BK50">
    <cfRule type="cellIs" dxfId="20" priority="2" operator="greaterThan">
      <formula>0.93</formula>
    </cfRule>
  </conditionalFormatting>
  <conditionalFormatting sqref="BS11:BS50">
    <cfRule type="cellIs" dxfId="19" priority="1" operator="between">
      <formula>3</formula>
      <formula>30</formula>
    </cfRule>
  </conditionalFormatting>
  <conditionalFormatting sqref="CE51">
    <cfRule type="cellIs" dxfId="18" priority="3" operator="notEqual">
      <formula>0</formula>
    </cfRule>
  </conditionalFormatting>
  <printOptions horizontalCentered="1"/>
  <pageMargins left="0.25" right="0.25" top="0.75" bottom="0.75" header="0.3" footer="0.3"/>
  <pageSetup paperSize="17" scale="18" orientation="landscape" r:id="rId1"/>
  <headerFooter alignWithMargins="0">
    <oddFooter>&amp;L&amp;F&amp;R&amp;D</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10830-429F-411D-B8F0-68A30D6AA815}">
  <sheetPr>
    <tabColor theme="6" tint="0.39997558519241921"/>
    <pageSetUpPr fitToPage="1"/>
  </sheetPr>
  <dimension ref="A1:CR58"/>
  <sheetViews>
    <sheetView zoomScale="80" zoomScaleNormal="80" workbookViewId="0">
      <pane xSplit="2" topLeftCell="C1" activePane="topRight" state="frozen"/>
      <selection activeCell="A2" sqref="A2"/>
      <selection pane="topRight" activeCell="A2" sqref="A2"/>
    </sheetView>
  </sheetViews>
  <sheetFormatPr defaultColWidth="9.42578125" defaultRowHeight="14.25"/>
  <cols>
    <col min="1" max="1" width="13.42578125" style="10" customWidth="1"/>
    <col min="2" max="2" width="40.140625" style="1" customWidth="1"/>
    <col min="3" max="3" width="21.42578125" style="1" customWidth="1"/>
    <col min="4" max="4" width="17.42578125" style="1" customWidth="1"/>
    <col min="5" max="5" width="14.42578125" style="1" customWidth="1"/>
    <col min="6" max="6" width="17.85546875" style="1" customWidth="1"/>
    <col min="7" max="7" width="14.5703125" style="1" customWidth="1"/>
    <col min="8" max="8" width="17.42578125" style="4" customWidth="1"/>
    <col min="9" max="9" width="9.42578125" style="1" customWidth="1"/>
    <col min="10" max="10" width="8.5703125" style="1" customWidth="1"/>
    <col min="11" max="11" width="11.5703125" style="1" customWidth="1"/>
    <col min="12" max="13" width="8.5703125" style="1" customWidth="1"/>
    <col min="14" max="16" width="15.5703125" style="1" customWidth="1"/>
    <col min="17" max="20" width="8.5703125" style="1" customWidth="1"/>
    <col min="21" max="22" width="15.5703125" style="1" customWidth="1"/>
    <col min="23" max="23" width="15.5703125" style="5" customWidth="1"/>
    <col min="24" max="27" width="10.5703125" style="1" customWidth="1"/>
    <col min="28" max="29" width="15.5703125" style="1" customWidth="1"/>
    <col min="30" max="30" width="15.5703125" style="5" customWidth="1"/>
    <col min="31" max="34" width="8.5703125" style="1" customWidth="1"/>
    <col min="35" max="36" width="15.5703125" style="1" customWidth="1"/>
    <col min="37" max="37" width="15.5703125" style="5" customWidth="1"/>
    <col min="38" max="40" width="8.5703125" style="1" customWidth="1"/>
    <col min="41" max="41" width="9.42578125" style="1" customWidth="1"/>
    <col min="42" max="43" width="15.5703125" style="1" customWidth="1"/>
    <col min="44" max="44" width="15.5703125" style="5" customWidth="1"/>
    <col min="45" max="45" width="9.42578125" style="1" customWidth="1"/>
    <col min="46" max="50" width="17.5703125" style="1" customWidth="1"/>
    <col min="51" max="51" width="9.42578125" style="1" customWidth="1"/>
    <col min="52" max="52" width="20.42578125" style="1" customWidth="1"/>
    <col min="53" max="57" width="17.5703125" style="1" customWidth="1"/>
    <col min="58" max="58" width="14.42578125" style="1" bestFit="1" customWidth="1"/>
    <col min="59" max="59" width="14.5703125" style="6" customWidth="1"/>
    <col min="60" max="60" width="18.5703125" style="1" customWidth="1"/>
    <col min="61" max="61" width="23.5703125" style="1" customWidth="1"/>
    <col min="62" max="62" width="15" style="1" customWidth="1"/>
    <col min="63" max="66" width="9.42578125" style="1" customWidth="1"/>
    <col min="67" max="79" width="21.5703125" style="1" customWidth="1"/>
    <col min="80" max="80" width="18.42578125" style="1" customWidth="1"/>
    <col min="81" max="81" width="18.42578125" style="8" customWidth="1"/>
    <col min="82" max="82" width="10" style="1" customWidth="1"/>
    <col min="83" max="83" width="23.5703125" style="1" customWidth="1"/>
    <col min="84" max="84" width="12.42578125" style="1" customWidth="1"/>
    <col min="85" max="85" width="14.85546875" style="1" customWidth="1"/>
    <col min="86" max="86" width="15.140625" style="1" customWidth="1"/>
    <col min="87" max="87" width="18.42578125" style="1" customWidth="1"/>
    <col min="88" max="88" width="15.85546875" style="1" customWidth="1"/>
    <col min="89" max="89" width="9.42578125" style="1" customWidth="1"/>
    <col min="90" max="91" width="21.5703125" style="1" customWidth="1"/>
    <col min="92" max="92" width="18.42578125" style="1" customWidth="1"/>
    <col min="93" max="93" width="18.42578125" style="8" customWidth="1"/>
    <col min="94" max="94" width="9.42578125" style="1"/>
    <col min="95" max="95" width="9.42578125" style="9"/>
    <col min="96" max="96" width="18.42578125" style="1" customWidth="1"/>
    <col min="97" max="16384" width="9.42578125" style="1"/>
  </cols>
  <sheetData>
    <row r="1" spans="1:96" ht="20.25">
      <c r="A1" s="370" t="s">
        <v>156</v>
      </c>
    </row>
    <row r="2" spans="1:96" ht="17.25">
      <c r="A2" s="1149" t="str" cm="1">
        <f t="array" aca="1" ref="A2" ca="1">"Scenario "&amp;MID(CELL("filename",A1),FIND("]",CELL("filename",A1))+1,500)</f>
        <v>Scenario S6C-Cost-25</v>
      </c>
      <c r="B2" s="11"/>
    </row>
    <row r="3" spans="1:96" ht="15" customHeight="1">
      <c r="A3" s="11"/>
      <c r="B3" s="11"/>
      <c r="C3" s="2" t="s">
        <v>0</v>
      </c>
      <c r="F3" s="3"/>
      <c r="BO3" s="7" t="s">
        <v>1</v>
      </c>
      <c r="BP3" s="7"/>
      <c r="BQ3" s="7"/>
      <c r="BR3" s="7"/>
      <c r="BS3" s="7"/>
      <c r="BT3" s="7"/>
      <c r="BU3" s="7"/>
      <c r="BV3" s="7"/>
      <c r="BW3" s="7"/>
      <c r="BX3" s="7"/>
      <c r="BY3" s="7"/>
      <c r="BZ3" s="7"/>
      <c r="CL3" s="1166" t="s">
        <v>2</v>
      </c>
      <c r="CM3" s="1166"/>
      <c r="CN3" s="1166"/>
      <c r="CO3" s="1166"/>
    </row>
    <row r="4" spans="1:96" ht="15" customHeight="1">
      <c r="A4" s="11"/>
      <c r="B4" s="11"/>
      <c r="C4" s="12">
        <v>0</v>
      </c>
      <c r="D4" s="13"/>
      <c r="E4" s="10"/>
      <c r="F4" s="14"/>
      <c r="H4" s="15"/>
      <c r="L4" s="16"/>
      <c r="N4" s="17"/>
      <c r="O4" s="17"/>
      <c r="R4" s="16"/>
      <c r="Y4" s="16"/>
      <c r="AF4" s="16"/>
      <c r="AM4" s="16"/>
    </row>
    <row r="5" spans="1:96" ht="15" customHeight="1">
      <c r="A5" s="11"/>
      <c r="B5" s="11"/>
      <c r="C5" s="18" t="s">
        <v>3</v>
      </c>
      <c r="D5" s="19"/>
      <c r="E5" s="20"/>
      <c r="F5" s="21"/>
      <c r="H5" s="15"/>
      <c r="L5" s="16"/>
      <c r="N5" s="17"/>
      <c r="O5" s="17"/>
      <c r="R5" s="16"/>
      <c r="Y5" s="16"/>
      <c r="AF5" s="16"/>
      <c r="AM5" s="16"/>
      <c r="AT5" s="22" t="s">
        <v>4</v>
      </c>
      <c r="AU5" s="23"/>
      <c r="AV5" s="23"/>
      <c r="AW5" s="23"/>
      <c r="AX5" s="24"/>
      <c r="AZ5" s="25" t="s">
        <v>5</v>
      </c>
      <c r="BI5" s="25" t="s">
        <v>6</v>
      </c>
      <c r="BO5" s="25" t="s">
        <v>7</v>
      </c>
      <c r="BP5" s="7"/>
      <c r="BQ5" s="7"/>
      <c r="BR5" s="7"/>
      <c r="BS5" s="7"/>
      <c r="BT5" s="7"/>
      <c r="BU5" s="283" t="s">
        <v>142</v>
      </c>
      <c r="BV5" s="7"/>
      <c r="BW5" s="7"/>
      <c r="BX5" s="7"/>
      <c r="BY5" s="7"/>
      <c r="BZ5" s="7"/>
      <c r="CM5" s="25" t="s">
        <v>7</v>
      </c>
    </row>
    <row r="6" spans="1:96">
      <c r="B6" s="26"/>
      <c r="C6" s="27">
        <v>0.35</v>
      </c>
      <c r="D6" s="27">
        <v>0.35</v>
      </c>
      <c r="E6" s="27">
        <v>0.15</v>
      </c>
      <c r="F6" s="27">
        <v>0.15</v>
      </c>
      <c r="H6" s="15"/>
      <c r="L6" s="16"/>
      <c r="N6" s="17"/>
      <c r="O6" s="17"/>
      <c r="R6" s="16"/>
      <c r="Y6" s="16"/>
      <c r="AF6" s="16"/>
      <c r="AM6" s="16"/>
      <c r="AT6" s="28">
        <v>0</v>
      </c>
      <c r="AU6" s="28">
        <v>0</v>
      </c>
      <c r="AV6" s="28">
        <v>0</v>
      </c>
      <c r="AW6" s="28">
        <v>0</v>
      </c>
      <c r="AX6" s="28">
        <v>0</v>
      </c>
      <c r="AY6" s="29"/>
      <c r="AZ6" s="30">
        <f>128674211*(1-AY8)</f>
        <v>122240500.44999999</v>
      </c>
      <c r="BA6" s="1" t="s">
        <v>8</v>
      </c>
      <c r="BI6" s="284">
        <v>0.3</v>
      </c>
      <c r="BO6" s="31">
        <f>$BJ$51+AZ8</f>
        <v>8639064.5872650389</v>
      </c>
      <c r="BP6" s="32"/>
      <c r="BQ6" s="32"/>
      <c r="BR6" s="32"/>
      <c r="BS6" s="32"/>
      <c r="BT6" s="32"/>
      <c r="BU6" s="285">
        <v>0.3</v>
      </c>
      <c r="BV6" s="32"/>
      <c r="BW6" s="32"/>
      <c r="BX6" s="32"/>
      <c r="BY6" s="32"/>
      <c r="BZ6" s="32"/>
      <c r="CM6" s="31">
        <f>CJ51</f>
        <v>870107.12142438698</v>
      </c>
    </row>
    <row r="7" spans="1:96" ht="15" customHeight="1" thickBot="1">
      <c r="A7" s="34" t="s">
        <v>143</v>
      </c>
      <c r="G7" s="35"/>
      <c r="BO7" s="286" t="s">
        <v>144</v>
      </c>
      <c r="BP7" s="286" t="s">
        <v>145</v>
      </c>
      <c r="BQ7" s="286" t="s">
        <v>146</v>
      </c>
    </row>
    <row r="8" spans="1:96" s="29" customFormat="1">
      <c r="A8" s="36"/>
      <c r="B8" s="37"/>
      <c r="C8" s="38" t="s">
        <v>10</v>
      </c>
      <c r="D8" s="39"/>
      <c r="E8" s="39"/>
      <c r="F8" s="39"/>
      <c r="G8" s="40"/>
      <c r="H8" s="41"/>
      <c r="J8" s="42" t="s">
        <v>11</v>
      </c>
      <c r="K8" s="43"/>
      <c r="L8" s="43"/>
      <c r="M8" s="43"/>
      <c r="N8" s="43"/>
      <c r="O8" s="43"/>
      <c r="P8" s="44"/>
      <c r="Q8" s="42" t="s">
        <v>12</v>
      </c>
      <c r="R8" s="43"/>
      <c r="S8" s="43"/>
      <c r="T8" s="43"/>
      <c r="U8" s="43"/>
      <c r="V8" s="43"/>
      <c r="W8" s="44"/>
      <c r="X8" s="42" t="s">
        <v>13</v>
      </c>
      <c r="Y8" s="43"/>
      <c r="Z8" s="43"/>
      <c r="AA8" s="43"/>
      <c r="AB8" s="43"/>
      <c r="AC8" s="43"/>
      <c r="AD8" s="44"/>
      <c r="AE8" s="42" t="s">
        <v>14</v>
      </c>
      <c r="AF8" s="43"/>
      <c r="AG8" s="43"/>
      <c r="AH8" s="43"/>
      <c r="AI8" s="43"/>
      <c r="AJ8" s="43"/>
      <c r="AK8" s="44"/>
      <c r="AL8" s="42" t="s">
        <v>15</v>
      </c>
      <c r="AM8" s="43"/>
      <c r="AN8" s="43"/>
      <c r="AO8" s="43"/>
      <c r="AP8" s="43"/>
      <c r="AQ8" s="43"/>
      <c r="AR8" s="44"/>
      <c r="AX8" s="287" t="s">
        <v>16</v>
      </c>
      <c r="AY8" s="288">
        <v>0.05</v>
      </c>
      <c r="AZ8" s="46">
        <f>128674211*AY8</f>
        <v>6433710.5500000007</v>
      </c>
      <c r="BA8" s="46"/>
      <c r="BB8" s="46"/>
      <c r="BC8" s="46"/>
      <c r="BD8" s="46"/>
      <c r="BG8" s="47"/>
      <c r="BO8" s="289">
        <v>0.25</v>
      </c>
      <c r="BP8" s="289">
        <v>0.25</v>
      </c>
      <c r="BQ8" s="289">
        <v>0.5</v>
      </c>
      <c r="BR8" s="48"/>
      <c r="BS8" s="48"/>
      <c r="BT8" s="48"/>
      <c r="BU8" s="48"/>
      <c r="BV8" s="48"/>
      <c r="BW8" s="48"/>
      <c r="BX8" s="48"/>
      <c r="BY8" s="48"/>
      <c r="BZ8" s="48"/>
      <c r="CA8" s="48"/>
      <c r="CB8" s="48"/>
      <c r="CC8" s="49" t="s">
        <v>18</v>
      </c>
      <c r="CD8" s="50">
        <f>AZ6-CC51</f>
        <v>-6433710.5500000119</v>
      </c>
      <c r="CL8" s="48" t="s">
        <v>17</v>
      </c>
      <c r="CM8" s="48"/>
      <c r="CN8" s="48"/>
      <c r="CO8" s="49" t="s">
        <v>18</v>
      </c>
      <c r="CQ8" s="51"/>
    </row>
    <row r="9" spans="1:96" s="29" customFormat="1" ht="15" thickBot="1">
      <c r="A9" s="52"/>
      <c r="B9" s="53" t="s">
        <v>19</v>
      </c>
      <c r="C9" s="54">
        <f>C$6</f>
        <v>0.35</v>
      </c>
      <c r="D9" s="54">
        <f>D$6</f>
        <v>0.35</v>
      </c>
      <c r="E9" s="54">
        <f>E$6</f>
        <v>0.15</v>
      </c>
      <c r="F9" s="54">
        <f>F$6</f>
        <v>0.15</v>
      </c>
      <c r="G9" s="54"/>
      <c r="H9" s="55"/>
      <c r="J9" s="56" t="s">
        <v>20</v>
      </c>
      <c r="K9" s="57"/>
      <c r="L9" s="57"/>
      <c r="M9" s="57"/>
      <c r="N9" s="57"/>
      <c r="O9" s="57"/>
      <c r="P9" s="58"/>
      <c r="Q9" s="56" t="s">
        <v>21</v>
      </c>
      <c r="R9" s="57"/>
      <c r="S9" s="57"/>
      <c r="T9" s="57"/>
      <c r="U9" s="57"/>
      <c r="V9" s="57"/>
      <c r="W9" s="58"/>
      <c r="X9" s="56" t="s">
        <v>22</v>
      </c>
      <c r="Y9" s="57"/>
      <c r="Z9" s="57"/>
      <c r="AA9" s="57"/>
      <c r="AB9" s="57"/>
      <c r="AC9" s="57"/>
      <c r="AD9" s="58"/>
      <c r="AE9" s="56" t="s">
        <v>23</v>
      </c>
      <c r="AF9" s="57"/>
      <c r="AG9" s="57"/>
      <c r="AH9" s="57"/>
      <c r="AI9" s="57"/>
      <c r="AJ9" s="57"/>
      <c r="AK9" s="58"/>
      <c r="AL9" s="56" t="s">
        <v>24</v>
      </c>
      <c r="AM9" s="57"/>
      <c r="AN9" s="57"/>
      <c r="AO9" s="57"/>
      <c r="AP9" s="57"/>
      <c r="AQ9" s="57"/>
      <c r="AR9" s="58"/>
      <c r="BG9" s="59" t="s">
        <v>25</v>
      </c>
      <c r="BO9" s="59" t="s">
        <v>26</v>
      </c>
      <c r="BP9" s="59"/>
      <c r="BQ9" s="59"/>
      <c r="BR9" s="59"/>
      <c r="BS9" s="59"/>
      <c r="BT9" s="59"/>
      <c r="BU9" s="59"/>
      <c r="BV9" s="59"/>
      <c r="BW9" s="59"/>
      <c r="BX9" s="59"/>
      <c r="BY9" s="59"/>
      <c r="BZ9" s="59"/>
      <c r="CC9" s="60"/>
      <c r="CG9" s="59" t="s">
        <v>27</v>
      </c>
      <c r="CL9" s="59" t="s">
        <v>28</v>
      </c>
      <c r="CO9" s="60"/>
      <c r="CQ9" s="51"/>
    </row>
    <row r="10" spans="1:96" s="45" customFormat="1" ht="101.25" customHeight="1">
      <c r="A10" s="61" t="s">
        <v>29</v>
      </c>
      <c r="B10" s="62" t="s">
        <v>30</v>
      </c>
      <c r="C10" s="63" t="s">
        <v>147</v>
      </c>
      <c r="D10" s="64" t="s">
        <v>148</v>
      </c>
      <c r="E10" s="64" t="s">
        <v>149</v>
      </c>
      <c r="F10" s="64" t="s">
        <v>150</v>
      </c>
      <c r="G10" s="64" t="s">
        <v>35</v>
      </c>
      <c r="H10" s="65" t="s">
        <v>36</v>
      </c>
      <c r="J10" s="66">
        <v>2019</v>
      </c>
      <c r="K10" s="66">
        <v>2021</v>
      </c>
      <c r="L10" s="66">
        <v>2022</v>
      </c>
      <c r="M10" s="66">
        <v>2023</v>
      </c>
      <c r="N10" s="67" t="s">
        <v>37</v>
      </c>
      <c r="O10" s="67" t="s">
        <v>38</v>
      </c>
      <c r="P10" s="68" t="s">
        <v>39</v>
      </c>
      <c r="Q10" s="66">
        <v>2019</v>
      </c>
      <c r="R10" s="66">
        <v>2021</v>
      </c>
      <c r="S10" s="66">
        <v>2022</v>
      </c>
      <c r="T10" s="66">
        <v>2023</v>
      </c>
      <c r="U10" s="67" t="s">
        <v>40</v>
      </c>
      <c r="V10" s="67" t="s">
        <v>41</v>
      </c>
      <c r="W10" s="68" t="s">
        <v>39</v>
      </c>
      <c r="X10" s="66">
        <v>2019</v>
      </c>
      <c r="Y10" s="66">
        <v>2021</v>
      </c>
      <c r="Z10" s="66">
        <v>2022</v>
      </c>
      <c r="AA10" s="66">
        <v>2023</v>
      </c>
      <c r="AB10" s="67" t="s">
        <v>42</v>
      </c>
      <c r="AC10" s="67" t="s">
        <v>43</v>
      </c>
      <c r="AD10" s="68" t="s">
        <v>39</v>
      </c>
      <c r="AE10" s="66">
        <v>2019</v>
      </c>
      <c r="AF10" s="66">
        <v>2021</v>
      </c>
      <c r="AG10" s="66">
        <v>2022</v>
      </c>
      <c r="AH10" s="66">
        <v>2023</v>
      </c>
      <c r="AI10" s="67" t="s">
        <v>44</v>
      </c>
      <c r="AJ10" s="67" t="s">
        <v>45</v>
      </c>
      <c r="AK10" s="68" t="s">
        <v>39</v>
      </c>
      <c r="AL10" s="66">
        <v>2019</v>
      </c>
      <c r="AM10" s="66">
        <v>2021</v>
      </c>
      <c r="AN10" s="66">
        <v>2022</v>
      </c>
      <c r="AO10" s="66">
        <v>2023</v>
      </c>
      <c r="AP10" s="67" t="s">
        <v>46</v>
      </c>
      <c r="AQ10" s="67" t="s">
        <v>47</v>
      </c>
      <c r="AR10" s="68" t="s">
        <v>39</v>
      </c>
      <c r="AT10" s="69" t="s">
        <v>48</v>
      </c>
      <c r="AU10" s="70" t="s">
        <v>49</v>
      </c>
      <c r="AV10" s="70" t="s">
        <v>50</v>
      </c>
      <c r="AW10" s="70" t="s">
        <v>51</v>
      </c>
      <c r="AX10" s="71" t="s">
        <v>52</v>
      </c>
      <c r="AZ10" s="72" t="s">
        <v>53</v>
      </c>
      <c r="BA10" s="73" t="s">
        <v>54</v>
      </c>
      <c r="BB10" s="73" t="s">
        <v>55</v>
      </c>
      <c r="BC10" s="73" t="s">
        <v>56</v>
      </c>
      <c r="BD10" s="73" t="s">
        <v>57</v>
      </c>
      <c r="BE10" s="74" t="s">
        <v>58</v>
      </c>
      <c r="BG10" s="75" t="s">
        <v>59</v>
      </c>
      <c r="BH10" s="76" t="s">
        <v>60</v>
      </c>
      <c r="BI10" s="76" t="s">
        <v>61</v>
      </c>
      <c r="BJ10" s="77" t="s">
        <v>62</v>
      </c>
      <c r="BL10" s="290" t="s">
        <v>63</v>
      </c>
      <c r="BM10" s="290" t="s">
        <v>64</v>
      </c>
      <c r="BN10" s="290" t="s">
        <v>65</v>
      </c>
      <c r="BO10" s="75" t="s">
        <v>66</v>
      </c>
      <c r="BP10" s="291" t="s">
        <v>151</v>
      </c>
      <c r="BQ10" s="291" t="s">
        <v>152</v>
      </c>
      <c r="BR10" s="291" t="s">
        <v>153</v>
      </c>
      <c r="BS10" s="291" t="s">
        <v>154</v>
      </c>
      <c r="BT10" s="291" t="s">
        <v>76</v>
      </c>
      <c r="BU10" s="291" t="s">
        <v>71</v>
      </c>
      <c r="BV10" s="292" t="s">
        <v>72</v>
      </c>
      <c r="BW10" s="292" t="s">
        <v>73</v>
      </c>
      <c r="BX10" s="291" t="s">
        <v>74</v>
      </c>
      <c r="BY10" s="291" t="s">
        <v>75</v>
      </c>
      <c r="BZ10" s="291" t="s">
        <v>76</v>
      </c>
      <c r="CA10" s="76" t="s">
        <v>80</v>
      </c>
      <c r="CB10" s="76" t="s">
        <v>77</v>
      </c>
      <c r="CC10" s="81" t="s">
        <v>78</v>
      </c>
      <c r="CE10" s="82" t="s">
        <v>79</v>
      </c>
      <c r="CG10" s="83" t="s">
        <v>59</v>
      </c>
      <c r="CH10" s="84" t="s">
        <v>60</v>
      </c>
      <c r="CI10" s="84" t="s">
        <v>61</v>
      </c>
      <c r="CJ10" s="85" t="s">
        <v>62</v>
      </c>
      <c r="CL10" s="86" t="s">
        <v>66</v>
      </c>
      <c r="CM10" s="87" t="s">
        <v>80</v>
      </c>
      <c r="CN10" s="87" t="s">
        <v>77</v>
      </c>
      <c r="CO10" s="88" t="s">
        <v>78</v>
      </c>
      <c r="CQ10" s="51" t="s">
        <v>81</v>
      </c>
    </row>
    <row r="11" spans="1:96">
      <c r="A11" s="89" t="s">
        <v>82</v>
      </c>
      <c r="B11" s="90" t="s">
        <v>83</v>
      </c>
      <c r="C11" s="208">
        <f>'Op Cost-25'!E4</f>
        <v>2499963</v>
      </c>
      <c r="D11" s="92">
        <f>'Ridership-25'!$E3</f>
        <v>121717</v>
      </c>
      <c r="E11" s="92">
        <f>'Revenue Hours-25'!$E3</f>
        <v>32940</v>
      </c>
      <c r="F11" s="92">
        <f>'Revenue Miles-25'!$E3</f>
        <v>692104</v>
      </c>
      <c r="G11" s="93">
        <f t="shared" ref="G11:G33" si="0">IFERROR($C$9*(C11/C$51),0) + IFERROR($D$9*(D11/D$51),0) + IFERROR($E$9*(E11/E$51),0) + IFERROR($F$9*(F11/F$51),0)</f>
        <v>5.2730956744402096E-3</v>
      </c>
      <c r="H11" s="94">
        <f t="shared" ref="H11:H33" si="1">G11/(SUM($G$11:$G$50)-$G$34)*(1-$G$34)</f>
        <v>5.2730956744402105E-3</v>
      </c>
      <c r="J11" s="95">
        <f>'Ridership-25'!B3/'Revenue Hours-25'!B3</f>
        <v>4.5693508022964817</v>
      </c>
      <c r="K11" s="96">
        <f>'Ridership-25'!C3/'Revenue Hours-25'!C3</f>
        <v>3.0233116215289679</v>
      </c>
      <c r="L11" s="96">
        <f>'Ridership-25'!D3/'Revenue Hours-25'!D3</f>
        <v>3.1691372472531043</v>
      </c>
      <c r="M11" s="96">
        <f>'Ridership-25'!E3/'Revenue Hours-25'!E3</f>
        <v>3.6951123254401943</v>
      </c>
      <c r="N11" s="97">
        <f t="shared" ref="N11:N50" si="2">IF(J11=0,IF(K11=0,1,AVERAGE(1,(L11/K11)/($L$51/$K$51),(M11/L11)/($M$51/$L$51))), AVERAGE((K11/J11)/($K$51/$J$51),(L11/K11)/($L$51/$K$51),(M11/L11)/($M$51/$L$51)))</f>
        <v>1.0255640826158483</v>
      </c>
      <c r="O11" s="98">
        <f t="shared" ref="O11:O50" si="3">$H11*N11</f>
        <v>5.4078975279028725E-3</v>
      </c>
      <c r="P11" s="99">
        <f t="shared" ref="P11:P50" si="4">O11/SUM($O$11:$O$50)</f>
        <v>5.1068575046974169E-3</v>
      </c>
      <c r="Q11" s="95">
        <f>'Ridership-25'!B3/'Revenue Miles-25'!B3</f>
        <v>0.21529352848722441</v>
      </c>
      <c r="R11" s="96">
        <f>'Ridership-25'!C3/'Revenue Miles-25'!C3</f>
        <v>0.1472857600940598</v>
      </c>
      <c r="S11" s="96">
        <f>'Ridership-25'!D3/'Revenue Miles-25'!D3</f>
        <v>0.15372497942218116</v>
      </c>
      <c r="T11" s="96">
        <f>'Ridership-25'!E3/'Revenue Miles-25'!E3</f>
        <v>0.17586518789083722</v>
      </c>
      <c r="U11" s="97">
        <f t="shared" ref="U11:U50" si="5">IF(Q11=0,IF(R11=0,1,AVERAGE(1,(S11/R11)/($S$51/$R$51),(T11/S11)/($T$51/$S$51))), AVERAGE((R11/Q11)/($R$51/$Q$51),(S11/R11)/($S$51/$R$51),(T11/S11)/($T$51/$S$51)))</f>
        <v>1.0325415201368429</v>
      </c>
      <c r="V11" s="98">
        <f t="shared" ref="V11:V50" si="6">$H11*U11</f>
        <v>5.4446902235135057E-3</v>
      </c>
      <c r="W11" s="99">
        <f t="shared" ref="W11:W50" si="7">V11/SUM($V$11:$V$50)</f>
        <v>5.1610337540509456E-3</v>
      </c>
      <c r="X11" s="95">
        <f>'Op Cost-25'!B4/'Revenue Hours-25'!B3</f>
        <v>50.181245399676136</v>
      </c>
      <c r="Y11" s="96">
        <f>'Op Cost-25'!C4/'Revenue Hours-25'!C3</f>
        <v>64.628076791223862</v>
      </c>
      <c r="Z11" s="96">
        <f>'Op Cost-25'!D4/'Revenue Hours-25'!D3</f>
        <v>74.945094597230351</v>
      </c>
      <c r="AA11" s="96">
        <f>'Op Cost-25'!E4/'Revenue Hours-25'!E3</f>
        <v>75.894444444444446</v>
      </c>
      <c r="AB11" s="97">
        <f t="shared" ref="AB11:AB50" si="8">IF(X11=0,IF(Y11=0,1,AVERAGE(1,(Z11/Y11)/($Z$51/$Z$51),(AA11/Z11)/($AA$51/$Z$51))), AVERAGE((Y11/X11)/($Y$51/$X$51),(Z11/Y11)/($Z$51/$Y$51),(AA11/Z11)/($AA$51/$Z$51)))</f>
        <v>1.0999423299281934</v>
      </c>
      <c r="AC11" s="98">
        <f t="shared" ref="AC11:AC50" si="9">$H11*(1/AB11)</f>
        <v>4.7939746757309082E-3</v>
      </c>
      <c r="AD11" s="99">
        <f t="shared" ref="AD11:AD50" si="10">AC11/SUM($AC$11:$AC$50)</f>
        <v>5.1147650262294312E-3</v>
      </c>
      <c r="AE11" s="95">
        <f>'Op Cost-25'!B4/'Revenue Miles-25'!B3</f>
        <v>2.3643834438252824</v>
      </c>
      <c r="AF11" s="96">
        <f>'Op Cost-25'!C4/'Revenue Miles-25'!C3</f>
        <v>3.148466517916789</v>
      </c>
      <c r="AG11" s="96">
        <f>'Op Cost-25'!D4/'Revenue Miles-25'!D3</f>
        <v>3.6353531658304137</v>
      </c>
      <c r="AH11" s="96">
        <f>'Op Cost-25'!E4/'Revenue Miles-25'!E3</f>
        <v>3.61212043276733</v>
      </c>
      <c r="AI11" s="97">
        <f t="shared" ref="AI11:AI50" si="11">IF(AE11=0,IF(AF11=0,1,AVERAGE(1,(AG11/AF11)/($AG$51/$AF$51),(AH11/AG11)/($AH$51/$AG$51))), AVERAGE((AF11/AE11)/($AF$51/$AE$51),(AG11/AF11)/($AG$51/$AF$51),(AH11/AG11)/($AH$51/$AG$51)))</f>
        <v>1.1070146946084785</v>
      </c>
      <c r="AJ11" s="98">
        <f t="shared" ref="AJ11:AJ50" si="12">$H11*(1/AI11)</f>
        <v>4.7633474967603423E-3</v>
      </c>
      <c r="AK11" s="99">
        <f t="shared" ref="AK11:AK50" si="13">AJ11/SUM($AJ$11:$AJ$50)</f>
        <v>5.0694593775736973E-3</v>
      </c>
      <c r="AL11" s="95">
        <f>'Op Cost-25'!B4/'Ridership-25'!B3</f>
        <v>10.982138945089499</v>
      </c>
      <c r="AM11" s="96">
        <f>'Op Cost-25'!C4/'Ridership-25'!C3</f>
        <v>21.37658464678535</v>
      </c>
      <c r="AN11" s="96">
        <f>'Op Cost-25'!D4/'Ridership-25'!D3</f>
        <v>23.64842187323698</v>
      </c>
      <c r="AO11" s="96">
        <f>'Op Cost-25'!E4/'Ridership-25'!E3</f>
        <v>20.53914408012028</v>
      </c>
      <c r="AP11" s="100">
        <f t="shared" ref="AP11:AP50" si="14">IF(AL11=0,IF(AM11=0,1,AVERAGE(1,(AN11/AM11)/($AN$51/$AM$51),(AO11/AN11)/($AO$51/$AN$51))), AVERAGE((AM11/AL11)/($AM$51/$AL$51),(AN11/AM11)/($AN$51/$AM$51),(AO11/AN11)/($AO$51/$AN$51)))</f>
        <v>1.1189482347230808</v>
      </c>
      <c r="AQ11" s="98">
        <f t="shared" ref="AQ11:AQ50" si="15">$H11*(1/AP11)</f>
        <v>4.7125465779435322E-3</v>
      </c>
      <c r="AR11" s="99">
        <f t="shared" ref="AR11:AR50" si="16">AQ11/SUM($AQ$11:$AQ$50)</f>
        <v>5.1181291226196834E-3</v>
      </c>
      <c r="AT11" s="101">
        <f>P11*AT$6</f>
        <v>0</v>
      </c>
      <c r="AU11" s="102">
        <f t="shared" ref="AU11:AU50" si="17">W11*AU$6</f>
        <v>0</v>
      </c>
      <c r="AV11" s="102">
        <f t="shared" ref="AV11:AV50" si="18">AD11*AV$6</f>
        <v>0</v>
      </c>
      <c r="AW11" s="102">
        <f t="shared" ref="AW11:AW50" si="19">AK11*AW$6</f>
        <v>0</v>
      </c>
      <c r="AX11" s="103">
        <f t="shared" ref="AX11:AX50" si="20">AR11*AX$6</f>
        <v>0</v>
      </c>
      <c r="AY11" s="293">
        <f>(SUM(AT11:AX11)-H11)/H11</f>
        <v>-1</v>
      </c>
      <c r="AZ11" s="105">
        <f t="shared" ref="AZ11:BD51" si="21">AT11*$AZ$6</f>
        <v>0</v>
      </c>
      <c r="BA11" s="106">
        <f t="shared" si="21"/>
        <v>0</v>
      </c>
      <c r="BB11" s="106">
        <f t="shared" si="21"/>
        <v>0</v>
      </c>
      <c r="BC11" s="106">
        <f t="shared" si="21"/>
        <v>0</v>
      </c>
      <c r="BD11" s="106">
        <f t="shared" si="21"/>
        <v>0</v>
      </c>
      <c r="BE11" s="107">
        <f>$AZ$6*H11</f>
        <v>644585.85416430153</v>
      </c>
      <c r="BG11" s="108">
        <f>'Op Cost-25'!E4</f>
        <v>2499963</v>
      </c>
      <c r="BH11" s="109">
        <f t="shared" ref="BH11:BH50" si="22">BE11/BG11</f>
        <v>0.25783815767045415</v>
      </c>
      <c r="BI11" s="110">
        <f t="shared" ref="BI11:BI50" si="23">IF(BE11&gt;BG11*$BI$6,BG11*$BI$6,BE11)</f>
        <v>644585.85416430153</v>
      </c>
      <c r="BJ11" s="111">
        <f t="shared" ref="BJ11:BJ50" si="24">BE11-BI11</f>
        <v>0</v>
      </c>
      <c r="BK11" s="1">
        <f>BL11*$BO$8+BM11*$BP$8+BN11*$BQ$8</f>
        <v>0.41276343015048933</v>
      </c>
      <c r="BL11" s="294">
        <f>M11/$M$51</f>
        <v>0.34517483234349511</v>
      </c>
      <c r="BM11" s="294">
        <f>T11/$T$51</f>
        <v>0.2370362312234541</v>
      </c>
      <c r="BN11" s="295">
        <f>(1/AO11)/(1/$AO$51)</f>
        <v>0.53442132851750412</v>
      </c>
      <c r="BO11" s="114">
        <f t="shared" ref="BO11:BO50" si="25">IF(OR(BJ11&gt;0,BH11&gt;=0.294),0,BI11)</f>
        <v>644585.85416430153</v>
      </c>
      <c r="BP11" s="296">
        <f>BL11*$BO$8+BM11*$BP$8+BN11*$BQ$8</f>
        <v>0.41276343015048933</v>
      </c>
      <c r="BQ11" s="116">
        <f>BP11*H11</f>
        <v>2.1765410580936494E-3</v>
      </c>
      <c r="BR11" s="297">
        <f>IF(BO11=0,0,BQ11)</f>
        <v>2.1765410580936494E-3</v>
      </c>
      <c r="BS11" s="117">
        <f>BR11/$BR$51</f>
        <v>2.4609453055256195E-3</v>
      </c>
      <c r="BT11" s="298">
        <f>$BO$6*BS11+BI11</f>
        <v>665846.11960446404</v>
      </c>
      <c r="BU11" s="119">
        <f>BG11*$BU$6</f>
        <v>749988.9</v>
      </c>
      <c r="BV11" s="119">
        <f>IF(BT11&lt;BU11,BT11, BU11)</f>
        <v>665846.11960446404</v>
      </c>
      <c r="BW11" s="119">
        <f>BT11-BV11</f>
        <v>0</v>
      </c>
      <c r="BX11" s="120">
        <f>IF(AND(BW11=0, BJ11=0),BQ11,0)</f>
        <v>2.1765410580936494E-3</v>
      </c>
      <c r="BY11" s="121">
        <f>IF($BX$51=0,1, BX11/$BX$51)</f>
        <v>4.3906600986245714E-3</v>
      </c>
      <c r="BZ11" s="299">
        <f>$BW$51*BY11+BV11</f>
        <v>669666.4642240312</v>
      </c>
      <c r="CA11" s="109">
        <f t="shared" ref="CA11:CA50" si="26">BO11/$BO$51</f>
        <v>5.8569341711300904E-3</v>
      </c>
      <c r="CB11" s="123">
        <f t="shared" ref="CB11:CB16" si="27">CA11*$BO$6</f>
        <v>50598.432587752475</v>
      </c>
      <c r="CC11" s="111">
        <f>ROUND((CB11+BI11),0)</f>
        <v>695184</v>
      </c>
      <c r="CE11" s="124">
        <f t="shared" ref="CE11:CE50" si="28">IF(CC11&gt;($BI$6*BG11),1,0)</f>
        <v>0</v>
      </c>
      <c r="CF11" s="17"/>
      <c r="CG11" s="108">
        <f>BG11</f>
        <v>2499963</v>
      </c>
      <c r="CH11" s="125">
        <f>CC11/BG11</f>
        <v>0.27807771555019012</v>
      </c>
      <c r="CI11" s="110">
        <f>IF(BT11&gt;BG11*$BI$6,BG11*$BI$6,BT11)</f>
        <v>665846.11960446404</v>
      </c>
      <c r="CJ11" s="300">
        <f>BT11-CI11</f>
        <v>0</v>
      </c>
      <c r="CL11" s="127">
        <f>IF(OR(CJ11&gt;0,CH11&gt;=0.294),0,CI11)</f>
        <v>665846.11960446404</v>
      </c>
      <c r="CM11" s="128">
        <f>CL11/$CL$51</f>
        <v>7.7495860872184149E-3</v>
      </c>
      <c r="CN11" s="129">
        <f>CM11*$CM$6</f>
        <v>6742.9700425800929</v>
      </c>
      <c r="CO11" s="130">
        <f>ROUND((CN11+CI11),0)</f>
        <v>672589</v>
      </c>
      <c r="CQ11" s="131">
        <f>BZ11/CG11</f>
        <v>0.26787055017375505</v>
      </c>
      <c r="CR11" s="301"/>
    </row>
    <row r="12" spans="1:96">
      <c r="A12" s="133" t="s">
        <v>82</v>
      </c>
      <c r="B12" s="90" t="s">
        <v>84</v>
      </c>
      <c r="C12" s="208">
        <f>'Op Cost-25'!E5</f>
        <v>398814</v>
      </c>
      <c r="D12" s="92">
        <f>'Ridership-25'!$E4</f>
        <v>43762</v>
      </c>
      <c r="E12" s="92">
        <f>'Revenue Hours-25'!$E4</f>
        <v>7886</v>
      </c>
      <c r="F12" s="92">
        <f>'Revenue Miles-25'!$E4</f>
        <v>94333</v>
      </c>
      <c r="G12" s="134">
        <f t="shared" si="0"/>
        <v>1.071176781062159E-3</v>
      </c>
      <c r="H12" s="94">
        <f t="shared" si="1"/>
        <v>1.0711767810621592E-3</v>
      </c>
      <c r="J12" s="95">
        <f>'Ridership-25'!B4/'Revenue Hours-25'!B4</f>
        <v>7.0756269072575293</v>
      </c>
      <c r="K12" s="96">
        <f>'Ridership-25'!C4/'Revenue Hours-25'!C4</f>
        <v>3.8435006435006436</v>
      </c>
      <c r="L12" s="96">
        <f>'Ridership-25'!D4/'Revenue Hours-25'!D4</f>
        <v>4.8354101054361225</v>
      </c>
      <c r="M12" s="96">
        <f>'Ridership-25'!E4/'Revenue Hours-25'!E4</f>
        <v>5.5493279229013446</v>
      </c>
      <c r="N12" s="97">
        <f t="shared" si="2"/>
        <v>0.99788982541066573</v>
      </c>
      <c r="O12" s="98">
        <f t="shared" si="3"/>
        <v>1.0689164110380771E-3</v>
      </c>
      <c r="P12" s="99">
        <f t="shared" si="4"/>
        <v>1.0094133195827958E-3</v>
      </c>
      <c r="Q12" s="95">
        <f>'Ridership-25'!B4/'Revenue Miles-25'!B4</f>
        <v>0.61203433791631279</v>
      </c>
      <c r="R12" s="96">
        <f>'Ridership-25'!C4/'Revenue Miles-25'!C4</f>
        <v>0.31931227680003421</v>
      </c>
      <c r="S12" s="96">
        <f>'Ridership-25'!D4/'Revenue Miles-25'!D4</f>
        <v>0.41985803797543603</v>
      </c>
      <c r="T12" s="96">
        <f>'Ridership-25'!E4/'Revenue Miles-25'!E4</f>
        <v>0.46390976646560589</v>
      </c>
      <c r="U12" s="97">
        <f t="shared" si="5"/>
        <v>0.98970909906924531</v>
      </c>
      <c r="V12" s="98">
        <f t="shared" si="6"/>
        <v>1.0601534069289238E-3</v>
      </c>
      <c r="W12" s="99">
        <f t="shared" si="7"/>
        <v>1.0049217297988873E-3</v>
      </c>
      <c r="X12" s="95">
        <f>'Op Cost-25'!B5/'Revenue Hours-25'!B4</f>
        <v>54.185219583388616</v>
      </c>
      <c r="Y12" s="96">
        <f>'Op Cost-25'!C5/'Revenue Hours-25'!C4</f>
        <v>108.14491634491634</v>
      </c>
      <c r="Z12" s="96">
        <f>'Op Cost-25'!D5/'Revenue Hours-25'!D4</f>
        <v>62.039983568396551</v>
      </c>
      <c r="AA12" s="96">
        <f>'Op Cost-25'!E5/'Revenue Hours-25'!E4</f>
        <v>50.572406796855184</v>
      </c>
      <c r="AB12" s="97">
        <f t="shared" si="8"/>
        <v>1.0275887811661744</v>
      </c>
      <c r="AC12" s="98">
        <f t="shared" si="9"/>
        <v>1.0424177459844573E-3</v>
      </c>
      <c r="AD12" s="99">
        <f t="shared" si="10"/>
        <v>1.1121714632481496E-3</v>
      </c>
      <c r="AE12" s="95">
        <f>'Op Cost-25'!B5/'Revenue Miles-25'!B4</f>
        <v>4.6869649046296509</v>
      </c>
      <c r="AF12" s="96">
        <f>'Op Cost-25'!C5/'Revenue Miles-25'!C4</f>
        <v>8.9845176742296253</v>
      </c>
      <c r="AG12" s="96">
        <f>'Op Cost-25'!D5/'Revenue Miles-25'!D4</f>
        <v>5.3869237994459436</v>
      </c>
      <c r="AH12" s="96">
        <f>'Op Cost-25'!E5/'Revenue Miles-25'!E4</f>
        <v>4.2277251863080787</v>
      </c>
      <c r="AI12" s="97">
        <f t="shared" si="11"/>
        <v>1.0006231580562883</v>
      </c>
      <c r="AJ12" s="98">
        <f t="shared" si="12"/>
        <v>1.0705096843280355E-3</v>
      </c>
      <c r="AK12" s="99">
        <f t="shared" si="13"/>
        <v>1.1393049450394237E-3</v>
      </c>
      <c r="AL12" s="95">
        <f>'Op Cost-25'!B5/'Ridership-25'!B4</f>
        <v>7.6580097132892044</v>
      </c>
      <c r="AM12" s="96">
        <f>'Op Cost-25'!C5/'Ridership-25'!C4</f>
        <v>28.137088132869007</v>
      </c>
      <c r="AN12" s="96">
        <f>'Op Cost-25'!D5/'Ridership-25'!D4</f>
        <v>12.830345765015716</v>
      </c>
      <c r="AO12" s="96">
        <f>'Op Cost-25'!E5/'Ridership-25'!E4</f>
        <v>9.1132489374343031</v>
      </c>
      <c r="AP12" s="100">
        <f t="shared" si="14"/>
        <v>1.0148372723489094</v>
      </c>
      <c r="AQ12" s="98">
        <f t="shared" si="15"/>
        <v>1.0555158055860999E-3</v>
      </c>
      <c r="AR12" s="99">
        <f t="shared" si="16"/>
        <v>1.1463581515013996E-3</v>
      </c>
      <c r="AT12" s="101">
        <f t="shared" ref="AT12:AT50" si="29">P12*AT$6</f>
        <v>0</v>
      </c>
      <c r="AU12" s="102">
        <f t="shared" si="17"/>
        <v>0</v>
      </c>
      <c r="AV12" s="102">
        <f t="shared" si="18"/>
        <v>0</v>
      </c>
      <c r="AW12" s="102">
        <f t="shared" si="19"/>
        <v>0</v>
      </c>
      <c r="AX12" s="103">
        <f t="shared" si="20"/>
        <v>0</v>
      </c>
      <c r="AY12" s="293">
        <f t="shared" ref="AY12:AY50" si="30">(SUM(AT12:AX12)-H12)/H12</f>
        <v>-1</v>
      </c>
      <c r="AZ12" s="105">
        <f t="shared" si="21"/>
        <v>0</v>
      </c>
      <c r="BA12" s="106">
        <f t="shared" si="21"/>
        <v>0</v>
      </c>
      <c r="BB12" s="106">
        <f t="shared" si="21"/>
        <v>0</v>
      </c>
      <c r="BC12" s="106">
        <f t="shared" si="21"/>
        <v>0</v>
      </c>
      <c r="BD12" s="106">
        <f t="shared" si="21"/>
        <v>0</v>
      </c>
      <c r="BE12" s="107">
        <f t="shared" ref="BE12:BE49" si="31">$AZ$6*H12</f>
        <v>130941.18578745841</v>
      </c>
      <c r="BG12" s="108">
        <f>'Op Cost-25'!E5</f>
        <v>398814</v>
      </c>
      <c r="BH12" s="109">
        <f t="shared" si="22"/>
        <v>0.32832645240001207</v>
      </c>
      <c r="BI12" s="110">
        <f t="shared" si="23"/>
        <v>119644.2</v>
      </c>
      <c r="BJ12" s="111">
        <f t="shared" si="24"/>
        <v>11296.985787458412</v>
      </c>
      <c r="BK12" s="1">
        <f t="shared" ref="BK12:BK50" si="32">BL12*$BO$8+BM12*$BP$8+BN12*$BQ$8</f>
        <v>0.88814456764939964</v>
      </c>
      <c r="BL12" s="294">
        <f t="shared" ref="BL12:BL50" si="33">M12/$M$51</f>
        <v>0.51838433224850822</v>
      </c>
      <c r="BM12" s="294">
        <f t="shared" ref="BM12:BM50" si="34">T12/$T$51</f>
        <v>0.62527111811927383</v>
      </c>
      <c r="BN12" s="295">
        <f t="shared" ref="BN12:BN50" si="35">(1/AO12)/(1/$AO$51)</f>
        <v>1.2044614101149083</v>
      </c>
      <c r="BO12" s="114">
        <f t="shared" si="25"/>
        <v>0</v>
      </c>
      <c r="BP12" s="296">
        <f t="shared" ref="BP12:BP50" si="36">BL12*$BO$8+BM12*$BP$8+BN12*$BQ$8</f>
        <v>0.88814456764939964</v>
      </c>
      <c r="BQ12" s="116">
        <f t="shared" ref="BQ12:BQ50" si="37">BP12*H12</f>
        <v>9.5135983909252705E-4</v>
      </c>
      <c r="BR12" s="297">
        <f t="shared" ref="BR12:BR50" si="38">IF(BO12=0,0,BQ12)</f>
        <v>0</v>
      </c>
      <c r="BS12" s="117">
        <f t="shared" ref="BS12:BS50" si="39">BR12/$BR$51</f>
        <v>0</v>
      </c>
      <c r="BT12" s="298">
        <f t="shared" ref="BT12:BT50" si="40">$BO$6*BS12+BI12</f>
        <v>119644.2</v>
      </c>
      <c r="BU12" s="119">
        <f t="shared" ref="BU12:BU50" si="41">BG12*$BU$6</f>
        <v>119644.2</v>
      </c>
      <c r="BV12" s="119">
        <f t="shared" ref="BV12:BV50" si="42">IF(BT12&lt;BU12,BT12, BU12)</f>
        <v>119644.2</v>
      </c>
      <c r="BW12" s="119">
        <f t="shared" ref="BW12:BW50" si="43">BT12-BV12</f>
        <v>0</v>
      </c>
      <c r="BX12" s="120">
        <f t="shared" ref="BX12:BX50" si="44">IF(AND(BW12=0, BJ12=0),BQ12,0)</f>
        <v>0</v>
      </c>
      <c r="BY12" s="121">
        <f t="shared" ref="BY12:BY50" si="45">IF($BX$51=0,1, BX12/$BX$51)</f>
        <v>0</v>
      </c>
      <c r="BZ12" s="299">
        <f t="shared" ref="BZ12:BZ50" si="46">$BW$51*BY12+BV12</f>
        <v>119644.2</v>
      </c>
      <c r="CA12" s="109">
        <f t="shared" si="26"/>
        <v>0</v>
      </c>
      <c r="CB12" s="123">
        <f t="shared" si="27"/>
        <v>0</v>
      </c>
      <c r="CC12" s="135">
        <f>ROUND((CB12+BI12),0)</f>
        <v>119644</v>
      </c>
      <c r="CE12" s="124">
        <f t="shared" si="28"/>
        <v>0</v>
      </c>
      <c r="CF12" s="17"/>
      <c r="CG12" s="108">
        <f t="shared" ref="CG12:CG50" si="47">BG12</f>
        <v>398814</v>
      </c>
      <c r="CH12" s="125">
        <f t="shared" ref="CH12:CH50" si="48">CC12/BG12</f>
        <v>0.29999949851309132</v>
      </c>
      <c r="CI12" s="110">
        <f t="shared" ref="CI12:CI50" si="49">IF(BT12&gt;BG12*$BI$6,BG12*$BI$6,BT12)</f>
        <v>119644.2</v>
      </c>
      <c r="CJ12" s="300">
        <f t="shared" ref="CJ12:CJ50" si="50">BT12-CI12</f>
        <v>0</v>
      </c>
      <c r="CL12" s="127">
        <f t="shared" ref="CL12:CL50" si="51">IF(OR(CJ12&gt;0,CH12&gt;=0.294),0,CI12)</f>
        <v>0</v>
      </c>
      <c r="CM12" s="128">
        <f t="shared" ref="CM12:CM51" si="52">CL12/$CL$51</f>
        <v>0</v>
      </c>
      <c r="CN12" s="129">
        <f t="shared" ref="CN12:CN51" si="53">CM12*$CM$6</f>
        <v>0</v>
      </c>
      <c r="CO12" s="130">
        <f>ROUND((CN12+CI12),0)</f>
        <v>119644</v>
      </c>
      <c r="CQ12" s="131">
        <f t="shared" ref="CQ12:CQ51" si="54">BZ12/CG12</f>
        <v>0.3</v>
      </c>
      <c r="CR12" s="301"/>
    </row>
    <row r="13" spans="1:96">
      <c r="A13" s="133" t="s">
        <v>82</v>
      </c>
      <c r="B13" s="90" t="s">
        <v>85</v>
      </c>
      <c r="C13" s="208">
        <f>'Op Cost-25'!E6</f>
        <v>2701881</v>
      </c>
      <c r="D13" s="92">
        <f>'Ridership-25'!$E5</f>
        <v>162649</v>
      </c>
      <c r="E13" s="92">
        <f>'Revenue Hours-25'!$E5</f>
        <v>46711</v>
      </c>
      <c r="F13" s="92">
        <f>'Revenue Miles-25'!$E5</f>
        <v>490148</v>
      </c>
      <c r="G13" s="93">
        <f t="shared" si="0"/>
        <v>5.6905429046399045E-3</v>
      </c>
      <c r="H13" s="94">
        <f t="shared" si="1"/>
        <v>5.6905429046399053E-3</v>
      </c>
      <c r="J13" s="95">
        <f>'Ridership-25'!B5/'Revenue Hours-25'!B5</f>
        <v>3.5903165735567972</v>
      </c>
      <c r="K13" s="96">
        <f>'Ridership-25'!C5/'Revenue Hours-25'!C5</f>
        <v>3.0037184124655352</v>
      </c>
      <c r="L13" s="96">
        <f>'Ridership-25'!D5/'Revenue Hours-25'!D5</f>
        <v>3.0190503841343577</v>
      </c>
      <c r="M13" s="96">
        <f>'Ridership-25'!E5/'Revenue Hours-25'!E5</f>
        <v>3.4820277878872212</v>
      </c>
      <c r="N13" s="97">
        <f t="shared" si="2"/>
        <v>1.1244143405144138</v>
      </c>
      <c r="O13" s="98">
        <f t="shared" si="3"/>
        <v>6.3985280472896562E-3</v>
      </c>
      <c r="P13" s="99">
        <f t="shared" si="4"/>
        <v>6.0423428529700072E-3</v>
      </c>
      <c r="Q13" s="95">
        <f>'Ridership-25'!B5/'Revenue Miles-25'!B5</f>
        <v>0.34236028901498144</v>
      </c>
      <c r="R13" s="96">
        <f>'Ridership-25'!C5/'Revenue Miles-25'!C5</f>
        <v>0.30898734605406614</v>
      </c>
      <c r="S13" s="96">
        <f>'Ridership-25'!D5/'Revenue Miles-25'!D5</f>
        <v>0.30702858129224508</v>
      </c>
      <c r="T13" s="96">
        <f>'Ridership-25'!E5/'Revenue Miles-25'!E5</f>
        <v>0.33183650652455993</v>
      </c>
      <c r="U13" s="97">
        <f t="shared" si="5"/>
        <v>1.1412874554012273</v>
      </c>
      <c r="V13" s="98">
        <f t="shared" si="6"/>
        <v>6.4945452314879868E-3</v>
      </c>
      <c r="W13" s="99">
        <f t="shared" si="7"/>
        <v>6.156193608989253E-3</v>
      </c>
      <c r="X13" s="95">
        <f>'Op Cost-25'!B6/'Revenue Hours-25'!B5</f>
        <v>45.864958582161435</v>
      </c>
      <c r="Y13" s="96">
        <f>'Op Cost-25'!C6/'Revenue Hours-25'!C5</f>
        <v>61.145979308425872</v>
      </c>
      <c r="Z13" s="96">
        <f>'Op Cost-25'!D6/'Revenue Hours-25'!D5</f>
        <v>58.62645167053779</v>
      </c>
      <c r="AA13" s="96">
        <f>'Op Cost-25'!E6/'Revenue Hours-25'!E5</f>
        <v>57.842499625355913</v>
      </c>
      <c r="AB13" s="97">
        <f t="shared" si="8"/>
        <v>1.0361763312133343</v>
      </c>
      <c r="AC13" s="98">
        <f t="shared" si="9"/>
        <v>5.4918672944173838E-3</v>
      </c>
      <c r="AD13" s="99">
        <f t="shared" si="10"/>
        <v>5.8593573529665413E-3</v>
      </c>
      <c r="AE13" s="95">
        <f>'Op Cost-25'!B6/'Revenue Miles-25'!B5</f>
        <v>4.3735253296321996</v>
      </c>
      <c r="AF13" s="96">
        <f>'Op Cost-25'!C6/'Revenue Miles-25'!C5</f>
        <v>6.2899817073329398</v>
      </c>
      <c r="AG13" s="96">
        <f>'Op Cost-25'!D6/'Revenue Miles-25'!D5</f>
        <v>5.9621384184897162</v>
      </c>
      <c r="AH13" s="96">
        <f>'Op Cost-25'!E6/'Revenue Miles-25'!E5</f>
        <v>5.5123778940238459</v>
      </c>
      <c r="AI13" s="97">
        <f t="shared" si="11"/>
        <v>1.0405282730301624</v>
      </c>
      <c r="AJ13" s="98">
        <f t="shared" si="12"/>
        <v>5.4688979166978872E-3</v>
      </c>
      <c r="AK13" s="99">
        <f t="shared" si="13"/>
        <v>5.8203513070699351E-3</v>
      </c>
      <c r="AL13" s="95">
        <f>'Op Cost-25'!B6/'Ridership-25'!B5</f>
        <v>12.774627986836457</v>
      </c>
      <c r="AM13" s="96">
        <f>'Op Cost-25'!C6/'Ridership-25'!C5</f>
        <v>20.356761490913378</v>
      </c>
      <c r="AN13" s="96">
        <f>'Op Cost-25'!D6/'Ridership-25'!D5</f>
        <v>19.418838446231348</v>
      </c>
      <c r="AO13" s="96">
        <f>'Op Cost-25'!E6/'Ridership-25'!E5</f>
        <v>16.611728322953109</v>
      </c>
      <c r="AP13" s="100">
        <f t="shared" si="14"/>
        <v>0.99855496234877406</v>
      </c>
      <c r="AQ13" s="98">
        <f t="shared" si="15"/>
        <v>5.698777853203758E-3</v>
      </c>
      <c r="AR13" s="99">
        <f t="shared" si="16"/>
        <v>6.1892398115140123E-3</v>
      </c>
      <c r="AT13" s="101">
        <f t="shared" si="29"/>
        <v>0</v>
      </c>
      <c r="AU13" s="102">
        <f t="shared" si="17"/>
        <v>0</v>
      </c>
      <c r="AV13" s="102">
        <f t="shared" si="18"/>
        <v>0</v>
      </c>
      <c r="AW13" s="102">
        <f t="shared" si="19"/>
        <v>0</v>
      </c>
      <c r="AX13" s="103">
        <f t="shared" si="20"/>
        <v>0</v>
      </c>
      <c r="AY13" s="293">
        <f t="shared" si="30"/>
        <v>-1</v>
      </c>
      <c r="AZ13" s="105">
        <f t="shared" si="21"/>
        <v>0</v>
      </c>
      <c r="BA13" s="106">
        <f t="shared" si="21"/>
        <v>0</v>
      </c>
      <c r="BB13" s="106">
        <f t="shared" si="21"/>
        <v>0</v>
      </c>
      <c r="BC13" s="106">
        <f t="shared" si="21"/>
        <v>0</v>
      </c>
      <c r="BD13" s="106">
        <f t="shared" si="21"/>
        <v>0</v>
      </c>
      <c r="BE13" s="107">
        <f t="shared" si="31"/>
        <v>695614.81249537854</v>
      </c>
      <c r="BG13" s="108">
        <f>'Op Cost-25'!E6</f>
        <v>2701881</v>
      </c>
      <c r="BH13" s="109">
        <f t="shared" si="22"/>
        <v>0.25745575489645123</v>
      </c>
      <c r="BI13" s="110">
        <f t="shared" si="23"/>
        <v>695614.81249537854</v>
      </c>
      <c r="BJ13" s="111">
        <f t="shared" si="24"/>
        <v>0</v>
      </c>
      <c r="BK13" s="1">
        <f t="shared" si="32"/>
        <v>0.5235179259612881</v>
      </c>
      <c r="BL13" s="294">
        <f t="shared" si="33"/>
        <v>0.32526977586701122</v>
      </c>
      <c r="BM13" s="294">
        <f t="shared" si="34"/>
        <v>0.44725892504526166</v>
      </c>
      <c r="BN13" s="295">
        <f t="shared" si="35"/>
        <v>0.66077150146643981</v>
      </c>
      <c r="BO13" s="114">
        <f t="shared" si="25"/>
        <v>695614.81249537854</v>
      </c>
      <c r="BP13" s="296">
        <f t="shared" si="36"/>
        <v>0.5235179259612881</v>
      </c>
      <c r="BQ13" s="116">
        <f t="shared" si="37"/>
        <v>2.9791012190308074E-3</v>
      </c>
      <c r="BR13" s="297">
        <f t="shared" si="38"/>
        <v>2.9791012190308074E-3</v>
      </c>
      <c r="BS13" s="117">
        <f t="shared" si="39"/>
        <v>3.3683743903645076E-3</v>
      </c>
      <c r="BT13" s="298">
        <f t="shared" si="40"/>
        <v>724714.41640782706</v>
      </c>
      <c r="BU13" s="119">
        <f t="shared" si="41"/>
        <v>810564.29999999993</v>
      </c>
      <c r="BV13" s="119">
        <f t="shared" si="42"/>
        <v>724714.41640782706</v>
      </c>
      <c r="BW13" s="119">
        <f t="shared" si="43"/>
        <v>0</v>
      </c>
      <c r="BX13" s="120">
        <f t="shared" si="44"/>
        <v>2.9791012190308074E-3</v>
      </c>
      <c r="BY13" s="121">
        <f t="shared" si="45"/>
        <v>6.0096366220717479E-3</v>
      </c>
      <c r="BZ13" s="299">
        <f t="shared" si="46"/>
        <v>729943.44402986451</v>
      </c>
      <c r="CA13" s="109">
        <f t="shared" si="26"/>
        <v>6.3206012650255097E-3</v>
      </c>
      <c r="CB13" s="123">
        <f t="shared" si="27"/>
        <v>54604.082558904491</v>
      </c>
      <c r="CC13" s="111">
        <f>ROUND((CB13+BI13),0)</f>
        <v>750219</v>
      </c>
      <c r="CE13" s="124">
        <f t="shared" si="28"/>
        <v>0</v>
      </c>
      <c r="CF13" s="17"/>
      <c r="CG13" s="108">
        <f t="shared" si="47"/>
        <v>2701881</v>
      </c>
      <c r="CH13" s="125">
        <f t="shared" si="48"/>
        <v>0.27766544862634585</v>
      </c>
      <c r="CI13" s="110">
        <f t="shared" si="49"/>
        <v>724714.41640782706</v>
      </c>
      <c r="CJ13" s="300">
        <f t="shared" si="50"/>
        <v>0</v>
      </c>
      <c r="CL13" s="127">
        <f t="shared" si="51"/>
        <v>724714.41640782706</v>
      </c>
      <c r="CM13" s="128">
        <f t="shared" si="52"/>
        <v>8.4347367856359226E-3</v>
      </c>
      <c r="CN13" s="129">
        <f t="shared" si="53"/>
        <v>7339.1245445220593</v>
      </c>
      <c r="CO13" s="130">
        <f t="shared" ref="CO13:CO50" si="55">ROUND((CN13+CI13),0)</f>
        <v>732054</v>
      </c>
      <c r="CQ13" s="131">
        <f t="shared" si="54"/>
        <v>0.27016121140415306</v>
      </c>
      <c r="CR13" s="301"/>
    </row>
    <row r="14" spans="1:96">
      <c r="A14" s="133" t="s">
        <v>82</v>
      </c>
      <c r="B14" s="90" t="s">
        <v>86</v>
      </c>
      <c r="C14" s="208">
        <f>'Op Cost-25'!E7</f>
        <v>2152208</v>
      </c>
      <c r="D14" s="92">
        <f>'Ridership-25'!$E6</f>
        <v>131743</v>
      </c>
      <c r="E14" s="92">
        <f>'Revenue Hours-25'!$E6</f>
        <v>47343</v>
      </c>
      <c r="F14" s="92">
        <f>'Revenue Miles-25'!$E6</f>
        <v>800372</v>
      </c>
      <c r="G14" s="93">
        <f t="shared" si="0"/>
        <v>5.8583906688045341E-3</v>
      </c>
      <c r="H14" s="94">
        <f t="shared" si="1"/>
        <v>5.858390668804535E-3</v>
      </c>
      <c r="J14" s="95">
        <f>'Ridership-25'!B6/'Revenue Hours-25'!B6</f>
        <v>1.8670980965213595</v>
      </c>
      <c r="K14" s="96">
        <f>'Ridership-25'!C6/'Revenue Hours-25'!C6</f>
        <v>1.3455313359222201</v>
      </c>
      <c r="L14" s="96">
        <f>'Ridership-25'!D6/'Revenue Hours-25'!D6</f>
        <v>2.5156324194636741</v>
      </c>
      <c r="M14" s="96">
        <f>'Ridership-25'!E6/'Revenue Hours-25'!E6</f>
        <v>2.7827345119658662</v>
      </c>
      <c r="N14" s="97">
        <f t="shared" si="2"/>
        <v>1.2596800836704516</v>
      </c>
      <c r="O14" s="98">
        <f t="shared" si="3"/>
        <v>7.3796980478538898E-3</v>
      </c>
      <c r="P14" s="99">
        <f t="shared" si="4"/>
        <v>6.9688943186573616E-3</v>
      </c>
      <c r="Q14" s="95">
        <f>'Ridership-25'!B6/'Revenue Miles-25'!B6</f>
        <v>0.11380730389718556</v>
      </c>
      <c r="R14" s="96">
        <f>'Ridership-25'!C6/'Revenue Miles-25'!C6</f>
        <v>8.6154544217069737E-2</v>
      </c>
      <c r="S14" s="96">
        <f>'Ridership-25'!D6/'Revenue Miles-25'!D6</f>
        <v>0.15736959607772016</v>
      </c>
      <c r="T14" s="96">
        <f>'Ridership-25'!E6/'Revenue Miles-25'!E6</f>
        <v>0.16460220997236286</v>
      </c>
      <c r="U14" s="97">
        <f t="shared" si="5"/>
        <v>1.2593362033437594</v>
      </c>
      <c r="V14" s="98">
        <f t="shared" si="6"/>
        <v>7.3776834625568109E-3</v>
      </c>
      <c r="W14" s="99">
        <f t="shared" si="7"/>
        <v>6.9933222669898891E-3</v>
      </c>
      <c r="X14" s="95">
        <f>'Op Cost-25'!B7/'Revenue Hours-25'!B6</f>
        <v>28.535460118042245</v>
      </c>
      <c r="Y14" s="96">
        <f>'Op Cost-25'!C7/'Revenue Hours-25'!C6</f>
        <v>42.25856741971144</v>
      </c>
      <c r="Z14" s="96">
        <f>'Op Cost-25'!D7/'Revenue Hours-25'!D6</f>
        <v>54.154224876915002</v>
      </c>
      <c r="AA14" s="96">
        <f>'Op Cost-25'!E7/'Revenue Hours-25'!E6</f>
        <v>45.459899034704179</v>
      </c>
      <c r="AB14" s="97">
        <f t="shared" si="8"/>
        <v>1.131145514490173</v>
      </c>
      <c r="AC14" s="98">
        <f t="shared" si="9"/>
        <v>5.1791662467450209E-3</v>
      </c>
      <c r="AD14" s="99">
        <f t="shared" si="10"/>
        <v>5.5257318145596132E-3</v>
      </c>
      <c r="AE14" s="95">
        <f>'Op Cost-25'!B7/'Revenue Miles-25'!B6</f>
        <v>1.7393535923745185</v>
      </c>
      <c r="AF14" s="96">
        <f>'Op Cost-25'!C7/'Revenue Miles-25'!C6</f>
        <v>2.7058214982530968</v>
      </c>
      <c r="AG14" s="96">
        <f>'Op Cost-25'!D7/'Revenue Miles-25'!D6</f>
        <v>3.3877081678725758</v>
      </c>
      <c r="AH14" s="96">
        <f>'Op Cost-25'!E7/'Revenue Miles-25'!E6</f>
        <v>2.689009610531103</v>
      </c>
      <c r="AI14" s="97">
        <f t="shared" si="11"/>
        <v>1.1289699957487576</v>
      </c>
      <c r="AJ14" s="98">
        <f t="shared" si="12"/>
        <v>5.1891464705571049E-3</v>
      </c>
      <c r="AK14" s="99">
        <f t="shared" si="13"/>
        <v>5.5226219071064153E-3</v>
      </c>
      <c r="AL14" s="95">
        <f>'Op Cost-25'!B7/'Ridership-25'!B6</f>
        <v>15.283321305510098</v>
      </c>
      <c r="AM14" s="96">
        <f>'Op Cost-25'!C7/'Ridership-25'!C6</f>
        <v>31.406602203543365</v>
      </c>
      <c r="AN14" s="96">
        <f>'Op Cost-25'!D7/'Ridership-25'!D6</f>
        <v>21.527081801744522</v>
      </c>
      <c r="AO14" s="96">
        <f>'Op Cost-25'!E7/'Ridership-25'!E6</f>
        <v>16.33641256081917</v>
      </c>
      <c r="AP14" s="100">
        <f t="shared" si="14"/>
        <v>0.9068629018501454</v>
      </c>
      <c r="AQ14" s="98">
        <f t="shared" si="15"/>
        <v>6.4600621073510464E-3</v>
      </c>
      <c r="AR14" s="99">
        <f t="shared" si="16"/>
        <v>7.0160435464583868E-3</v>
      </c>
      <c r="AT14" s="101">
        <f t="shared" si="29"/>
        <v>0</v>
      </c>
      <c r="AU14" s="102">
        <f t="shared" si="17"/>
        <v>0</v>
      </c>
      <c r="AV14" s="102">
        <f t="shared" si="18"/>
        <v>0</v>
      </c>
      <c r="AW14" s="102">
        <f t="shared" si="19"/>
        <v>0</v>
      </c>
      <c r="AX14" s="103">
        <f t="shared" si="20"/>
        <v>0</v>
      </c>
      <c r="AY14" s="293">
        <f t="shared" si="30"/>
        <v>-1</v>
      </c>
      <c r="AZ14" s="105">
        <f t="shared" si="21"/>
        <v>0</v>
      </c>
      <c r="BA14" s="106">
        <f t="shared" si="21"/>
        <v>0</v>
      </c>
      <c r="BB14" s="106">
        <f t="shared" si="21"/>
        <v>0</v>
      </c>
      <c r="BC14" s="106">
        <f t="shared" si="21"/>
        <v>0</v>
      </c>
      <c r="BD14" s="106">
        <f t="shared" si="21"/>
        <v>0</v>
      </c>
      <c r="BE14" s="107">
        <f t="shared" si="31"/>
        <v>716132.60718627647</v>
      </c>
      <c r="BG14" s="108">
        <f>'Op Cost-25'!E7</f>
        <v>2152208</v>
      </c>
      <c r="BH14" s="109">
        <f t="shared" si="22"/>
        <v>0.3327432140324153</v>
      </c>
      <c r="BI14" s="110">
        <f t="shared" si="23"/>
        <v>645662.4</v>
      </c>
      <c r="BJ14" s="111">
        <f t="shared" si="24"/>
        <v>70470.207186276442</v>
      </c>
      <c r="BK14" s="1">
        <f t="shared" si="32"/>
        <v>0.45640413757688625</v>
      </c>
      <c r="BL14" s="294">
        <f t="shared" si="33"/>
        <v>0.2599460676773469</v>
      </c>
      <c r="BM14" s="294">
        <f t="shared" si="34"/>
        <v>0.22185566098003959</v>
      </c>
      <c r="BN14" s="295">
        <f t="shared" si="35"/>
        <v>0.67190741082507921</v>
      </c>
      <c r="BO14" s="114">
        <f t="shared" si="25"/>
        <v>0</v>
      </c>
      <c r="BP14" s="296">
        <f t="shared" si="36"/>
        <v>0.45640413757688625</v>
      </c>
      <c r="BQ14" s="116">
        <f t="shared" si="37"/>
        <v>2.6737937407842116E-3</v>
      </c>
      <c r="BR14" s="297">
        <f t="shared" si="38"/>
        <v>0</v>
      </c>
      <c r="BS14" s="117">
        <f t="shared" si="39"/>
        <v>0</v>
      </c>
      <c r="BT14" s="298">
        <f t="shared" si="40"/>
        <v>645662.4</v>
      </c>
      <c r="BU14" s="119">
        <f t="shared" si="41"/>
        <v>645662.4</v>
      </c>
      <c r="BV14" s="119">
        <f t="shared" si="42"/>
        <v>645662.4</v>
      </c>
      <c r="BW14" s="119">
        <f t="shared" si="43"/>
        <v>0</v>
      </c>
      <c r="BX14" s="120">
        <f t="shared" si="44"/>
        <v>0</v>
      </c>
      <c r="BY14" s="121">
        <f t="shared" si="45"/>
        <v>0</v>
      </c>
      <c r="BZ14" s="299">
        <f t="shared" si="46"/>
        <v>645662.4</v>
      </c>
      <c r="CA14" s="109">
        <f t="shared" si="26"/>
        <v>0</v>
      </c>
      <c r="CB14" s="123">
        <f t="shared" si="27"/>
        <v>0</v>
      </c>
      <c r="CC14" s="111">
        <f t="shared" ref="CC14:CC50" si="56">ROUND((CB14+BI14),0)</f>
        <v>645662</v>
      </c>
      <c r="CE14" s="124">
        <f t="shared" si="28"/>
        <v>0</v>
      </c>
      <c r="CF14" s="17"/>
      <c r="CG14" s="108">
        <f t="shared" si="47"/>
        <v>2152208</v>
      </c>
      <c r="CH14" s="125">
        <f t="shared" si="48"/>
        <v>0.29999981414435778</v>
      </c>
      <c r="CI14" s="110">
        <f t="shared" si="49"/>
        <v>645662.4</v>
      </c>
      <c r="CJ14" s="300">
        <f t="shared" si="50"/>
        <v>0</v>
      </c>
      <c r="CL14" s="127">
        <f t="shared" si="51"/>
        <v>0</v>
      </c>
      <c r="CM14" s="128">
        <f t="shared" si="52"/>
        <v>0</v>
      </c>
      <c r="CN14" s="129">
        <f t="shared" si="53"/>
        <v>0</v>
      </c>
      <c r="CO14" s="130">
        <f t="shared" si="55"/>
        <v>645662</v>
      </c>
      <c r="CQ14" s="131">
        <f t="shared" si="54"/>
        <v>0.3</v>
      </c>
      <c r="CR14" s="301"/>
    </row>
    <row r="15" spans="1:96">
      <c r="A15" s="133" t="s">
        <v>82</v>
      </c>
      <c r="B15" s="90" t="s">
        <v>87</v>
      </c>
      <c r="C15" s="208">
        <f>'Op Cost-25'!E8</f>
        <v>456069</v>
      </c>
      <c r="D15" s="92">
        <f>'Ridership-25'!$E7</f>
        <v>31171</v>
      </c>
      <c r="E15" s="92">
        <f>'Revenue Hours-25'!$E7</f>
        <v>8170</v>
      </c>
      <c r="F15" s="92">
        <f>'Revenue Miles-25'!$E7</f>
        <v>132943</v>
      </c>
      <c r="G15" s="93">
        <f t="shared" si="0"/>
        <v>1.1163863673089888E-3</v>
      </c>
      <c r="H15" s="94">
        <f t="shared" si="1"/>
        <v>1.116386367308989E-3</v>
      </c>
      <c r="J15" s="95">
        <f>'Ridership-25'!B7/'Revenue Hours-25'!B7</f>
        <v>5.5566235366605055</v>
      </c>
      <c r="K15" s="96">
        <f>'Ridership-25'!C7/'Revenue Hours-25'!C7</f>
        <v>3.8071505958829901</v>
      </c>
      <c r="L15" s="96">
        <f>'Ridership-25'!D7/'Revenue Hours-25'!D7</f>
        <v>3.650582779796967</v>
      </c>
      <c r="M15" s="96">
        <f>'Ridership-25'!E7/'Revenue Hours-25'!E7</f>
        <v>3.815299877600979</v>
      </c>
      <c r="N15" s="97">
        <f t="shared" si="2"/>
        <v>0.98400547632215163</v>
      </c>
      <c r="O15" s="98">
        <f t="shared" si="3"/>
        <v>1.0985302991234382E-3</v>
      </c>
      <c r="P15" s="99">
        <f t="shared" si="4"/>
        <v>1.03737869907301E-3</v>
      </c>
      <c r="Q15" s="95">
        <f>'Ridership-25'!B7/'Revenue Miles-25'!B7</f>
        <v>0.3373331737387037</v>
      </c>
      <c r="R15" s="96">
        <f>'Ridership-25'!C7/'Revenue Miles-25'!C7</f>
        <v>0.2437813629741542</v>
      </c>
      <c r="S15" s="96">
        <f>'Ridership-25'!D7/'Revenue Miles-25'!D7</f>
        <v>0.22496138399752857</v>
      </c>
      <c r="T15" s="96">
        <f>'Ridership-25'!E7/'Revenue Miles-25'!E7</f>
        <v>0.23446890772737189</v>
      </c>
      <c r="U15" s="97">
        <f t="shared" si="5"/>
        <v>0.9968029568907818</v>
      </c>
      <c r="V15" s="98">
        <f t="shared" si="6"/>
        <v>1.1128172319661586E-3</v>
      </c>
      <c r="W15" s="99">
        <f t="shared" si="7"/>
        <v>1.0548418845692735E-3</v>
      </c>
      <c r="X15" s="95">
        <f>'Op Cost-25'!B8/'Revenue Hours-25'!B7</f>
        <v>38.559704251386322</v>
      </c>
      <c r="Y15" s="96">
        <f>'Op Cost-25'!C8/'Revenue Hours-25'!C7</f>
        <v>43.683519922956542</v>
      </c>
      <c r="Z15" s="96">
        <f>'Op Cost-25'!D8/'Revenue Hours-25'!D7</f>
        <v>59.664118310565236</v>
      </c>
      <c r="AA15" s="96">
        <f>'Op Cost-25'!E8/'Revenue Hours-25'!E7</f>
        <v>55.822399020807836</v>
      </c>
      <c r="AB15" s="97">
        <f t="shared" si="8"/>
        <v>1.0986125400469504</v>
      </c>
      <c r="AC15" s="98">
        <f t="shared" si="9"/>
        <v>1.0161784310793313E-3</v>
      </c>
      <c r="AD15" s="99">
        <f t="shared" si="10"/>
        <v>1.0841763361840923E-3</v>
      </c>
      <c r="AE15" s="95">
        <f>'Op Cost-25'!B8/'Revenue Miles-25'!B7</f>
        <v>2.340894128912562</v>
      </c>
      <c r="AF15" s="96">
        <f>'Op Cost-25'!C8/'Revenue Miles-25'!C7</f>
        <v>2.7971649027603269</v>
      </c>
      <c r="AG15" s="96">
        <f>'Op Cost-25'!D8/'Revenue Miles-25'!D7</f>
        <v>3.6767068273092369</v>
      </c>
      <c r="AH15" s="96">
        <f>'Op Cost-25'!E8/'Revenue Miles-25'!E7</f>
        <v>3.4305604657635227</v>
      </c>
      <c r="AI15" s="97">
        <f t="shared" si="11"/>
        <v>1.1030365413985617</v>
      </c>
      <c r="AJ15" s="98">
        <f t="shared" si="12"/>
        <v>1.0121027957002231E-3</v>
      </c>
      <c r="AK15" s="99">
        <f t="shared" si="13"/>
        <v>1.0771445946827587E-3</v>
      </c>
      <c r="AL15" s="95">
        <f>'Op Cost-25'!B8/'Ridership-25'!B7</f>
        <v>6.9394127561429961</v>
      </c>
      <c r="AM15" s="96">
        <f>'Op Cost-25'!C8/'Ridership-25'!C7</f>
        <v>11.474071966103839</v>
      </c>
      <c r="AN15" s="96">
        <f>'Op Cost-25'!D8/'Ridership-25'!D7</f>
        <v>16.343724251579236</v>
      </c>
      <c r="AO15" s="96">
        <f>'Op Cost-25'!E8/'Ridership-25'!E7</f>
        <v>14.631195662635141</v>
      </c>
      <c r="AP15" s="100">
        <f t="shared" si="14"/>
        <v>1.2256175688486206</v>
      </c>
      <c r="AQ15" s="98">
        <f t="shared" si="15"/>
        <v>9.1087660268916802E-4</v>
      </c>
      <c r="AR15" s="99">
        <f t="shared" si="16"/>
        <v>9.8927066082617112E-4</v>
      </c>
      <c r="AT15" s="101">
        <f t="shared" si="29"/>
        <v>0</v>
      </c>
      <c r="AU15" s="102">
        <f t="shared" si="17"/>
        <v>0</v>
      </c>
      <c r="AV15" s="102">
        <f t="shared" si="18"/>
        <v>0</v>
      </c>
      <c r="AW15" s="102">
        <f t="shared" si="19"/>
        <v>0</v>
      </c>
      <c r="AX15" s="103">
        <f t="shared" si="20"/>
        <v>0</v>
      </c>
      <c r="AY15" s="293">
        <f t="shared" si="30"/>
        <v>-1</v>
      </c>
      <c r="AZ15" s="105">
        <f t="shared" si="21"/>
        <v>0</v>
      </c>
      <c r="BA15" s="106">
        <f t="shared" si="21"/>
        <v>0</v>
      </c>
      <c r="BB15" s="106">
        <f t="shared" si="21"/>
        <v>0</v>
      </c>
      <c r="BC15" s="106">
        <f t="shared" si="21"/>
        <v>0</v>
      </c>
      <c r="BD15" s="106">
        <f t="shared" si="21"/>
        <v>0</v>
      </c>
      <c r="BE15" s="107">
        <f t="shared" si="31"/>
        <v>136467.62823540834</v>
      </c>
      <c r="BG15" s="108">
        <f>'Op Cost-25'!E8</f>
        <v>456069</v>
      </c>
      <c r="BH15" s="109">
        <f t="shared" si="22"/>
        <v>0.29922583695758392</v>
      </c>
      <c r="BI15" s="110">
        <f t="shared" si="23"/>
        <v>136467.62823540834</v>
      </c>
      <c r="BJ15" s="111">
        <f t="shared" si="24"/>
        <v>0</v>
      </c>
      <c r="BK15" s="1">
        <f t="shared" si="32"/>
        <v>0.54321449923597986</v>
      </c>
      <c r="BL15" s="294">
        <f t="shared" si="33"/>
        <v>0.35640201964203866</v>
      </c>
      <c r="BM15" s="294">
        <f t="shared" si="34"/>
        <v>0.31602403462175876</v>
      </c>
      <c r="BN15" s="295">
        <f t="shared" si="35"/>
        <v>0.75021597134006102</v>
      </c>
      <c r="BO15" s="114">
        <f t="shared" si="25"/>
        <v>0</v>
      </c>
      <c r="BP15" s="296">
        <f t="shared" si="36"/>
        <v>0.54321449923597986</v>
      </c>
      <c r="BQ15" s="116">
        <f t="shared" si="37"/>
        <v>6.0643726147162715E-4</v>
      </c>
      <c r="BR15" s="297">
        <f t="shared" si="38"/>
        <v>0</v>
      </c>
      <c r="BS15" s="117">
        <f t="shared" si="39"/>
        <v>0</v>
      </c>
      <c r="BT15" s="298">
        <f t="shared" si="40"/>
        <v>136467.62823540834</v>
      </c>
      <c r="BU15" s="119">
        <f t="shared" si="41"/>
        <v>136820.69999999998</v>
      </c>
      <c r="BV15" s="119">
        <f t="shared" si="42"/>
        <v>136467.62823540834</v>
      </c>
      <c r="BW15" s="119">
        <f t="shared" si="43"/>
        <v>0</v>
      </c>
      <c r="BX15" s="120">
        <f t="shared" si="44"/>
        <v>6.0643726147162715E-4</v>
      </c>
      <c r="BY15" s="121">
        <f t="shared" si="45"/>
        <v>1.223344662560491E-3</v>
      </c>
      <c r="BZ15" s="299">
        <f t="shared" si="46"/>
        <v>137532.06913825872</v>
      </c>
      <c r="CA15" s="109">
        <f t="shared" si="26"/>
        <v>0</v>
      </c>
      <c r="CB15" s="123">
        <f t="shared" si="27"/>
        <v>0</v>
      </c>
      <c r="CC15" s="111">
        <f t="shared" si="56"/>
        <v>136468</v>
      </c>
      <c r="CE15" s="124">
        <f t="shared" si="28"/>
        <v>0</v>
      </c>
      <c r="CF15" s="17"/>
      <c r="CG15" s="108">
        <f t="shared" si="47"/>
        <v>456069</v>
      </c>
      <c r="CH15" s="125">
        <f t="shared" si="48"/>
        <v>0.29922665210746618</v>
      </c>
      <c r="CI15" s="110">
        <f t="shared" si="49"/>
        <v>136467.62823540834</v>
      </c>
      <c r="CJ15" s="300">
        <f t="shared" si="50"/>
        <v>0</v>
      </c>
      <c r="CL15" s="127">
        <f t="shared" si="51"/>
        <v>0</v>
      </c>
      <c r="CM15" s="128">
        <f t="shared" si="52"/>
        <v>0</v>
      </c>
      <c r="CN15" s="129">
        <f t="shared" si="53"/>
        <v>0</v>
      </c>
      <c r="CO15" s="130">
        <f>ROUND((CN15+CI15),0)</f>
        <v>136468</v>
      </c>
      <c r="CQ15" s="131">
        <f t="shared" si="54"/>
        <v>0.30155978402009065</v>
      </c>
      <c r="CR15" s="301"/>
    </row>
    <row r="16" spans="1:96">
      <c r="A16" s="133" t="s">
        <v>88</v>
      </c>
      <c r="B16" s="90" t="s">
        <v>89</v>
      </c>
      <c r="C16" s="208">
        <f>'Op Cost-25'!E9</f>
        <v>10488989</v>
      </c>
      <c r="D16" s="92">
        <f>'Ridership-25'!$E8</f>
        <v>1147018</v>
      </c>
      <c r="E16" s="92">
        <f>'Revenue Hours-25'!$E8</f>
        <v>73719</v>
      </c>
      <c r="F16" s="92">
        <f>'Revenue Miles-25'!$E8</f>
        <v>782454</v>
      </c>
      <c r="G16" s="93">
        <f t="shared" si="0"/>
        <v>1.9648717850780675E-2</v>
      </c>
      <c r="H16" s="94">
        <f t="shared" si="1"/>
        <v>1.9648717850780678E-2</v>
      </c>
      <c r="J16" s="95">
        <f>'Ridership-25'!B8/'Revenue Hours-25'!B8</f>
        <v>17.327594346172003</v>
      </c>
      <c r="K16" s="96">
        <f>'Ridership-25'!C8/'Revenue Hours-25'!C8</f>
        <v>8.228226225879153</v>
      </c>
      <c r="L16" s="96">
        <f>'Ridership-25'!D8/'Revenue Hours-25'!D8</f>
        <v>19.647103879082909</v>
      </c>
      <c r="M16" s="96">
        <f>'Ridership-25'!E8/'Revenue Hours-25'!E8</f>
        <v>15.559326632211507</v>
      </c>
      <c r="N16" s="97">
        <f t="shared" si="2"/>
        <v>1.146642827024652</v>
      </c>
      <c r="O16" s="98">
        <f t="shared" si="3"/>
        <v>2.2530061383828903E-2</v>
      </c>
      <c r="P16" s="99">
        <f t="shared" si="4"/>
        <v>2.1275886324702304E-2</v>
      </c>
      <c r="Q16" s="95">
        <f>'Ridership-25'!B8/'Revenue Miles-25'!B8</f>
        <v>1.9171644901717197</v>
      </c>
      <c r="R16" s="96">
        <f>'Ridership-25'!C8/'Revenue Miles-25'!C8</f>
        <v>0.84464065708418889</v>
      </c>
      <c r="S16" s="96">
        <f>'Ridership-25'!D8/'Revenue Miles-25'!D8</f>
        <v>1.4289408659654961</v>
      </c>
      <c r="T16" s="96">
        <f>'Ridership-25'!E8/'Revenue Miles-25'!E8</f>
        <v>1.465923875397148</v>
      </c>
      <c r="U16" s="97">
        <f t="shared" si="5"/>
        <v>1.0157118214755225</v>
      </c>
      <c r="V16" s="98">
        <f t="shared" si="6"/>
        <v>1.9957434997875056E-2</v>
      </c>
      <c r="W16" s="99">
        <f t="shared" si="7"/>
        <v>1.891769622144699E-2</v>
      </c>
      <c r="X16" s="95">
        <f>'Op Cost-25'!B9/'Revenue Hours-25'!B8</f>
        <v>81.344653948330603</v>
      </c>
      <c r="Y16" s="96">
        <f>'Op Cost-25'!C9/'Revenue Hours-25'!C8</f>
        <v>121.31553469268006</v>
      </c>
      <c r="Z16" s="96">
        <f>'Op Cost-25'!D9/'Revenue Hours-25'!D8</f>
        <v>156.54829705026299</v>
      </c>
      <c r="AA16" s="96">
        <f>'Op Cost-25'!E9/'Revenue Hours-25'!E8</f>
        <v>142.28338691517791</v>
      </c>
      <c r="AB16" s="97">
        <f t="shared" si="8"/>
        <v>1.1618312176531347</v>
      </c>
      <c r="AC16" s="98">
        <f t="shared" si="9"/>
        <v>1.6911852214188665E-2</v>
      </c>
      <c r="AD16" s="99">
        <f t="shared" si="10"/>
        <v>1.8043514220421868E-2</v>
      </c>
      <c r="AE16" s="95">
        <f>'Op Cost-25'!B9/'Revenue Miles-25'!B8</f>
        <v>9.0001577194989437</v>
      </c>
      <c r="AF16" s="96">
        <f>'Op Cost-25'!C9/'Revenue Miles-25'!C8</f>
        <v>12.453234770704997</v>
      </c>
      <c r="AG16" s="96">
        <f>'Op Cost-25'!D9/'Revenue Miles-25'!D8</f>
        <v>11.385813427218888</v>
      </c>
      <c r="AH16" s="96">
        <f>'Op Cost-25'!E9/'Revenue Miles-25'!E8</f>
        <v>13.405246826011497</v>
      </c>
      <c r="AI16" s="97">
        <f t="shared" si="11"/>
        <v>1.1048323787932597</v>
      </c>
      <c r="AJ16" s="98">
        <f t="shared" si="12"/>
        <v>1.7784342881262911E-2</v>
      </c>
      <c r="AK16" s="99">
        <f t="shared" si="13"/>
        <v>1.8927236330064531E-2</v>
      </c>
      <c r="AL16" s="95">
        <f>'Op Cost-25'!B9/'Ridership-25'!B8</f>
        <v>4.6945151371402689</v>
      </c>
      <c r="AM16" s="96">
        <f>'Op Cost-25'!C9/'Ridership-25'!C8</f>
        <v>14.743825869921071</v>
      </c>
      <c r="AN16" s="96">
        <f>'Op Cost-25'!D9/'Ridership-25'!D8</f>
        <v>7.9680088227624495</v>
      </c>
      <c r="AO16" s="96">
        <f>'Op Cost-25'!E9/'Ridership-25'!E8</f>
        <v>9.1445722734952728</v>
      </c>
      <c r="AP16" s="97">
        <f t="shared" si="14"/>
        <v>1.1634437228193528</v>
      </c>
      <c r="AQ16" s="98">
        <f t="shared" si="15"/>
        <v>1.6888412791609967E-2</v>
      </c>
      <c r="AR16" s="99">
        <f t="shared" si="16"/>
        <v>1.8341904088146177E-2</v>
      </c>
      <c r="AT16" s="101">
        <f t="shared" si="29"/>
        <v>0</v>
      </c>
      <c r="AU16" s="102">
        <f t="shared" si="17"/>
        <v>0</v>
      </c>
      <c r="AV16" s="102">
        <f t="shared" si="18"/>
        <v>0</v>
      </c>
      <c r="AW16" s="102">
        <f t="shared" si="19"/>
        <v>0</v>
      </c>
      <c r="AX16" s="103">
        <f t="shared" si="20"/>
        <v>0</v>
      </c>
      <c r="AY16" s="293">
        <f t="shared" si="30"/>
        <v>-1</v>
      </c>
      <c r="AZ16" s="105">
        <f t="shared" si="21"/>
        <v>0</v>
      </c>
      <c r="BA16" s="106">
        <f t="shared" si="21"/>
        <v>0</v>
      </c>
      <c r="BB16" s="106">
        <f t="shared" si="21"/>
        <v>0</v>
      </c>
      <c r="BC16" s="106">
        <f t="shared" si="21"/>
        <v>0</v>
      </c>
      <c r="BD16" s="106">
        <f t="shared" si="21"/>
        <v>0</v>
      </c>
      <c r="BE16" s="107">
        <f t="shared" si="31"/>
        <v>2401869.1032802784</v>
      </c>
      <c r="BG16" s="108">
        <f>'Op Cost-25'!E9</f>
        <v>10488989</v>
      </c>
      <c r="BH16" s="109">
        <f t="shared" si="22"/>
        <v>0.22898957213896196</v>
      </c>
      <c r="BI16" s="110">
        <f t="shared" si="23"/>
        <v>2401869.1032802784</v>
      </c>
      <c r="BJ16" s="111">
        <f t="shared" si="24"/>
        <v>0</v>
      </c>
      <c r="BK16" s="1">
        <f t="shared" si="32"/>
        <v>1.4574859213783635</v>
      </c>
      <c r="BL16" s="294">
        <f t="shared" si="33"/>
        <v>1.4534572940246089</v>
      </c>
      <c r="BM16" s="294">
        <f t="shared" si="34"/>
        <v>1.9758149685673196</v>
      </c>
      <c r="BN16" s="295">
        <f t="shared" si="35"/>
        <v>1.2003357114607625</v>
      </c>
      <c r="BO16" s="114">
        <f t="shared" si="25"/>
        <v>2401869.1032802784</v>
      </c>
      <c r="BP16" s="296">
        <f t="shared" si="36"/>
        <v>1.4574859213783635</v>
      </c>
      <c r="BQ16" s="116">
        <f t="shared" si="37"/>
        <v>2.8637729640648577E-2</v>
      </c>
      <c r="BR16" s="297">
        <f t="shared" si="38"/>
        <v>2.8637729640648577E-2</v>
      </c>
      <c r="BS16" s="302">
        <f t="shared" si="39"/>
        <v>3.2379764240144035E-2</v>
      </c>
      <c r="BT16" s="298">
        <f t="shared" si="40"/>
        <v>2681599.9778712974</v>
      </c>
      <c r="BU16" s="119">
        <f t="shared" si="41"/>
        <v>3146696.6999999997</v>
      </c>
      <c r="BV16" s="119">
        <f t="shared" si="42"/>
        <v>2681599.9778712974</v>
      </c>
      <c r="BW16" s="119">
        <f t="shared" si="43"/>
        <v>0</v>
      </c>
      <c r="BX16" s="120">
        <f t="shared" si="44"/>
        <v>2.8637729640648577E-2</v>
      </c>
      <c r="BY16" s="121">
        <f t="shared" si="45"/>
        <v>5.7769889697612029E-2</v>
      </c>
      <c r="BZ16" s="299">
        <f t="shared" si="46"/>
        <v>2731865.9703010907</v>
      </c>
      <c r="CA16" s="109">
        <f t="shared" si="26"/>
        <v>2.182422889782824E-2</v>
      </c>
      <c r="CB16" s="123">
        <f t="shared" si="27"/>
        <v>188540.92301559425</v>
      </c>
      <c r="CC16" s="111">
        <f>ROUND((CB16+BI16),0)</f>
        <v>2590410</v>
      </c>
      <c r="CE16" s="124">
        <f t="shared" si="28"/>
        <v>0</v>
      </c>
      <c r="CF16" s="17"/>
      <c r="CG16" s="108">
        <f t="shared" si="47"/>
        <v>10488989</v>
      </c>
      <c r="CH16" s="125">
        <f t="shared" si="48"/>
        <v>0.24696469793227926</v>
      </c>
      <c r="CI16" s="110">
        <f t="shared" si="49"/>
        <v>2681599.9778712974</v>
      </c>
      <c r="CJ16" s="300">
        <f t="shared" si="50"/>
        <v>0</v>
      </c>
      <c r="CL16" s="127">
        <f t="shared" si="51"/>
        <v>2681599.9778712974</v>
      </c>
      <c r="CM16" s="128">
        <f t="shared" si="52"/>
        <v>3.121034916046583E-2</v>
      </c>
      <c r="CN16" s="129">
        <f t="shared" si="53"/>
        <v>27156.347066662955</v>
      </c>
      <c r="CO16" s="130">
        <f>ROUND((CN16+CI16),0)</f>
        <v>2708756</v>
      </c>
      <c r="CQ16" s="131">
        <f t="shared" si="54"/>
        <v>0.26045083756891069</v>
      </c>
      <c r="CR16" s="301"/>
    </row>
    <row r="17" spans="1:96">
      <c r="A17" s="136"/>
      <c r="B17" s="137"/>
      <c r="C17" s="208"/>
      <c r="D17" s="139"/>
      <c r="E17" s="139"/>
      <c r="F17" s="139"/>
      <c r="G17" s="140"/>
      <c r="H17" s="141"/>
      <c r="J17" s="142"/>
      <c r="K17" s="143"/>
      <c r="L17" s="143"/>
      <c r="M17" s="143"/>
      <c r="N17" s="144"/>
      <c r="O17" s="145"/>
      <c r="P17" s="146"/>
      <c r="Q17" s="142"/>
      <c r="R17" s="143"/>
      <c r="S17" s="143"/>
      <c r="T17" s="143"/>
      <c r="U17" s="144"/>
      <c r="V17" s="145"/>
      <c r="W17" s="146"/>
      <c r="X17" s="142"/>
      <c r="Y17" s="143"/>
      <c r="Z17" s="143"/>
      <c r="AA17" s="143"/>
      <c r="AB17" s="144"/>
      <c r="AC17" s="145"/>
      <c r="AD17" s="146"/>
      <c r="AE17" s="142"/>
      <c r="AF17" s="143"/>
      <c r="AG17" s="143"/>
      <c r="AH17" s="143"/>
      <c r="AI17" s="144"/>
      <c r="AJ17" s="145"/>
      <c r="AK17" s="146"/>
      <c r="AL17" s="142"/>
      <c r="AM17" s="143"/>
      <c r="AN17" s="143"/>
      <c r="AO17" s="143"/>
      <c r="AP17" s="147"/>
      <c r="AQ17" s="145"/>
      <c r="AR17" s="146"/>
      <c r="AT17" s="148"/>
      <c r="AU17" s="149"/>
      <c r="AV17" s="149"/>
      <c r="AW17" s="149"/>
      <c r="AX17" s="150"/>
      <c r="AY17" s="293" t="e">
        <f t="shared" si="30"/>
        <v>#DIV/0!</v>
      </c>
      <c r="AZ17" s="151"/>
      <c r="BA17" s="152"/>
      <c r="BB17" s="152"/>
      <c r="BC17" s="152"/>
      <c r="BD17" s="152"/>
      <c r="BE17" s="107">
        <f t="shared" si="31"/>
        <v>0</v>
      </c>
      <c r="BG17" s="153"/>
      <c r="BH17" s="154"/>
      <c r="BI17" s="155"/>
      <c r="BJ17" s="156"/>
      <c r="BK17" s="1">
        <f t="shared" si="32"/>
        <v>0</v>
      </c>
      <c r="BL17" s="294">
        <f t="shared" si="33"/>
        <v>0</v>
      </c>
      <c r="BM17" s="294">
        <f t="shared" si="34"/>
        <v>0</v>
      </c>
      <c r="BN17" s="295">
        <v>0</v>
      </c>
      <c r="BO17" s="157"/>
      <c r="BP17" s="296">
        <f t="shared" si="36"/>
        <v>0</v>
      </c>
      <c r="BQ17" s="116">
        <f t="shared" si="37"/>
        <v>0</v>
      </c>
      <c r="BR17" s="297">
        <f t="shared" si="38"/>
        <v>0</v>
      </c>
      <c r="BS17" s="117">
        <f t="shared" si="39"/>
        <v>0</v>
      </c>
      <c r="BT17" s="298">
        <f t="shared" si="40"/>
        <v>0</v>
      </c>
      <c r="BU17" s="119">
        <f t="shared" si="41"/>
        <v>0</v>
      </c>
      <c r="BV17" s="119">
        <f t="shared" si="42"/>
        <v>0</v>
      </c>
      <c r="BW17" s="119">
        <f t="shared" si="43"/>
        <v>0</v>
      </c>
      <c r="BX17" s="120">
        <f t="shared" si="44"/>
        <v>0</v>
      </c>
      <c r="BY17" s="121">
        <f t="shared" si="45"/>
        <v>0</v>
      </c>
      <c r="BZ17" s="299">
        <f t="shared" si="46"/>
        <v>0</v>
      </c>
      <c r="CA17" s="154"/>
      <c r="CB17" s="158"/>
      <c r="CC17" s="156"/>
      <c r="CE17" s="159"/>
      <c r="CF17" s="17"/>
      <c r="CG17" s="153"/>
      <c r="CH17" s="160"/>
      <c r="CI17" s="110">
        <f t="shared" si="49"/>
        <v>0</v>
      </c>
      <c r="CJ17" s="300">
        <f t="shared" si="50"/>
        <v>0</v>
      </c>
      <c r="CL17" s="127"/>
      <c r="CM17" s="128">
        <f t="shared" si="52"/>
        <v>0</v>
      </c>
      <c r="CN17" s="129">
        <f t="shared" si="53"/>
        <v>0</v>
      </c>
      <c r="CO17" s="162"/>
      <c r="CQ17" s="131" t="e">
        <f t="shared" si="54"/>
        <v>#DIV/0!</v>
      </c>
      <c r="CR17" s="301"/>
    </row>
    <row r="18" spans="1:96">
      <c r="A18" s="133" t="s">
        <v>90</v>
      </c>
      <c r="B18" s="90" t="s">
        <v>91</v>
      </c>
      <c r="C18" s="208">
        <f>'Op Cost-25'!E11</f>
        <v>4568165</v>
      </c>
      <c r="D18" s="92">
        <f>'Ridership-25'!$E10</f>
        <v>288349</v>
      </c>
      <c r="E18" s="92">
        <f>'Revenue Hours-25'!$E10</f>
        <v>37181</v>
      </c>
      <c r="F18" s="92">
        <f>'Revenue Miles-25'!$E10</f>
        <v>548622</v>
      </c>
      <c r="G18" s="134">
        <f t="shared" si="0"/>
        <v>7.6580607817630392E-3</v>
      </c>
      <c r="H18" s="94">
        <f t="shared" si="1"/>
        <v>7.658060781763041E-3</v>
      </c>
      <c r="J18" s="95">
        <f>'Ridership-25'!B10/'Revenue Hours-25'!B10</f>
        <v>5.5934530095036958</v>
      </c>
      <c r="K18" s="96">
        <f>'Ridership-25'!C10/'Revenue Hours-25'!C10</f>
        <v>3.4815432129025932</v>
      </c>
      <c r="L18" s="96">
        <f>'Ridership-25'!D10/'Revenue Hours-25'!D10</f>
        <v>4.4669216251117509</v>
      </c>
      <c r="M18" s="96">
        <f>'Ridership-25'!E10/'Revenue Hours-25'!E10</f>
        <v>7.7552782335063606</v>
      </c>
      <c r="N18" s="97">
        <f t="shared" si="2"/>
        <v>1.2198287632498523</v>
      </c>
      <c r="O18" s="98">
        <f t="shared" si="3"/>
        <v>9.3415228123102084E-3</v>
      </c>
      <c r="P18" s="99">
        <f t="shared" si="4"/>
        <v>8.8215106949055561E-3</v>
      </c>
      <c r="Q18" s="95">
        <f>'Ridership-25'!B10/'Revenue Miles-25'!B10</f>
        <v>0.3427235145820865</v>
      </c>
      <c r="R18" s="96">
        <f>'Ridership-25'!C10/'Revenue Miles-25'!C10</f>
        <v>0.23255357049300571</v>
      </c>
      <c r="S18" s="96">
        <f>'Ridership-25'!D10/'Revenue Miles-25'!D10</f>
        <v>0.30066694525699961</v>
      </c>
      <c r="T18" s="96">
        <f>'Ridership-25'!E10/'Revenue Miles-25'!E10</f>
        <v>0.52558774529639718</v>
      </c>
      <c r="U18" s="97">
        <f t="shared" si="5"/>
        <v>1.2632311762484385</v>
      </c>
      <c r="V18" s="98">
        <f t="shared" si="6"/>
        <v>9.6739011291285624E-3</v>
      </c>
      <c r="W18" s="99">
        <f t="shared" si="7"/>
        <v>9.1699120080637984E-3</v>
      </c>
      <c r="X18" s="95">
        <f>'Op Cost-25'!B11/'Revenue Hours-25'!B10</f>
        <v>71.54291748378337</v>
      </c>
      <c r="Y18" s="96">
        <f>'Op Cost-25'!C11/'Revenue Hours-25'!C10</f>
        <v>97.854576204715912</v>
      </c>
      <c r="Z18" s="96">
        <f>'Op Cost-25'!D11/'Revenue Hours-25'!D10</f>
        <v>112.67122777391477</v>
      </c>
      <c r="AA18" s="96">
        <f>'Op Cost-25'!E11/'Revenue Hours-25'!E10</f>
        <v>122.86288695839272</v>
      </c>
      <c r="AB18" s="97">
        <f t="shared" si="8"/>
        <v>1.1468704387138906</v>
      </c>
      <c r="AC18" s="98">
        <f t="shared" si="9"/>
        <v>6.6773547588782995E-3</v>
      </c>
      <c r="AD18" s="99">
        <f t="shared" si="10"/>
        <v>7.1241720907151583E-3</v>
      </c>
      <c r="AE18" s="95">
        <f>'Op Cost-25'!B11/'Revenue Miles-25'!B10</f>
        <v>4.38359633697433</v>
      </c>
      <c r="AF18" s="96">
        <f>'Op Cost-25'!C11/'Revenue Miles-25'!C10</f>
        <v>6.5363057971394145</v>
      </c>
      <c r="AG18" s="96">
        <f>'Op Cost-25'!D11/'Revenue Miles-25'!D10</f>
        <v>7.5838612620142083</v>
      </c>
      <c r="AH18" s="96">
        <f>'Op Cost-25'!E11/'Revenue Miles-25'!E10</f>
        <v>8.3266165046243135</v>
      </c>
      <c r="AI18" s="97">
        <f t="shared" si="11"/>
        <v>1.1891379558716986</v>
      </c>
      <c r="AJ18" s="98">
        <f t="shared" si="12"/>
        <v>6.440010382268299E-3</v>
      </c>
      <c r="AK18" s="99">
        <f t="shared" si="13"/>
        <v>6.8538713680381703E-3</v>
      </c>
      <c r="AL18" s="95">
        <f>'Op Cost-25'!B11/'Ridership-25'!B10</f>
        <v>12.790474392513282</v>
      </c>
      <c r="AM18" s="96">
        <f>'Op Cost-25'!C11/'Ridership-25'!C10</f>
        <v>28.106667136018022</v>
      </c>
      <c r="AN18" s="96">
        <f>'Op Cost-25'!D11/'Ridership-25'!D10</f>
        <v>25.223461978940815</v>
      </c>
      <c r="AO18" s="96">
        <f>'Op Cost-25'!E11/'Ridership-25'!E10</f>
        <v>15.842486015210735</v>
      </c>
      <c r="AP18" s="100">
        <f t="shared" si="14"/>
        <v>0.96170318816631051</v>
      </c>
      <c r="AQ18" s="98">
        <f t="shared" si="15"/>
        <v>7.9630190229115771E-3</v>
      </c>
      <c r="AR18" s="99">
        <f t="shared" si="16"/>
        <v>8.6483515634392591E-3</v>
      </c>
      <c r="AT18" s="101">
        <f t="shared" si="29"/>
        <v>0</v>
      </c>
      <c r="AU18" s="102">
        <f t="shared" si="17"/>
        <v>0</v>
      </c>
      <c r="AV18" s="102">
        <f t="shared" si="18"/>
        <v>0</v>
      </c>
      <c r="AW18" s="102">
        <f t="shared" si="19"/>
        <v>0</v>
      </c>
      <c r="AX18" s="103">
        <f t="shared" si="20"/>
        <v>0</v>
      </c>
      <c r="AY18" s="293">
        <f t="shared" si="30"/>
        <v>-1</v>
      </c>
      <c r="AZ18" s="105">
        <f t="shared" si="21"/>
        <v>0</v>
      </c>
      <c r="BA18" s="106">
        <f t="shared" si="21"/>
        <v>0</v>
      </c>
      <c r="BB18" s="106">
        <f t="shared" si="21"/>
        <v>0</v>
      </c>
      <c r="BC18" s="106">
        <f t="shared" si="21"/>
        <v>0</v>
      </c>
      <c r="BD18" s="106">
        <f t="shared" si="21"/>
        <v>0</v>
      </c>
      <c r="BE18" s="107">
        <f t="shared" si="31"/>
        <v>936125.18243923225</v>
      </c>
      <c r="BG18" s="108">
        <f>'Op Cost-25'!E11</f>
        <v>4568165</v>
      </c>
      <c r="BH18" s="109">
        <f t="shared" si="22"/>
        <v>0.20492367995447455</v>
      </c>
      <c r="BI18" s="110">
        <f t="shared" si="23"/>
        <v>936125.18243923225</v>
      </c>
      <c r="BJ18" s="111">
        <f t="shared" si="24"/>
        <v>0</v>
      </c>
      <c r="BK18" s="1">
        <f t="shared" si="32"/>
        <v>0.70464115747244649</v>
      </c>
      <c r="BL18" s="294">
        <f t="shared" si="33"/>
        <v>0.72445074148289001</v>
      </c>
      <c r="BM18" s="294">
        <f t="shared" si="34"/>
        <v>0.70840249748359463</v>
      </c>
      <c r="BN18" s="295">
        <f t="shared" si="35"/>
        <v>0.69285569546165071</v>
      </c>
      <c r="BO18" s="114">
        <f t="shared" si="25"/>
        <v>936125.18243923225</v>
      </c>
      <c r="BP18" s="296">
        <f t="shared" si="36"/>
        <v>0.70464115747244649</v>
      </c>
      <c r="BQ18" s="116">
        <f t="shared" si="37"/>
        <v>5.3961848132558577E-3</v>
      </c>
      <c r="BR18" s="297">
        <f t="shared" si="38"/>
        <v>5.3961848132558577E-3</v>
      </c>
      <c r="BS18" s="117">
        <f t="shared" si="39"/>
        <v>6.1012934419724888E-3</v>
      </c>
      <c r="BT18" s="298">
        <f t="shared" si="40"/>
        <v>988834.6505502892</v>
      </c>
      <c r="BU18" s="119">
        <f t="shared" si="41"/>
        <v>1370449.5</v>
      </c>
      <c r="BV18" s="119">
        <f t="shared" si="42"/>
        <v>988834.6505502892</v>
      </c>
      <c r="BW18" s="119">
        <f t="shared" si="43"/>
        <v>0</v>
      </c>
      <c r="BX18" s="120">
        <f t="shared" si="44"/>
        <v>5.3961848132558577E-3</v>
      </c>
      <c r="BY18" s="121">
        <f t="shared" si="45"/>
        <v>1.0885534759963603E-2</v>
      </c>
      <c r="BZ18" s="299">
        <f t="shared" si="46"/>
        <v>998306.2318654462</v>
      </c>
      <c r="CA18" s="109">
        <f t="shared" si="26"/>
        <v>8.5059632228388707E-3</v>
      </c>
      <c r="CB18" s="123">
        <f t="shared" ref="CB18:CB50" si="57">CA18*$BO$6</f>
        <v>73483.565659006083</v>
      </c>
      <c r="CC18" s="111">
        <f t="shared" si="56"/>
        <v>1009609</v>
      </c>
      <c r="CE18" s="124">
        <f t="shared" si="28"/>
        <v>0</v>
      </c>
      <c r="CF18" s="17"/>
      <c r="CG18" s="108">
        <f t="shared" si="47"/>
        <v>4568165</v>
      </c>
      <c r="CH18" s="125">
        <f t="shared" si="48"/>
        <v>0.2210097489911157</v>
      </c>
      <c r="CI18" s="110">
        <f t="shared" si="49"/>
        <v>988834.6505502892</v>
      </c>
      <c r="CJ18" s="300">
        <f t="shared" si="50"/>
        <v>0</v>
      </c>
      <c r="CL18" s="127">
        <f t="shared" si="51"/>
        <v>988834.6505502892</v>
      </c>
      <c r="CM18" s="128">
        <f t="shared" si="52"/>
        <v>1.1508754087229839E-2</v>
      </c>
      <c r="CN18" s="129">
        <f t="shared" si="53"/>
        <v>10013.848890020703</v>
      </c>
      <c r="CO18" s="130">
        <f t="shared" si="55"/>
        <v>998848</v>
      </c>
      <c r="CQ18" s="131">
        <f t="shared" si="54"/>
        <v>0.21853550208134911</v>
      </c>
      <c r="CR18" s="301"/>
    </row>
    <row r="19" spans="1:96">
      <c r="A19" s="133" t="s">
        <v>92</v>
      </c>
      <c r="B19" s="90" t="s">
        <v>93</v>
      </c>
      <c r="C19" s="208">
        <f>'Op Cost-25'!E12</f>
        <v>1970225</v>
      </c>
      <c r="D19" s="92">
        <f>'Ridership-25'!$E11</f>
        <v>75077</v>
      </c>
      <c r="E19" s="92">
        <f>'Revenue Hours-25'!$E11</f>
        <v>22410</v>
      </c>
      <c r="F19" s="92">
        <f>'Revenue Miles-25'!$E11</f>
        <v>442128</v>
      </c>
      <c r="G19" s="134">
        <f t="shared" si="0"/>
        <v>3.6382871513673735E-3</v>
      </c>
      <c r="H19" s="94">
        <f t="shared" si="1"/>
        <v>3.6382871513673744E-3</v>
      </c>
      <c r="J19" s="95">
        <f>'Ridership-25'!B11/'Revenue Hours-25'!B11</f>
        <v>6.7021276595744679</v>
      </c>
      <c r="K19" s="96">
        <f>'Ridership-25'!C11/'Revenue Hours-25'!C11</f>
        <v>5.361326293975428</v>
      </c>
      <c r="L19" s="96">
        <f>'Ridership-25'!D11/'Revenue Hours-25'!D11</f>
        <v>3.4816356739753909</v>
      </c>
      <c r="M19" s="96">
        <f>'Ridership-25'!E11/'Revenue Hours-25'!E11</f>
        <v>3.3501561802766622</v>
      </c>
      <c r="N19" s="97">
        <f t="shared" si="2"/>
        <v>0.9553120857071894</v>
      </c>
      <c r="O19" s="98">
        <f t="shared" si="3"/>
        <v>3.4756996869744353E-3</v>
      </c>
      <c r="P19" s="99">
        <f t="shared" si="4"/>
        <v>3.2822188177413728E-3</v>
      </c>
      <c r="Q19" s="95">
        <f>'Ridership-25'!B11/'Revenue Miles-25'!B11</f>
        <v>0.35838935027674113</v>
      </c>
      <c r="R19" s="96">
        <f>'Ridership-25'!C11/'Revenue Miles-25'!C11</f>
        <v>0.29459705668644059</v>
      </c>
      <c r="S19" s="96">
        <f>'Ridership-25'!D11/'Revenue Miles-25'!D11</f>
        <v>0.18135424146189841</v>
      </c>
      <c r="T19" s="96">
        <f>'Ridership-25'!E11/'Revenue Miles-25'!E11</f>
        <v>0.16980829081171064</v>
      </c>
      <c r="U19" s="97">
        <f t="shared" si="5"/>
        <v>0.94938316718089533</v>
      </c>
      <c r="V19" s="98">
        <f t="shared" si="6"/>
        <v>3.4541285788787152E-3</v>
      </c>
      <c r="W19" s="99">
        <f t="shared" si="7"/>
        <v>3.2741760237226564E-3</v>
      </c>
      <c r="X19" s="95">
        <f>'Op Cost-25'!B12/'Revenue Hours-25'!B11</f>
        <v>66.919313392948922</v>
      </c>
      <c r="Y19" s="96">
        <f>'Op Cost-25'!C12/'Revenue Hours-25'!C11</f>
        <v>71.305225243005879</v>
      </c>
      <c r="Z19" s="96">
        <f>'Op Cost-25'!D12/'Revenue Hours-25'!D11</f>
        <v>79.874363955962622</v>
      </c>
      <c r="AA19" s="96">
        <f>'Op Cost-25'!E12/'Revenue Hours-25'!E11</f>
        <v>87.91722445336903</v>
      </c>
      <c r="AB19" s="97">
        <f t="shared" si="8"/>
        <v>1.0576341091476011</v>
      </c>
      <c r="AC19" s="98">
        <f t="shared" si="9"/>
        <v>3.4400244091027351E-3</v>
      </c>
      <c r="AD19" s="99">
        <f t="shared" si="10"/>
        <v>3.6702147439632953E-3</v>
      </c>
      <c r="AE19" s="95">
        <f>'Op Cost-25'!B12/'Revenue Miles-25'!B11</f>
        <v>3.578441125871858</v>
      </c>
      <c r="AF19" s="96">
        <f>'Op Cost-25'!C12/'Revenue Miles-25'!C11</f>
        <v>3.9181180795800845</v>
      </c>
      <c r="AG19" s="96">
        <f>'Op Cost-25'!D12/'Revenue Miles-25'!D11</f>
        <v>4.1605601630756928</v>
      </c>
      <c r="AH19" s="96">
        <f>'Op Cost-25'!E12/'Revenue Miles-25'!E11</f>
        <v>4.456232131871313</v>
      </c>
      <c r="AI19" s="97">
        <f t="shared" si="11"/>
        <v>1.0394400432187054</v>
      </c>
      <c r="AJ19" s="98">
        <f t="shared" si="12"/>
        <v>3.5002376280416718E-3</v>
      </c>
      <c r="AK19" s="99">
        <f t="shared" si="13"/>
        <v>3.7251769851518218E-3</v>
      </c>
      <c r="AL19" s="95">
        <f>'Op Cost-25'!B12/'Ridership-25'!B11</f>
        <v>9.9847864427574571</v>
      </c>
      <c r="AM19" s="96">
        <f>'Op Cost-25'!C12/'Ridership-25'!C11</f>
        <v>13.299922693220932</v>
      </c>
      <c r="AN19" s="96">
        <f>'Op Cost-25'!D12/'Ridership-25'!D11</f>
        <v>22.941620386363031</v>
      </c>
      <c r="AO19" s="96">
        <f>'Op Cost-25'!E12/'Ridership-25'!E11</f>
        <v>26.242724136553139</v>
      </c>
      <c r="AP19" s="100">
        <f t="shared" si="14"/>
        <v>1.4157977453231483</v>
      </c>
      <c r="AQ19" s="98">
        <f t="shared" si="15"/>
        <v>2.5697788850037721E-3</v>
      </c>
      <c r="AR19" s="99">
        <f t="shared" si="16"/>
        <v>2.7909453906703736E-3</v>
      </c>
      <c r="AT19" s="101">
        <f t="shared" si="29"/>
        <v>0</v>
      </c>
      <c r="AU19" s="102">
        <f t="shared" si="17"/>
        <v>0</v>
      </c>
      <c r="AV19" s="102">
        <f t="shared" si="18"/>
        <v>0</v>
      </c>
      <c r="AW19" s="102">
        <f t="shared" si="19"/>
        <v>0</v>
      </c>
      <c r="AX19" s="103">
        <f t="shared" si="20"/>
        <v>0</v>
      </c>
      <c r="AY19" s="293">
        <f t="shared" si="30"/>
        <v>-1</v>
      </c>
      <c r="AZ19" s="105">
        <f t="shared" si="21"/>
        <v>0</v>
      </c>
      <c r="BA19" s="106">
        <f t="shared" si="21"/>
        <v>0</v>
      </c>
      <c r="BB19" s="106">
        <f t="shared" si="21"/>
        <v>0</v>
      </c>
      <c r="BC19" s="106">
        <f t="shared" si="21"/>
        <v>0</v>
      </c>
      <c r="BD19" s="106">
        <f t="shared" si="21"/>
        <v>0</v>
      </c>
      <c r="BE19" s="107">
        <f t="shared" si="31"/>
        <v>444746.04216395272</v>
      </c>
      <c r="BG19" s="108">
        <f>'Op Cost-25'!E12</f>
        <v>1970225</v>
      </c>
      <c r="BH19" s="109">
        <f t="shared" si="22"/>
        <v>0.22573363050613646</v>
      </c>
      <c r="BI19" s="110">
        <f t="shared" si="23"/>
        <v>444746.04216395272</v>
      </c>
      <c r="BJ19" s="111">
        <f t="shared" si="24"/>
        <v>0</v>
      </c>
      <c r="BK19" s="1">
        <f t="shared" si="32"/>
        <v>0.34459116306146964</v>
      </c>
      <c r="BL19" s="294">
        <f t="shared" si="33"/>
        <v>0.31295113544721848</v>
      </c>
      <c r="BM19" s="294">
        <f t="shared" si="34"/>
        <v>0.22887256862619423</v>
      </c>
      <c r="BN19" s="295">
        <f t="shared" si="35"/>
        <v>0.41827047408623291</v>
      </c>
      <c r="BO19" s="114">
        <f t="shared" si="25"/>
        <v>444746.04216395272</v>
      </c>
      <c r="BP19" s="296">
        <f t="shared" si="36"/>
        <v>0.34459116306146964</v>
      </c>
      <c r="BQ19" s="116">
        <f t="shared" si="37"/>
        <v>1.2537216010412848E-3</v>
      </c>
      <c r="BR19" s="297">
        <f t="shared" si="38"/>
        <v>1.2537216010412848E-3</v>
      </c>
      <c r="BS19" s="117">
        <f t="shared" si="39"/>
        <v>1.4175428839467645E-3</v>
      </c>
      <c r="BT19" s="298">
        <f t="shared" si="40"/>
        <v>456992.28669358679</v>
      </c>
      <c r="BU19" s="119">
        <f t="shared" si="41"/>
        <v>591067.5</v>
      </c>
      <c r="BV19" s="119">
        <f t="shared" si="42"/>
        <v>456992.28669358679</v>
      </c>
      <c r="BW19" s="119">
        <f t="shared" si="43"/>
        <v>0</v>
      </c>
      <c r="BX19" s="120">
        <f t="shared" si="44"/>
        <v>1.2537216010412848E-3</v>
      </c>
      <c r="BY19" s="121">
        <f t="shared" si="45"/>
        <v>2.529088706140473E-3</v>
      </c>
      <c r="BZ19" s="299">
        <f t="shared" si="46"/>
        <v>459192.86478751362</v>
      </c>
      <c r="CA19" s="109">
        <f t="shared" si="26"/>
        <v>4.0411192318237817E-3</v>
      </c>
      <c r="CB19" s="123">
        <f t="shared" si="57"/>
        <v>34911.490048564527</v>
      </c>
      <c r="CC19" s="111">
        <f t="shared" si="56"/>
        <v>479658</v>
      </c>
      <c r="CE19" s="124">
        <f t="shared" si="28"/>
        <v>0</v>
      </c>
      <c r="CF19" s="17"/>
      <c r="CG19" s="108">
        <f t="shared" si="47"/>
        <v>1970225</v>
      </c>
      <c r="CH19" s="125">
        <f t="shared" si="48"/>
        <v>0.24345341268129275</v>
      </c>
      <c r="CI19" s="110">
        <f t="shared" si="49"/>
        <v>456992.28669358679</v>
      </c>
      <c r="CJ19" s="300">
        <f t="shared" si="50"/>
        <v>0</v>
      </c>
      <c r="CL19" s="127">
        <f t="shared" si="51"/>
        <v>456992.28669358679</v>
      </c>
      <c r="CM19" s="128">
        <f t="shared" si="52"/>
        <v>5.3187980866067448E-3</v>
      </c>
      <c r="CN19" s="129">
        <f t="shared" si="53"/>
        <v>4627.9240925749318</v>
      </c>
      <c r="CO19" s="130">
        <f t="shared" si="55"/>
        <v>461620</v>
      </c>
      <c r="CQ19" s="131">
        <f t="shared" si="54"/>
        <v>0.2330662055285633</v>
      </c>
      <c r="CR19" s="301"/>
    </row>
    <row r="20" spans="1:96">
      <c r="A20" s="133" t="s">
        <v>92</v>
      </c>
      <c r="B20" s="90" t="s">
        <v>94</v>
      </c>
      <c r="C20" s="208">
        <f>'Op Cost-25'!E13</f>
        <v>195234</v>
      </c>
      <c r="D20" s="92">
        <f>'Ridership-25'!$E12</f>
        <v>10861</v>
      </c>
      <c r="E20" s="92">
        <f>'Revenue Hours-25'!$E12</f>
        <v>3108</v>
      </c>
      <c r="F20" s="92">
        <f>'Revenue Miles-25'!$E12</f>
        <v>54991</v>
      </c>
      <c r="G20" s="134">
        <f t="shared" si="0"/>
        <v>4.4197496208873098E-4</v>
      </c>
      <c r="H20" s="94">
        <f t="shared" si="1"/>
        <v>4.4197496208873109E-4</v>
      </c>
      <c r="J20" s="95">
        <f>'Ridership-25'!B12/'Revenue Hours-25'!B12</f>
        <v>2.5672572178477688</v>
      </c>
      <c r="K20" s="96">
        <f>'Ridership-25'!C12/'Revenue Hours-25'!C12</f>
        <v>1.3415032679738561</v>
      </c>
      <c r="L20" s="96">
        <f>'Ridership-25'!D12/'Revenue Hours-25'!D12</f>
        <v>1.759546925566343</v>
      </c>
      <c r="M20" s="96">
        <f>'Ridership-25'!E12/'Revenue Hours-25'!E12</f>
        <v>3.4945302445302446</v>
      </c>
      <c r="N20" s="97">
        <f t="shared" si="2"/>
        <v>1.2320810455604696</v>
      </c>
      <c r="O20" s="98">
        <f t="shared" si="3"/>
        <v>5.4454897340183272E-4</v>
      </c>
      <c r="P20" s="99">
        <f t="shared" si="4"/>
        <v>5.1423570752658868E-4</v>
      </c>
      <c r="Q20" s="95">
        <f>'Ridership-25'!B12/'Revenue Miles-25'!B12</f>
        <v>0.14723314580314975</v>
      </c>
      <c r="R20" s="96">
        <f>'Ridership-25'!C12/'Revenue Miles-25'!C12</f>
        <v>8.4451119157340354E-2</v>
      </c>
      <c r="S20" s="96">
        <f>'Ridership-25'!D12/'Revenue Miles-25'!D12</f>
        <v>0.10382691059084138</v>
      </c>
      <c r="T20" s="96">
        <f>'Ridership-25'!E12/'Revenue Miles-25'!E12</f>
        <v>0.19750504628030041</v>
      </c>
      <c r="U20" s="97">
        <f t="shared" si="5"/>
        <v>1.2222489720634329</v>
      </c>
      <c r="V20" s="98">
        <f t="shared" si="6"/>
        <v>5.4020344309072628E-4</v>
      </c>
      <c r="W20" s="99">
        <f t="shared" si="7"/>
        <v>5.1206002350794011E-4</v>
      </c>
      <c r="X20" s="95">
        <f>'Op Cost-25'!B13/'Revenue Hours-25'!B12</f>
        <v>44.952755905511808</v>
      </c>
      <c r="Y20" s="96">
        <f>'Op Cost-25'!C13/'Revenue Hours-25'!C12</f>
        <v>49.306209150326801</v>
      </c>
      <c r="Z20" s="96">
        <f>'Op Cost-25'!D13/'Revenue Hours-25'!D12</f>
        <v>54.219417475728157</v>
      </c>
      <c r="AA20" s="96">
        <f>'Op Cost-25'!E13/'Revenue Hours-25'!E12</f>
        <v>62.816602316602314</v>
      </c>
      <c r="AB20" s="97">
        <f t="shared" si="8"/>
        <v>1.0800743947036444</v>
      </c>
      <c r="AC20" s="98">
        <f t="shared" si="9"/>
        <v>4.0920788813811489E-4</v>
      </c>
      <c r="AD20" s="99">
        <f t="shared" si="10"/>
        <v>4.3659016500476782E-4</v>
      </c>
      <c r="AE20" s="95">
        <f>'Op Cost-25'!B13/'Revenue Miles-25'!B12</f>
        <v>2.5780570869475228</v>
      </c>
      <c r="AF20" s="96">
        <f>'Op Cost-25'!C13/'Revenue Miles-25'!C12</f>
        <v>3.103954081632653</v>
      </c>
      <c r="AG20" s="96">
        <f>'Op Cost-25'!D13/'Revenue Miles-25'!D12</f>
        <v>3.1993660008402398</v>
      </c>
      <c r="AH20" s="96">
        <f>'Op Cost-25'!E13/'Revenue Miles-25'!E12</f>
        <v>3.5502900474623118</v>
      </c>
      <c r="AI20" s="97">
        <f t="shared" si="11"/>
        <v>1.0719789765841485</v>
      </c>
      <c r="AJ20" s="98">
        <f t="shared" si="12"/>
        <v>4.1229816231758609E-4</v>
      </c>
      <c r="AK20" s="99">
        <f t="shared" si="13"/>
        <v>4.3879410157223088E-4</v>
      </c>
      <c r="AL20" s="95">
        <f>'Op Cost-25'!B13/'Ridership-25'!B12</f>
        <v>17.510031948881789</v>
      </c>
      <c r="AM20" s="96">
        <f>'Op Cost-25'!C13/'Ridership-25'!C12</f>
        <v>36.754445797807549</v>
      </c>
      <c r="AN20" s="96">
        <f>'Op Cost-25'!D13/'Ridership-25'!D12</f>
        <v>30.814419716755562</v>
      </c>
      <c r="AO20" s="96">
        <f>'Op Cost-25'!E13/'Ridership-25'!E12</f>
        <v>17.97569284596262</v>
      </c>
      <c r="AP20" s="100">
        <f t="shared" si="14"/>
        <v>0.90344938129174057</v>
      </c>
      <c r="AQ20" s="98">
        <f t="shared" si="15"/>
        <v>4.8920832892353184E-4</v>
      </c>
      <c r="AR20" s="99">
        <f t="shared" si="16"/>
        <v>5.313117555188734E-4</v>
      </c>
      <c r="AT20" s="101">
        <f t="shared" si="29"/>
        <v>0</v>
      </c>
      <c r="AU20" s="102">
        <f t="shared" si="17"/>
        <v>0</v>
      </c>
      <c r="AV20" s="102">
        <f t="shared" si="18"/>
        <v>0</v>
      </c>
      <c r="AW20" s="102">
        <f t="shared" si="19"/>
        <v>0</v>
      </c>
      <c r="AX20" s="103">
        <f t="shared" si="20"/>
        <v>0</v>
      </c>
      <c r="AY20" s="293">
        <f t="shared" si="30"/>
        <v>-1</v>
      </c>
      <c r="AZ20" s="105">
        <f t="shared" si="21"/>
        <v>0</v>
      </c>
      <c r="BA20" s="106">
        <f t="shared" si="21"/>
        <v>0</v>
      </c>
      <c r="BB20" s="106">
        <f t="shared" si="21"/>
        <v>0</v>
      </c>
      <c r="BC20" s="106">
        <f t="shared" si="21"/>
        <v>0</v>
      </c>
      <c r="BD20" s="106">
        <f t="shared" si="21"/>
        <v>0</v>
      </c>
      <c r="BE20" s="107">
        <f t="shared" si="31"/>
        <v>54027.240552096264</v>
      </c>
      <c r="BG20" s="108">
        <f>'Op Cost-25'!E13</f>
        <v>195234</v>
      </c>
      <c r="BH20" s="109">
        <f t="shared" si="22"/>
        <v>0.27673069522775884</v>
      </c>
      <c r="BI20" s="110">
        <f t="shared" si="23"/>
        <v>54027.240552096264</v>
      </c>
      <c r="BJ20" s="111">
        <f t="shared" si="24"/>
        <v>0</v>
      </c>
      <c r="BK20" s="1">
        <f t="shared" si="32"/>
        <v>0.45347683634350167</v>
      </c>
      <c r="BL20" s="294">
        <f t="shared" si="33"/>
        <v>0.32643767903085441</v>
      </c>
      <c r="BM20" s="294">
        <f t="shared" si="34"/>
        <v>0.26620306371807795</v>
      </c>
      <c r="BN20" s="295">
        <f t="shared" si="35"/>
        <v>0.61063330131253712</v>
      </c>
      <c r="BO20" s="114">
        <f t="shared" si="25"/>
        <v>54027.240552096264</v>
      </c>
      <c r="BP20" s="296">
        <f t="shared" si="36"/>
        <v>0.45347683634350167</v>
      </c>
      <c r="BQ20" s="116">
        <f t="shared" si="37"/>
        <v>2.0042540755103687E-4</v>
      </c>
      <c r="BR20" s="297">
        <f t="shared" si="38"/>
        <v>2.0042540755103687E-4</v>
      </c>
      <c r="BS20" s="117">
        <f t="shared" si="39"/>
        <v>2.2661459290494162E-4</v>
      </c>
      <c r="BT20" s="298">
        <f t="shared" si="40"/>
        <v>55984.978656618827</v>
      </c>
      <c r="BU20" s="119">
        <f t="shared" si="41"/>
        <v>58570.2</v>
      </c>
      <c r="BV20" s="119">
        <f t="shared" si="42"/>
        <v>55984.978656618827</v>
      </c>
      <c r="BW20" s="119">
        <f t="shared" si="43"/>
        <v>0</v>
      </c>
      <c r="BX20" s="120">
        <f t="shared" si="44"/>
        <v>2.0042540755103687E-4</v>
      </c>
      <c r="BY20" s="121">
        <f t="shared" si="45"/>
        <v>4.0431115986190694E-4</v>
      </c>
      <c r="BZ20" s="299">
        <f t="shared" si="46"/>
        <v>56336.772676086024</v>
      </c>
      <c r="CA20" s="109">
        <f t="shared" si="26"/>
        <v>4.9091054250902089E-4</v>
      </c>
      <c r="CB20" s="123">
        <f t="shared" si="57"/>
        <v>4241.007883304751</v>
      </c>
      <c r="CC20" s="111">
        <f t="shared" si="56"/>
        <v>58268</v>
      </c>
      <c r="CE20" s="124">
        <f t="shared" si="28"/>
        <v>0</v>
      </c>
      <c r="CF20" s="17"/>
      <c r="CG20" s="108">
        <f t="shared" si="47"/>
        <v>195234</v>
      </c>
      <c r="CH20" s="125">
        <f t="shared" si="48"/>
        <v>0.29845211387360809</v>
      </c>
      <c r="CI20" s="110">
        <f t="shared" si="49"/>
        <v>55984.978656618827</v>
      </c>
      <c r="CJ20" s="300">
        <f t="shared" si="50"/>
        <v>0</v>
      </c>
      <c r="CL20" s="127">
        <f t="shared" si="51"/>
        <v>0</v>
      </c>
      <c r="CM20" s="128">
        <f t="shared" si="52"/>
        <v>0</v>
      </c>
      <c r="CN20" s="129">
        <f t="shared" si="53"/>
        <v>0</v>
      </c>
      <c r="CO20" s="130">
        <f t="shared" si="55"/>
        <v>55985</v>
      </c>
      <c r="CQ20" s="131">
        <f t="shared" si="54"/>
        <v>0.28856025423894416</v>
      </c>
      <c r="CR20" s="301"/>
    </row>
    <row r="21" spans="1:96">
      <c r="A21" s="133" t="s">
        <v>92</v>
      </c>
      <c r="B21" s="90" t="s">
        <v>95</v>
      </c>
      <c r="C21" s="208">
        <f>'Op Cost-25'!E14</f>
        <v>120169392</v>
      </c>
      <c r="D21" s="92">
        <f>'Ridership-25'!$E13</f>
        <v>7133773</v>
      </c>
      <c r="E21" s="92">
        <f>'Revenue Hours-25'!$E13</f>
        <v>955047</v>
      </c>
      <c r="F21" s="92">
        <f>'Revenue Miles-25'!$E13</f>
        <v>13757219</v>
      </c>
      <c r="G21" s="134">
        <f t="shared" si="0"/>
        <v>0.19574675447162002</v>
      </c>
      <c r="H21" s="94">
        <f t="shared" si="1"/>
        <v>0.19574675447162007</v>
      </c>
      <c r="J21" s="95">
        <f>'Ridership-25'!B13/'Revenue Hours-25'!B13</f>
        <v>12.193537039037592</v>
      </c>
      <c r="K21" s="96">
        <f>'Ridership-25'!C13/'Revenue Hours-25'!C13</f>
        <v>6.640780447028594</v>
      </c>
      <c r="L21" s="96">
        <f>'Ridership-25'!D13/'Revenue Hours-25'!D13</f>
        <v>7.1961861955660096</v>
      </c>
      <c r="M21" s="96">
        <f>'Ridership-25'!E13/'Revenue Hours-25'!E13</f>
        <v>7.4695517602798605</v>
      </c>
      <c r="N21" s="97">
        <f t="shared" si="2"/>
        <v>0.92310493377221914</v>
      </c>
      <c r="O21" s="98">
        <f t="shared" si="3"/>
        <v>0.18069479482265169</v>
      </c>
      <c r="P21" s="99">
        <f t="shared" si="4"/>
        <v>0.17063610474099802</v>
      </c>
      <c r="Q21" s="95">
        <f>'Ridership-25'!B13/'Revenue Miles-25'!B13</f>
        <v>0.90434093823673278</v>
      </c>
      <c r="R21" s="96">
        <f>'Ridership-25'!C13/'Revenue Miles-25'!C13</f>
        <v>0.46622665154015291</v>
      </c>
      <c r="S21" s="96">
        <f>'Ridership-25'!D13/'Revenue Miles-25'!D13</f>
        <v>0.49455273703023678</v>
      </c>
      <c r="T21" s="96">
        <f>'Ridership-25'!E13/'Revenue Miles-25'!E13</f>
        <v>0.51854760762331398</v>
      </c>
      <c r="U21" s="97">
        <f t="shared" si="5"/>
        <v>0.90269772340845067</v>
      </c>
      <c r="V21" s="98">
        <f t="shared" si="6"/>
        <v>0.1767001496261244</v>
      </c>
      <c r="W21" s="99">
        <f t="shared" si="7"/>
        <v>0.16749445774305005</v>
      </c>
      <c r="X21" s="95">
        <f>'Op Cost-25'!B14/'Revenue Hours-25'!B13</f>
        <v>89.156752379659721</v>
      </c>
      <c r="Y21" s="96">
        <f>'Op Cost-25'!C14/'Revenue Hours-25'!C13</f>
        <v>107.97198556298591</v>
      </c>
      <c r="Z21" s="96">
        <f>'Op Cost-25'!D14/'Revenue Hours-25'!D13</f>
        <v>112.49719845156518</v>
      </c>
      <c r="AA21" s="96">
        <f>'Op Cost-25'!E14/'Revenue Hours-25'!E13</f>
        <v>125.82563161812979</v>
      </c>
      <c r="AB21" s="97">
        <f t="shared" si="8"/>
        <v>1.0776912350820134</v>
      </c>
      <c r="AC21" s="98">
        <f t="shared" si="9"/>
        <v>0.1816352848566348</v>
      </c>
      <c r="AD21" s="99">
        <f t="shared" si="10"/>
        <v>0.19378946810399947</v>
      </c>
      <c r="AE21" s="95">
        <f>'Op Cost-25'!B14/'Revenue Miles-25'!B13</f>
        <v>6.6123636512548227</v>
      </c>
      <c r="AF21" s="96">
        <f>'Op Cost-25'!C14/'Revenue Miles-25'!C13</f>
        <v>7.5803465708156237</v>
      </c>
      <c r="AG21" s="96">
        <f>'Op Cost-25'!D14/'Revenue Miles-25'!D13</f>
        <v>7.7312893094311175</v>
      </c>
      <c r="AH21" s="96">
        <f>'Op Cost-25'!E14/'Revenue Miles-25'!E13</f>
        <v>8.735006108429328</v>
      </c>
      <c r="AI21" s="97">
        <f t="shared" si="11"/>
        <v>1.0599998872255201</v>
      </c>
      <c r="AJ21" s="98">
        <f t="shared" si="12"/>
        <v>0.18466676914841407</v>
      </c>
      <c r="AK21" s="99">
        <f t="shared" si="13"/>
        <v>0.19653419894777116</v>
      </c>
      <c r="AL21" s="95">
        <f>'Op Cost-25'!B14/'Ridership-25'!B13</f>
        <v>7.311803957639567</v>
      </c>
      <c r="AM21" s="96">
        <f>'Op Cost-25'!C14/'Ridership-25'!C13</f>
        <v>16.258930170067252</v>
      </c>
      <c r="AN21" s="96">
        <f>'Op Cost-25'!D14/'Ridership-25'!D13</f>
        <v>15.632891561488677</v>
      </c>
      <c r="AO21" s="96">
        <f>'Op Cost-25'!E14/'Ridership-25'!E13</f>
        <v>16.845138189847084</v>
      </c>
      <c r="AP21" s="97">
        <f t="shared" si="14"/>
        <v>1.1852646901926562</v>
      </c>
      <c r="AQ21" s="98">
        <f t="shared" si="15"/>
        <v>0.16515024541885479</v>
      </c>
      <c r="AR21" s="99">
        <f t="shared" si="16"/>
        <v>0.17936380398703339</v>
      </c>
      <c r="AT21" s="101">
        <f t="shared" si="29"/>
        <v>0</v>
      </c>
      <c r="AU21" s="102">
        <f t="shared" si="17"/>
        <v>0</v>
      </c>
      <c r="AV21" s="102">
        <f t="shared" si="18"/>
        <v>0</v>
      </c>
      <c r="AW21" s="102">
        <f t="shared" si="19"/>
        <v>0</v>
      </c>
      <c r="AX21" s="103">
        <f t="shared" si="20"/>
        <v>0</v>
      </c>
      <c r="AY21" s="293">
        <f t="shared" si="30"/>
        <v>-1</v>
      </c>
      <c r="AZ21" s="105">
        <f t="shared" si="21"/>
        <v>0</v>
      </c>
      <c r="BA21" s="106">
        <f t="shared" si="21"/>
        <v>0</v>
      </c>
      <c r="BB21" s="106">
        <f t="shared" si="21"/>
        <v>0</v>
      </c>
      <c r="BC21" s="106">
        <f t="shared" si="21"/>
        <v>0</v>
      </c>
      <c r="BD21" s="106">
        <f t="shared" si="21"/>
        <v>0</v>
      </c>
      <c r="BE21" s="107">
        <f t="shared" si="31"/>
        <v>23928181.228074111</v>
      </c>
      <c r="BG21" s="108">
        <f>'Op Cost-25'!E14</f>
        <v>120169392</v>
      </c>
      <c r="BH21" s="109">
        <f t="shared" si="22"/>
        <v>0.19912043183237635</v>
      </c>
      <c r="BI21" s="110">
        <f t="shared" si="23"/>
        <v>23928181.228074111</v>
      </c>
      <c r="BJ21" s="111">
        <f t="shared" si="24"/>
        <v>0</v>
      </c>
      <c r="BK21" s="1">
        <f t="shared" si="32"/>
        <v>0.67497623289100406</v>
      </c>
      <c r="BL21" s="294">
        <f t="shared" si="33"/>
        <v>0.69775991890273847</v>
      </c>
      <c r="BM21" s="294">
        <f t="shared" si="34"/>
        <v>0.69891359452709967</v>
      </c>
      <c r="BN21" s="295">
        <f t="shared" si="35"/>
        <v>0.6516157090670891</v>
      </c>
      <c r="BO21" s="114">
        <f t="shared" si="25"/>
        <v>23928181.228074111</v>
      </c>
      <c r="BP21" s="296">
        <f t="shared" si="36"/>
        <v>0.67497623289100406</v>
      </c>
      <c r="BQ21" s="116">
        <f t="shared" si="37"/>
        <v>0.13212440693389441</v>
      </c>
      <c r="BR21" s="297">
        <f t="shared" si="38"/>
        <v>0.13212440693389441</v>
      </c>
      <c r="BS21" s="302">
        <f t="shared" si="39"/>
        <v>0.14938883775255385</v>
      </c>
      <c r="BT21" s="298">
        <f t="shared" si="40"/>
        <v>25218761.04603488</v>
      </c>
      <c r="BU21" s="119">
        <f t="shared" si="41"/>
        <v>36050817.600000001</v>
      </c>
      <c r="BV21" s="119">
        <f t="shared" si="42"/>
        <v>25218761.04603488</v>
      </c>
      <c r="BW21" s="119">
        <f t="shared" si="43"/>
        <v>0</v>
      </c>
      <c r="BX21" s="120">
        <f t="shared" si="44"/>
        <v>0.13212440693389441</v>
      </c>
      <c r="BY21" s="121">
        <f t="shared" si="45"/>
        <v>0.26652994181841227</v>
      </c>
      <c r="BZ21" s="299">
        <f t="shared" si="46"/>
        <v>25450670.646483909</v>
      </c>
      <c r="CA21" s="109">
        <f t="shared" si="26"/>
        <v>0.21741988500414469</v>
      </c>
      <c r="CB21" s="123">
        <f t="shared" si="57"/>
        <v>1878304.4291065435</v>
      </c>
      <c r="CC21" s="111">
        <f>ROUND((CB21+BI21),0)</f>
        <v>25806486</v>
      </c>
      <c r="CE21" s="124">
        <f t="shared" si="28"/>
        <v>0</v>
      </c>
      <c r="CF21" s="17"/>
      <c r="CG21" s="108">
        <f t="shared" si="47"/>
        <v>120169392</v>
      </c>
      <c r="CH21" s="125">
        <f t="shared" si="48"/>
        <v>0.2147509076188053</v>
      </c>
      <c r="CI21" s="110">
        <f t="shared" si="49"/>
        <v>25218761.04603488</v>
      </c>
      <c r="CJ21" s="300">
        <f t="shared" si="50"/>
        <v>0</v>
      </c>
      <c r="CL21" s="127">
        <f t="shared" si="51"/>
        <v>25218761.04603488</v>
      </c>
      <c r="CM21" s="128">
        <f t="shared" si="52"/>
        <v>0.29351370231808643</v>
      </c>
      <c r="CN21" s="129">
        <f t="shared" si="53"/>
        <v>255388.36262260462</v>
      </c>
      <c r="CO21" s="130">
        <f t="shared" si="55"/>
        <v>25474149</v>
      </c>
      <c r="CQ21" s="131">
        <f t="shared" si="54"/>
        <v>0.21178995934741776</v>
      </c>
      <c r="CR21" s="301"/>
    </row>
    <row r="22" spans="1:96">
      <c r="A22" s="133" t="s">
        <v>92</v>
      </c>
      <c r="B22" s="90" t="s">
        <v>96</v>
      </c>
      <c r="C22" s="208">
        <f>'Op Cost-25'!E15</f>
        <v>1246809</v>
      </c>
      <c r="D22" s="92">
        <f>'Ridership-25'!$E14</f>
        <v>91713</v>
      </c>
      <c r="E22" s="92">
        <f>'Revenue Hours-25'!$E14</f>
        <v>20260</v>
      </c>
      <c r="F22" s="92">
        <f>'Revenue Miles-25'!$E14</f>
        <v>510877</v>
      </c>
      <c r="G22" s="134">
        <f t="shared" si="0"/>
        <v>3.3794719285632165E-3</v>
      </c>
      <c r="H22" s="94">
        <f t="shared" si="1"/>
        <v>3.3794719285632174E-3</v>
      </c>
      <c r="J22" s="95">
        <f>'Ridership-25'!B14/'Revenue Hours-25'!B14</f>
        <v>5.1587647801630121</v>
      </c>
      <c r="K22" s="96">
        <f>'Ridership-25'!C14/'Revenue Hours-25'!C14</f>
        <v>2.5445369916707494</v>
      </c>
      <c r="L22" s="96">
        <f>'Ridership-25'!D14/'Revenue Hours-25'!D14</f>
        <v>3.1323175227328584</v>
      </c>
      <c r="M22" s="96">
        <f>'Ridership-25'!E14/'Revenue Hours-25'!E14</f>
        <v>4.5268015794669303</v>
      </c>
      <c r="N22" s="97">
        <f t="shared" si="2"/>
        <v>1.0414257978498263</v>
      </c>
      <c r="O22" s="98">
        <f t="shared" si="3"/>
        <v>3.5194692495150396E-3</v>
      </c>
      <c r="P22" s="99">
        <f t="shared" si="4"/>
        <v>3.3235518714437584E-3</v>
      </c>
      <c r="Q22" s="95">
        <f>'Ridership-25'!B14/'Revenue Miles-25'!B14</f>
        <v>0.22008311029377553</v>
      </c>
      <c r="R22" s="96">
        <f>'Ridership-25'!C14/'Revenue Miles-25'!C14</f>
        <v>0.1120356208297289</v>
      </c>
      <c r="S22" s="96">
        <f>'Ridership-25'!D14/'Revenue Miles-25'!D14</f>
        <v>0.13193504175827817</v>
      </c>
      <c r="T22" s="96">
        <f>'Ridership-25'!E14/'Revenue Miles-25'!E14</f>
        <v>0.17952070654971744</v>
      </c>
      <c r="U22" s="97">
        <f t="shared" si="5"/>
        <v>1.0164527966738026</v>
      </c>
      <c r="V22" s="98">
        <f t="shared" si="6"/>
        <v>3.4350736930686917E-3</v>
      </c>
      <c r="W22" s="99">
        <f t="shared" si="7"/>
        <v>3.256113855847538E-3</v>
      </c>
      <c r="X22" s="95">
        <f>'Op Cost-25'!B15/'Revenue Hours-25'!B14</f>
        <v>42.671162897485935</v>
      </c>
      <c r="Y22" s="96">
        <f>'Op Cost-25'!C15/'Revenue Hours-25'!C14</f>
        <v>48.696570308672221</v>
      </c>
      <c r="Z22" s="96">
        <f>'Op Cost-25'!D15/'Revenue Hours-25'!D14</f>
        <v>59.030916687146721</v>
      </c>
      <c r="AA22" s="96">
        <f>'Op Cost-25'!E15/'Revenue Hours-25'!E14</f>
        <v>61.540424481737411</v>
      </c>
      <c r="AB22" s="97">
        <f t="shared" si="8"/>
        <v>1.0880724721451041</v>
      </c>
      <c r="AC22" s="98">
        <f t="shared" si="9"/>
        <v>3.10592540026372E-3</v>
      </c>
      <c r="AD22" s="99">
        <f t="shared" si="10"/>
        <v>3.3137593929664366E-3</v>
      </c>
      <c r="AE22" s="95">
        <f>'Op Cost-25'!B15/'Revenue Miles-25'!B14</f>
        <v>1.8204362188489445</v>
      </c>
      <c r="AF22" s="96">
        <f>'Op Cost-25'!C15/'Revenue Miles-25'!C14</f>
        <v>2.1441034281165527</v>
      </c>
      <c r="AG22" s="96">
        <f>'Op Cost-25'!D15/'Revenue Miles-25'!D14</f>
        <v>2.4864166552799274</v>
      </c>
      <c r="AH22" s="96">
        <f>'Op Cost-25'!E15/'Revenue Miles-25'!E14</f>
        <v>2.4405267804187702</v>
      </c>
      <c r="AI22" s="97">
        <f t="shared" si="11"/>
        <v>1.063030778927097</v>
      </c>
      <c r="AJ22" s="98">
        <f t="shared" si="12"/>
        <v>3.1790913260047599E-3</v>
      </c>
      <c r="AK22" s="99">
        <f t="shared" si="13"/>
        <v>3.3833925292536529E-3</v>
      </c>
      <c r="AL22" s="95">
        <f>'Op Cost-25'!B15/'Ridership-25'!B14</f>
        <v>8.2715852952957416</v>
      </c>
      <c r="AM22" s="96">
        <f>'Op Cost-25'!C15/'Ridership-25'!C14</f>
        <v>19.13769399622598</v>
      </c>
      <c r="AN22" s="96">
        <f>'Op Cost-25'!D15/'Ridership-25'!D14</f>
        <v>18.84576396189998</v>
      </c>
      <c r="AO22" s="96">
        <f>'Op Cost-25'!E15/'Ridership-25'!E14</f>
        <v>13.594681233849073</v>
      </c>
      <c r="AP22" s="100">
        <f t="shared" si="14"/>
        <v>1.0553612396000409</v>
      </c>
      <c r="AQ22" s="98">
        <f t="shared" si="15"/>
        <v>3.2021944730924209E-3</v>
      </c>
      <c r="AR22" s="99">
        <f t="shared" si="16"/>
        <v>3.4777894537390596E-3</v>
      </c>
      <c r="AT22" s="101">
        <f t="shared" si="29"/>
        <v>0</v>
      </c>
      <c r="AU22" s="102">
        <f t="shared" si="17"/>
        <v>0</v>
      </c>
      <c r="AV22" s="102">
        <f t="shared" si="18"/>
        <v>0</v>
      </c>
      <c r="AW22" s="102">
        <f t="shared" si="19"/>
        <v>0</v>
      </c>
      <c r="AX22" s="103">
        <f t="shared" si="20"/>
        <v>0</v>
      </c>
      <c r="AY22" s="293">
        <f t="shared" si="30"/>
        <v>-1</v>
      </c>
      <c r="AZ22" s="105">
        <f t="shared" si="21"/>
        <v>0</v>
      </c>
      <c r="BA22" s="106">
        <f t="shared" si="21"/>
        <v>0</v>
      </c>
      <c r="BB22" s="106">
        <f t="shared" si="21"/>
        <v>0</v>
      </c>
      <c r="BC22" s="106">
        <f t="shared" si="21"/>
        <v>0</v>
      </c>
      <c r="BD22" s="106">
        <f t="shared" si="21"/>
        <v>0</v>
      </c>
      <c r="BE22" s="107">
        <f t="shared" si="31"/>
        <v>413108.33980429429</v>
      </c>
      <c r="BG22" s="108">
        <f>'Op Cost-25'!E15</f>
        <v>1246809</v>
      </c>
      <c r="BH22" s="109">
        <f t="shared" si="22"/>
        <v>0.33133249744290766</v>
      </c>
      <c r="BI22" s="110">
        <f t="shared" si="23"/>
        <v>374042.7</v>
      </c>
      <c r="BJ22" s="111">
        <f t="shared" si="24"/>
        <v>39065.639804294275</v>
      </c>
      <c r="BK22" s="1">
        <f t="shared" si="32"/>
        <v>0.56991511436627063</v>
      </c>
      <c r="BL22" s="294">
        <f t="shared" si="33"/>
        <v>0.4228661644429505</v>
      </c>
      <c r="BM22" s="294">
        <f t="shared" si="34"/>
        <v>0.24196324592408849</v>
      </c>
      <c r="BN22" s="295">
        <f t="shared" si="35"/>
        <v>0.80741552354902169</v>
      </c>
      <c r="BO22" s="114">
        <f t="shared" si="25"/>
        <v>0</v>
      </c>
      <c r="BP22" s="296">
        <f t="shared" si="36"/>
        <v>0.56991511436627063</v>
      </c>
      <c r="BQ22" s="116">
        <f t="shared" si="37"/>
        <v>1.9260121306647073E-3</v>
      </c>
      <c r="BR22" s="297">
        <f t="shared" si="38"/>
        <v>0</v>
      </c>
      <c r="BS22" s="117">
        <f t="shared" si="39"/>
        <v>0</v>
      </c>
      <c r="BT22" s="298">
        <f t="shared" si="40"/>
        <v>374042.7</v>
      </c>
      <c r="BU22" s="119">
        <f t="shared" si="41"/>
        <v>374042.7</v>
      </c>
      <c r="BV22" s="119">
        <f t="shared" si="42"/>
        <v>374042.7</v>
      </c>
      <c r="BW22" s="119">
        <f t="shared" si="43"/>
        <v>0</v>
      </c>
      <c r="BX22" s="120">
        <f t="shared" si="44"/>
        <v>0</v>
      </c>
      <c r="BY22" s="121">
        <f t="shared" si="45"/>
        <v>0</v>
      </c>
      <c r="BZ22" s="299">
        <f t="shared" si="46"/>
        <v>374042.7</v>
      </c>
      <c r="CA22" s="109">
        <f t="shared" si="26"/>
        <v>0</v>
      </c>
      <c r="CB22" s="123">
        <f t="shared" si="57"/>
        <v>0</v>
      </c>
      <c r="CC22" s="111">
        <f t="shared" si="56"/>
        <v>374043</v>
      </c>
      <c r="CE22" s="124">
        <f t="shared" si="28"/>
        <v>1</v>
      </c>
      <c r="CF22" s="17"/>
      <c r="CG22" s="108">
        <f t="shared" si="47"/>
        <v>1246809</v>
      </c>
      <c r="CH22" s="125">
        <f t="shared" si="48"/>
        <v>0.30000024061424002</v>
      </c>
      <c r="CI22" s="110">
        <f t="shared" si="49"/>
        <v>374042.7</v>
      </c>
      <c r="CJ22" s="300">
        <f t="shared" si="50"/>
        <v>0</v>
      </c>
      <c r="CL22" s="127">
        <f t="shared" si="51"/>
        <v>0</v>
      </c>
      <c r="CM22" s="128">
        <f t="shared" si="52"/>
        <v>0</v>
      </c>
      <c r="CN22" s="129">
        <f t="shared" si="53"/>
        <v>0</v>
      </c>
      <c r="CO22" s="130">
        <f t="shared" si="55"/>
        <v>374043</v>
      </c>
      <c r="CQ22" s="131">
        <f t="shared" si="54"/>
        <v>0.3</v>
      </c>
      <c r="CR22" s="301"/>
    </row>
    <row r="23" spans="1:96">
      <c r="A23" s="133" t="s">
        <v>92</v>
      </c>
      <c r="B23" s="90" t="s">
        <v>97</v>
      </c>
      <c r="C23" s="208">
        <f>'Op Cost-25'!E16</f>
        <v>50424</v>
      </c>
      <c r="D23" s="92">
        <f>'Ridership-25'!$E15</f>
        <v>3145</v>
      </c>
      <c r="E23" s="92">
        <f>'Revenue Hours-25'!$E15</f>
        <v>502</v>
      </c>
      <c r="F23" s="92">
        <f>'Revenue Miles-25'!$E15</f>
        <v>4641</v>
      </c>
      <c r="G23" s="93">
        <f t="shared" si="0"/>
        <v>8.3968680056373309E-5</v>
      </c>
      <c r="H23" s="94">
        <f t="shared" si="1"/>
        <v>8.3968680056373322E-5</v>
      </c>
      <c r="J23" s="95">
        <f>'Ridership-25'!B15/'Revenue Hours-25'!B15</f>
        <v>8.9790310918293557</v>
      </c>
      <c r="K23" s="96">
        <f>'Ridership-25'!C15/'Revenue Hours-25'!C15</f>
        <v>1.0119225037257824</v>
      </c>
      <c r="L23" s="96">
        <f>'Ridership-25'!D15/'Revenue Hours-25'!D15</f>
        <v>3.4102272727272727</v>
      </c>
      <c r="M23" s="96">
        <f>'Ridership-25'!E15/'Revenue Hours-25'!E15</f>
        <v>6.2649402390438249</v>
      </c>
      <c r="N23" s="97">
        <f t="shared" si="2"/>
        <v>1.4571700207400993</v>
      </c>
      <c r="O23" s="98">
        <f t="shared" si="3"/>
        <v>1.2235664325926427E-4</v>
      </c>
      <c r="P23" s="99">
        <f t="shared" si="4"/>
        <v>1.1554544786658928E-4</v>
      </c>
      <c r="Q23" s="95">
        <f>'Ridership-25'!B15/'Revenue Miles-25'!B15</f>
        <v>0.71335018382352944</v>
      </c>
      <c r="R23" s="96">
        <f>'Ridership-25'!C15/'Revenue Miles-25'!C15</f>
        <v>0.14279705573080967</v>
      </c>
      <c r="S23" s="96">
        <f>'Ridership-25'!D15/'Revenue Miles-25'!D15</f>
        <v>0.44282130736314002</v>
      </c>
      <c r="T23" s="96">
        <f>'Ridership-25'!E15/'Revenue Miles-25'!E15</f>
        <v>0.67765567765567769</v>
      </c>
      <c r="U23" s="97">
        <f t="shared" si="5"/>
        <v>1.3760274920295139</v>
      </c>
      <c r="V23" s="98">
        <f t="shared" si="6"/>
        <v>1.1554321222700004E-4</v>
      </c>
      <c r="W23" s="99">
        <f t="shared" si="7"/>
        <v>1.0952366321590415E-4</v>
      </c>
      <c r="X23" s="95">
        <f>'Op Cost-25'!B16/'Revenue Hours-25'!B15</f>
        <v>67.96963123644251</v>
      </c>
      <c r="Y23" s="96">
        <f>'Op Cost-25'!C16/'Revenue Hours-25'!C15</f>
        <v>58.488077496274215</v>
      </c>
      <c r="Z23" s="96">
        <f>'Op Cost-25'!D16/'Revenue Hours-25'!D15</f>
        <v>76.226136363636357</v>
      </c>
      <c r="AA23" s="96">
        <f>'Op Cost-25'!E16/'Revenue Hours-25'!E15</f>
        <v>100.44621513944223</v>
      </c>
      <c r="AB23" s="97">
        <f t="shared" si="8"/>
        <v>1.1402815557474089</v>
      </c>
      <c r="AC23" s="98">
        <f t="shared" si="9"/>
        <v>7.3638549736372095E-5</v>
      </c>
      <c r="AD23" s="99">
        <f t="shared" si="10"/>
        <v>7.8566096871679426E-5</v>
      </c>
      <c r="AE23" s="95">
        <f>'Op Cost-25'!B16/'Revenue Miles-25'!B15</f>
        <v>5.399931066176471</v>
      </c>
      <c r="AF23" s="96">
        <f>'Op Cost-25'!C16/'Revenue Miles-25'!C15</f>
        <v>8.2535226077812833</v>
      </c>
      <c r="AG23" s="96">
        <f>'Op Cost-25'!D16/'Revenue Miles-25'!D15</f>
        <v>9.8980374797107871</v>
      </c>
      <c r="AH23" s="96">
        <f>'Op Cost-25'!E16/'Revenue Miles-25'!E15</f>
        <v>10.864899806076277</v>
      </c>
      <c r="AI23" s="97">
        <f t="shared" si="11"/>
        <v>1.2123808252271491</v>
      </c>
      <c r="AJ23" s="98">
        <f t="shared" si="12"/>
        <v>6.9259327027579084E-5</v>
      </c>
      <c r="AK23" s="99">
        <f t="shared" si="13"/>
        <v>7.3710210124959408E-5</v>
      </c>
      <c r="AL23" s="95">
        <f>'Op Cost-25'!B16/'Ridership-25'!B15</f>
        <v>7.5698180061201485</v>
      </c>
      <c r="AM23" s="96">
        <f>'Op Cost-25'!C16/'Ridership-25'!C15</f>
        <v>57.798969072164951</v>
      </c>
      <c r="AN23" s="96">
        <f>'Op Cost-25'!D16/'Ridership-25'!D15</f>
        <v>22.352215928023991</v>
      </c>
      <c r="AO23" s="96">
        <f>'Op Cost-25'!E16/'Ridership-25'!E15</f>
        <v>16.033068362480126</v>
      </c>
      <c r="AP23" s="100">
        <f t="shared" si="14"/>
        <v>1.5437268946082094</v>
      </c>
      <c r="AQ23" s="98">
        <f t="shared" si="15"/>
        <v>5.4393481353244264E-5</v>
      </c>
      <c r="AR23" s="99">
        <f t="shared" si="16"/>
        <v>5.9074824278170985E-5</v>
      </c>
      <c r="AT23" s="101">
        <f t="shared" si="29"/>
        <v>0</v>
      </c>
      <c r="AU23" s="102">
        <f t="shared" si="17"/>
        <v>0</v>
      </c>
      <c r="AV23" s="102">
        <f t="shared" si="18"/>
        <v>0</v>
      </c>
      <c r="AW23" s="102">
        <f t="shared" si="19"/>
        <v>0</v>
      </c>
      <c r="AX23" s="103">
        <f t="shared" si="20"/>
        <v>0</v>
      </c>
      <c r="AY23" s="293">
        <f t="shared" si="30"/>
        <v>-1</v>
      </c>
      <c r="AZ23" s="105">
        <f t="shared" si="21"/>
        <v>0</v>
      </c>
      <c r="BA23" s="106">
        <f t="shared" si="21"/>
        <v>0</v>
      </c>
      <c r="BB23" s="106">
        <f t="shared" si="21"/>
        <v>0</v>
      </c>
      <c r="BC23" s="106">
        <f t="shared" si="21"/>
        <v>0</v>
      </c>
      <c r="BD23" s="106">
        <f t="shared" si="21"/>
        <v>0</v>
      </c>
      <c r="BE23" s="107">
        <f t="shared" si="31"/>
        <v>10264.373472217008</v>
      </c>
      <c r="BG23" s="108">
        <f>'Op Cost-25'!E16</f>
        <v>50424</v>
      </c>
      <c r="BH23" s="109">
        <f t="shared" si="22"/>
        <v>0.20356126987579343</v>
      </c>
      <c r="BI23" s="110">
        <f t="shared" si="23"/>
        <v>10264.373472217008</v>
      </c>
      <c r="BJ23" s="111">
        <f t="shared" si="24"/>
        <v>0</v>
      </c>
      <c r="BK23" s="1">
        <f t="shared" si="32"/>
        <v>0.7169590587639918</v>
      </c>
      <c r="BL23" s="294">
        <f t="shared" si="33"/>
        <v>0.58523246553712072</v>
      </c>
      <c r="BM23" s="294">
        <f t="shared" si="34"/>
        <v>0.91336409340081037</v>
      </c>
      <c r="BN23" s="295">
        <f t="shared" si="35"/>
        <v>0.68461983805901816</v>
      </c>
      <c r="BO23" s="114">
        <f t="shared" si="25"/>
        <v>10264.373472217008</v>
      </c>
      <c r="BP23" s="296">
        <f t="shared" si="36"/>
        <v>0.7169590587639918</v>
      </c>
      <c r="BQ23" s="116">
        <f t="shared" si="37"/>
        <v>6.020210581887219E-5</v>
      </c>
      <c r="BR23" s="297">
        <f t="shared" si="38"/>
        <v>6.020210581887219E-5</v>
      </c>
      <c r="BS23" s="117">
        <f t="shared" si="39"/>
        <v>6.8068594041351428E-5</v>
      </c>
      <c r="BT23" s="298">
        <f t="shared" si="40"/>
        <v>10852.422452504568</v>
      </c>
      <c r="BU23" s="119">
        <f t="shared" si="41"/>
        <v>15127.199999999999</v>
      </c>
      <c r="BV23" s="119">
        <f t="shared" si="42"/>
        <v>10852.422452504568</v>
      </c>
      <c r="BW23" s="119">
        <f t="shared" si="43"/>
        <v>0</v>
      </c>
      <c r="BX23" s="120">
        <f t="shared" si="44"/>
        <v>6.020210581887219E-5</v>
      </c>
      <c r="BY23" s="121">
        <f t="shared" si="45"/>
        <v>1.2144360102428315E-4</v>
      </c>
      <c r="BZ23" s="299">
        <f t="shared" si="46"/>
        <v>10958.09139460722</v>
      </c>
      <c r="CA23" s="109">
        <f t="shared" si="26"/>
        <v>9.3265713707929598E-5</v>
      </c>
      <c r="CB23" s="123">
        <f t="shared" si="57"/>
        <v>805.7285245001741</v>
      </c>
      <c r="CC23" s="111">
        <f t="shared" si="56"/>
        <v>11070</v>
      </c>
      <c r="CE23" s="124">
        <f t="shared" si="28"/>
        <v>0</v>
      </c>
      <c r="CF23" s="17"/>
      <c r="CG23" s="108">
        <f t="shared" si="47"/>
        <v>50424</v>
      </c>
      <c r="CH23" s="125">
        <f t="shared" si="48"/>
        <v>0.2195383150880533</v>
      </c>
      <c r="CI23" s="110">
        <f t="shared" si="49"/>
        <v>10852.422452504568</v>
      </c>
      <c r="CJ23" s="300">
        <f t="shared" si="50"/>
        <v>0</v>
      </c>
      <c r="CL23" s="127">
        <f t="shared" si="51"/>
        <v>10852.422452504568</v>
      </c>
      <c r="CM23" s="128">
        <f t="shared" si="52"/>
        <v>1.26308135730378E-4</v>
      </c>
      <c r="CN23" s="129">
        <f t="shared" si="53"/>
        <v>109.90160839283996</v>
      </c>
      <c r="CO23" s="130">
        <f t="shared" si="55"/>
        <v>10962</v>
      </c>
      <c r="CQ23" s="131">
        <f t="shared" si="54"/>
        <v>0.21731896308518206</v>
      </c>
      <c r="CR23" s="301"/>
    </row>
    <row r="24" spans="1:96">
      <c r="A24" s="133" t="s">
        <v>92</v>
      </c>
      <c r="B24" s="90" t="s">
        <v>98</v>
      </c>
      <c r="C24" s="208">
        <f>'Op Cost-25'!E17</f>
        <v>7910674</v>
      </c>
      <c r="D24" s="92">
        <f>'Ridership-25'!$E16</f>
        <v>1655082</v>
      </c>
      <c r="E24" s="92">
        <f>'Revenue Hours-25'!$E16</f>
        <v>71283</v>
      </c>
      <c r="F24" s="92">
        <f>'Revenue Miles-25'!$E16</f>
        <v>1099660</v>
      </c>
      <c r="G24" s="134">
        <f t="shared" si="0"/>
        <v>2.2389189665575945E-2</v>
      </c>
      <c r="H24" s="94">
        <f t="shared" si="1"/>
        <v>2.2389189665575949E-2</v>
      </c>
      <c r="J24" s="95">
        <f>'Ridership-25'!B16/'Revenue Hours-25'!B16</f>
        <v>23.310953988801508</v>
      </c>
      <c r="K24" s="96">
        <f>'Ridership-25'!C16/'Revenue Hours-25'!C16</f>
        <v>14.316342020333447</v>
      </c>
      <c r="L24" s="96">
        <f>'Ridership-25'!D16/'Revenue Hours-25'!D16</f>
        <v>19.466079261836335</v>
      </c>
      <c r="M24" s="96">
        <f>'Ridership-25'!E16/'Revenue Hours-25'!E16</f>
        <v>23.218467236227433</v>
      </c>
      <c r="N24" s="97">
        <f t="shared" si="2"/>
        <v>1.0827952067365614</v>
      </c>
      <c r="O24" s="98">
        <f t="shared" si="3"/>
        <v>2.4242907252601392E-2</v>
      </c>
      <c r="P24" s="99">
        <f t="shared" si="4"/>
        <v>2.289338364860645E-2</v>
      </c>
      <c r="Q24" s="95">
        <f>'Ridership-25'!B16/'Revenue Miles-25'!B16</f>
        <v>1.6285925776934442</v>
      </c>
      <c r="R24" s="96">
        <f>'Ridership-25'!C16/'Revenue Miles-25'!C16</f>
        <v>1.0462325686324412</v>
      </c>
      <c r="S24" s="96">
        <f>'Ridership-25'!D16/'Revenue Miles-25'!D16</f>
        <v>1.4050534441156883</v>
      </c>
      <c r="T24" s="96">
        <f>'Ridership-25'!E16/'Revenue Miles-25'!E16</f>
        <v>1.5050852081552479</v>
      </c>
      <c r="U24" s="97">
        <f t="shared" si="5"/>
        <v>1.0649155001693644</v>
      </c>
      <c r="V24" s="98">
        <f t="shared" si="6"/>
        <v>2.3842595111103575E-2</v>
      </c>
      <c r="W24" s="99">
        <f t="shared" si="7"/>
        <v>2.2600447977951039E-2</v>
      </c>
      <c r="X24" s="95">
        <f>'Op Cost-25'!B17/'Revenue Hours-25'!B16</f>
        <v>79.983720905617247</v>
      </c>
      <c r="Y24" s="96">
        <f>'Op Cost-25'!C17/'Revenue Hours-25'!C16</f>
        <v>90.654407919074401</v>
      </c>
      <c r="Z24" s="96">
        <f>'Op Cost-25'!D17/'Revenue Hours-25'!D16</f>
        <v>94.089194776382797</v>
      </c>
      <c r="AA24" s="96">
        <f>'Op Cost-25'!E17/'Revenue Hours-25'!E16</f>
        <v>110.97560428152575</v>
      </c>
      <c r="AB24" s="97">
        <f t="shared" si="8"/>
        <v>1.0770025946706425</v>
      </c>
      <c r="AC24" s="98">
        <f t="shared" si="9"/>
        <v>2.0788426858361259E-2</v>
      </c>
      <c r="AD24" s="99">
        <f t="shared" si="10"/>
        <v>2.2179491098221867E-2</v>
      </c>
      <c r="AE24" s="95">
        <f>'Op Cost-25'!B17/'Revenue Miles-25'!B16</f>
        <v>5.5879692553882192</v>
      </c>
      <c r="AF24" s="96">
        <f>'Op Cost-25'!C17/'Revenue Miles-25'!C16</f>
        <v>6.6249879976545323</v>
      </c>
      <c r="AG24" s="96">
        <f>'Op Cost-25'!D17/'Revenue Miles-25'!D16</f>
        <v>6.7913186521237527</v>
      </c>
      <c r="AH24" s="96">
        <f>'Op Cost-25'!E17/'Revenue Miles-25'!E16</f>
        <v>7.1937453394685633</v>
      </c>
      <c r="AI24" s="97">
        <f t="shared" si="11"/>
        <v>1.0470712277412029</v>
      </c>
      <c r="AJ24" s="98">
        <f t="shared" si="12"/>
        <v>2.1382680635657507E-2</v>
      </c>
      <c r="AK24" s="99">
        <f t="shared" si="13"/>
        <v>2.2756817750504608E-2</v>
      </c>
      <c r="AL24" s="95">
        <f>'Op Cost-25'!B17/'Ridership-25'!B16</f>
        <v>3.4311646337614974</v>
      </c>
      <c r="AM24" s="96">
        <f>'Op Cost-25'!C17/'Ridership-25'!C16</f>
        <v>6.3322326185221254</v>
      </c>
      <c r="AN24" s="96">
        <f>'Op Cost-25'!D17/'Ridership-25'!D16</f>
        <v>4.833494896984555</v>
      </c>
      <c r="AO24" s="96">
        <f>'Op Cost-25'!E17/'Ridership-25'!E16</f>
        <v>4.779626628771263</v>
      </c>
      <c r="AP24" s="97">
        <f t="shared" si="14"/>
        <v>1.0093254200826904</v>
      </c>
      <c r="AQ24" s="98">
        <f t="shared" si="15"/>
        <v>2.2182330118805174E-2</v>
      </c>
      <c r="AR24" s="99">
        <f t="shared" si="16"/>
        <v>2.4091439291017844E-2</v>
      </c>
      <c r="AT24" s="101">
        <f t="shared" si="29"/>
        <v>0</v>
      </c>
      <c r="AU24" s="102">
        <f t="shared" si="17"/>
        <v>0</v>
      </c>
      <c r="AV24" s="102">
        <f t="shared" si="18"/>
        <v>0</v>
      </c>
      <c r="AW24" s="102">
        <f t="shared" si="19"/>
        <v>0</v>
      </c>
      <c r="AX24" s="103">
        <f t="shared" si="20"/>
        <v>0</v>
      </c>
      <c r="AY24" s="293">
        <f t="shared" si="30"/>
        <v>-1</v>
      </c>
      <c r="AZ24" s="105">
        <f t="shared" si="21"/>
        <v>0</v>
      </c>
      <c r="BA24" s="106">
        <f t="shared" si="21"/>
        <v>0</v>
      </c>
      <c r="BB24" s="106">
        <f t="shared" si="21"/>
        <v>0</v>
      </c>
      <c r="BC24" s="106">
        <f t="shared" si="21"/>
        <v>0</v>
      </c>
      <c r="BD24" s="106">
        <f t="shared" si="21"/>
        <v>0</v>
      </c>
      <c r="BE24" s="107">
        <f t="shared" si="31"/>
        <v>2736865.7493899721</v>
      </c>
      <c r="BG24" s="108">
        <f>'Op Cost-25'!E17</f>
        <v>7910674</v>
      </c>
      <c r="BH24" s="109">
        <f t="shared" si="22"/>
        <v>0.34597124712634753</v>
      </c>
      <c r="BI24" s="110">
        <f t="shared" si="23"/>
        <v>2373202.1999999997</v>
      </c>
      <c r="BJ24" s="111">
        <f t="shared" si="24"/>
        <v>363663.54938997235</v>
      </c>
      <c r="BK24" s="1">
        <f t="shared" si="32"/>
        <v>2.1976463758928118</v>
      </c>
      <c r="BL24" s="294">
        <f t="shared" si="33"/>
        <v>2.1689274451441714</v>
      </c>
      <c r="BM24" s="294">
        <f t="shared" si="34"/>
        <v>2.0285977554166963</v>
      </c>
      <c r="BN24" s="295">
        <f t="shared" si="35"/>
        <v>2.2965301515051899</v>
      </c>
      <c r="BO24" s="114">
        <f t="shared" si="25"/>
        <v>0</v>
      </c>
      <c r="BP24" s="296">
        <f t="shared" si="36"/>
        <v>2.1976463758928118</v>
      </c>
      <c r="BQ24" s="116">
        <f t="shared" si="37"/>
        <v>4.9203521527729777E-2</v>
      </c>
      <c r="BR24" s="297">
        <f t="shared" si="38"/>
        <v>0</v>
      </c>
      <c r="BS24" s="117">
        <f t="shared" si="39"/>
        <v>0</v>
      </c>
      <c r="BT24" s="298">
        <f t="shared" si="40"/>
        <v>2373202.1999999997</v>
      </c>
      <c r="BU24" s="119">
        <f t="shared" si="41"/>
        <v>2373202.1999999997</v>
      </c>
      <c r="BV24" s="119">
        <f t="shared" si="42"/>
        <v>2373202.1999999997</v>
      </c>
      <c r="BW24" s="119">
        <f t="shared" si="43"/>
        <v>0</v>
      </c>
      <c r="BX24" s="120">
        <f t="shared" si="44"/>
        <v>0</v>
      </c>
      <c r="BY24" s="121">
        <f t="shared" si="45"/>
        <v>0</v>
      </c>
      <c r="BZ24" s="299">
        <f t="shared" si="46"/>
        <v>2373202.1999999997</v>
      </c>
      <c r="CA24" s="109">
        <f t="shared" si="26"/>
        <v>0</v>
      </c>
      <c r="CB24" s="123">
        <f t="shared" si="57"/>
        <v>0</v>
      </c>
      <c r="CC24" s="111">
        <f t="shared" si="56"/>
        <v>2373202</v>
      </c>
      <c r="CE24" s="124">
        <f t="shared" si="28"/>
        <v>0</v>
      </c>
      <c r="CF24" s="17"/>
      <c r="CG24" s="108">
        <f t="shared" si="47"/>
        <v>7910674</v>
      </c>
      <c r="CH24" s="125">
        <f t="shared" si="48"/>
        <v>0.29999997471770423</v>
      </c>
      <c r="CI24" s="110">
        <f t="shared" si="49"/>
        <v>2373202.1999999997</v>
      </c>
      <c r="CJ24" s="300">
        <f t="shared" si="50"/>
        <v>0</v>
      </c>
      <c r="CL24" s="127">
        <f t="shared" si="51"/>
        <v>0</v>
      </c>
      <c r="CM24" s="128">
        <f t="shared" si="52"/>
        <v>0</v>
      </c>
      <c r="CN24" s="129">
        <f t="shared" si="53"/>
        <v>0</v>
      </c>
      <c r="CO24" s="130">
        <f t="shared" si="55"/>
        <v>2373202</v>
      </c>
      <c r="CQ24" s="131">
        <f t="shared" si="54"/>
        <v>0.3</v>
      </c>
      <c r="CR24" s="301"/>
    </row>
    <row r="25" spans="1:96">
      <c r="A25" s="133" t="s">
        <v>99</v>
      </c>
      <c r="B25" s="90" t="s">
        <v>100</v>
      </c>
      <c r="C25" s="208">
        <f>'Op Cost-25'!E18</f>
        <v>3679008</v>
      </c>
      <c r="D25" s="92">
        <f>'Ridership-25'!$E17</f>
        <v>235586</v>
      </c>
      <c r="E25" s="92">
        <f>'Revenue Hours-25'!$E17</f>
        <v>29937</v>
      </c>
      <c r="F25" s="92">
        <f>'Revenue Miles-25'!$E17</f>
        <v>470807</v>
      </c>
      <c r="G25" s="93">
        <f t="shared" si="0"/>
        <v>6.2606542431901E-3</v>
      </c>
      <c r="H25" s="94">
        <f t="shared" si="1"/>
        <v>6.2606542431901018E-3</v>
      </c>
      <c r="J25" s="95">
        <f>'Ridership-25'!B17/'Revenue Hours-25'!B17</f>
        <v>8.8925454444382677</v>
      </c>
      <c r="K25" s="96">
        <f>'Ridership-25'!C17/'Revenue Hours-25'!C17</f>
        <v>5.7639186016175321</v>
      </c>
      <c r="L25" s="96">
        <f>'Ridership-25'!D17/'Revenue Hours-25'!D17</f>
        <v>6.4797153630255435</v>
      </c>
      <c r="M25" s="96">
        <f>'Ridership-25'!E17/'Revenue Hours-25'!E17</f>
        <v>7.8693923906871097</v>
      </c>
      <c r="N25" s="97">
        <f t="shared" si="2"/>
        <v>1.0499909933163976</v>
      </c>
      <c r="O25" s="98">
        <f t="shared" si="3"/>
        <v>6.5736305676176937E-3</v>
      </c>
      <c r="P25" s="99">
        <f t="shared" si="4"/>
        <v>6.2076979869041815E-3</v>
      </c>
      <c r="Q25" s="95">
        <f>'Ridership-25'!B17/'Revenue Miles-25'!B17</f>
        <v>0.59288580032429927</v>
      </c>
      <c r="R25" s="96">
        <f>'Ridership-25'!C17/'Revenue Miles-25'!C17</f>
        <v>0.39323250859241093</v>
      </c>
      <c r="S25" s="96">
        <f>'Ridership-25'!D17/'Revenue Miles-25'!D17</f>
        <v>0.42963025620782347</v>
      </c>
      <c r="T25" s="96">
        <f>'Ridership-25'!E17/'Revenue Miles-25'!E17</f>
        <v>0.50038763229943484</v>
      </c>
      <c r="U25" s="97">
        <f t="shared" si="5"/>
        <v>1.0379042251721813</v>
      </c>
      <c r="V25" s="98">
        <f t="shared" si="6"/>
        <v>6.4979594913491517E-3</v>
      </c>
      <c r="W25" s="99">
        <f t="shared" si="7"/>
        <v>6.1594299933683816E-3</v>
      </c>
      <c r="X25" s="95">
        <f>'Op Cost-25'!B18/'Revenue Hours-25'!B17</f>
        <v>81.611429206737455</v>
      </c>
      <c r="Y25" s="96">
        <f>'Op Cost-25'!C18/'Revenue Hours-25'!C17</f>
        <v>72.997808505087406</v>
      </c>
      <c r="Z25" s="96">
        <f>'Op Cost-25'!D18/'Revenue Hours-25'!D17</f>
        <v>89.842457403679873</v>
      </c>
      <c r="AA25" s="96">
        <f>'Op Cost-25'!E18/'Revenue Hours-25'!E17</f>
        <v>122.89167251227578</v>
      </c>
      <c r="AB25" s="97">
        <f t="shared" si="8"/>
        <v>1.1433754529366269</v>
      </c>
      <c r="AC25" s="98">
        <f t="shared" si="9"/>
        <v>5.4755891663673031E-3</v>
      </c>
      <c r="AD25" s="99">
        <f t="shared" si="10"/>
        <v>5.8419899687655926E-3</v>
      </c>
      <c r="AE25" s="95">
        <f>'Op Cost-25'!B18/'Revenue Miles-25'!B17</f>
        <v>5.4412156590224692</v>
      </c>
      <c r="AF25" s="96">
        <f>'Op Cost-25'!C18/'Revenue Miles-25'!C17</f>
        <v>4.9801382261276927</v>
      </c>
      <c r="AG25" s="96">
        <f>'Op Cost-25'!D18/'Revenue Miles-25'!D17</f>
        <v>5.9569033252504751</v>
      </c>
      <c r="AH25" s="96">
        <f>'Op Cost-25'!E18/'Revenue Miles-25'!E17</f>
        <v>7.8142593461864411</v>
      </c>
      <c r="AI25" s="97">
        <f t="shared" si="11"/>
        <v>1.1229656613500592</v>
      </c>
      <c r="AJ25" s="98">
        <f t="shared" si="12"/>
        <v>5.5751074664770932E-3</v>
      </c>
      <c r="AK25" s="99">
        <f t="shared" si="13"/>
        <v>5.9333863099712081E-3</v>
      </c>
      <c r="AL25" s="95">
        <f>'Op Cost-25'!B18/'Ridership-25'!B17</f>
        <v>9.1775105021004197</v>
      </c>
      <c r="AM25" s="96">
        <f>'Op Cost-25'!C18/'Ridership-25'!C17</f>
        <v>12.664614743969837</v>
      </c>
      <c r="AN25" s="96">
        <f>'Op Cost-25'!D18/'Ridership-25'!D17</f>
        <v>13.865185794477576</v>
      </c>
      <c r="AO25" s="96">
        <f>'Op Cost-25'!E18/'Ridership-25'!E17</f>
        <v>15.616411841111102</v>
      </c>
      <c r="AP25" s="100">
        <f t="shared" si="14"/>
        <v>1.1449369771833227</v>
      </c>
      <c r="AQ25" s="98">
        <f t="shared" si="15"/>
        <v>5.4681212747552579E-3</v>
      </c>
      <c r="AR25" s="99">
        <f t="shared" si="16"/>
        <v>5.9387319105403862E-3</v>
      </c>
      <c r="AT25" s="101">
        <f t="shared" si="29"/>
        <v>0</v>
      </c>
      <c r="AU25" s="102">
        <f t="shared" si="17"/>
        <v>0</v>
      </c>
      <c r="AV25" s="102">
        <f t="shared" si="18"/>
        <v>0</v>
      </c>
      <c r="AW25" s="102">
        <f t="shared" si="19"/>
        <v>0</v>
      </c>
      <c r="AX25" s="103">
        <f t="shared" si="20"/>
        <v>0</v>
      </c>
      <c r="AY25" s="293">
        <f t="shared" si="30"/>
        <v>-1</v>
      </c>
      <c r="AZ25" s="105">
        <f t="shared" si="21"/>
        <v>0</v>
      </c>
      <c r="BA25" s="106">
        <f t="shared" si="21"/>
        <v>0</v>
      </c>
      <c r="BB25" s="106">
        <f t="shared" si="21"/>
        <v>0</v>
      </c>
      <c r="BC25" s="106">
        <f t="shared" si="21"/>
        <v>0</v>
      </c>
      <c r="BD25" s="106">
        <f t="shared" si="21"/>
        <v>0</v>
      </c>
      <c r="BE25" s="107">
        <f t="shared" si="31"/>
        <v>765305.50783197396</v>
      </c>
      <c r="BG25" s="108">
        <f>'Op Cost-25'!E18</f>
        <v>3679008</v>
      </c>
      <c r="BH25" s="109">
        <f t="shared" si="22"/>
        <v>0.20801952804450927</v>
      </c>
      <c r="BI25" s="110">
        <f t="shared" si="23"/>
        <v>765305.50783197396</v>
      </c>
      <c r="BJ25" s="111">
        <f t="shared" si="24"/>
        <v>0</v>
      </c>
      <c r="BK25" s="1">
        <f t="shared" si="32"/>
        <v>0.70382989100671867</v>
      </c>
      <c r="BL25" s="294">
        <f t="shared" si="33"/>
        <v>0.73511058930448281</v>
      </c>
      <c r="BM25" s="294">
        <f t="shared" si="34"/>
        <v>0.67443704995618003</v>
      </c>
      <c r="BN25" s="295">
        <f t="shared" si="35"/>
        <v>0.70288596238310597</v>
      </c>
      <c r="BO25" s="114">
        <f t="shared" si="25"/>
        <v>765305.50783197396</v>
      </c>
      <c r="BP25" s="296">
        <f t="shared" si="36"/>
        <v>0.70382989100671867</v>
      </c>
      <c r="BQ25" s="116">
        <f t="shared" si="37"/>
        <v>4.4064355936152405E-3</v>
      </c>
      <c r="BR25" s="297">
        <f t="shared" si="38"/>
        <v>4.4064355936152405E-3</v>
      </c>
      <c r="BS25" s="117">
        <f t="shared" si="39"/>
        <v>4.9822156801885798E-3</v>
      </c>
      <c r="BT25" s="298">
        <f t="shared" si="40"/>
        <v>808347.1908808077</v>
      </c>
      <c r="BU25" s="119">
        <f t="shared" si="41"/>
        <v>1103702.3999999999</v>
      </c>
      <c r="BV25" s="119">
        <f t="shared" si="42"/>
        <v>808347.1908808077</v>
      </c>
      <c r="BW25" s="119">
        <f t="shared" si="43"/>
        <v>0</v>
      </c>
      <c r="BX25" s="120">
        <f t="shared" si="44"/>
        <v>4.4064355936152405E-3</v>
      </c>
      <c r="BY25" s="121">
        <f t="shared" si="45"/>
        <v>8.8889482999190313E-3</v>
      </c>
      <c r="BZ25" s="299">
        <f t="shared" si="46"/>
        <v>816081.5280985405</v>
      </c>
      <c r="CA25" s="109">
        <f t="shared" si="26"/>
        <v>6.9538354762477134E-3</v>
      </c>
      <c r="CB25" s="123">
        <f t="shared" si="57"/>
        <v>60074.633808518935</v>
      </c>
      <c r="CC25" s="111">
        <f t="shared" si="56"/>
        <v>825380</v>
      </c>
      <c r="CE25" s="124">
        <f t="shared" si="28"/>
        <v>0</v>
      </c>
      <c r="CF25" s="17"/>
      <c r="CG25" s="108">
        <f t="shared" si="47"/>
        <v>3679008</v>
      </c>
      <c r="CH25" s="125">
        <f t="shared" si="48"/>
        <v>0.22434852003583575</v>
      </c>
      <c r="CI25" s="110">
        <f t="shared" si="49"/>
        <v>808347.1908808077</v>
      </c>
      <c r="CJ25" s="300">
        <f t="shared" si="50"/>
        <v>0</v>
      </c>
      <c r="CL25" s="127">
        <f t="shared" si="51"/>
        <v>808347.1908808077</v>
      </c>
      <c r="CM25" s="128">
        <f t="shared" si="52"/>
        <v>9.4081139164905597E-3</v>
      </c>
      <c r="CN25" s="129">
        <f t="shared" si="53"/>
        <v>8186.0669179103161</v>
      </c>
      <c r="CO25" s="130">
        <f t="shared" si="55"/>
        <v>816533</v>
      </c>
      <c r="CQ25" s="131">
        <f t="shared" si="54"/>
        <v>0.22182108005705356</v>
      </c>
      <c r="CR25" s="301"/>
    </row>
    <row r="26" spans="1:96">
      <c r="A26" s="133" t="s">
        <v>99</v>
      </c>
      <c r="B26" s="90" t="s">
        <v>101</v>
      </c>
      <c r="C26" s="208">
        <f>'Op Cost-25'!E19</f>
        <v>703038</v>
      </c>
      <c r="D26" s="92">
        <f>'Ridership-25'!$E18</f>
        <v>90145</v>
      </c>
      <c r="E26" s="92">
        <f>'Revenue Hours-25'!$E18</f>
        <v>11560</v>
      </c>
      <c r="F26" s="92">
        <f>'Revenue Miles-25'!$E18</f>
        <v>171222</v>
      </c>
      <c r="G26" s="93">
        <f t="shared" si="0"/>
        <v>1.9176740527783996E-3</v>
      </c>
      <c r="H26" s="94">
        <f t="shared" si="1"/>
        <v>1.9176740527784E-3</v>
      </c>
      <c r="J26" s="95">
        <f>'Ridership-25'!B18/'Revenue Hours-25'!B18</f>
        <v>12.121389319430746</v>
      </c>
      <c r="K26" s="96">
        <f>'Ridership-25'!C18/'Revenue Hours-25'!C18</f>
        <v>6.5520235467255334</v>
      </c>
      <c r="L26" s="96">
        <f>'Ridership-25'!D18/'Revenue Hours-25'!D18</f>
        <v>6.5625580805947452</v>
      </c>
      <c r="M26" s="96">
        <f>'Ridership-25'!E18/'Revenue Hours-25'!E18</f>
        <v>7.7980103806228378</v>
      </c>
      <c r="N26" s="97">
        <f t="shared" si="2"/>
        <v>0.9411305771415881</v>
      </c>
      <c r="O26" s="98">
        <f t="shared" si="3"/>
        <v>1.8047816880607838E-3</v>
      </c>
      <c r="P26" s="99">
        <f t="shared" si="4"/>
        <v>1.704315375884693E-3</v>
      </c>
      <c r="Q26" s="95">
        <f>'Ridership-25'!B18/'Revenue Miles-25'!B18</f>
        <v>0.79351997048242784</v>
      </c>
      <c r="R26" s="96">
        <f>'Ridership-25'!C18/'Revenue Miles-25'!C18</f>
        <v>0.47317713453679738</v>
      </c>
      <c r="S26" s="96">
        <f>'Ridership-25'!D18/'Revenue Miles-25'!D18</f>
        <v>0.44629120011030743</v>
      </c>
      <c r="T26" s="96">
        <f>'Ridership-25'!E18/'Revenue Miles-25'!E18</f>
        <v>0.52648024202497345</v>
      </c>
      <c r="U26" s="97">
        <f t="shared" si="5"/>
        <v>0.95968549774921197</v>
      </c>
      <c r="V26" s="98">
        <f t="shared" si="6"/>
        <v>1.8403639778613874E-3</v>
      </c>
      <c r="W26" s="99">
        <f t="shared" si="7"/>
        <v>1.7444850339626537E-3</v>
      </c>
      <c r="X26" s="95">
        <f>'Op Cost-25'!B19/'Revenue Hours-25'!B18</f>
        <v>47.958362688459914</v>
      </c>
      <c r="Y26" s="96">
        <f>'Op Cost-25'!C19/'Revenue Hours-25'!C18</f>
        <v>45.519278881530539</v>
      </c>
      <c r="Z26" s="96">
        <f>'Op Cost-25'!D19/'Revenue Hours-25'!D18</f>
        <v>51.194390470558417</v>
      </c>
      <c r="AA26" s="96">
        <f>'Op Cost-25'!E19/'Revenue Hours-25'!E18</f>
        <v>60.816435986159171</v>
      </c>
      <c r="AB26" s="97">
        <f t="shared" si="8"/>
        <v>1.0585987264876684</v>
      </c>
      <c r="AC26" s="98">
        <f t="shared" si="9"/>
        <v>1.8115212164868772E-3</v>
      </c>
      <c r="AD26" s="99">
        <f t="shared" si="10"/>
        <v>1.9327397387527959E-3</v>
      </c>
      <c r="AE26" s="95">
        <f>'Op Cost-25'!B19/'Revenue Miles-25'!B18</f>
        <v>3.1395673830827415</v>
      </c>
      <c r="AF26" s="96">
        <f>'Op Cost-25'!C19/'Revenue Miles-25'!C18</f>
        <v>3.2873328054671349</v>
      </c>
      <c r="AG26" s="96">
        <f>'Op Cost-25'!D19/'Revenue Miles-25'!D18</f>
        <v>3.4815091434513583</v>
      </c>
      <c r="AH26" s="96">
        <f>'Op Cost-25'!E19/'Revenue Miles-25'!E18</f>
        <v>4.1060027332936189</v>
      </c>
      <c r="AI26" s="97">
        <f t="shared" si="11"/>
        <v>1.0643484033760391</v>
      </c>
      <c r="AJ26" s="98">
        <f t="shared" si="12"/>
        <v>1.8017352651591072E-3</v>
      </c>
      <c r="AK26" s="99">
        <f t="shared" si="13"/>
        <v>1.9175220246010149E-3</v>
      </c>
      <c r="AL26" s="95">
        <f>'Op Cost-25'!B19/'Ridership-25'!B18</f>
        <v>3.95650708220237</v>
      </c>
      <c r="AM26" s="96">
        <f>'Op Cost-25'!C19/'Ridership-25'!C18</f>
        <v>6.9473619190943596</v>
      </c>
      <c r="AN26" s="96">
        <f>'Op Cost-25'!D19/'Ridership-25'!D18</f>
        <v>7.8009809348489334</v>
      </c>
      <c r="AO26" s="96">
        <f>'Op Cost-25'!E19/'Ridership-25'!E18</f>
        <v>7.7989683288035945</v>
      </c>
      <c r="AP26" s="100">
        <f t="shared" si="14"/>
        <v>1.1555135455372394</v>
      </c>
      <c r="AQ26" s="98">
        <f t="shared" si="15"/>
        <v>1.659585956551297E-3</v>
      </c>
      <c r="AR26" s="99">
        <f t="shared" si="16"/>
        <v>1.8024172441012669E-3</v>
      </c>
      <c r="AT26" s="101">
        <f t="shared" si="29"/>
        <v>0</v>
      </c>
      <c r="AU26" s="102">
        <f t="shared" si="17"/>
        <v>0</v>
      </c>
      <c r="AV26" s="102">
        <f t="shared" si="18"/>
        <v>0</v>
      </c>
      <c r="AW26" s="102">
        <f t="shared" si="19"/>
        <v>0</v>
      </c>
      <c r="AX26" s="103">
        <f t="shared" si="20"/>
        <v>0</v>
      </c>
      <c r="AY26" s="293">
        <f t="shared" si="30"/>
        <v>-1</v>
      </c>
      <c r="AZ26" s="105">
        <f t="shared" si="21"/>
        <v>0</v>
      </c>
      <c r="BA26" s="106">
        <f t="shared" si="21"/>
        <v>0</v>
      </c>
      <c r="BB26" s="106">
        <f t="shared" si="21"/>
        <v>0</v>
      </c>
      <c r="BC26" s="106">
        <f t="shared" si="21"/>
        <v>0</v>
      </c>
      <c r="BD26" s="106">
        <f t="shared" si="21"/>
        <v>0</v>
      </c>
      <c r="BE26" s="107">
        <f t="shared" si="31"/>
        <v>234417.4359116113</v>
      </c>
      <c r="BG26" s="108">
        <f>'Op Cost-25'!E19</f>
        <v>703038</v>
      </c>
      <c r="BH26" s="109">
        <f t="shared" si="22"/>
        <v>0.33343494364687443</v>
      </c>
      <c r="BI26" s="110">
        <f t="shared" si="23"/>
        <v>210911.4</v>
      </c>
      <c r="BJ26" s="111">
        <f t="shared" si="24"/>
        <v>23506.03591161131</v>
      </c>
      <c r="BK26" s="1">
        <f t="shared" si="32"/>
        <v>1.0632304921016367</v>
      </c>
      <c r="BL26" s="294">
        <f t="shared" si="33"/>
        <v>0.72844251775855451</v>
      </c>
      <c r="BM26" s="294">
        <f t="shared" si="34"/>
        <v>0.70960543061355719</v>
      </c>
      <c r="BN26" s="295">
        <f t="shared" si="35"/>
        <v>1.4074370100172178</v>
      </c>
      <c r="BO26" s="114">
        <f t="shared" si="25"/>
        <v>0</v>
      </c>
      <c r="BP26" s="296">
        <f t="shared" si="36"/>
        <v>1.0632304921016367</v>
      </c>
      <c r="BQ26" s="116">
        <f t="shared" si="37"/>
        <v>2.0389295268261184E-3</v>
      </c>
      <c r="BR26" s="297">
        <f t="shared" si="38"/>
        <v>0</v>
      </c>
      <c r="BS26" s="117">
        <f t="shared" si="39"/>
        <v>0</v>
      </c>
      <c r="BT26" s="298">
        <f t="shared" si="40"/>
        <v>210911.4</v>
      </c>
      <c r="BU26" s="119">
        <f t="shared" si="41"/>
        <v>210911.4</v>
      </c>
      <c r="BV26" s="119">
        <f t="shared" si="42"/>
        <v>210911.4</v>
      </c>
      <c r="BW26" s="119">
        <f t="shared" si="43"/>
        <v>0</v>
      </c>
      <c r="BX26" s="120">
        <f t="shared" si="44"/>
        <v>0</v>
      </c>
      <c r="BY26" s="121">
        <f t="shared" si="45"/>
        <v>0</v>
      </c>
      <c r="BZ26" s="299">
        <f t="shared" si="46"/>
        <v>210911.4</v>
      </c>
      <c r="CA26" s="109">
        <f t="shared" si="26"/>
        <v>0</v>
      </c>
      <c r="CB26" s="123">
        <f t="shared" si="57"/>
        <v>0</v>
      </c>
      <c r="CC26" s="111">
        <f t="shared" si="56"/>
        <v>210911</v>
      </c>
      <c r="CE26" s="124">
        <f t="shared" si="28"/>
        <v>0</v>
      </c>
      <c r="CF26" s="17"/>
      <c r="CG26" s="108">
        <f t="shared" si="47"/>
        <v>703038</v>
      </c>
      <c r="CH26" s="125">
        <f t="shared" si="48"/>
        <v>0.29999943104071186</v>
      </c>
      <c r="CI26" s="110">
        <f t="shared" si="49"/>
        <v>210911.4</v>
      </c>
      <c r="CJ26" s="300">
        <f t="shared" si="50"/>
        <v>0</v>
      </c>
      <c r="CL26" s="127">
        <f t="shared" si="51"/>
        <v>0</v>
      </c>
      <c r="CM26" s="128">
        <f t="shared" si="52"/>
        <v>0</v>
      </c>
      <c r="CN26" s="129">
        <f t="shared" si="53"/>
        <v>0</v>
      </c>
      <c r="CO26" s="130">
        <f t="shared" si="55"/>
        <v>210911</v>
      </c>
      <c r="CQ26" s="131">
        <f t="shared" si="54"/>
        <v>0.3</v>
      </c>
      <c r="CR26" s="301"/>
    </row>
    <row r="27" spans="1:96">
      <c r="A27" s="133" t="s">
        <v>99</v>
      </c>
      <c r="B27" s="90" t="s">
        <v>102</v>
      </c>
      <c r="C27" s="208">
        <f>'Op Cost-25'!E20</f>
        <v>8675119</v>
      </c>
      <c r="D27" s="92">
        <f>'Ridership-25'!$E19</f>
        <v>519342</v>
      </c>
      <c r="E27" s="92">
        <f>'Revenue Hours-25'!$E19</f>
        <v>79599</v>
      </c>
      <c r="F27" s="92">
        <f>'Revenue Miles-25'!$E19</f>
        <v>1150861</v>
      </c>
      <c r="G27" s="93">
        <f t="shared" si="0"/>
        <v>1.4893103845630756E-2</v>
      </c>
      <c r="H27" s="94">
        <f t="shared" si="1"/>
        <v>1.4893103845630759E-2</v>
      </c>
      <c r="J27" s="95">
        <f>'Ridership-25'!B19/'Revenue Hours-25'!B19</f>
        <v>21.272344057919085</v>
      </c>
      <c r="K27" s="96">
        <f>'Ridership-25'!C19/'Revenue Hours-25'!C19</f>
        <v>6.2106387495687709</v>
      </c>
      <c r="L27" s="96">
        <f>'Ridership-25'!D19/'Revenue Hours-25'!D19</f>
        <v>5.9993407953505891</v>
      </c>
      <c r="M27" s="96">
        <f>'Ridership-25'!E19/'Revenue Hours-25'!E19</f>
        <v>6.5244789507405869</v>
      </c>
      <c r="N27" s="97">
        <f t="shared" si="2"/>
        <v>0.74254458405060142</v>
      </c>
      <c r="O27" s="98">
        <f t="shared" si="3"/>
        <v>1.1058793600276305E-2</v>
      </c>
      <c r="P27" s="99">
        <f t="shared" si="4"/>
        <v>1.0443186617179027E-2</v>
      </c>
      <c r="Q27" s="95">
        <f>'Ridership-25'!B19/'Revenue Miles-25'!B19</f>
        <v>1.6130997617774709</v>
      </c>
      <c r="R27" s="96">
        <f>'Ridership-25'!C19/'Revenue Miles-25'!C19</f>
        <v>0.43710720015539234</v>
      </c>
      <c r="S27" s="96">
        <f>'Ridership-25'!D19/'Revenue Miles-25'!D19</f>
        <v>0.41539215330115964</v>
      </c>
      <c r="T27" s="96">
        <f>'Ridership-25'!E19/'Revenue Miles-25'!E19</f>
        <v>0.45126387982562621</v>
      </c>
      <c r="U27" s="97">
        <f t="shared" si="5"/>
        <v>0.72761827424943293</v>
      </c>
      <c r="V27" s="98">
        <f t="shared" si="6"/>
        <v>1.0836494518375445E-2</v>
      </c>
      <c r="W27" s="99">
        <f t="shared" si="7"/>
        <v>1.0271936820830406E-2</v>
      </c>
      <c r="X27" s="95">
        <f>'Op Cost-25'!B20/'Revenue Hours-25'!B19</f>
        <v>85.260382965718563</v>
      </c>
      <c r="Y27" s="96">
        <f>'Op Cost-25'!C20/'Revenue Hours-25'!C19</f>
        <v>88.890998593530242</v>
      </c>
      <c r="Z27" s="96">
        <f>'Op Cost-25'!D20/'Revenue Hours-25'!D19</f>
        <v>103.53699617930367</v>
      </c>
      <c r="AA27" s="96">
        <f>'Op Cost-25'!E20/'Revenue Hours-25'!E19</f>
        <v>108.98527619693715</v>
      </c>
      <c r="AB27" s="97">
        <f t="shared" si="8"/>
        <v>1.0489833242149993</v>
      </c>
      <c r="AC27" s="98">
        <f t="shared" si="9"/>
        <v>1.4197655483966754E-2</v>
      </c>
      <c r="AD27" s="99">
        <f t="shared" si="10"/>
        <v>1.5147696146887983E-2</v>
      </c>
      <c r="AE27" s="95">
        <f>'Op Cost-25'!B20/'Revenue Miles-25'!B19</f>
        <v>6.465366631744411</v>
      </c>
      <c r="AF27" s="96">
        <f>'Op Cost-25'!C20/'Revenue Miles-25'!C19</f>
        <v>6.2561834749980854</v>
      </c>
      <c r="AG27" s="96">
        <f>'Op Cost-25'!D20/'Revenue Miles-25'!D19</f>
        <v>7.168863589577354</v>
      </c>
      <c r="AH27" s="96">
        <f>'Op Cost-25'!E20/'Revenue Miles-25'!E19</f>
        <v>7.537938117635405</v>
      </c>
      <c r="AI27" s="97">
        <f t="shared" si="11"/>
        <v>1.026827470444114</v>
      </c>
      <c r="AJ27" s="98">
        <f t="shared" si="12"/>
        <v>1.4503998260963286E-2</v>
      </c>
      <c r="AK27" s="99">
        <f t="shared" si="13"/>
        <v>1.5436083562318424E-2</v>
      </c>
      <c r="AL27" s="95">
        <f>'Op Cost-25'!B20/'Ridership-25'!B19</f>
        <v>4.008038922912144</v>
      </c>
      <c r="AM27" s="96">
        <f>'Op Cost-25'!C20/'Ridership-25'!C19</f>
        <v>14.312698287225656</v>
      </c>
      <c r="AN27" s="96">
        <f>'Op Cost-25'!D20/'Ridership-25'!D19</f>
        <v>17.258062129016487</v>
      </c>
      <c r="AO27" s="96">
        <f>'Op Cost-25'!E20/'Ridership-25'!E19</f>
        <v>16.704058212122263</v>
      </c>
      <c r="AP27" s="97">
        <f t="shared" si="14"/>
        <v>1.4319841470376262</v>
      </c>
      <c r="AQ27" s="98">
        <f t="shared" si="15"/>
        <v>1.0400327319572928E-2</v>
      </c>
      <c r="AR27" s="99">
        <f t="shared" si="16"/>
        <v>1.1295425362631003E-2</v>
      </c>
      <c r="AT27" s="101">
        <f t="shared" si="29"/>
        <v>0</v>
      </c>
      <c r="AU27" s="102">
        <f t="shared" si="17"/>
        <v>0</v>
      </c>
      <c r="AV27" s="102">
        <f t="shared" si="18"/>
        <v>0</v>
      </c>
      <c r="AW27" s="102">
        <f t="shared" si="19"/>
        <v>0</v>
      </c>
      <c r="AX27" s="103">
        <f t="shared" si="20"/>
        <v>0</v>
      </c>
      <c r="AY27" s="293">
        <f t="shared" si="30"/>
        <v>-1</v>
      </c>
      <c r="AZ27" s="105">
        <f t="shared" si="21"/>
        <v>0</v>
      </c>
      <c r="BA27" s="106">
        <f t="shared" si="21"/>
        <v>0</v>
      </c>
      <c r="BB27" s="106">
        <f t="shared" si="21"/>
        <v>0</v>
      </c>
      <c r="BC27" s="106">
        <f t="shared" si="21"/>
        <v>0</v>
      </c>
      <c r="BD27" s="106">
        <f t="shared" si="21"/>
        <v>0</v>
      </c>
      <c r="BE27" s="107">
        <f t="shared" si="31"/>
        <v>1820540.4673437234</v>
      </c>
      <c r="BG27" s="108">
        <f>'Op Cost-25'!E20</f>
        <v>8675119</v>
      </c>
      <c r="BH27" s="109">
        <f t="shared" si="22"/>
        <v>0.20985769386491682</v>
      </c>
      <c r="BI27" s="110">
        <f t="shared" si="23"/>
        <v>1820540.4673437234</v>
      </c>
      <c r="BJ27" s="111">
        <f t="shared" si="24"/>
        <v>0</v>
      </c>
      <c r="BK27" s="1">
        <f t="shared" si="32"/>
        <v>0.63298548157205015</v>
      </c>
      <c r="BL27" s="294">
        <f t="shared" si="33"/>
        <v>0.60947698732872935</v>
      </c>
      <c r="BM27" s="294">
        <f t="shared" si="34"/>
        <v>0.60822662315372988</v>
      </c>
      <c r="BN27" s="295">
        <f t="shared" si="35"/>
        <v>0.65711915790287057</v>
      </c>
      <c r="BO27" s="114">
        <f t="shared" si="25"/>
        <v>1820540.4673437234</v>
      </c>
      <c r="BP27" s="296">
        <f t="shared" si="36"/>
        <v>0.63298548157205015</v>
      </c>
      <c r="BQ27" s="116">
        <f t="shared" si="37"/>
        <v>9.4271185098291389E-3</v>
      </c>
      <c r="BR27" s="297">
        <f t="shared" si="38"/>
        <v>9.4271185098291389E-3</v>
      </c>
      <c r="BS27" s="117">
        <f t="shared" si="39"/>
        <v>1.0658941146608727E-2</v>
      </c>
      <c r="BT27" s="298">
        <f t="shared" si="40"/>
        <v>1912623.7483411331</v>
      </c>
      <c r="BU27" s="119">
        <f t="shared" si="41"/>
        <v>2602535.6999999997</v>
      </c>
      <c r="BV27" s="119">
        <f t="shared" si="42"/>
        <v>1912623.7483411331</v>
      </c>
      <c r="BW27" s="119">
        <f t="shared" si="43"/>
        <v>0</v>
      </c>
      <c r="BX27" s="120">
        <f t="shared" si="44"/>
        <v>9.4271185098291389E-3</v>
      </c>
      <c r="BY27" s="121">
        <f t="shared" si="45"/>
        <v>1.901699622536181E-2</v>
      </c>
      <c r="BZ27" s="299">
        <f t="shared" si="46"/>
        <v>1929170.572184921</v>
      </c>
      <c r="CA27" s="109">
        <f t="shared" si="26"/>
        <v>1.6542072098269644E-2</v>
      </c>
      <c r="CB27" s="123">
        <f t="shared" si="57"/>
        <v>142908.02926414635</v>
      </c>
      <c r="CC27" s="111">
        <f t="shared" si="56"/>
        <v>1963448</v>
      </c>
      <c r="CE27" s="124">
        <f t="shared" si="28"/>
        <v>0</v>
      </c>
      <c r="CF27" s="17"/>
      <c r="CG27" s="108">
        <f t="shared" si="47"/>
        <v>8675119</v>
      </c>
      <c r="CH27" s="125">
        <f t="shared" si="48"/>
        <v>0.22633095868771369</v>
      </c>
      <c r="CI27" s="110">
        <f t="shared" si="49"/>
        <v>1912623.7483411331</v>
      </c>
      <c r="CJ27" s="300">
        <f t="shared" si="50"/>
        <v>0</v>
      </c>
      <c r="CL27" s="127">
        <f t="shared" si="51"/>
        <v>1912623.7483411331</v>
      </c>
      <c r="CM27" s="128">
        <f t="shared" si="52"/>
        <v>2.2260462220659621E-2</v>
      </c>
      <c r="CN27" s="129">
        <f t="shared" si="53"/>
        <v>19368.986704394458</v>
      </c>
      <c r="CO27" s="130">
        <f t="shared" si="55"/>
        <v>1931993</v>
      </c>
      <c r="CQ27" s="131">
        <f t="shared" si="54"/>
        <v>0.22237972438014061</v>
      </c>
      <c r="CR27" s="301"/>
    </row>
    <row r="28" spans="1:96">
      <c r="A28" s="133" t="s">
        <v>99</v>
      </c>
      <c r="B28" s="90" t="s">
        <v>103</v>
      </c>
      <c r="C28" s="208">
        <f>'Op Cost-25'!E21</f>
        <v>177251</v>
      </c>
      <c r="D28" s="92">
        <f>'Ridership-25'!$E20</f>
        <v>14298</v>
      </c>
      <c r="E28" s="92">
        <f>'Revenue Hours-25'!$E20</f>
        <v>3028</v>
      </c>
      <c r="F28" s="92">
        <f>'Revenue Miles-25'!$E20</f>
        <v>48742</v>
      </c>
      <c r="G28" s="134">
        <f t="shared" si="0"/>
        <v>4.3816732213642587E-4</v>
      </c>
      <c r="H28" s="94">
        <f t="shared" si="1"/>
        <v>4.3816732213642598E-4</v>
      </c>
      <c r="J28" s="95">
        <f>'Ridership-25'!B20/'Revenue Hours-25'!B20</f>
        <v>5.9558432934926957</v>
      </c>
      <c r="K28" s="96">
        <f>'Ridership-25'!C20/'Revenue Hours-25'!C20</f>
        <v>4.686815011624045</v>
      </c>
      <c r="L28" s="96">
        <f>'Ridership-25'!D20/'Revenue Hours-25'!D20</f>
        <v>4.8892540256325994</v>
      </c>
      <c r="M28" s="96">
        <f>'Ridership-25'!E20/'Revenue Hours-25'!E20</f>
        <v>4.7219286657859971</v>
      </c>
      <c r="N28" s="97">
        <f t="shared" si="2"/>
        <v>1.0497324316835372</v>
      </c>
      <c r="O28" s="98">
        <f t="shared" si="3"/>
        <v>4.5995844855053423E-4</v>
      </c>
      <c r="P28" s="99">
        <f t="shared" si="4"/>
        <v>4.3435406139068845E-4</v>
      </c>
      <c r="Q28" s="95">
        <f>'Ridership-25'!B20/'Revenue Miles-25'!B20</f>
        <v>0.37067112984544176</v>
      </c>
      <c r="R28" s="96">
        <f>'Ridership-25'!C20/'Revenue Miles-25'!C20</f>
        <v>0.28707433174661295</v>
      </c>
      <c r="S28" s="96">
        <f>'Ridership-25'!D20/'Revenue Miles-25'!D20</f>
        <v>0.30552817479875144</v>
      </c>
      <c r="T28" s="96">
        <f>'Ridership-25'!E20/'Revenue Miles-25'!E20</f>
        <v>0.29334044561158756</v>
      </c>
      <c r="U28" s="97">
        <f t="shared" si="5"/>
        <v>1.0445386621931119</v>
      </c>
      <c r="V28" s="98">
        <f t="shared" si="6"/>
        <v>4.5768270848112067E-4</v>
      </c>
      <c r="W28" s="99">
        <f t="shared" si="7"/>
        <v>4.3383843894652813E-4</v>
      </c>
      <c r="X28" s="95">
        <f>'Op Cost-25'!B21/'Revenue Hours-25'!B20</f>
        <v>35.128818061088978</v>
      </c>
      <c r="Y28" s="96">
        <f>'Op Cost-25'!C21/'Revenue Hours-25'!C20</f>
        <v>38.42344735968117</v>
      </c>
      <c r="Z28" s="96">
        <f>'Op Cost-25'!D21/'Revenue Hours-25'!D20</f>
        <v>35.43739730529083</v>
      </c>
      <c r="AA28" s="96">
        <f>'Op Cost-25'!E21/'Revenue Hours-25'!E20</f>
        <v>58.537318361955087</v>
      </c>
      <c r="AB28" s="97">
        <f t="shared" si="8"/>
        <v>1.1968858090440895</v>
      </c>
      <c r="AC28" s="98">
        <f t="shared" si="9"/>
        <v>3.6608949561059195E-4</v>
      </c>
      <c r="AD28" s="99">
        <f t="shared" si="10"/>
        <v>3.9058649143438494E-4</v>
      </c>
      <c r="AE28" s="95">
        <f>'Op Cost-25'!B21/'Revenue Miles-25'!B20</f>
        <v>2.1862963881312507</v>
      </c>
      <c r="AF28" s="96">
        <f>'Op Cost-25'!C21/'Revenue Miles-25'!C20</f>
        <v>2.3534928190731925</v>
      </c>
      <c r="AG28" s="96">
        <f>'Op Cost-25'!D21/'Revenue Miles-25'!D20</f>
        <v>2.2144734680466569</v>
      </c>
      <c r="AH28" s="96">
        <f>'Op Cost-25'!E21/'Revenue Miles-25'!E20</f>
        <v>3.6365147101062738</v>
      </c>
      <c r="AI28" s="97">
        <f t="shared" si="11"/>
        <v>1.1975235749946818</v>
      </c>
      <c r="AJ28" s="98">
        <f t="shared" si="12"/>
        <v>3.6589452707715744E-4</v>
      </c>
      <c r="AK28" s="99">
        <f t="shared" si="13"/>
        <v>3.8940838197417651E-4</v>
      </c>
      <c r="AL28" s="95">
        <f>'Op Cost-25'!B21/'Ridership-25'!B20</f>
        <v>5.8982106025976924</v>
      </c>
      <c r="AM28" s="96">
        <f>'Op Cost-25'!C21/'Ridership-25'!C20</f>
        <v>8.1982001133786842</v>
      </c>
      <c r="AN28" s="96">
        <f>'Op Cost-25'!D21/'Ridership-25'!D20</f>
        <v>7.2480172066137918</v>
      </c>
      <c r="AO28" s="96">
        <f>'Op Cost-25'!E21/'Ridership-25'!E20</f>
        <v>12.396908658553643</v>
      </c>
      <c r="AP28" s="100">
        <f t="shared" si="14"/>
        <v>1.3061052839788061</v>
      </c>
      <c r="AQ28" s="98">
        <f t="shared" si="15"/>
        <v>3.3547626482424979E-4</v>
      </c>
      <c r="AR28" s="99">
        <f t="shared" si="16"/>
        <v>3.6434883189927805E-4</v>
      </c>
      <c r="AT28" s="101">
        <f t="shared" si="29"/>
        <v>0</v>
      </c>
      <c r="AU28" s="102">
        <f t="shared" si="17"/>
        <v>0</v>
      </c>
      <c r="AV28" s="102">
        <f t="shared" si="18"/>
        <v>0</v>
      </c>
      <c r="AW28" s="102">
        <f t="shared" si="19"/>
        <v>0</v>
      </c>
      <c r="AX28" s="103">
        <f t="shared" si="20"/>
        <v>0</v>
      </c>
      <c r="AY28" s="293">
        <f t="shared" si="30"/>
        <v>-1</v>
      </c>
      <c r="AZ28" s="105">
        <f t="shared" si="21"/>
        <v>0</v>
      </c>
      <c r="BA28" s="106">
        <f t="shared" si="21"/>
        <v>0</v>
      </c>
      <c r="BB28" s="106">
        <f t="shared" si="21"/>
        <v>0</v>
      </c>
      <c r="BC28" s="106">
        <f t="shared" si="21"/>
        <v>0</v>
      </c>
      <c r="BD28" s="106">
        <f t="shared" si="21"/>
        <v>0</v>
      </c>
      <c r="BE28" s="107">
        <f t="shared" si="31"/>
        <v>53561.792738793069</v>
      </c>
      <c r="BG28" s="108">
        <f>'Op Cost-25'!E21</f>
        <v>177251</v>
      </c>
      <c r="BH28" s="109">
        <f t="shared" si="22"/>
        <v>0.302180482698507</v>
      </c>
      <c r="BI28" s="110">
        <f t="shared" si="23"/>
        <v>53175.299999999996</v>
      </c>
      <c r="BJ28" s="111">
        <f t="shared" si="24"/>
        <v>386.49273879307293</v>
      </c>
      <c r="BK28" s="1">
        <f t="shared" si="32"/>
        <v>0.65183009971520889</v>
      </c>
      <c r="BL28" s="294">
        <f t="shared" si="33"/>
        <v>0.44109374546725261</v>
      </c>
      <c r="BM28" s="294">
        <f t="shared" si="34"/>
        <v>0.39537281099849808</v>
      </c>
      <c r="BN28" s="295">
        <f t="shared" si="35"/>
        <v>0.88542692119754252</v>
      </c>
      <c r="BO28" s="114">
        <f t="shared" si="25"/>
        <v>0</v>
      </c>
      <c r="BP28" s="296">
        <f t="shared" si="36"/>
        <v>0.65183009971520889</v>
      </c>
      <c r="BQ28" s="116">
        <f t="shared" si="37"/>
        <v>2.8561064928013259E-4</v>
      </c>
      <c r="BR28" s="297">
        <f t="shared" si="38"/>
        <v>0</v>
      </c>
      <c r="BS28" s="117">
        <f t="shared" si="39"/>
        <v>0</v>
      </c>
      <c r="BT28" s="298">
        <f t="shared" si="40"/>
        <v>53175.299999999996</v>
      </c>
      <c r="BU28" s="119">
        <f t="shared" si="41"/>
        <v>53175.299999999996</v>
      </c>
      <c r="BV28" s="119">
        <f t="shared" si="42"/>
        <v>53175.299999999996</v>
      </c>
      <c r="BW28" s="119">
        <f t="shared" si="43"/>
        <v>0</v>
      </c>
      <c r="BX28" s="120">
        <f t="shared" si="44"/>
        <v>0</v>
      </c>
      <c r="BY28" s="121">
        <f t="shared" si="45"/>
        <v>0</v>
      </c>
      <c r="BZ28" s="299">
        <f t="shared" si="46"/>
        <v>53175.299999999996</v>
      </c>
      <c r="CA28" s="109">
        <f t="shared" si="26"/>
        <v>0</v>
      </c>
      <c r="CB28" s="123">
        <f t="shared" si="57"/>
        <v>0</v>
      </c>
      <c r="CC28" s="111">
        <f t="shared" si="56"/>
        <v>53175</v>
      </c>
      <c r="CE28" s="124">
        <f t="shared" si="28"/>
        <v>0</v>
      </c>
      <c r="CF28" s="17"/>
      <c r="CG28" s="108">
        <f t="shared" si="47"/>
        <v>177251</v>
      </c>
      <c r="CH28" s="125">
        <f t="shared" si="48"/>
        <v>0.29999830748486611</v>
      </c>
      <c r="CI28" s="110">
        <f t="shared" si="49"/>
        <v>53175.299999999996</v>
      </c>
      <c r="CJ28" s="300">
        <f t="shared" si="50"/>
        <v>0</v>
      </c>
      <c r="CL28" s="127">
        <f t="shared" si="51"/>
        <v>0</v>
      </c>
      <c r="CM28" s="128">
        <f t="shared" si="52"/>
        <v>0</v>
      </c>
      <c r="CN28" s="129">
        <f t="shared" si="53"/>
        <v>0</v>
      </c>
      <c r="CO28" s="130">
        <f t="shared" si="55"/>
        <v>53175</v>
      </c>
      <c r="CQ28" s="131">
        <f t="shared" si="54"/>
        <v>0.3</v>
      </c>
      <c r="CR28" s="301"/>
    </row>
    <row r="29" spans="1:96">
      <c r="A29" s="133" t="s">
        <v>104</v>
      </c>
      <c r="B29" s="90" t="s">
        <v>105</v>
      </c>
      <c r="C29" s="208">
        <f>'Op Cost-25'!E22</f>
        <v>18874570</v>
      </c>
      <c r="D29" s="92">
        <f>'Ridership-25'!$E21</f>
        <v>527426</v>
      </c>
      <c r="E29" s="92">
        <f>'Revenue Hours-25'!$E21</f>
        <v>118492</v>
      </c>
      <c r="F29" s="92">
        <f>'Revenue Miles-25'!$E21</f>
        <v>2591443</v>
      </c>
      <c r="G29" s="134">
        <f t="shared" si="0"/>
        <v>2.6325957603928272E-2</v>
      </c>
      <c r="H29" s="94">
        <f t="shared" si="1"/>
        <v>2.6325957603928279E-2</v>
      </c>
      <c r="J29" s="95">
        <f>'Ridership-25'!B21/'Revenue Hours-25'!B21</f>
        <v>9.5977192221126977</v>
      </c>
      <c r="K29" s="96">
        <f>'Ridership-25'!C21/'Revenue Hours-25'!C21</f>
        <v>3.470492023892092</v>
      </c>
      <c r="L29" s="96">
        <f>'Ridership-25'!D21/'Revenue Hours-25'!D21</f>
        <v>4.2679119210326499</v>
      </c>
      <c r="M29" s="96">
        <f>'Ridership-25'!E21/'Revenue Hours-25'!E21</f>
        <v>4.451152820443574</v>
      </c>
      <c r="N29" s="97">
        <f t="shared" si="2"/>
        <v>0.84354045251780463</v>
      </c>
      <c r="O29" s="98">
        <f t="shared" si="3"/>
        <v>2.2207010190182199E-2</v>
      </c>
      <c r="P29" s="99">
        <f t="shared" si="4"/>
        <v>2.0970818337714039E-2</v>
      </c>
      <c r="Q29" s="95">
        <f>'Ridership-25'!B21/'Revenue Miles-25'!B21</f>
        <v>0.37124438856652447</v>
      </c>
      <c r="R29" s="96">
        <f>'Ridership-25'!C21/'Revenue Miles-25'!C21</f>
        <v>0.16305901321605187</v>
      </c>
      <c r="S29" s="96">
        <f>'Ridership-25'!D21/'Revenue Miles-25'!D21</f>
        <v>0.18749795684455406</v>
      </c>
      <c r="T29" s="96">
        <f>'Ridership-25'!E21/'Revenue Miles-25'!E21</f>
        <v>0.20352598918826306</v>
      </c>
      <c r="U29" s="97">
        <f t="shared" si="5"/>
        <v>0.88782342910654022</v>
      </c>
      <c r="V29" s="98">
        <f t="shared" si="6"/>
        <v>2.3372801954433003E-2</v>
      </c>
      <c r="W29" s="99">
        <f t="shared" si="7"/>
        <v>2.2155130018716558E-2</v>
      </c>
      <c r="X29" s="95">
        <f>'Op Cost-25'!B22/'Revenue Hours-25'!B21</f>
        <v>112.24563612250527</v>
      </c>
      <c r="Y29" s="96">
        <f>'Op Cost-25'!C22/'Revenue Hours-25'!C21</f>
        <v>179.69728056645377</v>
      </c>
      <c r="Z29" s="96">
        <f>'Op Cost-25'!D22/'Revenue Hours-25'!D21</f>
        <v>158.41301948873704</v>
      </c>
      <c r="AA29" s="96">
        <f>'Op Cost-25'!E22/'Revenue Hours-25'!E21</f>
        <v>159.2898254734497</v>
      </c>
      <c r="AB29" s="97">
        <f t="shared" si="8"/>
        <v>1.0903539930795201</v>
      </c>
      <c r="AC29" s="98">
        <f t="shared" si="9"/>
        <v>2.4144413439139221E-2</v>
      </c>
      <c r="AD29" s="99">
        <f t="shared" si="10"/>
        <v>2.5760044595668403E-2</v>
      </c>
      <c r="AE29" s="95">
        <f>'Op Cost-25'!B22/'Revenue Miles-25'!B21</f>
        <v>4.3417151082679135</v>
      </c>
      <c r="AF29" s="96">
        <f>'Op Cost-25'!C22/'Revenue Miles-25'!C21</f>
        <v>8.4429703468712045</v>
      </c>
      <c r="AG29" s="96">
        <f>'Op Cost-25'!D22/'Revenue Miles-25'!D21</f>
        <v>6.9594026402794391</v>
      </c>
      <c r="AH29" s="96">
        <f>'Op Cost-25'!E22/'Revenue Miles-25'!E21</f>
        <v>7.2834208585718461</v>
      </c>
      <c r="AI29" s="97">
        <f t="shared" si="11"/>
        <v>1.1782619786185278</v>
      </c>
      <c r="AJ29" s="98">
        <f t="shared" si="12"/>
        <v>2.2343042618412055E-2</v>
      </c>
      <c r="AK29" s="99">
        <f t="shared" si="13"/>
        <v>2.3778896459364606E-2</v>
      </c>
      <c r="AL29" s="95">
        <f>'Op Cost-25'!B22/'Ridership-25'!B21</f>
        <v>11.695032280575219</v>
      </c>
      <c r="AM29" s="96">
        <f>'Op Cost-25'!C22/'Ridership-25'!C21</f>
        <v>51.778617939287642</v>
      </c>
      <c r="AN29" s="96">
        <f>'Op Cost-25'!D22/'Ridership-25'!D21</f>
        <v>37.117218541475417</v>
      </c>
      <c r="AO29" s="96">
        <f>'Op Cost-25'!E22/'Ridership-25'!E21</f>
        <v>35.786195599003463</v>
      </c>
      <c r="AP29" s="97">
        <f t="shared" si="14"/>
        <v>1.3409477845398807</v>
      </c>
      <c r="AQ29" s="98">
        <f t="shared" si="15"/>
        <v>1.9632351018769537E-2</v>
      </c>
      <c r="AR29" s="99">
        <f t="shared" si="16"/>
        <v>2.1321997742143182E-2</v>
      </c>
      <c r="AT29" s="101">
        <f t="shared" si="29"/>
        <v>0</v>
      </c>
      <c r="AU29" s="102">
        <f t="shared" si="17"/>
        <v>0</v>
      </c>
      <c r="AV29" s="102">
        <f t="shared" si="18"/>
        <v>0</v>
      </c>
      <c r="AW29" s="102">
        <f t="shared" si="19"/>
        <v>0</v>
      </c>
      <c r="AX29" s="103">
        <f t="shared" si="20"/>
        <v>0</v>
      </c>
      <c r="AY29" s="293">
        <f t="shared" si="30"/>
        <v>-1</v>
      </c>
      <c r="AZ29" s="105">
        <f t="shared" si="21"/>
        <v>0</v>
      </c>
      <c r="BA29" s="106">
        <f t="shared" si="21"/>
        <v>0</v>
      </c>
      <c r="BB29" s="106">
        <f t="shared" si="21"/>
        <v>0</v>
      </c>
      <c r="BC29" s="106">
        <f t="shared" si="21"/>
        <v>0</v>
      </c>
      <c r="BD29" s="106">
        <f t="shared" si="21"/>
        <v>0</v>
      </c>
      <c r="BE29" s="107">
        <f t="shared" si="31"/>
        <v>3218098.2323296755</v>
      </c>
      <c r="BG29" s="108">
        <f>'Op Cost-25'!E22</f>
        <v>18874570</v>
      </c>
      <c r="BH29" s="109">
        <f t="shared" si="22"/>
        <v>0.17049915480615851</v>
      </c>
      <c r="BI29" s="110">
        <f t="shared" si="23"/>
        <v>3218098.2323296755</v>
      </c>
      <c r="BJ29" s="111">
        <f t="shared" si="24"/>
        <v>0</v>
      </c>
      <c r="BK29" s="1">
        <f t="shared" si="32"/>
        <v>0.32589244685733121</v>
      </c>
      <c r="BL29" s="294">
        <f t="shared" si="33"/>
        <v>0.41579951926058251</v>
      </c>
      <c r="BM29" s="294">
        <f t="shared" si="34"/>
        <v>0.27431826623445621</v>
      </c>
      <c r="BN29" s="295">
        <f t="shared" si="35"/>
        <v>0.30672600096714314</v>
      </c>
      <c r="BO29" s="114">
        <f t="shared" si="25"/>
        <v>3218098.2323296755</v>
      </c>
      <c r="BP29" s="296">
        <f t="shared" si="36"/>
        <v>0.32589244685733121</v>
      </c>
      <c r="BQ29" s="116">
        <f t="shared" si="37"/>
        <v>8.5794307394065506E-3</v>
      </c>
      <c r="BR29" s="297">
        <f t="shared" si="38"/>
        <v>8.5794307394065506E-3</v>
      </c>
      <c r="BS29" s="117">
        <f t="shared" si="39"/>
        <v>9.7004877182134477E-3</v>
      </c>
      <c r="BT29" s="298">
        <f t="shared" si="40"/>
        <v>3301901.3722552927</v>
      </c>
      <c r="BU29" s="119">
        <f t="shared" si="41"/>
        <v>5662371</v>
      </c>
      <c r="BV29" s="119">
        <f t="shared" si="42"/>
        <v>3301901.3722552927</v>
      </c>
      <c r="BW29" s="119">
        <f t="shared" si="43"/>
        <v>0</v>
      </c>
      <c r="BX29" s="120">
        <f t="shared" si="44"/>
        <v>8.5794307394065506E-3</v>
      </c>
      <c r="BY29" s="121">
        <f t="shared" si="45"/>
        <v>1.7306985354743839E-2</v>
      </c>
      <c r="BZ29" s="299">
        <f t="shared" si="46"/>
        <v>3316960.3034628429</v>
      </c>
      <c r="CA29" s="109">
        <f t="shared" si="26"/>
        <v>2.9240774337844392E-2</v>
      </c>
      <c r="CB29" s="123">
        <f t="shared" si="57"/>
        <v>252612.93808627981</v>
      </c>
      <c r="CC29" s="111">
        <f t="shared" si="56"/>
        <v>3470711</v>
      </c>
      <c r="CE29" s="124">
        <f t="shared" si="28"/>
        <v>0</v>
      </c>
      <c r="CF29" s="17"/>
      <c r="CG29" s="108">
        <f t="shared" si="47"/>
        <v>18874570</v>
      </c>
      <c r="CH29" s="125">
        <f t="shared" si="48"/>
        <v>0.18388291759759295</v>
      </c>
      <c r="CI29" s="110">
        <f t="shared" si="49"/>
        <v>3301901.3722552927</v>
      </c>
      <c r="CJ29" s="300">
        <f t="shared" si="50"/>
        <v>0</v>
      </c>
      <c r="CL29" s="127">
        <f t="shared" si="51"/>
        <v>3301901.3722552927</v>
      </c>
      <c r="CM29" s="128">
        <f t="shared" si="52"/>
        <v>3.8429853658976637E-2</v>
      </c>
      <c r="CN29" s="129">
        <f t="shared" si="53"/>
        <v>33438.089343972606</v>
      </c>
      <c r="CO29" s="130">
        <f t="shared" si="55"/>
        <v>3335339</v>
      </c>
      <c r="CQ29" s="131">
        <f t="shared" si="54"/>
        <v>0.17573699975484702</v>
      </c>
      <c r="CR29" s="301"/>
    </row>
    <row r="30" spans="1:96">
      <c r="A30" s="133" t="s">
        <v>104</v>
      </c>
      <c r="B30" s="90" t="s">
        <v>106</v>
      </c>
      <c r="C30" s="208">
        <f>'Op Cost-25'!E23</f>
        <v>23750125</v>
      </c>
      <c r="D30" s="92">
        <f>'Ridership-25'!$E22</f>
        <v>2106063</v>
      </c>
      <c r="E30" s="92">
        <f>'Revenue Hours-25'!$E22</f>
        <v>216250</v>
      </c>
      <c r="F30" s="92">
        <f>'Revenue Miles-25'!$E22</f>
        <v>2205880</v>
      </c>
      <c r="G30" s="134">
        <f t="shared" si="0"/>
        <v>4.3538933937356653E-2</v>
      </c>
      <c r="H30" s="94">
        <f t="shared" si="1"/>
        <v>4.3538933937356659E-2</v>
      </c>
      <c r="J30" s="95">
        <f>'Ridership-25'!B22/'Revenue Hours-25'!B22</f>
        <v>12.903471027599291</v>
      </c>
      <c r="K30" s="96">
        <f>'Ridership-25'!C22/'Revenue Hours-25'!C22</f>
        <v>7.8216167510040826</v>
      </c>
      <c r="L30" s="96">
        <f>'Ridership-25'!D22/'Revenue Hours-25'!D22</f>
        <v>8.8817225863249529</v>
      </c>
      <c r="M30" s="96">
        <f>'Ridership-25'!E22/'Revenue Hours-25'!E22</f>
        <v>9.7390196531791915</v>
      </c>
      <c r="N30" s="97">
        <f t="shared" si="2"/>
        <v>0.99278724982653765</v>
      </c>
      <c r="O30" s="98">
        <f t="shared" si="3"/>
        <v>4.3224898484047626E-2</v>
      </c>
      <c r="P30" s="99">
        <f t="shared" si="4"/>
        <v>4.0818709318008226E-2</v>
      </c>
      <c r="Q30" s="95">
        <f>'Ridership-25'!B22/'Revenue Miles-25'!B22</f>
        <v>1.2587048387152435</v>
      </c>
      <c r="R30" s="96">
        <f>'Ridership-25'!C22/'Revenue Miles-25'!C22</f>
        <v>0.78433143162528551</v>
      </c>
      <c r="S30" s="96">
        <f>'Ridership-25'!D22/'Revenue Miles-25'!D22</f>
        <v>0.87157122671755427</v>
      </c>
      <c r="T30" s="96">
        <f>'Ridership-25'!E22/'Revenue Miles-25'!E22</f>
        <v>0.95474957839955032</v>
      </c>
      <c r="U30" s="97">
        <f t="shared" si="5"/>
        <v>0.99791433128261009</v>
      </c>
      <c r="V30" s="98">
        <f t="shared" si="6"/>
        <v>4.3448126144855007E-2</v>
      </c>
      <c r="W30" s="99">
        <f t="shared" si="7"/>
        <v>4.118457366324834E-2</v>
      </c>
      <c r="X30" s="95">
        <f>'Op Cost-25'!B23/'Revenue Hours-25'!B22</f>
        <v>70.784446046283321</v>
      </c>
      <c r="Y30" s="96">
        <f>'Op Cost-25'!C23/'Revenue Hours-25'!C22</f>
        <v>115.12446224595757</v>
      </c>
      <c r="Z30" s="96">
        <f>'Op Cost-25'!D23/'Revenue Hours-25'!D22</f>
        <v>128.33355179497212</v>
      </c>
      <c r="AA30" s="96">
        <f>'Op Cost-25'!E23/'Revenue Hours-25'!E22</f>
        <v>109.8271676300578</v>
      </c>
      <c r="AB30" s="97">
        <f t="shared" si="8"/>
        <v>1.1212511733586463</v>
      </c>
      <c r="AC30" s="98">
        <f t="shared" si="9"/>
        <v>3.883066967674885E-2</v>
      </c>
      <c r="AD30" s="99">
        <f t="shared" si="10"/>
        <v>4.1429036372083443E-2</v>
      </c>
      <c r="AE30" s="95">
        <f>'Op Cost-25'!B23/'Revenue Miles-25'!B22</f>
        <v>6.9048649432129956</v>
      </c>
      <c r="AF30" s="96">
        <f>'Op Cost-25'!C23/'Revenue Miles-25'!C22</f>
        <v>11.544382339734495</v>
      </c>
      <c r="AG30" s="96">
        <f>'Op Cost-25'!D23/'Revenue Miles-25'!D22</f>
        <v>12.593483986899244</v>
      </c>
      <c r="AH30" s="96">
        <f>'Op Cost-25'!E23/'Revenue Miles-25'!E22</f>
        <v>10.766734817850473</v>
      </c>
      <c r="AI30" s="97">
        <f t="shared" si="11"/>
        <v>1.1272229978943926</v>
      </c>
      <c r="AJ30" s="98">
        <f t="shared" si="12"/>
        <v>3.8624951778561692E-2</v>
      </c>
      <c r="AK30" s="99">
        <f t="shared" si="13"/>
        <v>4.1107146630669819E-2</v>
      </c>
      <c r="AL30" s="95">
        <f>'Op Cost-25'!B23/'Ridership-25'!B22</f>
        <v>5.485690315023156</v>
      </c>
      <c r="AM30" s="96">
        <f>'Op Cost-25'!C23/'Ridership-25'!C22</f>
        <v>14.718755202519828</v>
      </c>
      <c r="AN30" s="96">
        <f>'Op Cost-25'!D23/'Ridership-25'!D22</f>
        <v>14.449173631313958</v>
      </c>
      <c r="AO30" s="96">
        <f>'Op Cost-25'!E23/'Ridership-25'!E22</f>
        <v>11.277024951295379</v>
      </c>
      <c r="AP30" s="97">
        <f t="shared" si="14"/>
        <v>1.1311670338589401</v>
      </c>
      <c r="AQ30" s="98">
        <f t="shared" si="15"/>
        <v>3.8490278300301044E-2</v>
      </c>
      <c r="AR30" s="99">
        <f t="shared" si="16"/>
        <v>4.1802921424380614E-2</v>
      </c>
      <c r="AT30" s="101">
        <f t="shared" si="29"/>
        <v>0</v>
      </c>
      <c r="AU30" s="102">
        <f t="shared" si="17"/>
        <v>0</v>
      </c>
      <c r="AV30" s="102">
        <f t="shared" si="18"/>
        <v>0</v>
      </c>
      <c r="AW30" s="102">
        <f t="shared" si="19"/>
        <v>0</v>
      </c>
      <c r="AX30" s="103">
        <f t="shared" si="20"/>
        <v>0</v>
      </c>
      <c r="AY30" s="293">
        <f t="shared" si="30"/>
        <v>-1</v>
      </c>
      <c r="AZ30" s="105">
        <f t="shared" si="21"/>
        <v>0</v>
      </c>
      <c r="BA30" s="106">
        <f t="shared" si="21"/>
        <v>0</v>
      </c>
      <c r="BB30" s="106">
        <f t="shared" si="21"/>
        <v>0</v>
      </c>
      <c r="BC30" s="106">
        <f t="shared" si="21"/>
        <v>0</v>
      </c>
      <c r="BD30" s="106">
        <f t="shared" si="21"/>
        <v>0</v>
      </c>
      <c r="BE30" s="107">
        <f t="shared" si="31"/>
        <v>5322221.0735619664</v>
      </c>
      <c r="BG30" s="108">
        <f>'Op Cost-25'!E23</f>
        <v>23750125</v>
      </c>
      <c r="BH30" s="109">
        <f t="shared" si="22"/>
        <v>0.22409233945345408</v>
      </c>
      <c r="BI30" s="110">
        <f t="shared" si="23"/>
        <v>5322221.0735619664</v>
      </c>
      <c r="BJ30" s="111">
        <f t="shared" si="24"/>
        <v>0</v>
      </c>
      <c r="BK30" s="1">
        <f t="shared" si="32"/>
        <v>1.035827629194235</v>
      </c>
      <c r="BL30" s="294">
        <f t="shared" si="33"/>
        <v>0.90975975285830046</v>
      </c>
      <c r="BM30" s="294">
        <f t="shared" si="34"/>
        <v>1.2868393372228168</v>
      </c>
      <c r="BN30" s="295">
        <f t="shared" si="35"/>
        <v>0.97335571334791149</v>
      </c>
      <c r="BO30" s="114">
        <f t="shared" si="25"/>
        <v>5322221.0735619664</v>
      </c>
      <c r="BP30" s="296">
        <f t="shared" si="36"/>
        <v>1.035827629194235</v>
      </c>
      <c r="BQ30" s="116">
        <f t="shared" si="37"/>
        <v>4.5098830717976567E-2</v>
      </c>
      <c r="BR30" s="297">
        <f t="shared" si="38"/>
        <v>4.5098830717976567E-2</v>
      </c>
      <c r="BS30" s="302">
        <f t="shared" si="39"/>
        <v>5.0991804325210985E-2</v>
      </c>
      <c r="BT30" s="298">
        <f t="shared" si="40"/>
        <v>5762742.5645486452</v>
      </c>
      <c r="BU30" s="119">
        <f t="shared" si="41"/>
        <v>7125037.5</v>
      </c>
      <c r="BV30" s="119">
        <f t="shared" si="42"/>
        <v>5762742.5645486452</v>
      </c>
      <c r="BW30" s="119">
        <f t="shared" si="43"/>
        <v>0</v>
      </c>
      <c r="BX30" s="120">
        <f t="shared" si="44"/>
        <v>4.5098830717976567E-2</v>
      </c>
      <c r="BY30" s="121">
        <f t="shared" si="45"/>
        <v>9.0976292770455047E-2</v>
      </c>
      <c r="BZ30" s="299">
        <f t="shared" si="46"/>
        <v>5841901.6847690083</v>
      </c>
      <c r="CA30" s="109">
        <f t="shared" si="26"/>
        <v>4.8359575796877788E-2</v>
      </c>
      <c r="CB30" s="123">
        <f t="shared" si="57"/>
        <v>417781.49872196635</v>
      </c>
      <c r="CC30" s="111">
        <f t="shared" si="56"/>
        <v>5740003</v>
      </c>
      <c r="CE30" s="124">
        <f t="shared" si="28"/>
        <v>0</v>
      </c>
      <c r="CF30" s="17"/>
      <c r="CG30" s="108">
        <f t="shared" si="47"/>
        <v>23750125</v>
      </c>
      <c r="CH30" s="125">
        <f t="shared" si="48"/>
        <v>0.2416830648259746</v>
      </c>
      <c r="CI30" s="110">
        <f t="shared" si="49"/>
        <v>5762742.5645486452</v>
      </c>
      <c r="CJ30" s="300">
        <f t="shared" si="50"/>
        <v>0</v>
      </c>
      <c r="CL30" s="127">
        <f t="shared" si="51"/>
        <v>5762742.5645486452</v>
      </c>
      <c r="CM30" s="128">
        <f t="shared" si="52"/>
        <v>6.707085659517921E-2</v>
      </c>
      <c r="CN30" s="129">
        <f t="shared" si="53"/>
        <v>58358.829963499244</v>
      </c>
      <c r="CO30" s="130">
        <f t="shared" si="55"/>
        <v>5821101</v>
      </c>
      <c r="CQ30" s="131">
        <f t="shared" si="54"/>
        <v>0.24597351318230992</v>
      </c>
      <c r="CR30" s="301"/>
    </row>
    <row r="31" spans="1:96">
      <c r="A31" s="133" t="s">
        <v>104</v>
      </c>
      <c r="B31" s="90" t="s">
        <v>107</v>
      </c>
      <c r="C31" s="208">
        <f>'Op Cost-25'!E24</f>
        <v>32028446</v>
      </c>
      <c r="D31" s="92">
        <f>'Ridership-25'!$E23</f>
        <v>4580046</v>
      </c>
      <c r="E31" s="92">
        <f>'Revenue Hours-25'!$E23</f>
        <v>310607</v>
      </c>
      <c r="F31" s="92">
        <f>'Revenue Miles-25'!$E23</f>
        <v>3036654</v>
      </c>
      <c r="G31" s="134">
        <f t="shared" si="0"/>
        <v>7.2357252900407218E-2</v>
      </c>
      <c r="H31" s="94">
        <f t="shared" si="1"/>
        <v>7.2357252900407232E-2</v>
      </c>
      <c r="J31" s="95">
        <f>'Ridership-25'!B23/'Revenue Hours-25'!B23</f>
        <v>15.892603773584906</v>
      </c>
      <c r="K31" s="96">
        <f>'Ridership-25'!C23/'Revenue Hours-25'!C23</f>
        <v>7.2218469159098948</v>
      </c>
      <c r="L31" s="96">
        <f>'Ridership-25'!D23/'Revenue Hours-25'!D23</f>
        <v>11.021126607734487</v>
      </c>
      <c r="M31" s="96">
        <f>'Ridership-25'!E23/'Revenue Hours-25'!E23</f>
        <v>14.745469355165852</v>
      </c>
      <c r="N31" s="97">
        <f t="shared" si="2"/>
        <v>1.0626677883283782</v>
      </c>
      <c r="O31" s="98">
        <f t="shared" si="3"/>
        <v>7.6891721909192884E-2</v>
      </c>
      <c r="P31" s="99">
        <f t="shared" si="4"/>
        <v>7.2611410452029013E-2</v>
      </c>
      <c r="Q31" s="95">
        <f>'Ridership-25'!B23/'Revenue Miles-25'!B23</f>
        <v>1.6926824335930128</v>
      </c>
      <c r="R31" s="96">
        <f>'Ridership-25'!C23/'Revenue Miles-25'!C23</f>
        <v>0.80452628182287345</v>
      </c>
      <c r="S31" s="96">
        <f>'Ridership-25'!D23/'Revenue Miles-25'!D23</f>
        <v>1.2173072182855937</v>
      </c>
      <c r="T31" s="96">
        <f>'Ridership-25'!E23/'Revenue Miles-25'!E23</f>
        <v>1.5082541507857004</v>
      </c>
      <c r="U31" s="97">
        <f t="shared" si="5"/>
        <v>1.0498988916910428</v>
      </c>
      <c r="V31" s="98">
        <f t="shared" si="6"/>
        <v>7.5967799625946048E-2</v>
      </c>
      <c r="W31" s="99">
        <f t="shared" si="7"/>
        <v>7.2010043178816263E-2</v>
      </c>
      <c r="X31" s="95">
        <f>'Op Cost-25'!B24/'Revenue Hours-25'!B23</f>
        <v>83.128810327706063</v>
      </c>
      <c r="Y31" s="96">
        <f>'Op Cost-25'!C24/'Revenue Hours-25'!C23</f>
        <v>113.69054841372804</v>
      </c>
      <c r="Z31" s="96">
        <f>'Op Cost-25'!D24/'Revenue Hours-25'!D23</f>
        <v>98.632543150219192</v>
      </c>
      <c r="AA31" s="96">
        <f>'Op Cost-25'!E24/'Revenue Hours-25'!E23</f>
        <v>103.11566062580688</v>
      </c>
      <c r="AB31" s="97">
        <f t="shared" si="8"/>
        <v>1.0363020583866838</v>
      </c>
      <c r="AC31" s="98">
        <f t="shared" si="9"/>
        <v>6.9822550592105445E-2</v>
      </c>
      <c r="AD31" s="99">
        <f t="shared" si="10"/>
        <v>7.4494748922758383E-2</v>
      </c>
      <c r="AE31" s="95">
        <f>'Op Cost-25'!B24/'Revenue Miles-25'!B23</f>
        <v>8.8538466680374093</v>
      </c>
      <c r="AF31" s="96">
        <f>'Op Cost-25'!C24/'Revenue Miles-25'!C23</f>
        <v>12.665324432756394</v>
      </c>
      <c r="AG31" s="96">
        <f>'Op Cost-25'!D24/'Revenue Miles-25'!D23</f>
        <v>10.894177247756708</v>
      </c>
      <c r="AH31" s="96">
        <f>'Op Cost-25'!E24/'Revenue Miles-25'!E23</f>
        <v>10.547281975490128</v>
      </c>
      <c r="AI31" s="97">
        <f t="shared" si="11"/>
        <v>1.0241555778199913</v>
      </c>
      <c r="AJ31" s="98">
        <f t="shared" si="12"/>
        <v>7.0650645729456701E-2</v>
      </c>
      <c r="AK31" s="99">
        <f t="shared" si="13"/>
        <v>7.5190940566151068E-2</v>
      </c>
      <c r="AL31" s="95">
        <f>'Op Cost-25'!B24/'Ridership-25'!B23</f>
        <v>5.2306602185523836</v>
      </c>
      <c r="AM31" s="96">
        <f>'Op Cost-25'!C24/'Ridership-25'!C23</f>
        <v>15.742586313102974</v>
      </c>
      <c r="AN31" s="96">
        <f>'Op Cost-25'!D24/'Ridership-25'!D23</f>
        <v>8.9494065952386492</v>
      </c>
      <c r="AO31" s="96">
        <f>'Op Cost-25'!E24/'Ridership-25'!E23</f>
        <v>6.9930402445739626</v>
      </c>
      <c r="AP31" s="97">
        <f t="shared" si="14"/>
        <v>1.0002872892817887</v>
      </c>
      <c r="AQ31" s="98">
        <f t="shared" si="15"/>
        <v>7.2336471407489444E-2</v>
      </c>
      <c r="AR31" s="99">
        <f t="shared" si="16"/>
        <v>7.8562067199721586E-2</v>
      </c>
      <c r="AT31" s="101">
        <f t="shared" si="29"/>
        <v>0</v>
      </c>
      <c r="AU31" s="102">
        <f t="shared" si="17"/>
        <v>0</v>
      </c>
      <c r="AV31" s="102">
        <f t="shared" si="18"/>
        <v>0</v>
      </c>
      <c r="AW31" s="102">
        <f t="shared" si="19"/>
        <v>0</v>
      </c>
      <c r="AX31" s="103">
        <f t="shared" si="20"/>
        <v>0</v>
      </c>
      <c r="AY31" s="293">
        <f t="shared" si="30"/>
        <v>-1</v>
      </c>
      <c r="AZ31" s="105">
        <f t="shared" si="21"/>
        <v>0</v>
      </c>
      <c r="BA31" s="106">
        <f t="shared" si="21"/>
        <v>0</v>
      </c>
      <c r="BB31" s="106">
        <f t="shared" si="21"/>
        <v>0</v>
      </c>
      <c r="BC31" s="106">
        <f t="shared" si="21"/>
        <v>0</v>
      </c>
      <c r="BD31" s="106">
        <f t="shared" si="21"/>
        <v>0</v>
      </c>
      <c r="BE31" s="107">
        <f t="shared" si="31"/>
        <v>8844986.8057329934</v>
      </c>
      <c r="BG31" s="108">
        <f>'Op Cost-25'!E24</f>
        <v>32028446</v>
      </c>
      <c r="BH31" s="109">
        <f t="shared" si="22"/>
        <v>0.27616034838945958</v>
      </c>
      <c r="BI31" s="110">
        <f t="shared" si="23"/>
        <v>8844986.8057329934</v>
      </c>
      <c r="BJ31" s="111">
        <f t="shared" si="24"/>
        <v>0</v>
      </c>
      <c r="BK31" s="1">
        <f t="shared" si="32"/>
        <v>1.6373952360856938</v>
      </c>
      <c r="BL31" s="294">
        <f t="shared" si="33"/>
        <v>1.3774317163387395</v>
      </c>
      <c r="BM31" s="294">
        <f t="shared" si="34"/>
        <v>2.0328689487500351</v>
      </c>
      <c r="BN31" s="295">
        <f t="shared" si="35"/>
        <v>1.5696401396270006</v>
      </c>
      <c r="BO31" s="114">
        <f t="shared" si="25"/>
        <v>8844986.8057329934</v>
      </c>
      <c r="BP31" s="296">
        <f t="shared" si="36"/>
        <v>1.6373952360856938</v>
      </c>
      <c r="BQ31" s="116">
        <f t="shared" si="37"/>
        <v>0.11847742119537455</v>
      </c>
      <c r="BR31" s="297">
        <f t="shared" si="38"/>
        <v>0.11847742119537455</v>
      </c>
      <c r="BS31" s="302">
        <f t="shared" si="39"/>
        <v>0.13395862780411349</v>
      </c>
      <c r="BT31" s="298">
        <f t="shared" si="40"/>
        <v>10002264.043354128</v>
      </c>
      <c r="BU31" s="119">
        <f t="shared" si="41"/>
        <v>9608533.7999999989</v>
      </c>
      <c r="BV31" s="119">
        <f t="shared" si="42"/>
        <v>9608533.7999999989</v>
      </c>
      <c r="BW31" s="119">
        <f t="shared" si="43"/>
        <v>393730.24335412867</v>
      </c>
      <c r="BX31" s="120">
        <f t="shared" si="44"/>
        <v>0</v>
      </c>
      <c r="BY31" s="121">
        <f t="shared" si="45"/>
        <v>0</v>
      </c>
      <c r="BZ31" s="299">
        <f t="shared" si="46"/>
        <v>9608533.7999999989</v>
      </c>
      <c r="CA31" s="109">
        <f t="shared" si="26"/>
        <v>8.0368666378594869E-2</v>
      </c>
      <c r="CB31" s="123">
        <f t="shared" si="57"/>
        <v>694310.09963703726</v>
      </c>
      <c r="CC31" s="111">
        <f t="shared" si="56"/>
        <v>9539297</v>
      </c>
      <c r="CE31" s="124">
        <f t="shared" si="28"/>
        <v>0</v>
      </c>
      <c r="CF31" s="17"/>
      <c r="CG31" s="108">
        <f t="shared" si="47"/>
        <v>32028446</v>
      </c>
      <c r="CH31" s="125">
        <f t="shared" si="48"/>
        <v>0.29783827164140275</v>
      </c>
      <c r="CI31" s="110">
        <f t="shared" si="49"/>
        <v>9608533.7999999989</v>
      </c>
      <c r="CJ31" s="300">
        <f t="shared" si="50"/>
        <v>393730.24335412867</v>
      </c>
      <c r="CL31" s="127">
        <f t="shared" si="51"/>
        <v>0</v>
      </c>
      <c r="CM31" s="128">
        <f t="shared" si="52"/>
        <v>0</v>
      </c>
      <c r="CN31" s="129">
        <f t="shared" si="53"/>
        <v>0</v>
      </c>
      <c r="CO31" s="130">
        <f t="shared" si="55"/>
        <v>9608534</v>
      </c>
      <c r="CQ31" s="131">
        <f t="shared" si="54"/>
        <v>0.3</v>
      </c>
      <c r="CR31" s="301"/>
    </row>
    <row r="32" spans="1:96">
      <c r="A32" s="133" t="s">
        <v>104</v>
      </c>
      <c r="B32" s="90" t="s">
        <v>108</v>
      </c>
      <c r="C32" s="208">
        <f>'Op Cost-25'!E25</f>
        <v>5328325</v>
      </c>
      <c r="D32" s="92">
        <f>'Ridership-25'!$E24</f>
        <v>847511</v>
      </c>
      <c r="E32" s="92">
        <f>'Revenue Hours-25'!$E24</f>
        <v>34638</v>
      </c>
      <c r="F32" s="92">
        <f>'Revenue Miles-25'!$E24</f>
        <v>439291</v>
      </c>
      <c r="G32" s="134">
        <f t="shared" si="0"/>
        <v>1.1943814141336426E-2</v>
      </c>
      <c r="H32" s="94">
        <f t="shared" si="1"/>
        <v>1.1943814141336429E-2</v>
      </c>
      <c r="J32" s="95">
        <f>'Ridership-25'!B24/'Revenue Hours-25'!B24</f>
        <v>17.559390774078722</v>
      </c>
      <c r="K32" s="96">
        <f>'Ridership-25'!C24/'Revenue Hours-25'!C24</f>
        <v>9.5356184364060681</v>
      </c>
      <c r="L32" s="96">
        <f>'Ridership-25'!D24/'Revenue Hours-25'!D24</f>
        <v>13.465131541402728</v>
      </c>
      <c r="M32" s="96">
        <f>'Ridership-25'!E24/'Revenue Hours-25'!E24</f>
        <v>24.467665569605636</v>
      </c>
      <c r="N32" s="97">
        <f t="shared" si="2"/>
        <v>1.2242812771624043</v>
      </c>
      <c r="O32" s="98">
        <f t="shared" si="3"/>
        <v>1.462258803114575E-2</v>
      </c>
      <c r="P32" s="99">
        <f t="shared" si="4"/>
        <v>1.3808596231651173E-2</v>
      </c>
      <c r="Q32" s="95">
        <f>'Ridership-25'!B24/'Revenue Miles-25'!B24</f>
        <v>1.3807895890071515</v>
      </c>
      <c r="R32" s="96">
        <f>'Ridership-25'!C24/'Revenue Miles-25'!C24</f>
        <v>0.74451206457520036</v>
      </c>
      <c r="S32" s="96">
        <f>'Ridership-25'!D24/'Revenue Miles-25'!D24</f>
        <v>1.0865963144527517</v>
      </c>
      <c r="T32" s="96">
        <f>'Ridership-25'!E24/'Revenue Miles-25'!E24</f>
        <v>1.9292701193514095</v>
      </c>
      <c r="U32" s="97">
        <f t="shared" si="5"/>
        <v>1.2259407232504442</v>
      </c>
      <c r="V32" s="98">
        <f t="shared" si="6"/>
        <v>1.4642408146798866E-2</v>
      </c>
      <c r="W32" s="99">
        <f t="shared" si="7"/>
        <v>1.3879570661313683E-2</v>
      </c>
      <c r="X32" s="95">
        <f>'Op Cost-25'!B25/'Revenue Hours-25'!B24</f>
        <v>115.9866367111137</v>
      </c>
      <c r="Y32" s="96">
        <f>'Op Cost-25'!C25/'Revenue Hours-25'!C24</f>
        <v>133.20037922987166</v>
      </c>
      <c r="Z32" s="96">
        <f>'Op Cost-25'!D25/'Revenue Hours-25'!D24</f>
        <v>152.54685270786965</v>
      </c>
      <c r="AA32" s="96">
        <f>'Op Cost-25'!E25/'Revenue Hours-25'!E24</f>
        <v>153.82888734915412</v>
      </c>
      <c r="AB32" s="97">
        <f t="shared" si="8"/>
        <v>1.0555488667259996</v>
      </c>
      <c r="AC32" s="98">
        <f t="shared" si="9"/>
        <v>1.1315264046829598E-2</v>
      </c>
      <c r="AD32" s="99">
        <f t="shared" si="10"/>
        <v>1.2072428563768226E-2</v>
      </c>
      <c r="AE32" s="95">
        <f>'Op Cost-25'!B25/'Revenue Miles-25'!B24</f>
        <v>9.1206547251673182</v>
      </c>
      <c r="AF32" s="96">
        <f>'Op Cost-25'!C25/'Revenue Miles-25'!C24</f>
        <v>10.399880196968939</v>
      </c>
      <c r="AG32" s="96">
        <f>'Op Cost-25'!D25/'Revenue Miles-25'!D24</f>
        <v>12.310080107577638</v>
      </c>
      <c r="AH32" s="96">
        <f>'Op Cost-25'!E25/'Revenue Miles-25'!E24</f>
        <v>12.129374378259513</v>
      </c>
      <c r="AI32" s="97">
        <f t="shared" si="11"/>
        <v>1.0624696456281881</v>
      </c>
      <c r="AJ32" s="98">
        <f t="shared" si="12"/>
        <v>1.1241557996957755E-2</v>
      </c>
      <c r="AK32" s="99">
        <f t="shared" si="13"/>
        <v>1.1963985756860128E-2</v>
      </c>
      <c r="AL32" s="95">
        <f>'Op Cost-25'!B25/'Ridership-25'!B24</f>
        <v>6.6053907110680559</v>
      </c>
      <c r="AM32" s="96">
        <f>'Op Cost-25'!C25/'Ridership-25'!C24</f>
        <v>13.968719503427852</v>
      </c>
      <c r="AN32" s="96">
        <f>'Op Cost-25'!D25/'Ridership-25'!D24</f>
        <v>11.329028033541075</v>
      </c>
      <c r="AO32" s="96">
        <f>'Op Cost-25'!E25/'Ridership-25'!E24</f>
        <v>6.2870275430053413</v>
      </c>
      <c r="AP32" s="100">
        <f t="shared" si="14"/>
        <v>0.88176517012639621</v>
      </c>
      <c r="AQ32" s="98">
        <f t="shared" si="15"/>
        <v>1.3545345797253874E-2</v>
      </c>
      <c r="AR32" s="99">
        <f t="shared" si="16"/>
        <v>1.4711118002600651E-2</v>
      </c>
      <c r="AT32" s="101">
        <f t="shared" si="29"/>
        <v>0</v>
      </c>
      <c r="AU32" s="102">
        <f t="shared" si="17"/>
        <v>0</v>
      </c>
      <c r="AV32" s="102">
        <f t="shared" si="18"/>
        <v>0</v>
      </c>
      <c r="AW32" s="102">
        <f t="shared" si="19"/>
        <v>0</v>
      </c>
      <c r="AX32" s="103">
        <f t="shared" si="20"/>
        <v>0</v>
      </c>
      <c r="AY32" s="293">
        <f t="shared" si="30"/>
        <v>-1</v>
      </c>
      <c r="AZ32" s="105">
        <f t="shared" si="21"/>
        <v>0</v>
      </c>
      <c r="BA32" s="106">
        <f t="shared" si="21"/>
        <v>0</v>
      </c>
      <c r="BB32" s="106">
        <f t="shared" si="21"/>
        <v>0</v>
      </c>
      <c r="BC32" s="106">
        <f t="shared" si="21"/>
        <v>0</v>
      </c>
      <c r="BD32" s="106">
        <f t="shared" si="21"/>
        <v>0</v>
      </c>
      <c r="BE32" s="107">
        <f t="shared" si="31"/>
        <v>1460017.8179187521</v>
      </c>
      <c r="BG32" s="108">
        <f>'Op Cost-25'!E25</f>
        <v>5328325</v>
      </c>
      <c r="BH32" s="109">
        <f t="shared" si="22"/>
        <v>0.27401065398952806</v>
      </c>
      <c r="BI32" s="110">
        <f t="shared" si="23"/>
        <v>1460017.8179187521</v>
      </c>
      <c r="BJ32" s="111">
        <f t="shared" si="24"/>
        <v>0</v>
      </c>
      <c r="BK32" s="1">
        <f t="shared" si="32"/>
        <v>2.0944394258825003</v>
      </c>
      <c r="BL32" s="294">
        <f t="shared" si="33"/>
        <v>2.2856199262681995</v>
      </c>
      <c r="BM32" s="294">
        <f t="shared" si="34"/>
        <v>2.6003265546046581</v>
      </c>
      <c r="BN32" s="295">
        <f t="shared" si="35"/>
        <v>1.7459056113285718</v>
      </c>
      <c r="BO32" s="114">
        <f t="shared" si="25"/>
        <v>1460017.8179187521</v>
      </c>
      <c r="BP32" s="296">
        <f t="shared" si="36"/>
        <v>2.0944394258825003</v>
      </c>
      <c r="BQ32" s="116">
        <f t="shared" si="37"/>
        <v>2.501559523302796E-2</v>
      </c>
      <c r="BR32" s="297">
        <f t="shared" si="38"/>
        <v>2.501559523302796E-2</v>
      </c>
      <c r="BS32" s="117">
        <f t="shared" si="39"/>
        <v>2.8284332806277995E-2</v>
      </c>
      <c r="BT32" s="298">
        <f t="shared" si="40"/>
        <v>1704367.9958398871</v>
      </c>
      <c r="BU32" s="119">
        <f t="shared" si="41"/>
        <v>1598497.5</v>
      </c>
      <c r="BV32" s="119">
        <f t="shared" si="42"/>
        <v>1598497.5</v>
      </c>
      <c r="BW32" s="119">
        <f t="shared" si="43"/>
        <v>105870.49583988707</v>
      </c>
      <c r="BX32" s="120">
        <f t="shared" si="44"/>
        <v>0</v>
      </c>
      <c r="BY32" s="121">
        <f t="shared" si="45"/>
        <v>0</v>
      </c>
      <c r="BZ32" s="299">
        <f t="shared" si="46"/>
        <v>1598497.5</v>
      </c>
      <c r="CA32" s="109">
        <f t="shared" si="26"/>
        <v>1.3266236286419444E-2</v>
      </c>
      <c r="CB32" s="123">
        <f t="shared" si="57"/>
        <v>114607.87210829668</v>
      </c>
      <c r="CC32" s="111">
        <f t="shared" si="56"/>
        <v>1574626</v>
      </c>
      <c r="CE32" s="124">
        <f t="shared" si="28"/>
        <v>0</v>
      </c>
      <c r="CF32" s="17"/>
      <c r="CG32" s="108">
        <f t="shared" si="47"/>
        <v>5328325</v>
      </c>
      <c r="CH32" s="125">
        <f t="shared" si="48"/>
        <v>0.29551988664355122</v>
      </c>
      <c r="CI32" s="110">
        <f t="shared" si="49"/>
        <v>1598497.5</v>
      </c>
      <c r="CJ32" s="300">
        <f t="shared" si="50"/>
        <v>105870.49583988707</v>
      </c>
      <c r="CL32" s="127">
        <f t="shared" si="51"/>
        <v>0</v>
      </c>
      <c r="CM32" s="128">
        <f t="shared" si="52"/>
        <v>0</v>
      </c>
      <c r="CN32" s="129">
        <f t="shared" si="53"/>
        <v>0</v>
      </c>
      <c r="CO32" s="130">
        <f t="shared" si="55"/>
        <v>1598498</v>
      </c>
      <c r="CQ32" s="131">
        <f t="shared" si="54"/>
        <v>0.3</v>
      </c>
      <c r="CR32" s="301"/>
    </row>
    <row r="33" spans="1:96">
      <c r="A33" s="133" t="s">
        <v>104</v>
      </c>
      <c r="B33" s="90" t="s">
        <v>109</v>
      </c>
      <c r="C33" s="208">
        <f>'Op Cost-25'!E26</f>
        <v>108453691</v>
      </c>
      <c r="D33" s="92">
        <f>'Ridership-25'!$E25</f>
        <v>8365287</v>
      </c>
      <c r="E33" s="92">
        <f>'Revenue Hours-25'!$E25</f>
        <v>848788</v>
      </c>
      <c r="F33" s="92">
        <f>'Revenue Miles-25'!$E25</f>
        <v>11068404</v>
      </c>
      <c r="G33" s="134">
        <f t="shared" si="0"/>
        <v>0.18727717717678311</v>
      </c>
      <c r="H33" s="94">
        <f t="shared" si="1"/>
        <v>0.18727717717678313</v>
      </c>
      <c r="J33" s="95">
        <f>'Ridership-25'!B25/'Revenue Hours-25'!B25</f>
        <v>10.935817531005453</v>
      </c>
      <c r="K33" s="96">
        <f>'Ridership-25'!C25/'Revenue Hours-25'!C25</f>
        <v>5.8735316212753474</v>
      </c>
      <c r="L33" s="96">
        <f>'Ridership-25'!D25/'Revenue Hours-25'!D25</f>
        <v>6.1587343955565519</v>
      </c>
      <c r="M33" s="96">
        <f>'Ridership-25'!E25/'Revenue Hours-25'!E25</f>
        <v>9.8555669967058908</v>
      </c>
      <c r="N33" s="97">
        <f t="shared" si="2"/>
        <v>1.0659076257589852</v>
      </c>
      <c r="O33" s="98">
        <f t="shared" si="3"/>
        <v>0.19962017128334972</v>
      </c>
      <c r="P33" s="99">
        <f t="shared" si="4"/>
        <v>0.18850796719934959</v>
      </c>
      <c r="Q33" s="95">
        <f>'Ridership-25'!B25/'Revenue Miles-25'!B25</f>
        <v>0.82322383518472986</v>
      </c>
      <c r="R33" s="96">
        <f>'Ridership-25'!C25/'Revenue Miles-25'!C25</f>
        <v>0.454872375587629</v>
      </c>
      <c r="S33" s="96">
        <f>'Ridership-25'!D25/'Revenue Miles-25'!D25</f>
        <v>0.47446458788106716</v>
      </c>
      <c r="T33" s="96">
        <f>'Ridership-25'!E25/'Revenue Miles-25'!E25</f>
        <v>0.7557807792342961</v>
      </c>
      <c r="U33" s="97">
        <f t="shared" si="5"/>
        <v>1.0732650953909619</v>
      </c>
      <c r="V33" s="98">
        <f t="shared" si="6"/>
        <v>0.20099805742719024</v>
      </c>
      <c r="W33" s="99">
        <f t="shared" si="7"/>
        <v>0.19052649761421747</v>
      </c>
      <c r="X33" s="95">
        <f>'Op Cost-25'!B26/'Revenue Hours-25'!B25</f>
        <v>111.12397982480542</v>
      </c>
      <c r="Y33" s="96">
        <f>'Op Cost-25'!C26/'Revenue Hours-25'!C25</f>
        <v>123.96447205256577</v>
      </c>
      <c r="Z33" s="96">
        <f>'Op Cost-25'!D26/'Revenue Hours-25'!D25</f>
        <v>123.17011468072208</v>
      </c>
      <c r="AA33" s="96">
        <f>'Op Cost-25'!E26/'Revenue Hours-25'!E25</f>
        <v>127.77476943594867</v>
      </c>
      <c r="AB33" s="97">
        <f t="shared" si="8"/>
        <v>1.0065131598163113</v>
      </c>
      <c r="AC33" s="98">
        <f t="shared" si="9"/>
        <v>0.18606530411481279</v>
      </c>
      <c r="AD33" s="99">
        <f t="shared" si="10"/>
        <v>0.19851592351936875</v>
      </c>
      <c r="AE33" s="95">
        <f>'Op Cost-25'!B26/'Revenue Miles-25'!B25</f>
        <v>8.3651641583266318</v>
      </c>
      <c r="AF33" s="96">
        <f>'Op Cost-25'!C26/'Revenue Miles-25'!C25</f>
        <v>9.6003592943580749</v>
      </c>
      <c r="AG33" s="96">
        <f>'Op Cost-25'!D26/'Revenue Miles-25'!D25</f>
        <v>9.4889394391510358</v>
      </c>
      <c r="AH33" s="96">
        <f>'Op Cost-25'!E26/'Revenue Miles-25'!E25</f>
        <v>9.7984940737616739</v>
      </c>
      <c r="AI33" s="97">
        <f t="shared" si="11"/>
        <v>1.0148352621303056</v>
      </c>
      <c r="AJ33" s="98">
        <f t="shared" si="12"/>
        <v>0.18453948553547264</v>
      </c>
      <c r="AK33" s="99">
        <f t="shared" si="13"/>
        <v>0.19639873557759371</v>
      </c>
      <c r="AL33" s="95">
        <f>'Op Cost-25'!B26/'Ridership-25'!B25</f>
        <v>10.161469822420175</v>
      </c>
      <c r="AM33" s="96">
        <f>'Op Cost-25'!C26/'Ridership-25'!C25</f>
        <v>21.10561073742015</v>
      </c>
      <c r="AN33" s="96">
        <f>'Op Cost-25'!D26/'Ridership-25'!D25</f>
        <v>19.999257439903197</v>
      </c>
      <c r="AO33" s="96">
        <f>'Op Cost-25'!E26/'Ridership-25'!E25</f>
        <v>12.964730439015423</v>
      </c>
      <c r="AP33" s="97">
        <f t="shared" si="14"/>
        <v>0.97494497637420541</v>
      </c>
      <c r="AQ33" s="98">
        <f t="shared" si="15"/>
        <v>0.19208999657935777</v>
      </c>
      <c r="AR33" s="99">
        <f t="shared" si="16"/>
        <v>0.20862210895870889</v>
      </c>
      <c r="AT33" s="101">
        <f t="shared" si="29"/>
        <v>0</v>
      </c>
      <c r="AU33" s="102">
        <f t="shared" si="17"/>
        <v>0</v>
      </c>
      <c r="AV33" s="102">
        <f t="shared" si="18"/>
        <v>0</v>
      </c>
      <c r="AW33" s="102">
        <f t="shared" si="19"/>
        <v>0</v>
      </c>
      <c r="AX33" s="103">
        <f t="shared" si="20"/>
        <v>0</v>
      </c>
      <c r="AY33" s="293">
        <f t="shared" si="30"/>
        <v>-1</v>
      </c>
      <c r="AZ33" s="105">
        <f t="shared" si="21"/>
        <v>0</v>
      </c>
      <c r="BA33" s="106">
        <f t="shared" si="21"/>
        <v>0</v>
      </c>
      <c r="BB33" s="106">
        <f t="shared" si="21"/>
        <v>0</v>
      </c>
      <c r="BC33" s="106">
        <f t="shared" si="21"/>
        <v>0</v>
      </c>
      <c r="BD33" s="106">
        <f t="shared" si="21"/>
        <v>0</v>
      </c>
      <c r="BE33" s="107">
        <f t="shared" si="31"/>
        <v>22892855.860953286</v>
      </c>
      <c r="BG33" s="108">
        <f>'Op Cost-25'!E26</f>
        <v>108453691</v>
      </c>
      <c r="BH33" s="109">
        <f t="shared" si="22"/>
        <v>0.21108415628706714</v>
      </c>
      <c r="BI33" s="110">
        <f t="shared" si="23"/>
        <v>22892855.860953286</v>
      </c>
      <c r="BJ33" s="111">
        <f t="shared" si="24"/>
        <v>0</v>
      </c>
      <c r="BK33" s="1">
        <f t="shared" si="32"/>
        <v>0.90815132167599355</v>
      </c>
      <c r="BL33" s="294">
        <f t="shared" si="33"/>
        <v>0.92064689409212364</v>
      </c>
      <c r="BM33" s="294">
        <f t="shared" si="34"/>
        <v>1.0186633846604314</v>
      </c>
      <c r="BN33" s="295">
        <f t="shared" si="35"/>
        <v>0.84664750397570943</v>
      </c>
      <c r="BO33" s="114">
        <f t="shared" si="25"/>
        <v>22892855.860953286</v>
      </c>
      <c r="BP33" s="296">
        <f t="shared" si="36"/>
        <v>0.90815132167599355</v>
      </c>
      <c r="BQ33" s="116">
        <f t="shared" si="37"/>
        <v>0.17007601597284483</v>
      </c>
      <c r="BR33" s="297">
        <f t="shared" si="38"/>
        <v>0.17007601597284483</v>
      </c>
      <c r="BS33" s="302">
        <f t="shared" si="39"/>
        <v>0.19229950730057124</v>
      </c>
      <c r="BT33" s="298">
        <f t="shared" si="40"/>
        <v>24554143.724622168</v>
      </c>
      <c r="BU33" s="119">
        <f t="shared" si="41"/>
        <v>32536107.299999997</v>
      </c>
      <c r="BV33" s="119">
        <f t="shared" si="42"/>
        <v>24554143.724622168</v>
      </c>
      <c r="BW33" s="119">
        <f t="shared" si="43"/>
        <v>0</v>
      </c>
      <c r="BX33" s="120">
        <f t="shared" si="44"/>
        <v>0.17007601597284483</v>
      </c>
      <c r="BY33" s="121">
        <f t="shared" si="45"/>
        <v>0.34308839444501538</v>
      </c>
      <c r="BZ33" s="299">
        <f t="shared" si="46"/>
        <v>24852667.379906833</v>
      </c>
      <c r="CA33" s="109">
        <f t="shared" si="26"/>
        <v>0.20801255395312521</v>
      </c>
      <c r="CB33" s="123">
        <f t="shared" si="57"/>
        <v>1797033.8885630022</v>
      </c>
      <c r="CC33" s="111">
        <f>ROUND((CB33+BI33),0)</f>
        <v>24689890</v>
      </c>
      <c r="CE33" s="124">
        <f t="shared" si="28"/>
        <v>0</v>
      </c>
      <c r="CF33" s="17"/>
      <c r="CG33" s="108">
        <f t="shared" si="47"/>
        <v>108453691</v>
      </c>
      <c r="CH33" s="125">
        <f t="shared" si="48"/>
        <v>0.22765375500221566</v>
      </c>
      <c r="CI33" s="110">
        <f t="shared" si="49"/>
        <v>24554143.724622168</v>
      </c>
      <c r="CJ33" s="300">
        <f t="shared" si="50"/>
        <v>0</v>
      </c>
      <c r="CL33" s="127">
        <f t="shared" si="51"/>
        <v>24554143.724622168</v>
      </c>
      <c r="CM33" s="128">
        <f t="shared" si="52"/>
        <v>0.28577841784965113</v>
      </c>
      <c r="CN33" s="129">
        <f t="shared" si="53"/>
        <v>248657.8365203756</v>
      </c>
      <c r="CO33" s="130">
        <f t="shared" si="55"/>
        <v>24802802</v>
      </c>
      <c r="CQ33" s="131">
        <f t="shared" si="54"/>
        <v>0.22915464794929694</v>
      </c>
      <c r="CR33" s="301"/>
    </row>
    <row r="34" spans="1:96">
      <c r="A34" s="133" t="s">
        <v>104</v>
      </c>
      <c r="B34" s="90" t="s">
        <v>110</v>
      </c>
      <c r="C34" s="208"/>
      <c r="D34" s="92">
        <v>0</v>
      </c>
      <c r="E34" s="92">
        <v>0</v>
      </c>
      <c r="F34" s="92">
        <v>0</v>
      </c>
      <c r="G34" s="163">
        <f>$C$4</f>
        <v>0</v>
      </c>
      <c r="H34" s="164">
        <f>$C$4</f>
        <v>0</v>
      </c>
      <c r="J34" s="95">
        <v>0</v>
      </c>
      <c r="K34" s="96">
        <v>0</v>
      </c>
      <c r="L34" s="96">
        <v>0</v>
      </c>
      <c r="M34" s="96">
        <v>0</v>
      </c>
      <c r="N34" s="97">
        <f t="shared" si="2"/>
        <v>1</v>
      </c>
      <c r="O34" s="98">
        <f t="shared" si="3"/>
        <v>0</v>
      </c>
      <c r="P34" s="99">
        <f t="shared" si="4"/>
        <v>0</v>
      </c>
      <c r="Q34" s="95">
        <v>0</v>
      </c>
      <c r="R34" s="96">
        <v>0</v>
      </c>
      <c r="S34" s="96">
        <v>0</v>
      </c>
      <c r="T34" s="96">
        <v>0</v>
      </c>
      <c r="U34" s="97">
        <f t="shared" si="5"/>
        <v>1</v>
      </c>
      <c r="V34" s="98">
        <f t="shared" si="6"/>
        <v>0</v>
      </c>
      <c r="W34" s="99">
        <f t="shared" si="7"/>
        <v>0</v>
      </c>
      <c r="X34" s="95">
        <v>0</v>
      </c>
      <c r="Y34" s="96">
        <v>0</v>
      </c>
      <c r="Z34" s="96">
        <v>0</v>
      </c>
      <c r="AA34" s="96">
        <v>0</v>
      </c>
      <c r="AB34" s="97">
        <f t="shared" si="8"/>
        <v>1</v>
      </c>
      <c r="AC34" s="98">
        <f t="shared" si="9"/>
        <v>0</v>
      </c>
      <c r="AD34" s="99">
        <f t="shared" si="10"/>
        <v>0</v>
      </c>
      <c r="AE34" s="95">
        <v>0</v>
      </c>
      <c r="AF34" s="96">
        <v>0</v>
      </c>
      <c r="AG34" s="96">
        <v>0</v>
      </c>
      <c r="AH34" s="96">
        <v>0</v>
      </c>
      <c r="AI34" s="97">
        <f t="shared" si="11"/>
        <v>1</v>
      </c>
      <c r="AJ34" s="98">
        <f t="shared" si="12"/>
        <v>0</v>
      </c>
      <c r="AK34" s="99">
        <f t="shared" si="13"/>
        <v>0</v>
      </c>
      <c r="AL34" s="95">
        <v>0</v>
      </c>
      <c r="AM34" s="96">
        <v>0</v>
      </c>
      <c r="AN34" s="96">
        <v>0</v>
      </c>
      <c r="AO34" s="96">
        <v>0</v>
      </c>
      <c r="AP34" s="97">
        <f t="shared" si="14"/>
        <v>1</v>
      </c>
      <c r="AQ34" s="98">
        <f t="shared" si="15"/>
        <v>0</v>
      </c>
      <c r="AR34" s="99">
        <f t="shared" si="16"/>
        <v>0</v>
      </c>
      <c r="AT34" s="101">
        <f t="shared" si="29"/>
        <v>0</v>
      </c>
      <c r="AU34" s="102">
        <f t="shared" si="17"/>
        <v>0</v>
      </c>
      <c r="AV34" s="102">
        <f t="shared" si="18"/>
        <v>0</v>
      </c>
      <c r="AW34" s="102">
        <f t="shared" si="19"/>
        <v>0</v>
      </c>
      <c r="AX34" s="103">
        <f t="shared" si="20"/>
        <v>0</v>
      </c>
      <c r="AY34" s="293" t="e">
        <f t="shared" si="30"/>
        <v>#DIV/0!</v>
      </c>
      <c r="AZ34" s="105">
        <f t="shared" si="21"/>
        <v>0</v>
      </c>
      <c r="BA34" s="106">
        <f t="shared" si="21"/>
        <v>0</v>
      </c>
      <c r="BB34" s="106">
        <f t="shared" si="21"/>
        <v>0</v>
      </c>
      <c r="BC34" s="106">
        <f t="shared" si="21"/>
        <v>0</v>
      </c>
      <c r="BD34" s="106">
        <f t="shared" si="21"/>
        <v>0</v>
      </c>
      <c r="BE34" s="107">
        <f t="shared" si="31"/>
        <v>0</v>
      </c>
      <c r="BG34" s="108">
        <v>0</v>
      </c>
      <c r="BH34" s="109">
        <v>0</v>
      </c>
      <c r="BI34" s="110">
        <f t="shared" si="23"/>
        <v>0</v>
      </c>
      <c r="BJ34" s="111">
        <f t="shared" si="24"/>
        <v>0</v>
      </c>
      <c r="BK34" s="1">
        <f t="shared" si="32"/>
        <v>0</v>
      </c>
      <c r="BL34" s="294">
        <f t="shared" si="33"/>
        <v>0</v>
      </c>
      <c r="BM34" s="294">
        <f t="shared" si="34"/>
        <v>0</v>
      </c>
      <c r="BN34" s="295">
        <v>0</v>
      </c>
      <c r="BO34" s="114">
        <f t="shared" si="25"/>
        <v>0</v>
      </c>
      <c r="BP34" s="296">
        <f t="shared" si="36"/>
        <v>0</v>
      </c>
      <c r="BQ34" s="116">
        <f t="shared" si="37"/>
        <v>0</v>
      </c>
      <c r="BR34" s="297">
        <f t="shared" si="38"/>
        <v>0</v>
      </c>
      <c r="BS34" s="117">
        <f t="shared" si="39"/>
        <v>0</v>
      </c>
      <c r="BT34" s="298">
        <f t="shared" si="40"/>
        <v>0</v>
      </c>
      <c r="BU34" s="119">
        <f t="shared" si="41"/>
        <v>0</v>
      </c>
      <c r="BV34" s="119">
        <f t="shared" si="42"/>
        <v>0</v>
      </c>
      <c r="BW34" s="119">
        <f t="shared" si="43"/>
        <v>0</v>
      </c>
      <c r="BX34" s="120">
        <f t="shared" si="44"/>
        <v>0</v>
      </c>
      <c r="BY34" s="121">
        <f t="shared" si="45"/>
        <v>0</v>
      </c>
      <c r="BZ34" s="299">
        <f t="shared" si="46"/>
        <v>0</v>
      </c>
      <c r="CA34" s="109">
        <f t="shared" si="26"/>
        <v>0</v>
      </c>
      <c r="CB34" s="123">
        <f t="shared" si="57"/>
        <v>0</v>
      </c>
      <c r="CC34" s="111">
        <f>ROUND((CB34+BI34),0)</f>
        <v>0</v>
      </c>
      <c r="CE34" s="124">
        <f t="shared" si="28"/>
        <v>0</v>
      </c>
      <c r="CF34" s="17"/>
      <c r="CG34" s="108">
        <f t="shared" si="47"/>
        <v>0</v>
      </c>
      <c r="CH34" s="125">
        <v>0</v>
      </c>
      <c r="CI34" s="110">
        <f t="shared" si="49"/>
        <v>0</v>
      </c>
      <c r="CJ34" s="300">
        <f t="shared" si="50"/>
        <v>0</v>
      </c>
      <c r="CL34" s="127">
        <f t="shared" si="51"/>
        <v>0</v>
      </c>
      <c r="CM34" s="128">
        <f t="shared" si="52"/>
        <v>0</v>
      </c>
      <c r="CN34" s="129">
        <f t="shared" si="53"/>
        <v>0</v>
      </c>
      <c r="CO34" s="130">
        <f t="shared" si="55"/>
        <v>0</v>
      </c>
      <c r="CQ34" s="131" t="e">
        <f t="shared" si="54"/>
        <v>#DIV/0!</v>
      </c>
      <c r="CR34" s="301"/>
    </row>
    <row r="35" spans="1:96">
      <c r="A35" s="133" t="s">
        <v>104</v>
      </c>
      <c r="B35" s="90" t="s">
        <v>111</v>
      </c>
      <c r="C35" s="208">
        <f>'Op Cost-25'!E28</f>
        <v>45655907</v>
      </c>
      <c r="D35" s="92">
        <f>'Ridership-25'!$E27</f>
        <v>1572283</v>
      </c>
      <c r="E35" s="92">
        <f>'Revenue Hours-25'!$E27</f>
        <v>207877</v>
      </c>
      <c r="F35" s="92">
        <f>'Revenue Miles-25'!$E27</f>
        <v>5086977</v>
      </c>
      <c r="G35" s="134">
        <f t="shared" ref="G35:G50" si="58">IFERROR($C$9*(C35/C$51),0) + IFERROR($D$9*(D35/D$51),0) + IFERROR($E$9*(E35/E$51),0) + IFERROR($F$9*(F35/F$51),0)</f>
        <v>6.0439774273113124E-2</v>
      </c>
      <c r="H35" s="94">
        <f t="shared" ref="H35:H50" si="59">G35/(SUM($G$11:$G$50)-$G$34)*(1-$G$34)</f>
        <v>6.0439774273113138E-2</v>
      </c>
      <c r="J35" s="95">
        <f>'Ridership-25'!B27/'Revenue Hours-25'!B27</f>
        <v>10.619348493496171</v>
      </c>
      <c r="K35" s="96">
        <f>'Ridership-25'!C27/'Revenue Hours-25'!C27</f>
        <v>3.1822121529637459</v>
      </c>
      <c r="L35" s="96">
        <f>'Ridership-25'!D27/'Revenue Hours-25'!D27</f>
        <v>5.6143685300207036</v>
      </c>
      <c r="M35" s="96">
        <f>'Ridership-25'!E27/'Revenue Hours-25'!E27</f>
        <v>7.5635255463567397</v>
      </c>
      <c r="N35" s="97">
        <f t="shared" si="2"/>
        <v>1.0264635833767835</v>
      </c>
      <c r="O35" s="98">
        <f t="shared" si="3"/>
        <v>6.2039227278863636E-2</v>
      </c>
      <c r="P35" s="99">
        <f t="shared" si="4"/>
        <v>5.8585705771972196E-2</v>
      </c>
      <c r="Q35" s="95">
        <f>'Ridership-25'!B27/'Revenue Miles-25'!B27</f>
        <v>0.5403360203480656</v>
      </c>
      <c r="R35" s="96">
        <f>'Ridership-25'!C27/'Revenue Miles-25'!C27</f>
        <v>0.14309026388335411</v>
      </c>
      <c r="S35" s="96">
        <f>'Ridership-25'!D27/'Revenue Miles-25'!D27</f>
        <v>0.23387194455837201</v>
      </c>
      <c r="T35" s="96">
        <f>'Ridership-25'!E27/'Revenue Miles-25'!E27</f>
        <v>0.3090800292590275</v>
      </c>
      <c r="U35" s="97">
        <f t="shared" si="5"/>
        <v>0.97050521546232849</v>
      </c>
      <c r="V35" s="98">
        <f t="shared" si="6"/>
        <v>5.8657116153422166E-2</v>
      </c>
      <c r="W35" s="99">
        <f t="shared" si="7"/>
        <v>5.5601208508744795E-2</v>
      </c>
      <c r="X35" s="95">
        <f>'Op Cost-25'!B28/'Revenue Hours-25'!B27</f>
        <v>147.42823097382487</v>
      </c>
      <c r="Y35" s="96">
        <f>'Op Cost-25'!C28/'Revenue Hours-25'!C27</f>
        <v>162.67460550900779</v>
      </c>
      <c r="Z35" s="96">
        <f>'Op Cost-25'!D28/'Revenue Hours-25'!D27</f>
        <v>182.82648723257418</v>
      </c>
      <c r="AA35" s="96">
        <f>'Op Cost-25'!E28/'Revenue Hours-25'!E27</f>
        <v>219.6294299032601</v>
      </c>
      <c r="AB35" s="97">
        <f t="shared" si="8"/>
        <v>1.1052316025815632</v>
      </c>
      <c r="AC35" s="98">
        <f t="shared" si="9"/>
        <v>5.4685166558701294E-2</v>
      </c>
      <c r="AD35" s="99">
        <f t="shared" si="10"/>
        <v>5.8344441989638215E-2</v>
      </c>
      <c r="AE35" s="95">
        <f>'Op Cost-25'!B28/'Revenue Miles-25'!B27</f>
        <v>7.5014755999523217</v>
      </c>
      <c r="AF35" s="96">
        <f>'Op Cost-25'!C28/'Revenue Miles-25'!C27</f>
        <v>7.31477070368339</v>
      </c>
      <c r="AG35" s="96">
        <f>'Op Cost-25'!D28/'Revenue Miles-25'!D27</f>
        <v>7.6158139347686928</v>
      </c>
      <c r="AH35" s="96">
        <f>'Op Cost-25'!E28/'Revenue Miles-25'!E27</f>
        <v>8.9750566987033746</v>
      </c>
      <c r="AI35" s="97">
        <f t="shared" si="11"/>
        <v>1.0385690261414711</v>
      </c>
      <c r="AJ35" s="98">
        <f t="shared" si="12"/>
        <v>5.8195240520181081E-2</v>
      </c>
      <c r="AK35" s="99">
        <f t="shared" si="13"/>
        <v>6.1935100889833741E-2</v>
      </c>
      <c r="AL35" s="95">
        <f>'Op Cost-25'!B28/'Ridership-25'!B27</f>
        <v>13.882982657939651</v>
      </c>
      <c r="AM35" s="96">
        <f>'Op Cost-25'!C28/'Ridership-25'!C27</f>
        <v>51.119974938660576</v>
      </c>
      <c r="AN35" s="96">
        <f>'Op Cost-25'!D28/'Ridership-25'!D27</f>
        <v>32.564033916722593</v>
      </c>
      <c r="AO35" s="96">
        <f>'Op Cost-25'!E28/'Ridership-25'!E27</f>
        <v>29.037970263623023</v>
      </c>
      <c r="AP35" s="97">
        <f t="shared" si="14"/>
        <v>1.17121247832242</v>
      </c>
      <c r="AQ35" s="98">
        <f t="shared" si="15"/>
        <v>5.1604448715986809E-2</v>
      </c>
      <c r="AR35" s="99">
        <f t="shared" si="16"/>
        <v>5.6045755190239903E-2</v>
      </c>
      <c r="AT35" s="101">
        <f t="shared" si="29"/>
        <v>0</v>
      </c>
      <c r="AU35" s="102">
        <f t="shared" si="17"/>
        <v>0</v>
      </c>
      <c r="AV35" s="102">
        <f t="shared" si="18"/>
        <v>0</v>
      </c>
      <c r="AW35" s="102">
        <f t="shared" si="19"/>
        <v>0</v>
      </c>
      <c r="AX35" s="103">
        <f t="shared" si="20"/>
        <v>0</v>
      </c>
      <c r="AY35" s="293">
        <f t="shared" si="30"/>
        <v>-1</v>
      </c>
      <c r="AZ35" s="105">
        <f t="shared" si="21"/>
        <v>0</v>
      </c>
      <c r="BA35" s="106">
        <f t="shared" si="21"/>
        <v>0</v>
      </c>
      <c r="BB35" s="106">
        <f t="shared" si="21"/>
        <v>0</v>
      </c>
      <c r="BC35" s="106">
        <f t="shared" si="21"/>
        <v>0</v>
      </c>
      <c r="BD35" s="106">
        <f t="shared" si="21"/>
        <v>0</v>
      </c>
      <c r="BE35" s="107">
        <f t="shared" si="31"/>
        <v>7388188.2542303838</v>
      </c>
      <c r="BG35" s="108">
        <f>'Op Cost-25'!E28</f>
        <v>45655907</v>
      </c>
      <c r="BH35" s="109">
        <f t="shared" si="22"/>
        <v>0.16182327194223486</v>
      </c>
      <c r="BI35" s="110">
        <f t="shared" si="23"/>
        <v>7388188.2542303838</v>
      </c>
      <c r="BJ35" s="111">
        <f t="shared" si="24"/>
        <v>0</v>
      </c>
      <c r="BK35" s="1">
        <f t="shared" si="32"/>
        <v>0.4697848753474877</v>
      </c>
      <c r="BL35" s="294">
        <f t="shared" si="33"/>
        <v>0.70653837622606386</v>
      </c>
      <c r="BM35" s="294">
        <f t="shared" si="34"/>
        <v>0.41658708105137104</v>
      </c>
      <c r="BN35" s="295">
        <f t="shared" si="35"/>
        <v>0.37800702205625791</v>
      </c>
      <c r="BO35" s="114">
        <f t="shared" si="25"/>
        <v>7388188.2542303838</v>
      </c>
      <c r="BP35" s="296">
        <f t="shared" si="36"/>
        <v>0.4697848753474877</v>
      </c>
      <c r="BQ35" s="116">
        <f t="shared" si="37"/>
        <v>2.8393691822924748E-2</v>
      </c>
      <c r="BR35" s="297">
        <f t="shared" si="38"/>
        <v>2.8393691822924748E-2</v>
      </c>
      <c r="BS35" s="302">
        <f t="shared" si="39"/>
        <v>3.2103838491045512E-2</v>
      </c>
      <c r="BT35" s="298">
        <f t="shared" si="40"/>
        <v>7665535.3884536512</v>
      </c>
      <c r="BU35" s="119">
        <f t="shared" si="41"/>
        <v>13696772.1</v>
      </c>
      <c r="BV35" s="119">
        <f t="shared" si="42"/>
        <v>7665535.3884536512</v>
      </c>
      <c r="BW35" s="119">
        <f t="shared" si="43"/>
        <v>0</v>
      </c>
      <c r="BX35" s="120">
        <f t="shared" si="44"/>
        <v>2.8393691822924748E-2</v>
      </c>
      <c r="BY35" s="121">
        <f t="shared" si="45"/>
        <v>5.7277600749121478E-2</v>
      </c>
      <c r="BZ35" s="299">
        <f t="shared" si="46"/>
        <v>7715373.0367635647</v>
      </c>
      <c r="CA35" s="109">
        <f t="shared" si="26"/>
        <v>6.7131681481042968E-2</v>
      </c>
      <c r="CB35" s="123">
        <f t="shared" si="57"/>
        <v>579954.93216643448</v>
      </c>
      <c r="CC35" s="111">
        <f t="shared" si="56"/>
        <v>7968143</v>
      </c>
      <c r="CE35" s="124">
        <f t="shared" si="28"/>
        <v>0</v>
      </c>
      <c r="CF35" s="17"/>
      <c r="CG35" s="108">
        <f t="shared" si="47"/>
        <v>45655907</v>
      </c>
      <c r="CH35" s="125">
        <f t="shared" si="48"/>
        <v>0.17452600383122385</v>
      </c>
      <c r="CI35" s="110">
        <f t="shared" si="49"/>
        <v>7665535.3884536512</v>
      </c>
      <c r="CJ35" s="300">
        <f t="shared" si="50"/>
        <v>0</v>
      </c>
      <c r="CL35" s="127">
        <f t="shared" si="51"/>
        <v>7665535.3884536512</v>
      </c>
      <c r="CM35" s="128">
        <f t="shared" si="52"/>
        <v>8.9216899593451582E-2</v>
      </c>
      <c r="CN35" s="129">
        <f t="shared" si="53"/>
        <v>77628.259687666723</v>
      </c>
      <c r="CO35" s="130">
        <f t="shared" si="55"/>
        <v>7743164</v>
      </c>
      <c r="CQ35" s="131">
        <f t="shared" si="54"/>
        <v>0.16898959069553837</v>
      </c>
      <c r="CR35" s="301"/>
    </row>
    <row r="36" spans="1:96">
      <c r="A36" s="133" t="s">
        <v>112</v>
      </c>
      <c r="B36" s="90" t="s">
        <v>113</v>
      </c>
      <c r="C36" s="208">
        <f>'Op Cost-25'!E29</f>
        <v>4736557</v>
      </c>
      <c r="D36" s="92">
        <f>'Ridership-25'!$E28</f>
        <v>475942</v>
      </c>
      <c r="E36" s="92">
        <f>'Revenue Hours-25'!$E28</f>
        <v>43849</v>
      </c>
      <c r="F36" s="92">
        <f>'Revenue Miles-25'!$E28</f>
        <v>553318</v>
      </c>
      <c r="G36" s="93">
        <f t="shared" si="58"/>
        <v>9.3889701844317944E-3</v>
      </c>
      <c r="H36" s="94">
        <f t="shared" si="59"/>
        <v>9.3889701844317962E-3</v>
      </c>
      <c r="J36" s="95">
        <f>'Ridership-25'!B28/'Revenue Hours-25'!B28</f>
        <v>7.2311072676573369</v>
      </c>
      <c r="K36" s="96">
        <f>'Ridership-25'!C28/'Revenue Hours-25'!C28</f>
        <v>7.0651748073074137</v>
      </c>
      <c r="L36" s="96">
        <f>'Ridership-25'!D28/'Revenue Hours-25'!D28</f>
        <v>8.5454680032144825</v>
      </c>
      <c r="M36" s="96">
        <f>'Ridership-25'!E28/'Revenue Hours-25'!E28</f>
        <v>10.854112978631212</v>
      </c>
      <c r="N36" s="97">
        <f t="shared" si="2"/>
        <v>1.3009855746270713</v>
      </c>
      <c r="O36" s="98">
        <f t="shared" si="3"/>
        <v>1.2214914770549441E-2</v>
      </c>
      <c r="P36" s="99">
        <f t="shared" si="4"/>
        <v>1.1534950291376916E-2</v>
      </c>
      <c r="Q36" s="95">
        <f>'Ridership-25'!B28/'Revenue Miles-25'!B28</f>
        <v>0.68740479018609113</v>
      </c>
      <c r="R36" s="96">
        <f>'Ridership-25'!C28/'Revenue Miles-25'!C28</f>
        <v>0.60435953803758868</v>
      </c>
      <c r="S36" s="96">
        <f>'Ridership-25'!D28/'Revenue Miles-25'!D28</f>
        <v>0.7290038463481342</v>
      </c>
      <c r="T36" s="96">
        <f>'Ridership-25'!E28/'Revenue Miles-25'!E28</f>
        <v>0.86015998033680452</v>
      </c>
      <c r="U36" s="97">
        <f t="shared" si="5"/>
        <v>1.2103155382207087</v>
      </c>
      <c r="V36" s="98">
        <f t="shared" si="6"/>
        <v>1.1363616502108756E-2</v>
      </c>
      <c r="W36" s="99">
        <f t="shared" si="7"/>
        <v>1.0771596900443594E-2</v>
      </c>
      <c r="X36" s="95">
        <f>'Op Cost-25'!B29/'Revenue Hours-25'!B28</f>
        <v>63.118368571529423</v>
      </c>
      <c r="Y36" s="96">
        <f>'Op Cost-25'!C29/'Revenue Hours-25'!C28</f>
        <v>99.128071370778855</v>
      </c>
      <c r="Z36" s="96">
        <f>'Op Cost-25'!D29/'Revenue Hours-25'!D28</f>
        <v>86.295224802267057</v>
      </c>
      <c r="AA36" s="96">
        <f>'Op Cost-25'!E29/'Revenue Hours-25'!E28</f>
        <v>108.01972678966453</v>
      </c>
      <c r="AB36" s="97">
        <f t="shared" si="8"/>
        <v>1.1665516654755821</v>
      </c>
      <c r="AC36" s="98">
        <f t="shared" si="9"/>
        <v>8.0484820881071579E-3</v>
      </c>
      <c r="AD36" s="99">
        <f t="shared" si="10"/>
        <v>8.587048844226149E-3</v>
      </c>
      <c r="AE36" s="95">
        <f>'Op Cost-25'!B29/'Revenue Miles-25'!B28</f>
        <v>6.0001694483031685</v>
      </c>
      <c r="AF36" s="96">
        <f>'Op Cost-25'!C29/'Revenue Miles-25'!C28</f>
        <v>8.4794781522232086</v>
      </c>
      <c r="AG36" s="96">
        <f>'Op Cost-25'!D29/'Revenue Miles-25'!D28</f>
        <v>7.3617443513527165</v>
      </c>
      <c r="AH36" s="96">
        <f>'Op Cost-25'!E29/'Revenue Miles-25'!E28</f>
        <v>8.5602799836621983</v>
      </c>
      <c r="AI36" s="97">
        <f t="shared" si="11"/>
        <v>1.0918608229846662</v>
      </c>
      <c r="AJ36" s="98">
        <f t="shared" si="12"/>
        <v>8.599054006504684E-3</v>
      </c>
      <c r="AK36" s="99">
        <f t="shared" si="13"/>
        <v>9.1516638249017311E-3</v>
      </c>
      <c r="AL36" s="95">
        <f>'Op Cost-25'!B29/'Ridership-25'!B28</f>
        <v>8.7287280129060925</v>
      </c>
      <c r="AM36" s="96">
        <f>'Op Cost-25'!C29/'Ridership-25'!C28</f>
        <v>14.030519282870687</v>
      </c>
      <c r="AN36" s="96">
        <f>'Op Cost-25'!D29/'Ridership-25'!D28</f>
        <v>10.098361467131589</v>
      </c>
      <c r="AO36" s="96">
        <f>'Op Cost-25'!E29/'Ridership-25'!E28</f>
        <v>9.9519626341024754</v>
      </c>
      <c r="AP36" s="100">
        <f t="shared" si="14"/>
        <v>0.95582060414578562</v>
      </c>
      <c r="AQ36" s="98">
        <f t="shared" si="15"/>
        <v>9.8229418195297166E-3</v>
      </c>
      <c r="AR36" s="99">
        <f t="shared" si="16"/>
        <v>1.0668347519712566E-2</v>
      </c>
      <c r="AT36" s="101">
        <f t="shared" si="29"/>
        <v>0</v>
      </c>
      <c r="AU36" s="102">
        <f t="shared" si="17"/>
        <v>0</v>
      </c>
      <c r="AV36" s="102">
        <f t="shared" si="18"/>
        <v>0</v>
      </c>
      <c r="AW36" s="102">
        <f t="shared" si="19"/>
        <v>0</v>
      </c>
      <c r="AX36" s="103">
        <f t="shared" si="20"/>
        <v>0</v>
      </c>
      <c r="AY36" s="293">
        <f t="shared" si="30"/>
        <v>-1</v>
      </c>
      <c r="AZ36" s="105">
        <f t="shared" si="21"/>
        <v>0</v>
      </c>
      <c r="BA36" s="106">
        <f t="shared" si="21"/>
        <v>0</v>
      </c>
      <c r="BB36" s="106">
        <f t="shared" si="21"/>
        <v>0</v>
      </c>
      <c r="BC36" s="106">
        <f t="shared" si="21"/>
        <v>0</v>
      </c>
      <c r="BD36" s="106">
        <f t="shared" si="21"/>
        <v>0</v>
      </c>
      <c r="BE36" s="107">
        <f t="shared" si="31"/>
        <v>1147712.4140550715</v>
      </c>
      <c r="BG36" s="108">
        <f>'Op Cost-25'!E29</f>
        <v>4736557</v>
      </c>
      <c r="BH36" s="109">
        <f t="shared" si="22"/>
        <v>0.24230942730237839</v>
      </c>
      <c r="BI36" s="110">
        <f t="shared" si="23"/>
        <v>1147712.4140550715</v>
      </c>
      <c r="BJ36" s="111">
        <f t="shared" si="24"/>
        <v>0</v>
      </c>
      <c r="BK36" s="1">
        <f t="shared" si="32"/>
        <v>1.0947954035045289</v>
      </c>
      <c r="BL36" s="294">
        <f t="shared" si="33"/>
        <v>1.0139249629414333</v>
      </c>
      <c r="BM36" s="294">
        <f t="shared" si="34"/>
        <v>1.1593487172392201</v>
      </c>
      <c r="BN36" s="295">
        <f t="shared" si="35"/>
        <v>1.1029539669187312</v>
      </c>
      <c r="BO36" s="114">
        <f t="shared" si="25"/>
        <v>1147712.4140550715</v>
      </c>
      <c r="BP36" s="296">
        <f t="shared" si="36"/>
        <v>1.0947954035045289</v>
      </c>
      <c r="BQ36" s="116">
        <f t="shared" si="37"/>
        <v>1.0279001401556999E-2</v>
      </c>
      <c r="BR36" s="297">
        <f t="shared" si="38"/>
        <v>1.0279001401556999E-2</v>
      </c>
      <c r="BS36" s="117">
        <f t="shared" si="39"/>
        <v>1.162213786438232E-2</v>
      </c>
      <c r="BT36" s="298">
        <f t="shared" si="40"/>
        <v>1248116.8137075689</v>
      </c>
      <c r="BU36" s="119">
        <f t="shared" si="41"/>
        <v>1420967.0999999999</v>
      </c>
      <c r="BV36" s="119">
        <f t="shared" si="42"/>
        <v>1248116.8137075689</v>
      </c>
      <c r="BW36" s="119">
        <f t="shared" si="43"/>
        <v>0</v>
      </c>
      <c r="BX36" s="120">
        <f t="shared" si="44"/>
        <v>1.0279001401556999E-2</v>
      </c>
      <c r="BY36" s="121">
        <f t="shared" si="45"/>
        <v>2.0735469767361722E-2</v>
      </c>
      <c r="BZ36" s="299">
        <f t="shared" si="46"/>
        <v>1266158.8936182305</v>
      </c>
      <c r="CA36" s="109">
        <f t="shared" si="26"/>
        <v>1.0428519355617031E-2</v>
      </c>
      <c r="CB36" s="123">
        <f t="shared" si="57"/>
        <v>90092.652262719115</v>
      </c>
      <c r="CC36" s="111">
        <f t="shared" si="56"/>
        <v>1237805</v>
      </c>
      <c r="CE36" s="124">
        <f t="shared" si="28"/>
        <v>0</v>
      </c>
      <c r="CF36" s="17"/>
      <c r="CG36" s="108">
        <f t="shared" si="47"/>
        <v>4736557</v>
      </c>
      <c r="CH36" s="125">
        <f t="shared" si="48"/>
        <v>0.26133011805832801</v>
      </c>
      <c r="CI36" s="110">
        <f t="shared" si="49"/>
        <v>1248116.8137075689</v>
      </c>
      <c r="CJ36" s="300">
        <f t="shared" si="50"/>
        <v>0</v>
      </c>
      <c r="CL36" s="127">
        <f t="shared" si="51"/>
        <v>1248116.8137075689</v>
      </c>
      <c r="CM36" s="128">
        <f t="shared" si="52"/>
        <v>1.4526462511304102E-2</v>
      </c>
      <c r="CN36" s="129">
        <f t="shared" si="53"/>
        <v>12639.578480190083</v>
      </c>
      <c r="CO36" s="130">
        <f t="shared" si="55"/>
        <v>1260756</v>
      </c>
      <c r="CQ36" s="131">
        <f t="shared" si="54"/>
        <v>0.26731630034605947</v>
      </c>
      <c r="CR36" s="301"/>
    </row>
    <row r="37" spans="1:96">
      <c r="A37" s="133" t="s">
        <v>112</v>
      </c>
      <c r="B37" s="90" t="s">
        <v>114</v>
      </c>
      <c r="C37" s="208">
        <f>'Op Cost-25'!E30</f>
        <v>68802962</v>
      </c>
      <c r="D37" s="92">
        <f>'Ridership-25'!$E29</f>
        <v>9625071</v>
      </c>
      <c r="E37" s="92">
        <f>'Revenue Hours-25'!$E29</f>
        <v>583725</v>
      </c>
      <c r="F37" s="92">
        <f>'Revenue Miles-25'!$E29</f>
        <v>7022292</v>
      </c>
      <c r="G37" s="134">
        <f t="shared" si="58"/>
        <v>0.15224243269925947</v>
      </c>
      <c r="H37" s="94">
        <f t="shared" si="59"/>
        <v>0.15224243269925949</v>
      </c>
      <c r="J37" s="95">
        <f>'Ridership-25'!B29/'Revenue Hours-25'!B29</f>
        <v>15.08483737680125</v>
      </c>
      <c r="K37" s="96">
        <f>'Ridership-25'!C29/'Revenue Hours-25'!C29</f>
        <v>12.685908078458269</v>
      </c>
      <c r="L37" s="96">
        <f>'Ridership-25'!D29/'Revenue Hours-25'!D29</f>
        <v>14.999735241854868</v>
      </c>
      <c r="M37" s="96">
        <f>'Ridership-25'!E29/'Revenue Hours-25'!E29</f>
        <v>16.489050494667865</v>
      </c>
      <c r="N37" s="97">
        <f t="shared" si="2"/>
        <v>1.1580336883020843</v>
      </c>
      <c r="O37" s="98">
        <f t="shared" si="3"/>
        <v>0.17630186585480531</v>
      </c>
      <c r="P37" s="99">
        <f t="shared" si="4"/>
        <v>0.16648771580587177</v>
      </c>
      <c r="Q37" s="95">
        <f>'Ridership-25'!B29/'Revenue Miles-25'!B29</f>
        <v>1.1884855709632467</v>
      </c>
      <c r="R37" s="96">
        <f>'Ridership-25'!C29/'Revenue Miles-25'!C29</f>
        <v>1.0554722157446399</v>
      </c>
      <c r="S37" s="96">
        <f>'Ridership-25'!D29/'Revenue Miles-25'!D29</f>
        <v>1.2009259173704827</v>
      </c>
      <c r="T37" s="96">
        <f>'Ridership-25'!E29/'Revenue Miles-25'!E29</f>
        <v>1.3706452252341543</v>
      </c>
      <c r="U37" s="97">
        <f t="shared" si="5"/>
        <v>1.1871164048487881</v>
      </c>
      <c r="V37" s="98">
        <f t="shared" si="6"/>
        <v>0.1807294893713785</v>
      </c>
      <c r="W37" s="99">
        <f t="shared" si="7"/>
        <v>0.17131387768763889</v>
      </c>
      <c r="X37" s="95">
        <f>'Op Cost-25'!B30/'Revenue Hours-25'!B29</f>
        <v>87.19640419871854</v>
      </c>
      <c r="Y37" s="96">
        <f>'Op Cost-25'!C30/'Revenue Hours-25'!C29</f>
        <v>106.94058914595765</v>
      </c>
      <c r="Z37" s="96">
        <f>'Op Cost-25'!D30/'Revenue Hours-25'!D29</f>
        <v>99.059409351732896</v>
      </c>
      <c r="AA37" s="96">
        <f>'Op Cost-25'!E30/'Revenue Hours-25'!E29</f>
        <v>117.86879438091567</v>
      </c>
      <c r="AB37" s="97">
        <f t="shared" si="8"/>
        <v>1.069009747172706</v>
      </c>
      <c r="AC37" s="98">
        <f t="shared" si="9"/>
        <v>0.14241444767169525</v>
      </c>
      <c r="AD37" s="99">
        <f t="shared" si="10"/>
        <v>0.15194415603997974</v>
      </c>
      <c r="AE37" s="95">
        <f>'Op Cost-25'!B30/'Revenue Miles-25'!B29</f>
        <v>6.8699228000581352</v>
      </c>
      <c r="AF37" s="96">
        <f>'Op Cost-25'!C30/'Revenue Miles-25'!C29</f>
        <v>8.897496330640184</v>
      </c>
      <c r="AG37" s="96">
        <f>'Op Cost-25'!D30/'Revenue Miles-25'!D29</f>
        <v>7.9310074565820816</v>
      </c>
      <c r="AH37" s="96">
        <f>'Op Cost-25'!E30/'Revenue Miles-25'!E29</f>
        <v>9.7977928004133119</v>
      </c>
      <c r="AI37" s="97">
        <f t="shared" si="11"/>
        <v>1.0939620676553767</v>
      </c>
      <c r="AJ37" s="98">
        <f t="shared" si="12"/>
        <v>0.13916609835069654</v>
      </c>
      <c r="AK37" s="99">
        <f t="shared" si="13"/>
        <v>0.14810947192160681</v>
      </c>
      <c r="AL37" s="95">
        <f>'Op Cost-25'!B30/'Ridership-25'!B29</f>
        <v>5.7804006778897481</v>
      </c>
      <c r="AM37" s="96">
        <f>'Op Cost-25'!C30/'Ridership-25'!C29</f>
        <v>8.4298726180707302</v>
      </c>
      <c r="AN37" s="96">
        <f>'Op Cost-25'!D30/'Ridership-25'!D29</f>
        <v>6.6040771889973175</v>
      </c>
      <c r="AO37" s="96">
        <f>'Op Cost-25'!E30/'Ridership-25'!E29</f>
        <v>7.148306957943479</v>
      </c>
      <c r="AP37" s="97">
        <f t="shared" si="14"/>
        <v>1.0036922938781936</v>
      </c>
      <c r="AQ37" s="98">
        <f t="shared" si="15"/>
        <v>0.15168237678801524</v>
      </c>
      <c r="AR37" s="99">
        <f t="shared" si="16"/>
        <v>0.16473683117752624</v>
      </c>
      <c r="AT37" s="101">
        <f t="shared" si="29"/>
        <v>0</v>
      </c>
      <c r="AU37" s="102">
        <f t="shared" si="17"/>
        <v>0</v>
      </c>
      <c r="AV37" s="102">
        <f t="shared" si="18"/>
        <v>0</v>
      </c>
      <c r="AW37" s="102">
        <f t="shared" si="19"/>
        <v>0</v>
      </c>
      <c r="AX37" s="103">
        <f t="shared" si="20"/>
        <v>0</v>
      </c>
      <c r="AY37" s="293">
        <f t="shared" si="30"/>
        <v>-1</v>
      </c>
      <c r="AZ37" s="105">
        <f t="shared" si="21"/>
        <v>0</v>
      </c>
      <c r="BA37" s="106">
        <f t="shared" si="21"/>
        <v>0</v>
      </c>
      <c r="BB37" s="106">
        <f t="shared" si="21"/>
        <v>0</v>
      </c>
      <c r="BC37" s="106">
        <f t="shared" si="21"/>
        <v>0</v>
      </c>
      <c r="BD37" s="106">
        <f t="shared" si="21"/>
        <v>0</v>
      </c>
      <c r="BE37" s="107">
        <f t="shared" si="31"/>
        <v>18610191.162882924</v>
      </c>
      <c r="BF37" s="301"/>
      <c r="BG37" s="108">
        <f>'Op Cost-25'!E30</f>
        <v>68802962</v>
      </c>
      <c r="BH37" s="303">
        <f t="shared" si="22"/>
        <v>0.27048531955474425</v>
      </c>
      <c r="BI37" s="304">
        <f>IF(BE37&gt;BG37*$BI$6,BG37*$BI$6,BE37)</f>
        <v>18610191.162882924</v>
      </c>
      <c r="BJ37" s="111">
        <f t="shared" si="24"/>
        <v>0</v>
      </c>
      <c r="BK37" s="1">
        <f t="shared" si="32"/>
        <v>1.6146986867410762</v>
      </c>
      <c r="BL37" s="294">
        <f t="shared" si="33"/>
        <v>1.5403064206775827</v>
      </c>
      <c r="BM37" s="294">
        <f t="shared" si="34"/>
        <v>1.847395624059454</v>
      </c>
      <c r="BN37" s="295">
        <f t="shared" si="35"/>
        <v>1.535546351113634</v>
      </c>
      <c r="BO37" s="114">
        <f t="shared" si="25"/>
        <v>18610191.162882924</v>
      </c>
      <c r="BP37" s="296">
        <f t="shared" si="36"/>
        <v>1.6146986867410762</v>
      </c>
      <c r="BQ37" s="116">
        <f t="shared" si="37"/>
        <v>0.24582565614576099</v>
      </c>
      <c r="BR37" s="297">
        <f t="shared" si="38"/>
        <v>0.24582565614576099</v>
      </c>
      <c r="BS37" s="302">
        <f t="shared" si="39"/>
        <v>0.27794720077531204</v>
      </c>
      <c r="BT37" s="298">
        <f t="shared" si="40"/>
        <v>21011394.982230369</v>
      </c>
      <c r="BU37" s="119">
        <f t="shared" si="41"/>
        <v>20640888.599999998</v>
      </c>
      <c r="BV37" s="119">
        <f t="shared" si="42"/>
        <v>20640888.599999998</v>
      </c>
      <c r="BW37" s="119">
        <f t="shared" si="43"/>
        <v>370506.38223037124</v>
      </c>
      <c r="BX37" s="120">
        <f t="shared" si="44"/>
        <v>0</v>
      </c>
      <c r="BY37" s="121">
        <f t="shared" si="45"/>
        <v>0</v>
      </c>
      <c r="BZ37" s="299">
        <f t="shared" si="46"/>
        <v>20640888.599999998</v>
      </c>
      <c r="CA37" s="109">
        <f t="shared" si="26"/>
        <v>0.16909875363999075</v>
      </c>
      <c r="CB37" s="123">
        <f t="shared" si="57"/>
        <v>1460855.0543218991</v>
      </c>
      <c r="CC37" s="111">
        <f>ROUND((CB37+BI37),0)</f>
        <v>20071046</v>
      </c>
      <c r="CE37" s="124">
        <f t="shared" si="28"/>
        <v>0</v>
      </c>
      <c r="CF37" s="17"/>
      <c r="CG37" s="108">
        <f t="shared" si="47"/>
        <v>68802962</v>
      </c>
      <c r="CH37" s="125">
        <f t="shared" si="48"/>
        <v>0.29171776063943294</v>
      </c>
      <c r="CI37" s="110">
        <f t="shared" si="49"/>
        <v>20640888.599999998</v>
      </c>
      <c r="CJ37" s="300">
        <f t="shared" si="50"/>
        <v>370506.38223037124</v>
      </c>
      <c r="CL37" s="127">
        <f t="shared" si="51"/>
        <v>0</v>
      </c>
      <c r="CM37" s="128">
        <f t="shared" si="52"/>
        <v>0</v>
      </c>
      <c r="CN37" s="129">
        <f t="shared" si="53"/>
        <v>0</v>
      </c>
      <c r="CO37" s="130">
        <f t="shared" si="55"/>
        <v>20640889</v>
      </c>
      <c r="CQ37" s="131">
        <f t="shared" si="54"/>
        <v>0.3</v>
      </c>
      <c r="CR37" s="301"/>
    </row>
    <row r="38" spans="1:96">
      <c r="A38" s="133" t="s">
        <v>115</v>
      </c>
      <c r="B38" s="90" t="s">
        <v>116</v>
      </c>
      <c r="C38" s="208">
        <f>'Op Cost-25'!E31</f>
        <v>12020724</v>
      </c>
      <c r="D38" s="92">
        <f>'Ridership-25'!$E30</f>
        <v>3520078</v>
      </c>
      <c r="E38" s="92">
        <f>'Revenue Hours-25'!$E30</f>
        <v>92885</v>
      </c>
      <c r="F38" s="92">
        <f>'Revenue Miles-25'!$E30</f>
        <v>970481</v>
      </c>
      <c r="G38" s="134">
        <f t="shared" si="58"/>
        <v>3.9276419598528838E-2</v>
      </c>
      <c r="H38" s="94">
        <f t="shared" si="59"/>
        <v>3.9276419598528844E-2</v>
      </c>
      <c r="J38" s="95">
        <f>'Ridership-25'!B30/'Revenue Hours-25'!B30</f>
        <v>41.020012326113751</v>
      </c>
      <c r="K38" s="96">
        <f>'Ridership-25'!C30/'Revenue Hours-25'!C30</f>
        <v>7.7359808402431227</v>
      </c>
      <c r="L38" s="96">
        <f>'Ridership-25'!D30/'Revenue Hours-25'!D30</f>
        <v>32.633977790205321</v>
      </c>
      <c r="M38" s="96">
        <f>'Ridership-25'!E30/'Revenue Hours-25'!E30</f>
        <v>37.897163158744682</v>
      </c>
      <c r="N38" s="97">
        <f t="shared" si="2"/>
        <v>1.5374893226393143</v>
      </c>
      <c r="O38" s="98">
        <f t="shared" si="3"/>
        <v>6.0387075764239601E-2</v>
      </c>
      <c r="P38" s="99">
        <f t="shared" si="4"/>
        <v>5.7025524145411892E-2</v>
      </c>
      <c r="Q38" s="95">
        <f>'Ridership-25'!B30/'Revenue Miles-25'!B30</f>
        <v>4.0590237544714967</v>
      </c>
      <c r="R38" s="96">
        <f>'Ridership-25'!C30/'Revenue Miles-25'!C30</f>
        <v>0.74890286156611607</v>
      </c>
      <c r="S38" s="96">
        <f>'Ridership-25'!D30/'Revenue Miles-25'!D30</f>
        <v>3.1121743743196539</v>
      </c>
      <c r="T38" s="96">
        <f>'Ridership-25'!E30/'Revenue Miles-25'!E30</f>
        <v>3.6271477751754029</v>
      </c>
      <c r="U38" s="97">
        <f t="shared" si="5"/>
        <v>1.5439223358228489</v>
      </c>
      <c r="V38" s="98">
        <f t="shared" si="6"/>
        <v>6.0639741489318971E-2</v>
      </c>
      <c r="W38" s="99">
        <f t="shared" si="7"/>
        <v>5.7480543394687479E-2</v>
      </c>
      <c r="X38" s="95">
        <f>'Op Cost-25'!B31/'Revenue Hours-25'!B30</f>
        <v>80.165865469272759</v>
      </c>
      <c r="Y38" s="96">
        <f>'Op Cost-25'!C31/'Revenue Hours-25'!C30</f>
        <v>94.638769882541524</v>
      </c>
      <c r="Z38" s="96">
        <f>'Op Cost-25'!D31/'Revenue Hours-25'!D30</f>
        <v>99.879114404410004</v>
      </c>
      <c r="AA38" s="96">
        <f>'Op Cost-25'!E31/'Revenue Hours-25'!E30</f>
        <v>129.41512623136137</v>
      </c>
      <c r="AB38" s="97">
        <f t="shared" si="8"/>
        <v>1.1373094562186856</v>
      </c>
      <c r="AC38" s="98">
        <f t="shared" si="9"/>
        <v>3.4534505436290545E-2</v>
      </c>
      <c r="AD38" s="99">
        <f t="shared" si="10"/>
        <v>3.6845392925806075E-2</v>
      </c>
      <c r="AE38" s="95">
        <f>'Op Cost-25'!B31/'Revenue Miles-25'!B30</f>
        <v>7.9325951842875142</v>
      </c>
      <c r="AF38" s="96">
        <f>'Op Cost-25'!C31/'Revenue Miles-25'!C30</f>
        <v>9.1617659148578081</v>
      </c>
      <c r="AG38" s="96">
        <f>'Op Cost-25'!D31/'Revenue Miles-25'!D30</f>
        <v>9.5250791177666656</v>
      </c>
      <c r="AH38" s="96">
        <f>'Op Cost-25'!E31/'Revenue Miles-25'!E30</f>
        <v>12.386356868398249</v>
      </c>
      <c r="AI38" s="97">
        <f t="shared" si="11"/>
        <v>1.1300370084817091</v>
      </c>
      <c r="AJ38" s="98">
        <f t="shared" si="12"/>
        <v>3.4756755136099222E-2</v>
      </c>
      <c r="AK38" s="99">
        <f t="shared" si="13"/>
        <v>3.6990364103934699E-2</v>
      </c>
      <c r="AL38" s="95">
        <f>'Op Cost-25'!B31/'Ridership-25'!B30</f>
        <v>1.9543111014191081</v>
      </c>
      <c r="AM38" s="96">
        <f>'Op Cost-25'!C31/'Ridership-25'!C30</f>
        <v>12.233583799771571</v>
      </c>
      <c r="AN38" s="96">
        <f>'Op Cost-25'!D31/'Ridership-25'!D30</f>
        <v>3.0605865777841972</v>
      </c>
      <c r="AO38" s="96">
        <f>'Op Cost-25'!E31/'Ridership-25'!E30</f>
        <v>3.4149027379506931</v>
      </c>
      <c r="AP38" s="97">
        <f t="shared" si="14"/>
        <v>1.4628694458817215</v>
      </c>
      <c r="AQ38" s="98">
        <f t="shared" si="15"/>
        <v>2.6848889153505837E-2</v>
      </c>
      <c r="AR38" s="99">
        <f t="shared" si="16"/>
        <v>2.9159622979580562E-2</v>
      </c>
      <c r="AT38" s="101">
        <f t="shared" si="29"/>
        <v>0</v>
      </c>
      <c r="AU38" s="102">
        <f t="shared" si="17"/>
        <v>0</v>
      </c>
      <c r="AV38" s="102">
        <f t="shared" si="18"/>
        <v>0</v>
      </c>
      <c r="AW38" s="102">
        <f t="shared" si="19"/>
        <v>0</v>
      </c>
      <c r="AX38" s="103">
        <f t="shared" si="20"/>
        <v>0</v>
      </c>
      <c r="AY38" s="293">
        <f t="shared" si="30"/>
        <v>-1</v>
      </c>
      <c r="AZ38" s="105">
        <f t="shared" si="21"/>
        <v>0</v>
      </c>
      <c r="BA38" s="106">
        <f t="shared" si="21"/>
        <v>0</v>
      </c>
      <c r="BB38" s="106">
        <f t="shared" si="21"/>
        <v>0</v>
      </c>
      <c r="BC38" s="106">
        <f t="shared" si="21"/>
        <v>0</v>
      </c>
      <c r="BD38" s="106">
        <f t="shared" si="21"/>
        <v>0</v>
      </c>
      <c r="BE38" s="107">
        <f t="shared" si="31"/>
        <v>4801169.1876083538</v>
      </c>
      <c r="BG38" s="108">
        <f>'Op Cost-25'!E31</f>
        <v>12020724</v>
      </c>
      <c r="BH38" s="109">
        <f t="shared" si="22"/>
        <v>0.39940765528002753</v>
      </c>
      <c r="BI38" s="110">
        <f t="shared" si="23"/>
        <v>3606217.1999999997</v>
      </c>
      <c r="BJ38" s="111">
        <f t="shared" si="24"/>
        <v>1194951.9876083541</v>
      </c>
      <c r="BK38" s="1">
        <f t="shared" si="32"/>
        <v>3.7143793923621673</v>
      </c>
      <c r="BL38" s="294">
        <f t="shared" si="33"/>
        <v>3.5401215951007479</v>
      </c>
      <c r="BM38" s="294">
        <f t="shared" si="34"/>
        <v>4.8887755958375703</v>
      </c>
      <c r="BN38" s="295">
        <f t="shared" si="35"/>
        <v>3.2143101892551753</v>
      </c>
      <c r="BO38" s="114">
        <f t="shared" si="25"/>
        <v>0</v>
      </c>
      <c r="BP38" s="296">
        <f t="shared" si="36"/>
        <v>3.7143793923621673</v>
      </c>
      <c r="BQ38" s="116">
        <f t="shared" si="37"/>
        <v>0.14588752356254509</v>
      </c>
      <c r="BR38" s="297">
        <f t="shared" si="38"/>
        <v>0</v>
      </c>
      <c r="BS38" s="117">
        <f t="shared" si="39"/>
        <v>0</v>
      </c>
      <c r="BT38" s="298">
        <f t="shared" si="40"/>
        <v>3606217.1999999997</v>
      </c>
      <c r="BU38" s="119">
        <f t="shared" si="41"/>
        <v>3606217.1999999997</v>
      </c>
      <c r="BV38" s="119">
        <f t="shared" si="42"/>
        <v>3606217.1999999997</v>
      </c>
      <c r="BW38" s="119">
        <f t="shared" si="43"/>
        <v>0</v>
      </c>
      <c r="BX38" s="120">
        <f t="shared" si="44"/>
        <v>0</v>
      </c>
      <c r="BY38" s="121">
        <f t="shared" si="45"/>
        <v>0</v>
      </c>
      <c r="BZ38" s="299">
        <f t="shared" si="46"/>
        <v>3606217.1999999997</v>
      </c>
      <c r="CA38" s="109">
        <f t="shared" si="26"/>
        <v>0</v>
      </c>
      <c r="CB38" s="123">
        <f t="shared" si="57"/>
        <v>0</v>
      </c>
      <c r="CC38" s="111">
        <f t="shared" si="56"/>
        <v>3606217</v>
      </c>
      <c r="CE38" s="124">
        <f t="shared" si="28"/>
        <v>0</v>
      </c>
      <c r="CF38" s="17"/>
      <c r="CG38" s="108">
        <f t="shared" si="47"/>
        <v>12020724</v>
      </c>
      <c r="CH38" s="125">
        <f t="shared" si="48"/>
        <v>0.29999998336206707</v>
      </c>
      <c r="CI38" s="110">
        <f t="shared" si="49"/>
        <v>3606217.1999999997</v>
      </c>
      <c r="CJ38" s="300">
        <f t="shared" si="50"/>
        <v>0</v>
      </c>
      <c r="CL38" s="127">
        <f t="shared" si="51"/>
        <v>0</v>
      </c>
      <c r="CM38" s="128">
        <f t="shared" si="52"/>
        <v>0</v>
      </c>
      <c r="CN38" s="129">
        <f t="shared" si="53"/>
        <v>0</v>
      </c>
      <c r="CO38" s="130">
        <f t="shared" si="55"/>
        <v>3606217</v>
      </c>
      <c r="CQ38" s="131">
        <f t="shared" si="54"/>
        <v>0.3</v>
      </c>
      <c r="CR38" s="301"/>
    </row>
    <row r="39" spans="1:96">
      <c r="A39" s="133" t="s">
        <v>115</v>
      </c>
      <c r="B39" s="90" t="s">
        <v>117</v>
      </c>
      <c r="C39" s="208">
        <f>'Op Cost-25'!E32</f>
        <v>2609867</v>
      </c>
      <c r="D39" s="92">
        <f>'Ridership-25'!$E31</f>
        <v>120233</v>
      </c>
      <c r="E39" s="92">
        <f>'Revenue Hours-25'!$E31</f>
        <v>32095</v>
      </c>
      <c r="F39" s="92">
        <f>'Revenue Miles-25'!$E31</f>
        <v>388317</v>
      </c>
      <c r="G39" s="134">
        <f t="shared" si="58"/>
        <v>4.5866931274603793E-3</v>
      </c>
      <c r="H39" s="94">
        <f t="shared" si="59"/>
        <v>4.5866931274603801E-3</v>
      </c>
      <c r="J39" s="95">
        <f>'Ridership-25'!B31/'Revenue Hours-25'!B31</f>
        <v>8.58772210149559</v>
      </c>
      <c r="K39" s="96">
        <f>'Ridership-25'!C31/'Revenue Hours-25'!C31</f>
        <v>3.353975911522431</v>
      </c>
      <c r="L39" s="96">
        <f>'Ridership-25'!D31/'Revenue Hours-25'!D31</f>
        <v>4.039822296622992</v>
      </c>
      <c r="M39" s="96">
        <f>'Ridership-25'!E31/'Revenue Hours-25'!E31</f>
        <v>3.7461598379809939</v>
      </c>
      <c r="N39" s="97">
        <f t="shared" si="2"/>
        <v>0.82355293566047949</v>
      </c>
      <c r="O39" s="98">
        <f t="shared" si="3"/>
        <v>3.777384590093742E-3</v>
      </c>
      <c r="P39" s="99">
        <f t="shared" si="4"/>
        <v>3.5671099059322023E-3</v>
      </c>
      <c r="Q39" s="95">
        <f>'Ridership-25'!B31/'Revenue Miles-25'!B31</f>
        <v>0.78227240838260248</v>
      </c>
      <c r="R39" s="96">
        <f>'Ridership-25'!C31/'Revenue Miles-25'!C31</f>
        <v>0.29134203947124609</v>
      </c>
      <c r="S39" s="96">
        <f>'Ridership-25'!D31/'Revenue Miles-25'!D31</f>
        <v>0.3358526722031458</v>
      </c>
      <c r="T39" s="96">
        <f>'Ridership-25'!E31/'Revenue Miles-25'!E31</f>
        <v>0.30962589842834592</v>
      </c>
      <c r="U39" s="97">
        <f t="shared" si="5"/>
        <v>0.80034342624183574</v>
      </c>
      <c r="V39" s="98">
        <f t="shared" si="6"/>
        <v>3.6709296927515218E-3</v>
      </c>
      <c r="W39" s="99">
        <f t="shared" si="7"/>
        <v>3.4796822730554884E-3</v>
      </c>
      <c r="X39" s="95">
        <f>'Op Cost-25'!B32/'Revenue Hours-25'!B31</f>
        <v>50.245430141889301</v>
      </c>
      <c r="Y39" s="96">
        <f>'Op Cost-25'!C32/'Revenue Hours-25'!C31</f>
        <v>54.975878704341831</v>
      </c>
      <c r="Z39" s="96">
        <f>'Op Cost-25'!D32/'Revenue Hours-25'!D31</f>
        <v>56.597366641985644</v>
      </c>
      <c r="AA39" s="96">
        <f>'Op Cost-25'!E32/'Revenue Hours-25'!E31</f>
        <v>81.316934101885025</v>
      </c>
      <c r="AB39" s="97">
        <f t="shared" si="8"/>
        <v>1.1556230050053564</v>
      </c>
      <c r="AC39" s="98">
        <f t="shared" si="9"/>
        <v>3.969021997307089E-3</v>
      </c>
      <c r="AD39" s="99">
        <f t="shared" si="10"/>
        <v>4.234610375171928E-3</v>
      </c>
      <c r="AE39" s="95">
        <f>'Op Cost-25'!B32/'Revenue Miles-25'!B31</f>
        <v>4.5769545384416093</v>
      </c>
      <c r="AF39" s="96">
        <f>'Op Cost-25'!C32/'Revenue Miles-25'!C31</f>
        <v>4.775462032515458</v>
      </c>
      <c r="AG39" s="96">
        <f>'Op Cost-25'!D32/'Revenue Miles-25'!D31</f>
        <v>4.7052507339893959</v>
      </c>
      <c r="AH39" s="96">
        <f>'Op Cost-25'!E32/'Revenue Miles-25'!E31</f>
        <v>6.7209702382331962</v>
      </c>
      <c r="AI39" s="97">
        <f t="shared" si="11"/>
        <v>1.127283500961868</v>
      </c>
      <c r="AJ39" s="98">
        <f t="shared" si="12"/>
        <v>4.0688017908065977E-3</v>
      </c>
      <c r="AK39" s="99">
        <f t="shared" si="13"/>
        <v>4.330279369271669E-3</v>
      </c>
      <c r="AL39" s="95">
        <f>'Op Cost-25'!B32/'Ridership-25'!B31</f>
        <v>5.8508449095178374</v>
      </c>
      <c r="AM39" s="96">
        <f>'Op Cost-25'!C32/'Ridership-25'!C31</f>
        <v>16.391256274523233</v>
      </c>
      <c r="AN39" s="96">
        <f>'Op Cost-25'!D32/'Ridership-25'!D31</f>
        <v>14.009865406529656</v>
      </c>
      <c r="AO39" s="96">
        <f>'Op Cost-25'!E32/'Ridership-25'!E31</f>
        <v>21.706744404614373</v>
      </c>
      <c r="AP39" s="100">
        <f t="shared" si="14"/>
        <v>1.4225629168992857</v>
      </c>
      <c r="AQ39" s="98">
        <f t="shared" si="15"/>
        <v>3.2242462340139211E-3</v>
      </c>
      <c r="AR39" s="99">
        <f t="shared" si="16"/>
        <v>3.5017390864717354E-3</v>
      </c>
      <c r="AT39" s="101">
        <f t="shared" si="29"/>
        <v>0</v>
      </c>
      <c r="AU39" s="102">
        <f t="shared" si="17"/>
        <v>0</v>
      </c>
      <c r="AV39" s="102">
        <f t="shared" si="18"/>
        <v>0</v>
      </c>
      <c r="AW39" s="102">
        <f t="shared" si="19"/>
        <v>0</v>
      </c>
      <c r="AX39" s="103">
        <f t="shared" si="20"/>
        <v>0</v>
      </c>
      <c r="AY39" s="293">
        <f t="shared" si="30"/>
        <v>-1</v>
      </c>
      <c r="AZ39" s="105">
        <f t="shared" si="21"/>
        <v>0</v>
      </c>
      <c r="BA39" s="106">
        <f t="shared" si="21"/>
        <v>0</v>
      </c>
      <c r="BB39" s="106">
        <f t="shared" si="21"/>
        <v>0</v>
      </c>
      <c r="BC39" s="106">
        <f t="shared" si="21"/>
        <v>0</v>
      </c>
      <c r="BD39" s="106">
        <f t="shared" si="21"/>
        <v>0</v>
      </c>
      <c r="BE39" s="107">
        <f t="shared" si="31"/>
        <v>560679.66331133246</v>
      </c>
      <c r="BG39" s="108">
        <f>'Op Cost-25'!E32</f>
        <v>2609867</v>
      </c>
      <c r="BH39" s="109">
        <f t="shared" si="22"/>
        <v>0.21483074168581481</v>
      </c>
      <c r="BI39" s="110">
        <f t="shared" si="23"/>
        <v>560679.66331133246</v>
      </c>
      <c r="BJ39" s="111">
        <f t="shared" si="24"/>
        <v>0</v>
      </c>
      <c r="BK39" s="1">
        <f t="shared" si="32"/>
        <v>0.4446540194870211</v>
      </c>
      <c r="BL39" s="294">
        <f t="shared" si="33"/>
        <v>0.34994337928630659</v>
      </c>
      <c r="BM39" s="294">
        <f t="shared" si="34"/>
        <v>0.41732281944387561</v>
      </c>
      <c r="BN39" s="295">
        <f t="shared" si="35"/>
        <v>0.50567493960895105</v>
      </c>
      <c r="BO39" s="114">
        <f t="shared" si="25"/>
        <v>560679.66331133246</v>
      </c>
      <c r="BP39" s="296">
        <f t="shared" si="36"/>
        <v>0.4446540194870211</v>
      </c>
      <c r="BQ39" s="116">
        <f t="shared" si="37"/>
        <v>2.0394915352787537E-3</v>
      </c>
      <c r="BR39" s="297">
        <f t="shared" si="38"/>
        <v>2.0394915352787537E-3</v>
      </c>
      <c r="BS39" s="117">
        <f t="shared" si="39"/>
        <v>2.3059877968943572E-3</v>
      </c>
      <c r="BT39" s="298">
        <f t="shared" si="40"/>
        <v>580601.24082614784</v>
      </c>
      <c r="BU39" s="119">
        <f t="shared" si="41"/>
        <v>782960.1</v>
      </c>
      <c r="BV39" s="119">
        <f t="shared" si="42"/>
        <v>580601.24082614784</v>
      </c>
      <c r="BW39" s="119">
        <f t="shared" si="43"/>
        <v>0</v>
      </c>
      <c r="BX39" s="120">
        <f t="shared" si="44"/>
        <v>2.0394915352787537E-3</v>
      </c>
      <c r="BY39" s="121">
        <f t="shared" si="45"/>
        <v>4.1141948929160517E-3</v>
      </c>
      <c r="BZ39" s="299">
        <f t="shared" si="46"/>
        <v>584181.0311014019</v>
      </c>
      <c r="CA39" s="109">
        <f t="shared" si="26"/>
        <v>5.0945329592492379E-3</v>
      </c>
      <c r="CB39" s="123">
        <f t="shared" si="57"/>
        <v>44011.999276904651</v>
      </c>
      <c r="CC39" s="111">
        <f t="shared" si="56"/>
        <v>604692</v>
      </c>
      <c r="CE39" s="124">
        <f t="shared" si="28"/>
        <v>0</v>
      </c>
      <c r="CF39" s="17"/>
      <c r="CG39" s="108">
        <f t="shared" si="47"/>
        <v>2609867</v>
      </c>
      <c r="CH39" s="125">
        <f t="shared" si="48"/>
        <v>0.23169456527861382</v>
      </c>
      <c r="CI39" s="110">
        <f t="shared" si="49"/>
        <v>580601.24082614784</v>
      </c>
      <c r="CJ39" s="300">
        <f t="shared" si="50"/>
        <v>0</v>
      </c>
      <c r="CL39" s="127">
        <f t="shared" si="51"/>
        <v>580601.24082614784</v>
      </c>
      <c r="CM39" s="128">
        <f t="shared" si="52"/>
        <v>6.7574461510729782E-3</v>
      </c>
      <c r="CN39" s="129">
        <f t="shared" si="53"/>
        <v>5879.7020186904119</v>
      </c>
      <c r="CO39" s="130">
        <f t="shared" si="55"/>
        <v>586481</v>
      </c>
      <c r="CQ39" s="131">
        <f t="shared" si="54"/>
        <v>0.22383555602695535</v>
      </c>
      <c r="CR39" s="301"/>
    </row>
    <row r="40" spans="1:96">
      <c r="A40" s="133" t="s">
        <v>115</v>
      </c>
      <c r="B40" s="90" t="s">
        <v>118</v>
      </c>
      <c r="C40" s="208">
        <f>'Op Cost-25'!E33</f>
        <v>12745096</v>
      </c>
      <c r="D40" s="92">
        <f>'Ridership-25'!$E32</f>
        <v>1287135</v>
      </c>
      <c r="E40" s="92">
        <f>'Revenue Hours-25'!$E32</f>
        <v>141516</v>
      </c>
      <c r="F40" s="92">
        <f>'Revenue Miles-25'!$E32</f>
        <v>2266478</v>
      </c>
      <c r="G40" s="134">
        <f t="shared" si="58"/>
        <v>2.7939433984583342E-2</v>
      </c>
      <c r="H40" s="94">
        <f t="shared" si="59"/>
        <v>2.7939433984583349E-2</v>
      </c>
      <c r="J40" s="95">
        <f>'Ridership-25'!B32/'Revenue Hours-25'!B32</f>
        <v>13.061303342191943</v>
      </c>
      <c r="K40" s="96">
        <f>'Ridership-25'!C32/'Revenue Hours-25'!C32</f>
        <v>7.5369057433360815</v>
      </c>
      <c r="L40" s="96">
        <f>'Ridership-25'!D32/'Revenue Hours-25'!D32</f>
        <v>7.2816302952503209</v>
      </c>
      <c r="M40" s="96">
        <f>'Ridership-25'!E32/'Revenue Hours-25'!E32</f>
        <v>9.0953319765962863</v>
      </c>
      <c r="N40" s="97">
        <f t="shared" si="2"/>
        <v>0.97259602799562239</v>
      </c>
      <c r="O40" s="98">
        <f t="shared" si="3"/>
        <v>2.7173782517851672E-2</v>
      </c>
      <c r="P40" s="99">
        <f t="shared" si="4"/>
        <v>2.5661106643808929E-2</v>
      </c>
      <c r="Q40" s="95">
        <f>'Ridership-25'!B32/'Revenue Miles-25'!B32</f>
        <v>0.76270122520155903</v>
      </c>
      <c r="R40" s="96">
        <f>'Ridership-25'!C32/'Revenue Miles-25'!C32</f>
        <v>0.4322966250764449</v>
      </c>
      <c r="S40" s="96">
        <f>'Ridership-25'!D32/'Revenue Miles-25'!D32</f>
        <v>0.43926607650153893</v>
      </c>
      <c r="T40" s="96">
        <f>'Ridership-25'!E32/'Revenue Miles-25'!E32</f>
        <v>0.56790094587284767</v>
      </c>
      <c r="U40" s="97">
        <f t="shared" si="5"/>
        <v>0.99166885616900835</v>
      </c>
      <c r="V40" s="98">
        <f t="shared" si="6"/>
        <v>2.770666654150129E-2</v>
      </c>
      <c r="W40" s="99">
        <f t="shared" si="7"/>
        <v>2.6263209725942163E-2</v>
      </c>
      <c r="X40" s="95">
        <f>'Op Cost-25'!B33/'Revenue Hours-25'!B32</f>
        <v>69.193957147306961</v>
      </c>
      <c r="Y40" s="96">
        <f>'Op Cost-25'!C33/'Revenue Hours-25'!C32</f>
        <v>71.568899422918378</v>
      </c>
      <c r="Z40" s="96">
        <f>'Op Cost-25'!D33/'Revenue Hours-25'!D32</f>
        <v>68.191964056482675</v>
      </c>
      <c r="AA40" s="96">
        <f>'Op Cost-25'!E33/'Revenue Hours-25'!E32</f>
        <v>90.06116622855366</v>
      </c>
      <c r="AB40" s="97">
        <f t="shared" si="8"/>
        <v>1.0722259277819035</v>
      </c>
      <c r="AC40" s="98">
        <f t="shared" si="9"/>
        <v>2.6057413144617018E-2</v>
      </c>
      <c r="AD40" s="99">
        <f t="shared" si="10"/>
        <v>2.7801053288997232E-2</v>
      </c>
      <c r="AE40" s="95">
        <f>'Op Cost-25'!B33/'Revenue Miles-25'!B32</f>
        <v>4.0405091674364728</v>
      </c>
      <c r="AF40" s="96">
        <f>'Op Cost-25'!C33/'Revenue Miles-25'!C32</f>
        <v>4.104999416812201</v>
      </c>
      <c r="AG40" s="96">
        <f>'Op Cost-25'!D33/'Revenue Miles-25'!D32</f>
        <v>4.1136964231161048</v>
      </c>
      <c r="AH40" s="96">
        <f>'Op Cost-25'!E33/'Revenue Miles-25'!E32</f>
        <v>5.6233045279945362</v>
      </c>
      <c r="AI40" s="97">
        <f t="shared" si="11"/>
        <v>1.1036725581218729</v>
      </c>
      <c r="AJ40" s="98">
        <f t="shared" si="12"/>
        <v>2.5314966634785298E-2</v>
      </c>
      <c r="AK40" s="99">
        <f t="shared" si="13"/>
        <v>2.6941808273899779E-2</v>
      </c>
      <c r="AL40" s="95">
        <f>'Op Cost-25'!B33/'Ridership-25'!B32</f>
        <v>5.2976303615726961</v>
      </c>
      <c r="AM40" s="96">
        <f>'Op Cost-25'!C33/'Ridership-25'!C32</f>
        <v>9.4957933481120662</v>
      </c>
      <c r="AN40" s="96">
        <f>'Op Cost-25'!D33/'Ridership-25'!D32</f>
        <v>9.3649308316247648</v>
      </c>
      <c r="AO40" s="96">
        <f>'Op Cost-25'!E33/'Ridership-25'!E32</f>
        <v>9.9019108329740089</v>
      </c>
      <c r="AP40" s="97">
        <f t="shared" si="14"/>
        <v>1.1267330999760947</v>
      </c>
      <c r="AQ40" s="98">
        <f t="shared" si="15"/>
        <v>2.4796852054116563E-2</v>
      </c>
      <c r="AR40" s="99">
        <f t="shared" si="16"/>
        <v>2.6930978516258693E-2</v>
      </c>
      <c r="AT40" s="101">
        <f t="shared" si="29"/>
        <v>0</v>
      </c>
      <c r="AU40" s="102">
        <f t="shared" si="17"/>
        <v>0</v>
      </c>
      <c r="AV40" s="102">
        <f t="shared" si="18"/>
        <v>0</v>
      </c>
      <c r="AW40" s="102">
        <f t="shared" si="19"/>
        <v>0</v>
      </c>
      <c r="AX40" s="103">
        <f t="shared" si="20"/>
        <v>0</v>
      </c>
      <c r="AY40" s="293">
        <f t="shared" si="30"/>
        <v>-1</v>
      </c>
      <c r="AZ40" s="105">
        <f t="shared" si="21"/>
        <v>0</v>
      </c>
      <c r="BA40" s="106">
        <f t="shared" si="21"/>
        <v>0</v>
      </c>
      <c r="BB40" s="106">
        <f t="shared" si="21"/>
        <v>0</v>
      </c>
      <c r="BC40" s="106">
        <f t="shared" si="21"/>
        <v>0</v>
      </c>
      <c r="BD40" s="106">
        <f t="shared" si="21"/>
        <v>0</v>
      </c>
      <c r="BE40" s="107">
        <f t="shared" si="31"/>
        <v>3415330.3925652057</v>
      </c>
      <c r="BG40" s="108">
        <f>'Op Cost-25'!E33</f>
        <v>12745096</v>
      </c>
      <c r="BH40" s="109">
        <f t="shared" si="22"/>
        <v>0.26797211983065533</v>
      </c>
      <c r="BI40" s="110">
        <f t="shared" si="23"/>
        <v>3415330.3925652057</v>
      </c>
      <c r="BJ40" s="111">
        <f t="shared" si="24"/>
        <v>0</v>
      </c>
      <c r="BK40" s="1">
        <f t="shared" si="32"/>
        <v>0.95803052927353283</v>
      </c>
      <c r="BL40" s="294">
        <f t="shared" si="33"/>
        <v>0.84963038024995641</v>
      </c>
      <c r="BM40" s="294">
        <f t="shared" si="34"/>
        <v>0.76543346373639032</v>
      </c>
      <c r="BN40" s="295">
        <f t="shared" si="35"/>
        <v>1.1085291365538923</v>
      </c>
      <c r="BO40" s="114">
        <f t="shared" si="25"/>
        <v>3415330.3925652057</v>
      </c>
      <c r="BP40" s="296">
        <f t="shared" si="36"/>
        <v>0.95803052927353283</v>
      </c>
      <c r="BQ40" s="116">
        <f t="shared" si="37"/>
        <v>2.6766830727853314E-2</v>
      </c>
      <c r="BR40" s="297">
        <f t="shared" si="38"/>
        <v>2.6766830727853314E-2</v>
      </c>
      <c r="BS40" s="302">
        <f t="shared" si="39"/>
        <v>3.0264398725013748E-2</v>
      </c>
      <c r="BT40" s="298">
        <f t="shared" si="40"/>
        <v>3676786.4878453412</v>
      </c>
      <c r="BU40" s="119">
        <f t="shared" si="41"/>
        <v>3823528.8</v>
      </c>
      <c r="BV40" s="119">
        <f t="shared" si="42"/>
        <v>3676786.4878453412</v>
      </c>
      <c r="BW40" s="119">
        <f t="shared" si="43"/>
        <v>0</v>
      </c>
      <c r="BX40" s="120">
        <f t="shared" si="44"/>
        <v>2.6766830727853314E-2</v>
      </c>
      <c r="BY40" s="121">
        <f t="shared" si="45"/>
        <v>5.3995790801372963E-2</v>
      </c>
      <c r="BZ40" s="299">
        <f t="shared" si="46"/>
        <v>3723768.6099485573</v>
      </c>
      <c r="CA40" s="109">
        <f t="shared" si="26"/>
        <v>3.1032895234488881E-2</v>
      </c>
      <c r="CB40" s="123">
        <f t="shared" si="57"/>
        <v>268095.18626057886</v>
      </c>
      <c r="CC40" s="111">
        <f t="shared" si="56"/>
        <v>3683426</v>
      </c>
      <c r="CE40" s="124">
        <f t="shared" si="28"/>
        <v>0</v>
      </c>
      <c r="CF40" s="17"/>
      <c r="CG40" s="108">
        <f t="shared" si="47"/>
        <v>12745096</v>
      </c>
      <c r="CH40" s="125">
        <f t="shared" si="48"/>
        <v>0.2890073170104015</v>
      </c>
      <c r="CI40" s="110">
        <f t="shared" si="49"/>
        <v>3676786.4878453412</v>
      </c>
      <c r="CJ40" s="300">
        <f t="shared" si="50"/>
        <v>0</v>
      </c>
      <c r="CL40" s="127">
        <f t="shared" si="51"/>
        <v>3676786.4878453412</v>
      </c>
      <c r="CM40" s="128">
        <f t="shared" si="52"/>
        <v>4.2793030661206072E-2</v>
      </c>
      <c r="CN40" s="129">
        <f t="shared" si="53"/>
        <v>37234.520725647548</v>
      </c>
      <c r="CO40" s="130">
        <f t="shared" si="55"/>
        <v>3714021</v>
      </c>
      <c r="CQ40" s="131">
        <f t="shared" si="54"/>
        <v>0.29217266075897408</v>
      </c>
      <c r="CR40" s="301"/>
    </row>
    <row r="41" spans="1:96">
      <c r="A41" s="133" t="s">
        <v>115</v>
      </c>
      <c r="B41" s="90" t="s">
        <v>119</v>
      </c>
      <c r="C41" s="208">
        <f>'Op Cost-25'!E34</f>
        <v>736481</v>
      </c>
      <c r="D41" s="92">
        <f>'Ridership-25'!$E33</f>
        <v>27254</v>
      </c>
      <c r="E41" s="92">
        <f>'Revenue Hours-25'!$E33</f>
        <v>18878</v>
      </c>
      <c r="F41" s="92">
        <f>'Revenue Miles-25'!$E33</f>
        <v>227896</v>
      </c>
      <c r="G41" s="134">
        <f t="shared" si="58"/>
        <v>1.8537294180871076E-3</v>
      </c>
      <c r="H41" s="94">
        <f t="shared" si="59"/>
        <v>1.853729418087108E-3</v>
      </c>
      <c r="J41" s="95">
        <f>'Ridership-25'!B33/'Revenue Hours-25'!B33</f>
        <v>3.4694402420574888</v>
      </c>
      <c r="K41" s="96">
        <f>'Ridership-25'!C33/'Revenue Hours-25'!C33</f>
        <v>2.0660778541053322</v>
      </c>
      <c r="L41" s="96">
        <f>'Ridership-25'!D33/'Revenue Hours-25'!D33</f>
        <v>1.5442640125720273</v>
      </c>
      <c r="M41" s="96">
        <f>'Ridership-25'!E33/'Revenue Hours-25'!E33</f>
        <v>1.4436910689691704</v>
      </c>
      <c r="N41" s="97">
        <f t="shared" si="2"/>
        <v>0.84040025493262005</v>
      </c>
      <c r="O41" s="98">
        <f t="shared" si="3"/>
        <v>1.5578746755365029E-3</v>
      </c>
      <c r="P41" s="99">
        <f t="shared" si="4"/>
        <v>1.4711528717199713E-3</v>
      </c>
      <c r="Q41" s="95">
        <f>'Ridership-25'!B33/'Revenue Miles-25'!B33</f>
        <v>0.3128535569419939</v>
      </c>
      <c r="R41" s="96">
        <f>'Ridership-25'!C33/'Revenue Miles-25'!C33</f>
        <v>0.17929853281414856</v>
      </c>
      <c r="S41" s="96">
        <f>'Ridership-25'!D33/'Revenue Miles-25'!D33</f>
        <v>0.13392938268912755</v>
      </c>
      <c r="T41" s="96">
        <f>'Ridership-25'!E33/'Revenue Miles-25'!E33</f>
        <v>0.11958963737845332</v>
      </c>
      <c r="U41" s="97">
        <f t="shared" si="5"/>
        <v>0.8130013884664985</v>
      </c>
      <c r="V41" s="98">
        <f t="shared" si="6"/>
        <v>1.5070845907460132E-3</v>
      </c>
      <c r="W41" s="99">
        <f t="shared" si="7"/>
        <v>1.4285687750350917E-3</v>
      </c>
      <c r="X41" s="95">
        <f>'Op Cost-25'!B34/'Revenue Hours-25'!B33</f>
        <v>37.011396873424104</v>
      </c>
      <c r="Y41" s="96">
        <f>'Op Cost-25'!C34/'Revenue Hours-25'!C33</f>
        <v>43.551303020390364</v>
      </c>
      <c r="Z41" s="96">
        <f>'Op Cost-25'!D34/'Revenue Hours-25'!D33</f>
        <v>41.282399161864852</v>
      </c>
      <c r="AA41" s="96">
        <f>'Op Cost-25'!E34/'Revenue Hours-25'!E33</f>
        <v>39.012660239432144</v>
      </c>
      <c r="AB41" s="97">
        <f t="shared" si="8"/>
        <v>0.97493531099601194</v>
      </c>
      <c r="AC41" s="98">
        <f t="shared" si="9"/>
        <v>1.9013870942814698E-3</v>
      </c>
      <c r="AD41" s="99">
        <f t="shared" si="10"/>
        <v>2.0286190205358419E-3</v>
      </c>
      <c r="AE41" s="95">
        <f>'Op Cost-25'!B34/'Revenue Miles-25'!B33</f>
        <v>3.3374683958746383</v>
      </c>
      <c r="AF41" s="96">
        <f>'Op Cost-25'!C34/'Revenue Miles-25'!C33</f>
        <v>3.7794726458078038</v>
      </c>
      <c r="AG41" s="96">
        <f>'Op Cost-25'!D34/'Revenue Miles-25'!D33</f>
        <v>3.5802985698449907</v>
      </c>
      <c r="AH41" s="96">
        <f>'Op Cost-25'!E34/'Revenue Miles-25'!E33</f>
        <v>3.2316539123108785</v>
      </c>
      <c r="AI41" s="97">
        <f t="shared" si="11"/>
        <v>0.95024092814342698</v>
      </c>
      <c r="AJ41" s="98">
        <f t="shared" si="12"/>
        <v>1.9507993848559119E-3</v>
      </c>
      <c r="AK41" s="99">
        <f t="shared" si="13"/>
        <v>2.076165604556222E-3</v>
      </c>
      <c r="AL41" s="95">
        <f>'Op Cost-25'!B34/'Ridership-25'!B33</f>
        <v>10.667829474265615</v>
      </c>
      <c r="AM41" s="96">
        <f>'Op Cost-25'!C34/'Ridership-25'!C33</f>
        <v>21.079216803884314</v>
      </c>
      <c r="AN41" s="96">
        <f>'Op Cost-25'!D34/'Ridership-25'!D33</f>
        <v>26.732734056987788</v>
      </c>
      <c r="AO41" s="96">
        <f>'Op Cost-25'!E34/'Ridership-25'!E33</f>
        <v>27.022859029867174</v>
      </c>
      <c r="AP41" s="100">
        <f t="shared" si="14"/>
        <v>1.2534142474100449</v>
      </c>
      <c r="AQ41" s="98">
        <f t="shared" si="15"/>
        <v>1.4789439500288962E-3</v>
      </c>
      <c r="AR41" s="99">
        <f t="shared" si="16"/>
        <v>1.6062283897188003E-3</v>
      </c>
      <c r="AT41" s="101">
        <f t="shared" si="29"/>
        <v>0</v>
      </c>
      <c r="AU41" s="102">
        <f t="shared" si="17"/>
        <v>0</v>
      </c>
      <c r="AV41" s="102">
        <f t="shared" si="18"/>
        <v>0</v>
      </c>
      <c r="AW41" s="102">
        <f t="shared" si="19"/>
        <v>0</v>
      </c>
      <c r="AX41" s="103">
        <f t="shared" si="20"/>
        <v>0</v>
      </c>
      <c r="AY41" s="293">
        <f t="shared" si="30"/>
        <v>-1</v>
      </c>
      <c r="AZ41" s="105">
        <f t="shared" si="21"/>
        <v>0</v>
      </c>
      <c r="BA41" s="106">
        <f t="shared" si="21"/>
        <v>0</v>
      </c>
      <c r="BB41" s="106">
        <f t="shared" si="21"/>
        <v>0</v>
      </c>
      <c r="BC41" s="106">
        <f t="shared" si="21"/>
        <v>0</v>
      </c>
      <c r="BD41" s="106">
        <f t="shared" si="21"/>
        <v>0</v>
      </c>
      <c r="BE41" s="107">
        <f t="shared" si="31"/>
        <v>226600.81176585535</v>
      </c>
      <c r="BG41" s="108">
        <f>'Op Cost-25'!E34</f>
        <v>736481</v>
      </c>
      <c r="BH41" s="109">
        <f t="shared" si="22"/>
        <v>0.30768045851265052</v>
      </c>
      <c r="BI41" s="110">
        <f t="shared" si="23"/>
        <v>220944.3</v>
      </c>
      <c r="BJ41" s="111">
        <f t="shared" si="24"/>
        <v>5656.5117658553645</v>
      </c>
      <c r="BK41" s="1">
        <f t="shared" si="32"/>
        <v>0.27710942103608438</v>
      </c>
      <c r="BL41" s="294">
        <f t="shared" si="33"/>
        <v>0.13486080497644132</v>
      </c>
      <c r="BM41" s="294">
        <f t="shared" si="34"/>
        <v>0.16118640236613313</v>
      </c>
      <c r="BN41" s="295">
        <f t="shared" si="35"/>
        <v>0.40619523840088151</v>
      </c>
      <c r="BO41" s="114">
        <f t="shared" si="25"/>
        <v>0</v>
      </c>
      <c r="BP41" s="296">
        <f t="shared" si="36"/>
        <v>0.27710942103608438</v>
      </c>
      <c r="BQ41" s="116">
        <f t="shared" si="37"/>
        <v>5.1368588580367612E-4</v>
      </c>
      <c r="BR41" s="297">
        <f t="shared" si="38"/>
        <v>0</v>
      </c>
      <c r="BS41" s="117">
        <f t="shared" si="39"/>
        <v>0</v>
      </c>
      <c r="BT41" s="298">
        <f t="shared" si="40"/>
        <v>220944.3</v>
      </c>
      <c r="BU41" s="119">
        <f t="shared" si="41"/>
        <v>220944.3</v>
      </c>
      <c r="BV41" s="119">
        <f t="shared" si="42"/>
        <v>220944.3</v>
      </c>
      <c r="BW41" s="119">
        <f t="shared" si="43"/>
        <v>0</v>
      </c>
      <c r="BX41" s="120">
        <f t="shared" si="44"/>
        <v>0</v>
      </c>
      <c r="BY41" s="121">
        <f t="shared" si="45"/>
        <v>0</v>
      </c>
      <c r="BZ41" s="299">
        <f t="shared" si="46"/>
        <v>220944.3</v>
      </c>
      <c r="CA41" s="109">
        <f t="shared" si="26"/>
        <v>0</v>
      </c>
      <c r="CB41" s="123">
        <f t="shared" si="57"/>
        <v>0</v>
      </c>
      <c r="CC41" s="111">
        <f t="shared" si="56"/>
        <v>220944</v>
      </c>
      <c r="CE41" s="124">
        <f t="shared" si="28"/>
        <v>0</v>
      </c>
      <c r="CF41" s="17"/>
      <c r="CG41" s="108">
        <f t="shared" si="47"/>
        <v>736481</v>
      </c>
      <c r="CH41" s="125">
        <f t="shared" si="48"/>
        <v>0.29999959265751597</v>
      </c>
      <c r="CI41" s="110">
        <f t="shared" si="49"/>
        <v>220944.3</v>
      </c>
      <c r="CJ41" s="300">
        <f t="shared" si="50"/>
        <v>0</v>
      </c>
      <c r="CL41" s="127">
        <f t="shared" si="51"/>
        <v>0</v>
      </c>
      <c r="CM41" s="128">
        <f t="shared" si="52"/>
        <v>0</v>
      </c>
      <c r="CN41" s="129">
        <f t="shared" si="53"/>
        <v>0</v>
      </c>
      <c r="CO41" s="130">
        <f t="shared" si="55"/>
        <v>220944</v>
      </c>
      <c r="CQ41" s="131">
        <f t="shared" si="54"/>
        <v>0.3</v>
      </c>
      <c r="CR41" s="301"/>
    </row>
    <row r="42" spans="1:96">
      <c r="A42" s="133" t="s">
        <v>120</v>
      </c>
      <c r="B42" s="90" t="s">
        <v>121</v>
      </c>
      <c r="C42" s="208">
        <f>'Op Cost-25'!E35</f>
        <v>3047407</v>
      </c>
      <c r="D42" s="92">
        <f>'Ridership-25'!$E34</f>
        <v>196967</v>
      </c>
      <c r="E42" s="92">
        <f>'Revenue Hours-25'!$E34</f>
        <v>37781</v>
      </c>
      <c r="F42" s="92">
        <f>'Revenue Miles-25'!$E34</f>
        <v>740596</v>
      </c>
      <c r="G42" s="134">
        <f t="shared" si="58"/>
        <v>6.4636896001761292E-3</v>
      </c>
      <c r="H42" s="94">
        <f t="shared" si="59"/>
        <v>6.4636896001761309E-3</v>
      </c>
      <c r="J42" s="95">
        <f>'Ridership-25'!B34/'Revenue Hours-25'!B34</f>
        <v>8.9718507404266425</v>
      </c>
      <c r="K42" s="96">
        <f>'Ridership-25'!C34/'Revenue Hours-25'!C34</f>
        <v>4.4820247253569612</v>
      </c>
      <c r="L42" s="96">
        <f>'Ridership-25'!D34/'Revenue Hours-25'!D34</f>
        <v>4.4056907707718551</v>
      </c>
      <c r="M42" s="96">
        <f>'Ridership-25'!E34/'Revenue Hours-25'!E34</f>
        <v>5.2133876816389186</v>
      </c>
      <c r="N42" s="97">
        <f t="shared" si="2"/>
        <v>0.90835246138830117</v>
      </c>
      <c r="O42" s="98">
        <f t="shared" si="3"/>
        <v>5.8713083579699527E-3</v>
      </c>
      <c r="P42" s="99">
        <f t="shared" si="4"/>
        <v>5.5444717647819388E-3</v>
      </c>
      <c r="Q42" s="95">
        <f>'Ridership-25'!B34/'Revenue Miles-25'!B34</f>
        <v>0.47298136165339449</v>
      </c>
      <c r="R42" s="96">
        <f>'Ridership-25'!C34/'Revenue Miles-25'!C34</f>
        <v>0.24753017027607868</v>
      </c>
      <c r="S42" s="96">
        <f>'Ridership-25'!D34/'Revenue Miles-25'!D34</f>
        <v>0.22914428374898088</v>
      </c>
      <c r="T42" s="96">
        <f>'Ridership-25'!E34/'Revenue Miles-25'!E34</f>
        <v>0.26595741807949275</v>
      </c>
      <c r="U42" s="97">
        <f t="shared" si="5"/>
        <v>0.90311901263706085</v>
      </c>
      <c r="V42" s="98">
        <f t="shared" si="6"/>
        <v>5.8374809697035058E-3</v>
      </c>
      <c r="W42" s="99">
        <f t="shared" si="7"/>
        <v>5.5333609602179245E-3</v>
      </c>
      <c r="X42" s="95">
        <f>'Op Cost-25'!B35/'Revenue Hours-25'!B34</f>
        <v>69.175941026811927</v>
      </c>
      <c r="Y42" s="96">
        <f>'Op Cost-25'!C35/'Revenue Hours-25'!C34</f>
        <v>68.510851019247468</v>
      </c>
      <c r="Z42" s="96">
        <f>'Op Cost-25'!D35/'Revenue Hours-25'!D34</f>
        <v>68.297046322116032</v>
      </c>
      <c r="AA42" s="96">
        <f>'Op Cost-25'!E35/'Revenue Hours-25'!E34</f>
        <v>80.659776077922771</v>
      </c>
      <c r="AB42" s="97">
        <f t="shared" si="8"/>
        <v>1.0248673110642346</v>
      </c>
      <c r="AC42" s="98">
        <f t="shared" si="9"/>
        <v>6.3068550732330005E-3</v>
      </c>
      <c r="AD42" s="99">
        <f t="shared" si="10"/>
        <v>6.7288802999677126E-3</v>
      </c>
      <c r="AE42" s="95">
        <f>'Op Cost-25'!B35/'Revenue Miles-25'!B34</f>
        <v>3.6468429677599077</v>
      </c>
      <c r="AF42" s="96">
        <f>'Op Cost-25'!C35/'Revenue Miles-25'!C34</f>
        <v>3.7836700281038187</v>
      </c>
      <c r="AG42" s="96">
        <f>'Op Cost-25'!D35/'Revenue Miles-25'!D34</f>
        <v>3.5521961426517614</v>
      </c>
      <c r="AH42" s="96">
        <f>'Op Cost-25'!E35/'Revenue Miles-25'!E34</f>
        <v>4.1148034826005002</v>
      </c>
      <c r="AI42" s="97">
        <f t="shared" si="11"/>
        <v>1.0132979492896574</v>
      </c>
      <c r="AJ42" s="98">
        <f t="shared" si="12"/>
        <v>6.3788637929320883E-3</v>
      </c>
      <c r="AK42" s="99">
        <f t="shared" si="13"/>
        <v>6.7887952527793264E-3</v>
      </c>
      <c r="AL42" s="95">
        <f>'Op Cost-25'!B35/'Ridership-25'!B34</f>
        <v>7.7103312380252964</v>
      </c>
      <c r="AM42" s="96">
        <f>'Op Cost-25'!C35/'Ridership-25'!C34</f>
        <v>15.285692341599267</v>
      </c>
      <c r="AN42" s="96">
        <f>'Op Cost-25'!D35/'Ridership-25'!D34</f>
        <v>15.502006353966314</v>
      </c>
      <c r="AO42" s="96">
        <f>'Op Cost-25'!E35/'Ridership-25'!E34</f>
        <v>15.471662765844025</v>
      </c>
      <c r="AP42" s="100">
        <f t="shared" si="14"/>
        <v>1.1399698582123643</v>
      </c>
      <c r="AQ42" s="98">
        <f t="shared" si="15"/>
        <v>5.6700530751857955E-3</v>
      </c>
      <c r="AR42" s="99">
        <f t="shared" si="16"/>
        <v>6.1580428524000983E-3</v>
      </c>
      <c r="AT42" s="101">
        <f t="shared" si="29"/>
        <v>0</v>
      </c>
      <c r="AU42" s="102">
        <f t="shared" si="17"/>
        <v>0</v>
      </c>
      <c r="AV42" s="102">
        <f t="shared" si="18"/>
        <v>0</v>
      </c>
      <c r="AW42" s="102">
        <f t="shared" si="19"/>
        <v>0</v>
      </c>
      <c r="AX42" s="103">
        <f t="shared" si="20"/>
        <v>0</v>
      </c>
      <c r="AY42" s="293">
        <f t="shared" si="30"/>
        <v>-1</v>
      </c>
      <c r="AZ42" s="105">
        <f t="shared" si="21"/>
        <v>0</v>
      </c>
      <c r="BA42" s="106">
        <f t="shared" si="21"/>
        <v>0</v>
      </c>
      <c r="BB42" s="106">
        <f t="shared" si="21"/>
        <v>0</v>
      </c>
      <c r="BC42" s="106">
        <f t="shared" si="21"/>
        <v>0</v>
      </c>
      <c r="BD42" s="106">
        <f t="shared" si="21"/>
        <v>0</v>
      </c>
      <c r="BE42" s="107">
        <f t="shared" si="31"/>
        <v>790124.65147899056</v>
      </c>
      <c r="BG42" s="108">
        <f>'Op Cost-25'!E35</f>
        <v>3047407</v>
      </c>
      <c r="BH42" s="109">
        <f t="shared" si="22"/>
        <v>0.25927769132216033</v>
      </c>
      <c r="BI42" s="110">
        <f t="shared" si="23"/>
        <v>790124.65147899056</v>
      </c>
      <c r="BJ42" s="111">
        <f t="shared" si="24"/>
        <v>0</v>
      </c>
      <c r="BK42" s="1">
        <f t="shared" si="32"/>
        <v>0.56609799877471101</v>
      </c>
      <c r="BL42" s="294">
        <f t="shared" si="33"/>
        <v>0.48700284604663008</v>
      </c>
      <c r="BM42" s="294">
        <f t="shared" si="34"/>
        <v>0.35846516757264407</v>
      </c>
      <c r="BN42" s="295">
        <f t="shared" si="35"/>
        <v>0.709461990739785</v>
      </c>
      <c r="BO42" s="114">
        <f t="shared" si="25"/>
        <v>790124.65147899056</v>
      </c>
      <c r="BP42" s="296">
        <f t="shared" si="36"/>
        <v>0.56609799877471101</v>
      </c>
      <c r="BQ42" s="116">
        <f t="shared" si="37"/>
        <v>3.6590817473606198E-3</v>
      </c>
      <c r="BR42" s="297">
        <f t="shared" si="38"/>
        <v>3.6590817473606198E-3</v>
      </c>
      <c r="BS42" s="117">
        <f t="shared" si="39"/>
        <v>4.137206608263372E-3</v>
      </c>
      <c r="BT42" s="298">
        <f t="shared" si="40"/>
        <v>825866.24657863751</v>
      </c>
      <c r="BU42" s="119">
        <f t="shared" si="41"/>
        <v>914222.1</v>
      </c>
      <c r="BV42" s="119">
        <f t="shared" si="42"/>
        <v>825866.24657863751</v>
      </c>
      <c r="BW42" s="119">
        <f t="shared" si="43"/>
        <v>0</v>
      </c>
      <c r="BX42" s="120">
        <f t="shared" si="44"/>
        <v>3.6590817473606198E-3</v>
      </c>
      <c r="BY42" s="121">
        <f t="shared" si="45"/>
        <v>7.381337542887046E-3</v>
      </c>
      <c r="BZ42" s="299">
        <f t="shared" si="46"/>
        <v>832288.80094034073</v>
      </c>
      <c r="CA42" s="109">
        <f t="shared" si="26"/>
        <v>7.1793509596938419E-3</v>
      </c>
      <c r="CB42" s="123">
        <f t="shared" si="57"/>
        <v>62022.876635438341</v>
      </c>
      <c r="CC42" s="111">
        <f t="shared" si="56"/>
        <v>852148</v>
      </c>
      <c r="CE42" s="124">
        <f t="shared" si="28"/>
        <v>0</v>
      </c>
      <c r="CF42" s="17"/>
      <c r="CG42" s="108">
        <f t="shared" si="47"/>
        <v>3047407</v>
      </c>
      <c r="CH42" s="125">
        <f t="shared" si="48"/>
        <v>0.27963051866718164</v>
      </c>
      <c r="CI42" s="110">
        <f t="shared" si="49"/>
        <v>825866.24657863751</v>
      </c>
      <c r="CJ42" s="300">
        <f t="shared" si="50"/>
        <v>0</v>
      </c>
      <c r="CL42" s="127">
        <f t="shared" si="51"/>
        <v>825866.24657863751</v>
      </c>
      <c r="CM42" s="128">
        <f t="shared" si="52"/>
        <v>9.612013025158123E-3</v>
      </c>
      <c r="CN42" s="129">
        <f t="shared" si="53"/>
        <v>8363.4809844140473</v>
      </c>
      <c r="CO42" s="130">
        <f t="shared" si="55"/>
        <v>834230</v>
      </c>
      <c r="CQ42" s="131">
        <f t="shared" si="54"/>
        <v>0.27311376555226813</v>
      </c>
      <c r="CR42" s="301"/>
    </row>
    <row r="43" spans="1:96">
      <c r="A43" s="133" t="s">
        <v>120</v>
      </c>
      <c r="B43" s="90" t="s">
        <v>122</v>
      </c>
      <c r="C43" s="208">
        <f>'Op Cost-25'!E36</f>
        <v>6578658</v>
      </c>
      <c r="D43" s="92">
        <f>'Ridership-25'!$E35</f>
        <v>1522746</v>
      </c>
      <c r="E43" s="92">
        <f>'Revenue Hours-25'!$E35</f>
        <v>72014</v>
      </c>
      <c r="F43" s="92">
        <f>'Revenue Miles-25'!$E35</f>
        <v>723645</v>
      </c>
      <c r="G43" s="134">
        <f t="shared" si="58"/>
        <v>1.9675579427727338E-2</v>
      </c>
      <c r="H43" s="94">
        <f t="shared" si="59"/>
        <v>1.9675579427727342E-2</v>
      </c>
      <c r="J43" s="95">
        <f>'Ridership-25'!B35/'Revenue Hours-25'!B35</f>
        <v>28.025032050011234</v>
      </c>
      <c r="K43" s="96">
        <f>'Ridership-25'!C35/'Revenue Hours-25'!C35</f>
        <v>6.5232631919715116</v>
      </c>
      <c r="L43" s="96">
        <f>'Ridership-25'!D35/'Revenue Hours-25'!D35</f>
        <v>18.24961092626382</v>
      </c>
      <c r="M43" s="96">
        <f>'Ridership-25'!E35/'Revenue Hours-25'!E35</f>
        <v>21.145138445302301</v>
      </c>
      <c r="N43" s="97">
        <f t="shared" si="2"/>
        <v>1.1978340749715837</v>
      </c>
      <c r="O43" s="98">
        <f t="shared" si="3"/>
        <v>2.3568079483341702E-2</v>
      </c>
      <c r="P43" s="99">
        <f t="shared" si="4"/>
        <v>2.225612134102007E-2</v>
      </c>
      <c r="Q43" s="95">
        <f>'Ridership-25'!B35/'Revenue Miles-25'!B35</f>
        <v>2.8699282943585609</v>
      </c>
      <c r="R43" s="96">
        <f>'Ridership-25'!C35/'Revenue Miles-25'!C35</f>
        <v>0.66929775146545356</v>
      </c>
      <c r="S43" s="96">
        <f>'Ridership-25'!D35/'Revenue Miles-25'!D35</f>
        <v>1.8049204125068334</v>
      </c>
      <c r="T43" s="96">
        <f>'Ridership-25'!E35/'Revenue Miles-25'!E35</f>
        <v>2.1042721223804488</v>
      </c>
      <c r="U43" s="97">
        <f t="shared" si="5"/>
        <v>1.1884918056903948</v>
      </c>
      <c r="V43" s="98">
        <f t="shared" si="6"/>
        <v>2.3384264922064454E-2</v>
      </c>
      <c r="W43" s="99">
        <f t="shared" si="7"/>
        <v>2.2165995790769485E-2</v>
      </c>
      <c r="X43" s="95">
        <f>'Op Cost-25'!B36/'Revenue Hours-25'!B35</f>
        <v>65.071448396177786</v>
      </c>
      <c r="Y43" s="96">
        <f>'Op Cost-25'!C36/'Revenue Hours-25'!C35</f>
        <v>76.682473292327614</v>
      </c>
      <c r="Z43" s="96">
        <f>'Op Cost-25'!D36/'Revenue Hours-25'!D35</f>
        <v>79.970349898035849</v>
      </c>
      <c r="AA43" s="96">
        <f>'Op Cost-25'!E36/'Revenue Hours-25'!E35</f>
        <v>91.352487016413477</v>
      </c>
      <c r="AB43" s="97">
        <f t="shared" si="8"/>
        <v>1.0776531680080332</v>
      </c>
      <c r="AC43" s="98">
        <f t="shared" si="9"/>
        <v>1.8257803170658587E-2</v>
      </c>
      <c r="AD43" s="99">
        <f t="shared" si="10"/>
        <v>1.9479529916129067E-2</v>
      </c>
      <c r="AE43" s="95">
        <f>'Op Cost-25'!B36/'Revenue Miles-25'!B35</f>
        <v>6.6636994588917435</v>
      </c>
      <c r="AF43" s="96">
        <f>'Op Cost-25'!C36/'Revenue Miles-25'!C35</f>
        <v>7.8677504557122129</v>
      </c>
      <c r="AG43" s="96">
        <f>'Op Cost-25'!D36/'Revenue Miles-25'!D35</f>
        <v>7.9092161202490328</v>
      </c>
      <c r="AH43" s="96">
        <f>'Op Cost-25'!E36/'Revenue Miles-25'!E35</f>
        <v>9.0910018033704372</v>
      </c>
      <c r="AI43" s="97">
        <f t="shared" si="11"/>
        <v>1.0712438771767705</v>
      </c>
      <c r="AJ43" s="98">
        <f t="shared" si="12"/>
        <v>1.8367040266854744E-2</v>
      </c>
      <c r="AK43" s="99">
        <f t="shared" si="13"/>
        <v>1.9547380194791016E-2</v>
      </c>
      <c r="AL43" s="95">
        <f>'Op Cost-25'!B36/'Ridership-25'!B35</f>
        <v>2.3219045130816078</v>
      </c>
      <c r="AM43" s="96">
        <f>'Op Cost-25'!C36/'Ridership-25'!C35</f>
        <v>11.755232164586637</v>
      </c>
      <c r="AN43" s="96">
        <f>'Op Cost-25'!D36/'Ridership-25'!D35</f>
        <v>4.3820304016973317</v>
      </c>
      <c r="AO43" s="96">
        <f>'Op Cost-25'!E36/'Ridership-25'!E35</f>
        <v>4.3202595836731801</v>
      </c>
      <c r="AP43" s="100">
        <f t="shared" si="14"/>
        <v>1.2919205262644085</v>
      </c>
      <c r="AQ43" s="98">
        <f t="shared" si="15"/>
        <v>1.5229713459712056E-2</v>
      </c>
      <c r="AR43" s="99">
        <f t="shared" si="16"/>
        <v>1.6540449775526708E-2</v>
      </c>
      <c r="AT43" s="101">
        <f t="shared" si="29"/>
        <v>0</v>
      </c>
      <c r="AU43" s="102">
        <f t="shared" si="17"/>
        <v>0</v>
      </c>
      <c r="AV43" s="102">
        <f t="shared" si="18"/>
        <v>0</v>
      </c>
      <c r="AW43" s="102">
        <f t="shared" si="19"/>
        <v>0</v>
      </c>
      <c r="AX43" s="103">
        <f t="shared" si="20"/>
        <v>0</v>
      </c>
      <c r="AY43" s="293">
        <f t="shared" si="30"/>
        <v>-1</v>
      </c>
      <c r="AZ43" s="105">
        <f t="shared" si="21"/>
        <v>0</v>
      </c>
      <c r="BA43" s="106">
        <f t="shared" si="21"/>
        <v>0</v>
      </c>
      <c r="BB43" s="106">
        <f t="shared" si="21"/>
        <v>0</v>
      </c>
      <c r="BC43" s="106">
        <f t="shared" si="21"/>
        <v>0</v>
      </c>
      <c r="BD43" s="106">
        <f t="shared" si="21"/>
        <v>0</v>
      </c>
      <c r="BE43" s="107">
        <f t="shared" si="31"/>
        <v>2405152.6758891148</v>
      </c>
      <c r="BG43" s="108">
        <f>'Op Cost-25'!E36</f>
        <v>6578658</v>
      </c>
      <c r="BH43" s="109">
        <f t="shared" si="22"/>
        <v>0.36559928725419605</v>
      </c>
      <c r="BI43" s="110">
        <f t="shared" si="23"/>
        <v>1973597.4</v>
      </c>
      <c r="BJ43" s="111">
        <f t="shared" si="24"/>
        <v>431555.27588911494</v>
      </c>
      <c r="BK43" s="1">
        <f t="shared" si="32"/>
        <v>2.473220737118575</v>
      </c>
      <c r="BL43" s="294">
        <f t="shared" si="33"/>
        <v>1.9752497285363904</v>
      </c>
      <c r="BM43" s="294">
        <f t="shared" si="34"/>
        <v>2.8361993600873867</v>
      </c>
      <c r="BN43" s="295">
        <f t="shared" si="35"/>
        <v>2.5407169299252614</v>
      </c>
      <c r="BO43" s="114">
        <f t="shared" si="25"/>
        <v>0</v>
      </c>
      <c r="BP43" s="296">
        <f t="shared" si="36"/>
        <v>2.473220737118575</v>
      </c>
      <c r="BQ43" s="116">
        <f t="shared" si="37"/>
        <v>4.866205105547889E-2</v>
      </c>
      <c r="BR43" s="297">
        <f t="shared" si="38"/>
        <v>0</v>
      </c>
      <c r="BS43" s="117">
        <f t="shared" si="39"/>
        <v>0</v>
      </c>
      <c r="BT43" s="298">
        <f t="shared" si="40"/>
        <v>1973597.4</v>
      </c>
      <c r="BU43" s="119">
        <f t="shared" si="41"/>
        <v>1973597.4</v>
      </c>
      <c r="BV43" s="119">
        <f t="shared" si="42"/>
        <v>1973597.4</v>
      </c>
      <c r="BW43" s="119">
        <f t="shared" si="43"/>
        <v>0</v>
      </c>
      <c r="BX43" s="120">
        <f t="shared" si="44"/>
        <v>0</v>
      </c>
      <c r="BY43" s="121">
        <f t="shared" si="45"/>
        <v>0</v>
      </c>
      <c r="BZ43" s="299">
        <f t="shared" si="46"/>
        <v>1973597.4</v>
      </c>
      <c r="CA43" s="109">
        <f t="shared" si="26"/>
        <v>0</v>
      </c>
      <c r="CB43" s="123">
        <f t="shared" si="57"/>
        <v>0</v>
      </c>
      <c r="CC43" s="111">
        <f t="shared" si="56"/>
        <v>1973597</v>
      </c>
      <c r="CE43" s="124">
        <f t="shared" si="28"/>
        <v>0</v>
      </c>
      <c r="CF43" s="17"/>
      <c r="CG43" s="108">
        <f t="shared" si="47"/>
        <v>6578658</v>
      </c>
      <c r="CH43" s="125">
        <f t="shared" si="48"/>
        <v>0.29999993919732565</v>
      </c>
      <c r="CI43" s="110">
        <f t="shared" si="49"/>
        <v>1973597.4</v>
      </c>
      <c r="CJ43" s="300">
        <f t="shared" si="50"/>
        <v>0</v>
      </c>
      <c r="CL43" s="127">
        <f t="shared" si="51"/>
        <v>0</v>
      </c>
      <c r="CM43" s="128">
        <f t="shared" si="52"/>
        <v>0</v>
      </c>
      <c r="CN43" s="129">
        <f t="shared" si="53"/>
        <v>0</v>
      </c>
      <c r="CO43" s="130">
        <f t="shared" si="55"/>
        <v>1973597</v>
      </c>
      <c r="CQ43" s="131">
        <f t="shared" si="54"/>
        <v>0.3</v>
      </c>
      <c r="CR43" s="301"/>
    </row>
    <row r="44" spans="1:96">
      <c r="A44" s="133" t="s">
        <v>120</v>
      </c>
      <c r="B44" s="90" t="s">
        <v>123</v>
      </c>
      <c r="C44" s="208">
        <f>'Op Cost-25'!E37</f>
        <v>1923269</v>
      </c>
      <c r="D44" s="92">
        <f>'Ridership-25'!$E36</f>
        <v>180625</v>
      </c>
      <c r="E44" s="92">
        <f>'Revenue Hours-25'!$E36</f>
        <v>20219</v>
      </c>
      <c r="F44" s="92">
        <f>'Revenue Miles-25'!$E36</f>
        <v>226791</v>
      </c>
      <c r="G44" s="93">
        <f t="shared" si="58"/>
        <v>3.8048347026038176E-3</v>
      </c>
      <c r="H44" s="94">
        <f t="shared" si="59"/>
        <v>3.8048347026038184E-3</v>
      </c>
      <c r="J44" s="95">
        <f>'Ridership-25'!B36/'Revenue Hours-25'!B36</f>
        <v>7.608599966141866</v>
      </c>
      <c r="K44" s="96">
        <f>'Ridership-25'!C36/'Revenue Hours-25'!C36</f>
        <v>5.1692512721104915</v>
      </c>
      <c r="L44" s="96">
        <f>'Ridership-25'!D36/'Revenue Hours-25'!D36</f>
        <v>7.7540727902946278</v>
      </c>
      <c r="M44" s="96">
        <f>'Ridership-25'!E36/'Revenue Hours-25'!E36</f>
        <v>8.9334289529650324</v>
      </c>
      <c r="N44" s="97">
        <f t="shared" si="2"/>
        <v>1.1500971386548942</v>
      </c>
      <c r="O44" s="98">
        <f t="shared" si="3"/>
        <v>4.3759295045194971E-3</v>
      </c>
      <c r="P44" s="99">
        <f t="shared" si="4"/>
        <v>4.1323357764969119E-3</v>
      </c>
      <c r="Q44" s="95">
        <f>'Ridership-25'!B36/'Revenue Miles-25'!B36</f>
        <v>0.70818473562300743</v>
      </c>
      <c r="R44" s="96">
        <f>'Ridership-25'!C36/'Revenue Miles-25'!C36</f>
        <v>0.48672727894958989</v>
      </c>
      <c r="S44" s="96">
        <f>'Ridership-25'!D36/'Revenue Miles-25'!D36</f>
        <v>0.72460145651246777</v>
      </c>
      <c r="T44" s="96">
        <f>'Ridership-25'!E36/'Revenue Miles-25'!E36</f>
        <v>0.79643813026090104</v>
      </c>
      <c r="U44" s="97">
        <f t="shared" si="5"/>
        <v>1.1400155949855248</v>
      </c>
      <c r="V44" s="98">
        <f t="shared" si="6"/>
        <v>4.3375708973104644E-3</v>
      </c>
      <c r="W44" s="99">
        <f t="shared" si="7"/>
        <v>4.1115929267987348E-3</v>
      </c>
      <c r="X44" s="95">
        <f>'Op Cost-25'!B37/'Revenue Hours-25'!B36</f>
        <v>63.818012527509737</v>
      </c>
      <c r="Y44" s="96">
        <f>'Op Cost-25'!C37/'Revenue Hours-25'!C36</f>
        <v>76.918100314998782</v>
      </c>
      <c r="Z44" s="96">
        <f>'Op Cost-25'!D37/'Revenue Hours-25'!D36</f>
        <v>82.248006932409012</v>
      </c>
      <c r="AA44" s="96">
        <f>'Op Cost-25'!E37/'Revenue Hours-25'!E36</f>
        <v>95.121865571986746</v>
      </c>
      <c r="AB44" s="97">
        <f t="shared" si="8"/>
        <v>1.0988498860626592</v>
      </c>
      <c r="AC44" s="98">
        <f t="shared" si="9"/>
        <v>3.4625609474621694E-3</v>
      </c>
      <c r="AD44" s="99">
        <f t="shared" si="10"/>
        <v>3.6942593220034448E-3</v>
      </c>
      <c r="AE44" s="95">
        <f>'Op Cost-25'!B37/'Revenue Miles-25'!B36</f>
        <v>5.9399814066841392</v>
      </c>
      <c r="AF44" s="96">
        <f>'Op Cost-25'!C37/'Revenue Miles-25'!C36</f>
        <v>7.2424681443287211</v>
      </c>
      <c r="AG44" s="96">
        <f>'Op Cost-25'!D37/'Revenue Miles-25'!D36</f>
        <v>7.6858996852680619</v>
      </c>
      <c r="AH44" s="96">
        <f>'Op Cost-25'!E37/'Revenue Miles-25'!E36</f>
        <v>8.480358568020776</v>
      </c>
      <c r="AI44" s="97">
        <f t="shared" si="11"/>
        <v>1.0842189748815474</v>
      </c>
      <c r="AJ44" s="98">
        <f t="shared" si="12"/>
        <v>3.5092862150097512E-3</v>
      </c>
      <c r="AK44" s="99">
        <f t="shared" si="13"/>
        <v>3.7348070707356089E-3</v>
      </c>
      <c r="AL44" s="95">
        <f>'Op Cost-25'!B37/'Ridership-25'!B36</f>
        <v>8.3876156995372018</v>
      </c>
      <c r="AM44" s="96">
        <f>'Op Cost-25'!C37/'Ridership-25'!C36</f>
        <v>14.879930625541988</v>
      </c>
      <c r="AN44" s="96">
        <f>'Op Cost-25'!D37/'Ridership-25'!D36</f>
        <v>10.607071813325586</v>
      </c>
      <c r="AO44" s="96">
        <f>'Op Cost-25'!E37/'Ridership-25'!E36</f>
        <v>10.647856055363322</v>
      </c>
      <c r="AP44" s="100">
        <f t="shared" si="14"/>
        <v>0.98408901154710049</v>
      </c>
      <c r="AQ44" s="98">
        <f t="shared" si="15"/>
        <v>3.8663521876158161E-3</v>
      </c>
      <c r="AR44" s="99">
        <f t="shared" si="16"/>
        <v>4.1991075106521617E-3</v>
      </c>
      <c r="AT44" s="101">
        <f t="shared" si="29"/>
        <v>0</v>
      </c>
      <c r="AU44" s="102">
        <f t="shared" si="17"/>
        <v>0</v>
      </c>
      <c r="AV44" s="102">
        <f t="shared" si="18"/>
        <v>0</v>
      </c>
      <c r="AW44" s="102">
        <f t="shared" si="19"/>
        <v>0</v>
      </c>
      <c r="AX44" s="103">
        <f t="shared" si="20"/>
        <v>0</v>
      </c>
      <c r="AY44" s="293">
        <f t="shared" si="30"/>
        <v>-1</v>
      </c>
      <c r="AZ44" s="105">
        <f t="shared" si="21"/>
        <v>0</v>
      </c>
      <c r="BA44" s="106">
        <f t="shared" si="21"/>
        <v>0</v>
      </c>
      <c r="BB44" s="106">
        <f t="shared" si="21"/>
        <v>0</v>
      </c>
      <c r="BC44" s="106">
        <f t="shared" si="21"/>
        <v>0</v>
      </c>
      <c r="BD44" s="106">
        <f t="shared" si="21"/>
        <v>0</v>
      </c>
      <c r="BE44" s="107">
        <f t="shared" si="31"/>
        <v>465104.89817581762</v>
      </c>
      <c r="BG44" s="108">
        <f>'Op Cost-25'!E37</f>
        <v>1923269</v>
      </c>
      <c r="BH44" s="109">
        <f t="shared" si="22"/>
        <v>0.24183039303176915</v>
      </c>
      <c r="BI44" s="110">
        <f t="shared" si="23"/>
        <v>465104.89817581762</v>
      </c>
      <c r="BJ44" s="111">
        <f t="shared" si="24"/>
        <v>0</v>
      </c>
      <c r="BK44" s="1">
        <f t="shared" si="32"/>
        <v>0.99242729499058147</v>
      </c>
      <c r="BL44" s="294">
        <f t="shared" si="33"/>
        <v>0.83450638830712265</v>
      </c>
      <c r="BM44" s="294">
        <f t="shared" si="34"/>
        <v>1.0734625485794298</v>
      </c>
      <c r="BN44" s="295">
        <f t="shared" si="35"/>
        <v>1.0308701215378866</v>
      </c>
      <c r="BO44" s="114">
        <f t="shared" si="25"/>
        <v>465104.89817581762</v>
      </c>
      <c r="BP44" s="296">
        <f t="shared" si="36"/>
        <v>0.99242729499058147</v>
      </c>
      <c r="BQ44" s="116">
        <f t="shared" si="37"/>
        <v>3.7760218117914011E-3</v>
      </c>
      <c r="BR44" s="297">
        <f t="shared" si="38"/>
        <v>3.7760218117914011E-3</v>
      </c>
      <c r="BS44" s="117">
        <f t="shared" si="39"/>
        <v>4.2694269959829834E-3</v>
      </c>
      <c r="BT44" s="298">
        <f t="shared" si="40"/>
        <v>501988.75374472758</v>
      </c>
      <c r="BU44" s="119">
        <f t="shared" si="41"/>
        <v>576980.69999999995</v>
      </c>
      <c r="BV44" s="119">
        <f t="shared" si="42"/>
        <v>501988.75374472758</v>
      </c>
      <c r="BW44" s="119">
        <f t="shared" si="43"/>
        <v>0</v>
      </c>
      <c r="BX44" s="120">
        <f t="shared" si="44"/>
        <v>3.7760218117914011E-3</v>
      </c>
      <c r="BY44" s="121">
        <f t="shared" si="45"/>
        <v>7.6172366420184561E-3</v>
      </c>
      <c r="BZ44" s="299">
        <f t="shared" si="46"/>
        <v>508616.56559252262</v>
      </c>
      <c r="CA44" s="109">
        <f t="shared" si="26"/>
        <v>4.2261069703704223E-3</v>
      </c>
      <c r="CB44" s="123">
        <f t="shared" si="57"/>
        <v>36509.611069721053</v>
      </c>
      <c r="CC44" s="111">
        <f t="shared" si="56"/>
        <v>501615</v>
      </c>
      <c r="CE44" s="124">
        <f t="shared" si="28"/>
        <v>0</v>
      </c>
      <c r="CF44" s="17"/>
      <c r="CG44" s="108">
        <f t="shared" si="47"/>
        <v>1923269</v>
      </c>
      <c r="CH44" s="125">
        <f t="shared" si="48"/>
        <v>0.26081374992265771</v>
      </c>
      <c r="CI44" s="110">
        <f t="shared" si="49"/>
        <v>501988.75374472758</v>
      </c>
      <c r="CJ44" s="300">
        <f t="shared" si="50"/>
        <v>0</v>
      </c>
      <c r="CL44" s="127">
        <f t="shared" si="51"/>
        <v>501988.75374472758</v>
      </c>
      <c r="CM44" s="128">
        <f t="shared" si="52"/>
        <v>5.8424986606082051E-3</v>
      </c>
      <c r="CN44" s="129">
        <f t="shared" si="53"/>
        <v>5083.5996915076421</v>
      </c>
      <c r="CO44" s="130">
        <f t="shared" si="55"/>
        <v>507072</v>
      </c>
      <c r="CQ44" s="131">
        <f t="shared" si="54"/>
        <v>0.26445420042257356</v>
      </c>
      <c r="CR44" s="301"/>
    </row>
    <row r="45" spans="1:96">
      <c r="A45" s="133" t="s">
        <v>124</v>
      </c>
      <c r="B45" s="90" t="s">
        <v>125</v>
      </c>
      <c r="C45" s="208">
        <f>'Op Cost-25'!E38</f>
        <v>5000804</v>
      </c>
      <c r="D45" s="92">
        <f>'Ridership-25'!$E37</f>
        <v>129839</v>
      </c>
      <c r="E45" s="92">
        <f>'Revenue Hours-25'!$E37</f>
        <v>61652</v>
      </c>
      <c r="F45" s="92">
        <f>'Revenue Miles-25'!$E37</f>
        <v>1393044</v>
      </c>
      <c r="G45" s="134">
        <f t="shared" si="58"/>
        <v>9.5865054207297049E-3</v>
      </c>
      <c r="H45" s="94">
        <f t="shared" si="59"/>
        <v>9.5865054207297067E-3</v>
      </c>
      <c r="J45" s="95">
        <f>'Ridership-25'!B37/'Revenue Hours-25'!B37</f>
        <v>2.3373679249962795</v>
      </c>
      <c r="K45" s="96">
        <f>'Ridership-25'!C37/'Revenue Hours-25'!C37</f>
        <v>1.944317205840252</v>
      </c>
      <c r="L45" s="96">
        <f>'Ridership-25'!D37/'Revenue Hours-25'!D37</f>
        <v>2.0984220777077214</v>
      </c>
      <c r="M45" s="96">
        <f>'Ridership-25'!E37/'Revenue Hours-25'!E37</f>
        <v>2.1059981833517161</v>
      </c>
      <c r="N45" s="97">
        <f t="shared" si="2"/>
        <v>1.0987525202440334</v>
      </c>
      <c r="O45" s="98">
        <f t="shared" si="3"/>
        <v>1.0533196991359852E-2</v>
      </c>
      <c r="P45" s="99">
        <f t="shared" si="4"/>
        <v>9.9468482578001297E-3</v>
      </c>
      <c r="Q45" s="95">
        <f>'Ridership-25'!B37/'Revenue Miles-25'!B37</f>
        <v>9.8864253896849164E-2</v>
      </c>
      <c r="R45" s="96">
        <f>'Ridership-25'!C37/'Revenue Miles-25'!C37</f>
        <v>8.4847547858705061E-2</v>
      </c>
      <c r="S45" s="96">
        <f>'Ridership-25'!D37/'Revenue Miles-25'!D37</f>
        <v>9.06701755136681E-2</v>
      </c>
      <c r="T45" s="96">
        <f>'Ridership-25'!E37/'Revenue Miles-25'!E37</f>
        <v>9.3205239748349655E-2</v>
      </c>
      <c r="U45" s="97">
        <f t="shared" si="5"/>
        <v>1.1181230609285835</v>
      </c>
      <c r="V45" s="98">
        <f t="shared" si="6"/>
        <v>1.0718892784634757E-2</v>
      </c>
      <c r="W45" s="99">
        <f t="shared" si="7"/>
        <v>1.0160461880575873E-2</v>
      </c>
      <c r="X45" s="95">
        <f>'Op Cost-25'!B38/'Revenue Hours-25'!B37</f>
        <v>59.71751244274683</v>
      </c>
      <c r="Y45" s="96">
        <f>'Op Cost-25'!C38/'Revenue Hours-25'!C37</f>
        <v>69.859111079301456</v>
      </c>
      <c r="Z45" s="96">
        <f>'Op Cost-25'!D38/'Revenue Hours-25'!D37</f>
        <v>76.546396857359781</v>
      </c>
      <c r="AA45" s="96">
        <f>'Op Cost-25'!E38/'Revenue Hours-25'!E37</f>
        <v>81.113410757153048</v>
      </c>
      <c r="AB45" s="97">
        <f t="shared" si="8"/>
        <v>1.0632798059501944</v>
      </c>
      <c r="AC45" s="98">
        <f t="shared" si="9"/>
        <v>9.0159761965598276E-3</v>
      </c>
      <c r="AD45" s="99">
        <f t="shared" si="10"/>
        <v>9.619283130745877E-3</v>
      </c>
      <c r="AE45" s="95">
        <f>'Op Cost-25'!B38/'Revenue Miles-25'!B37</f>
        <v>2.5258870240710474</v>
      </c>
      <c r="AF45" s="96">
        <f>'Op Cost-25'!C38/'Revenue Miles-25'!C37</f>
        <v>3.0485633994613872</v>
      </c>
      <c r="AG45" s="96">
        <f>'Op Cost-25'!D38/'Revenue Miles-25'!D37</f>
        <v>3.3074734162048824</v>
      </c>
      <c r="AH45" s="96">
        <f>'Op Cost-25'!E38/'Revenue Miles-25'!E37</f>
        <v>3.5898392297730726</v>
      </c>
      <c r="AI45" s="97">
        <f t="shared" si="11"/>
        <v>1.082538952054394</v>
      </c>
      <c r="AJ45" s="98">
        <f t="shared" si="12"/>
        <v>8.8555754991881501E-3</v>
      </c>
      <c r="AK45" s="99">
        <f t="shared" si="13"/>
        <v>9.4246704211069943E-3</v>
      </c>
      <c r="AL45" s="95">
        <f>'Op Cost-25'!B38/'Ridership-25'!B37</f>
        <v>25.549042495242542</v>
      </c>
      <c r="AM45" s="96">
        <f>'Op Cost-25'!C38/'Ridership-25'!C37</f>
        <v>35.929893985128473</v>
      </c>
      <c r="AN45" s="96">
        <f>'Op Cost-25'!D38/'Ridership-25'!D37</f>
        <v>36.47807448774924</v>
      </c>
      <c r="AO45" s="96">
        <f>'Op Cost-25'!E38/'Ridership-25'!E37</f>
        <v>38.515422946880371</v>
      </c>
      <c r="AP45" s="100">
        <f t="shared" si="14"/>
        <v>1.0843817382136312</v>
      </c>
      <c r="AQ45" s="98">
        <f t="shared" si="15"/>
        <v>8.8405264335437335E-3</v>
      </c>
      <c r="AR45" s="99">
        <f t="shared" si="16"/>
        <v>9.601381132354609E-3</v>
      </c>
      <c r="AT45" s="101">
        <f t="shared" si="29"/>
        <v>0</v>
      </c>
      <c r="AU45" s="102">
        <f t="shared" si="17"/>
        <v>0</v>
      </c>
      <c r="AV45" s="102">
        <f t="shared" si="18"/>
        <v>0</v>
      </c>
      <c r="AW45" s="102">
        <f t="shared" si="19"/>
        <v>0</v>
      </c>
      <c r="AX45" s="103">
        <f t="shared" si="20"/>
        <v>0</v>
      </c>
      <c r="AY45" s="293">
        <f t="shared" si="30"/>
        <v>-1</v>
      </c>
      <c r="AZ45" s="105">
        <f t="shared" si="21"/>
        <v>0</v>
      </c>
      <c r="BA45" s="106">
        <f t="shared" si="21"/>
        <v>0</v>
      </c>
      <c r="BB45" s="106">
        <f t="shared" si="21"/>
        <v>0</v>
      </c>
      <c r="BC45" s="106">
        <f t="shared" si="21"/>
        <v>0</v>
      </c>
      <c r="BD45" s="106">
        <f t="shared" si="21"/>
        <v>0</v>
      </c>
      <c r="BE45" s="107">
        <f t="shared" si="31"/>
        <v>1171859.2201966371</v>
      </c>
      <c r="BG45" s="108">
        <f>'Op Cost-25'!E38</f>
        <v>5000804</v>
      </c>
      <c r="BH45" s="109">
        <f t="shared" si="22"/>
        <v>0.2343341631059</v>
      </c>
      <c r="BI45" s="110">
        <f t="shared" si="23"/>
        <v>1171859.2201966371</v>
      </c>
      <c r="BJ45" s="111">
        <f t="shared" si="24"/>
        <v>0</v>
      </c>
      <c r="BK45" s="1">
        <f t="shared" si="32"/>
        <v>0.22308415911139129</v>
      </c>
      <c r="BL45" s="294">
        <f t="shared" si="33"/>
        <v>0.19672949178007318</v>
      </c>
      <c r="BM45" s="294">
        <f t="shared" si="34"/>
        <v>0.12562474145787642</v>
      </c>
      <c r="BN45" s="295">
        <f t="shared" si="35"/>
        <v>0.28499120160380781</v>
      </c>
      <c r="BO45" s="114">
        <f t="shared" si="25"/>
        <v>1171859.2201966371</v>
      </c>
      <c r="BP45" s="296">
        <f t="shared" si="36"/>
        <v>0.22308415911139129</v>
      </c>
      <c r="BQ45" s="116">
        <f t="shared" si="37"/>
        <v>2.1385975006002812E-3</v>
      </c>
      <c r="BR45" s="297">
        <f t="shared" si="38"/>
        <v>2.1385975006002812E-3</v>
      </c>
      <c r="BS45" s="117">
        <f t="shared" si="39"/>
        <v>2.4180437396024703E-3</v>
      </c>
      <c r="BT45" s="298">
        <f t="shared" si="40"/>
        <v>1192748.8562378946</v>
      </c>
      <c r="BU45" s="119">
        <f t="shared" si="41"/>
        <v>1500241.2</v>
      </c>
      <c r="BV45" s="119">
        <f t="shared" si="42"/>
        <v>1192748.8562378946</v>
      </c>
      <c r="BW45" s="119">
        <f t="shared" si="43"/>
        <v>0</v>
      </c>
      <c r="BX45" s="120">
        <f t="shared" si="44"/>
        <v>2.1385975006002812E-3</v>
      </c>
      <c r="BY45" s="121">
        <f t="shared" si="45"/>
        <v>4.3141178880990718E-3</v>
      </c>
      <c r="BZ45" s="299">
        <f t="shared" si="46"/>
        <v>1196502.6009349939</v>
      </c>
      <c r="CA45" s="109">
        <f t="shared" si="26"/>
        <v>1.0647925743610988E-2</v>
      </c>
      <c r="CB45" s="123">
        <f t="shared" si="57"/>
        <v>91988.118219457436</v>
      </c>
      <c r="CC45" s="111">
        <f t="shared" si="56"/>
        <v>1263847</v>
      </c>
      <c r="CE45" s="124">
        <f t="shared" si="28"/>
        <v>0</v>
      </c>
      <c r="CF45" s="17"/>
      <c r="CG45" s="108">
        <f t="shared" si="47"/>
        <v>5000804</v>
      </c>
      <c r="CH45" s="125">
        <f t="shared" si="48"/>
        <v>0.25272876121519661</v>
      </c>
      <c r="CI45" s="110">
        <f t="shared" si="49"/>
        <v>1192748.8562378946</v>
      </c>
      <c r="CJ45" s="300">
        <f t="shared" si="50"/>
        <v>0</v>
      </c>
      <c r="CL45" s="127">
        <f t="shared" si="51"/>
        <v>1192748.8562378946</v>
      </c>
      <c r="CM45" s="128">
        <f t="shared" si="52"/>
        <v>1.3882051227298157E-2</v>
      </c>
      <c r="CN45" s="129">
        <f t="shared" si="53"/>
        <v>12078.871632850278</v>
      </c>
      <c r="CO45" s="130">
        <f t="shared" si="55"/>
        <v>1204828</v>
      </c>
      <c r="CQ45" s="131">
        <f t="shared" si="54"/>
        <v>0.23926204684986532</v>
      </c>
      <c r="CR45" s="301"/>
    </row>
    <row r="46" spans="1:96">
      <c r="A46" s="133" t="s">
        <v>124</v>
      </c>
      <c r="B46" s="90" t="s">
        <v>126</v>
      </c>
      <c r="C46" s="208">
        <f>'Op Cost-25'!E39</f>
        <v>716454</v>
      </c>
      <c r="D46" s="92">
        <f>'Ridership-25'!$E38</f>
        <v>28422</v>
      </c>
      <c r="E46" s="92">
        <f>'Revenue Hours-25'!$E38</f>
        <v>15538</v>
      </c>
      <c r="F46" s="92">
        <f>'Revenue Miles-25'!$E38</f>
        <v>418259</v>
      </c>
      <c r="G46" s="134">
        <f t="shared" si="58"/>
        <v>2.1879918167440186E-3</v>
      </c>
      <c r="H46" s="94">
        <f t="shared" si="59"/>
        <v>2.187991816744019E-3</v>
      </c>
      <c r="J46" s="95">
        <f>'Ridership-25'!B38/'Revenue Hours-25'!B38</f>
        <v>2.6155528221948887</v>
      </c>
      <c r="K46" s="96">
        <f>'Ridership-25'!C38/'Revenue Hours-25'!C38</f>
        <v>1.3983089137029627</v>
      </c>
      <c r="L46" s="96">
        <f>'Ridership-25'!D38/'Revenue Hours-25'!D38</f>
        <v>1.5445728965960179</v>
      </c>
      <c r="M46" s="96">
        <f>'Ridership-25'!E38/'Revenue Hours-25'!E38</f>
        <v>1.8291929463251384</v>
      </c>
      <c r="N46" s="97">
        <f t="shared" si="2"/>
        <v>0.9628227167983846</v>
      </c>
      <c r="O46" s="98">
        <f t="shared" si="3"/>
        <v>2.1066482253301096E-3</v>
      </c>
      <c r="P46" s="99">
        <f t="shared" si="4"/>
        <v>1.9893779872446186E-3</v>
      </c>
      <c r="Q46" s="95">
        <f>'Ridership-25'!B38/'Revenue Miles-25'!B38</f>
        <v>9.9669556205390739E-2</v>
      </c>
      <c r="R46" s="96">
        <f>'Ridership-25'!C38/'Revenue Miles-25'!C38</f>
        <v>5.2832581392513109E-2</v>
      </c>
      <c r="S46" s="96">
        <f>'Ridership-25'!D38/'Revenue Miles-25'!D38</f>
        <v>5.8014121779238044E-2</v>
      </c>
      <c r="T46" s="96">
        <f>'Ridership-25'!E38/'Revenue Miles-25'!E38</f>
        <v>6.7953110393320887E-2</v>
      </c>
      <c r="U46" s="97">
        <f t="shared" si="5"/>
        <v>0.95607670597072658</v>
      </c>
      <c r="V46" s="98">
        <f t="shared" si="6"/>
        <v>2.0918880088435276E-3</v>
      </c>
      <c r="W46" s="99">
        <f t="shared" si="7"/>
        <v>1.98290521225814E-3</v>
      </c>
      <c r="X46" s="95">
        <f>'Op Cost-25'!B39/'Revenue Hours-25'!B38</f>
        <v>27.952507858411916</v>
      </c>
      <c r="Y46" s="96">
        <f>'Op Cost-25'!C39/'Revenue Hours-25'!C38</f>
        <v>37.360937197444009</v>
      </c>
      <c r="Z46" s="96">
        <f>'Op Cost-25'!D39/'Revenue Hours-25'!D38</f>
        <v>36.826011560693644</v>
      </c>
      <c r="AA46" s="96">
        <f>'Op Cost-25'!E39/'Revenue Hours-25'!E38</f>
        <v>46.109795340455655</v>
      </c>
      <c r="AB46" s="97">
        <f t="shared" si="8"/>
        <v>1.1411124095025229</v>
      </c>
      <c r="AC46" s="98">
        <f t="shared" si="9"/>
        <v>1.9174200530321912E-3</v>
      </c>
      <c r="AD46" s="99">
        <f t="shared" si="10"/>
        <v>2.0457248298552592E-3</v>
      </c>
      <c r="AE46" s="95">
        <f>'Op Cost-25'!B39/'Revenue Miles-25'!B38</f>
        <v>1.0651721614773884</v>
      </c>
      <c r="AF46" s="96">
        <f>'Op Cost-25'!C39/'Revenue Miles-25'!C38</f>
        <v>1.4116156566272406</v>
      </c>
      <c r="AG46" s="96">
        <f>'Op Cost-25'!D39/'Revenue Miles-25'!D38</f>
        <v>1.3831841307289821</v>
      </c>
      <c r="AH46" s="96">
        <f>'Op Cost-25'!E39/'Revenue Miles-25'!E38</f>
        <v>1.712943415443541</v>
      </c>
      <c r="AI46" s="97">
        <f t="shared" si="11"/>
        <v>1.1332954104973407</v>
      </c>
      <c r="AJ46" s="98">
        <f t="shared" si="12"/>
        <v>1.9306456167362668E-3</v>
      </c>
      <c r="AK46" s="99">
        <f t="shared" si="13"/>
        <v>2.0547166741859166E-3</v>
      </c>
      <c r="AL46" s="95">
        <f>'Op Cost-25'!B39/'Ridership-25'!B38</f>
        <v>10.687036262932386</v>
      </c>
      <c r="AM46" s="96">
        <f>'Op Cost-25'!C39/'Ridership-25'!C38</f>
        <v>26.718657680945348</v>
      </c>
      <c r="AN46" s="96">
        <f>'Op Cost-25'!D39/'Ridership-25'!D38</f>
        <v>23.842197180755957</v>
      </c>
      <c r="AO46" s="96">
        <f>'Op Cost-25'!E39/'Ridership-25'!E38</f>
        <v>25.207726409119697</v>
      </c>
      <c r="AP46" s="100">
        <f t="shared" si="14"/>
        <v>1.1857221120855641</v>
      </c>
      <c r="AQ46" s="98">
        <f t="shared" si="15"/>
        <v>1.8452821233936212E-3</v>
      </c>
      <c r="AR46" s="99">
        <f t="shared" si="16"/>
        <v>2.0040952421337631E-3</v>
      </c>
      <c r="AT46" s="101">
        <f t="shared" si="29"/>
        <v>0</v>
      </c>
      <c r="AU46" s="102">
        <f t="shared" si="17"/>
        <v>0</v>
      </c>
      <c r="AV46" s="102">
        <f t="shared" si="18"/>
        <v>0</v>
      </c>
      <c r="AW46" s="102">
        <f t="shared" si="19"/>
        <v>0</v>
      </c>
      <c r="AX46" s="103">
        <f t="shared" si="20"/>
        <v>0</v>
      </c>
      <c r="AY46" s="293">
        <f t="shared" si="30"/>
        <v>-1</v>
      </c>
      <c r="AZ46" s="105">
        <f t="shared" si="21"/>
        <v>0</v>
      </c>
      <c r="BA46" s="106">
        <f t="shared" si="21"/>
        <v>0</v>
      </c>
      <c r="BB46" s="106">
        <f t="shared" si="21"/>
        <v>0</v>
      </c>
      <c r="BC46" s="106">
        <f t="shared" si="21"/>
        <v>0</v>
      </c>
      <c r="BD46" s="106">
        <f t="shared" si="21"/>
        <v>0</v>
      </c>
      <c r="BE46" s="107">
        <f t="shared" si="31"/>
        <v>267461.21465929353</v>
      </c>
      <c r="BG46" s="108">
        <f>'Op Cost-25'!E39</f>
        <v>716454</v>
      </c>
      <c r="BH46" s="109">
        <f t="shared" si="22"/>
        <v>0.37331247317942745</v>
      </c>
      <c r="BI46" s="110">
        <f t="shared" si="23"/>
        <v>214936.19999999998</v>
      </c>
      <c r="BJ46" s="111">
        <f t="shared" si="24"/>
        <v>52525.014659293549</v>
      </c>
      <c r="BK46" s="1">
        <f t="shared" si="32"/>
        <v>0.2833373737254602</v>
      </c>
      <c r="BL46" s="294">
        <f t="shared" si="33"/>
        <v>0.17087203661568437</v>
      </c>
      <c r="BM46" s="294">
        <f t="shared" si="34"/>
        <v>9.1589184765447973E-2</v>
      </c>
      <c r="BN46" s="295">
        <f t="shared" si="35"/>
        <v>0.43544413676035421</v>
      </c>
      <c r="BO46" s="114">
        <f t="shared" si="25"/>
        <v>0</v>
      </c>
      <c r="BP46" s="296">
        <f t="shared" si="36"/>
        <v>0.2833373737254602</v>
      </c>
      <c r="BQ46" s="116">
        <f t="shared" si="37"/>
        <v>6.1993985508904874E-4</v>
      </c>
      <c r="BR46" s="297">
        <f t="shared" si="38"/>
        <v>0</v>
      </c>
      <c r="BS46" s="117">
        <f t="shared" si="39"/>
        <v>0</v>
      </c>
      <c r="BT46" s="298">
        <f t="shared" si="40"/>
        <v>214936.19999999998</v>
      </c>
      <c r="BU46" s="119">
        <f t="shared" si="41"/>
        <v>214936.19999999998</v>
      </c>
      <c r="BV46" s="119">
        <f t="shared" si="42"/>
        <v>214936.19999999998</v>
      </c>
      <c r="BW46" s="119">
        <f t="shared" si="43"/>
        <v>0</v>
      </c>
      <c r="BX46" s="120">
        <f t="shared" si="44"/>
        <v>0</v>
      </c>
      <c r="BY46" s="121">
        <f t="shared" si="45"/>
        <v>0</v>
      </c>
      <c r="BZ46" s="299">
        <f t="shared" si="46"/>
        <v>214936.19999999998</v>
      </c>
      <c r="CA46" s="109">
        <f t="shared" si="26"/>
        <v>0</v>
      </c>
      <c r="CB46" s="123">
        <f t="shared" si="57"/>
        <v>0</v>
      </c>
      <c r="CC46" s="111">
        <f t="shared" si="56"/>
        <v>214936</v>
      </c>
      <c r="CE46" s="124">
        <f t="shared" si="28"/>
        <v>0</v>
      </c>
      <c r="CF46" s="17"/>
      <c r="CG46" s="108">
        <f t="shared" si="47"/>
        <v>716454</v>
      </c>
      <c r="CH46" s="125">
        <f t="shared" si="48"/>
        <v>0.29999972084739562</v>
      </c>
      <c r="CI46" s="110">
        <f t="shared" si="49"/>
        <v>214936.19999999998</v>
      </c>
      <c r="CJ46" s="300">
        <f t="shared" si="50"/>
        <v>0</v>
      </c>
      <c r="CL46" s="127">
        <f t="shared" si="51"/>
        <v>0</v>
      </c>
      <c r="CM46" s="128">
        <f t="shared" si="52"/>
        <v>0</v>
      </c>
      <c r="CN46" s="129">
        <f t="shared" si="53"/>
        <v>0</v>
      </c>
      <c r="CO46" s="130">
        <f t="shared" si="55"/>
        <v>214936</v>
      </c>
      <c r="CQ46" s="131">
        <f t="shared" si="54"/>
        <v>0.3</v>
      </c>
      <c r="CR46" s="301"/>
    </row>
    <row r="47" spans="1:96">
      <c r="A47" s="133" t="s">
        <v>124</v>
      </c>
      <c r="B47" s="90" t="s">
        <v>127</v>
      </c>
      <c r="C47" s="208">
        <f>'Op Cost-25'!E40</f>
        <v>8616129</v>
      </c>
      <c r="D47" s="92">
        <f>'Ridership-25'!$E39</f>
        <v>222118</v>
      </c>
      <c r="E47" s="92">
        <f>'Revenue Hours-25'!$E39</f>
        <v>86457</v>
      </c>
      <c r="F47" s="92">
        <f>'Revenue Miles-25'!$E39</f>
        <v>1402006</v>
      </c>
      <c r="G47" s="134">
        <f t="shared" si="58"/>
        <v>1.3481523132245588E-2</v>
      </c>
      <c r="H47" s="94">
        <f t="shared" si="59"/>
        <v>1.3481523132245592E-2</v>
      </c>
      <c r="J47" s="95">
        <f>'Ridership-25'!B39/'Revenue Hours-25'!B39</f>
        <v>2.8967768637798126</v>
      </c>
      <c r="K47" s="96">
        <f>'Ridership-25'!C39/'Revenue Hours-25'!C39</f>
        <v>2.1946189886707304</v>
      </c>
      <c r="L47" s="96">
        <f>'Ridership-25'!D39/'Revenue Hours-25'!D39</f>
        <v>2.3000506032439341</v>
      </c>
      <c r="M47" s="96">
        <f>'Ridership-25'!E39/'Revenue Hours-25'!E39</f>
        <v>2.5691152827417096</v>
      </c>
      <c r="N47" s="97">
        <f t="shared" si="2"/>
        <v>1.074118069474993</v>
      </c>
      <c r="O47" s="98">
        <f t="shared" si="3"/>
        <v>1.4480747600390096E-2</v>
      </c>
      <c r="P47" s="99">
        <f t="shared" si="4"/>
        <v>1.3674651595212228E-2</v>
      </c>
      <c r="Q47" s="95">
        <f>'Ridership-25'!B39/'Revenue Miles-25'!B39</f>
        <v>0.17887553870187622</v>
      </c>
      <c r="R47" s="96">
        <f>'Ridership-25'!C39/'Revenue Miles-25'!C39</f>
        <v>0.13508021153120933</v>
      </c>
      <c r="S47" s="96">
        <f>'Ridership-25'!D39/'Revenue Miles-25'!D39</f>
        <v>0.14506873798932982</v>
      </c>
      <c r="T47" s="96">
        <f>'Ridership-25'!E39/'Revenue Miles-25'!E39</f>
        <v>0.15842870857899324</v>
      </c>
      <c r="U47" s="97">
        <f t="shared" si="5"/>
        <v>1.0715098961184502</v>
      </c>
      <c r="V47" s="98">
        <f t="shared" si="6"/>
        <v>1.4445585450950958E-2</v>
      </c>
      <c r="W47" s="99">
        <f t="shared" si="7"/>
        <v>1.369300199805944E-2</v>
      </c>
      <c r="X47" s="95">
        <f>'Op Cost-25'!B40/'Revenue Hours-25'!B39</f>
        <v>82.421987686895335</v>
      </c>
      <c r="Y47" s="96">
        <f>'Op Cost-25'!C40/'Revenue Hours-25'!C39</f>
        <v>132.58479715436326</v>
      </c>
      <c r="Z47" s="96">
        <f>'Op Cost-25'!D40/'Revenue Hours-25'!D39</f>
        <v>102.20353157376088</v>
      </c>
      <c r="AA47" s="96">
        <f>'Op Cost-25'!E40/'Revenue Hours-25'!E39</f>
        <v>99.657968701204069</v>
      </c>
      <c r="AB47" s="97">
        <f t="shared" si="8"/>
        <v>1.0447289457201427</v>
      </c>
      <c r="AC47" s="98">
        <f t="shared" si="9"/>
        <v>1.2904326224973728E-2</v>
      </c>
      <c r="AD47" s="99">
        <f t="shared" si="10"/>
        <v>1.3767823346394269E-2</v>
      </c>
      <c r="AE47" s="95">
        <f>'Op Cost-25'!B40/'Revenue Miles-25'!B39</f>
        <v>5.0895454298593386</v>
      </c>
      <c r="AF47" s="96">
        <f>'Op Cost-25'!C40/'Revenue Miles-25'!C39</f>
        <v>8.1606796158642627</v>
      </c>
      <c r="AG47" s="96">
        <f>'Op Cost-25'!D40/'Revenue Miles-25'!D39</f>
        <v>6.4461787590877941</v>
      </c>
      <c r="AH47" s="96">
        <f>'Op Cost-25'!E40/'Revenue Miles-25'!E39</f>
        <v>6.1455721302191293</v>
      </c>
      <c r="AI47" s="97">
        <f t="shared" si="11"/>
        <v>1.0414417240324765</v>
      </c>
      <c r="AJ47" s="98">
        <f t="shared" si="12"/>
        <v>1.2945057626503527E-2</v>
      </c>
      <c r="AK47" s="99">
        <f t="shared" si="13"/>
        <v>1.3776959128542028E-2</v>
      </c>
      <c r="AL47" s="95">
        <f>'Op Cost-25'!B40/'Ridership-25'!B39</f>
        <v>28.452998474776663</v>
      </c>
      <c r="AM47" s="96">
        <f>'Op Cost-25'!C40/'Ridership-25'!C39</f>
        <v>60.413583332143318</v>
      </c>
      <c r="AN47" s="96">
        <f>'Op Cost-25'!D40/'Ridership-25'!D39</f>
        <v>44.435340435386756</v>
      </c>
      <c r="AO47" s="96">
        <f>'Op Cost-25'!E40/'Ridership-25'!E39</f>
        <v>38.790773372711804</v>
      </c>
      <c r="AP47" s="100">
        <f t="shared" si="14"/>
        <v>0.98675734644543533</v>
      </c>
      <c r="AQ47" s="98">
        <f t="shared" si="15"/>
        <v>1.3662450227312372E-2</v>
      </c>
      <c r="AR47" s="99">
        <f t="shared" si="16"/>
        <v>1.4838300956436137E-2</v>
      </c>
      <c r="AT47" s="101">
        <f t="shared" si="29"/>
        <v>0</v>
      </c>
      <c r="AU47" s="102">
        <f t="shared" si="17"/>
        <v>0</v>
      </c>
      <c r="AV47" s="102">
        <f t="shared" si="18"/>
        <v>0</v>
      </c>
      <c r="AW47" s="102">
        <f t="shared" si="19"/>
        <v>0</v>
      </c>
      <c r="AX47" s="103">
        <f t="shared" si="20"/>
        <v>0</v>
      </c>
      <c r="AY47" s="293">
        <f t="shared" si="30"/>
        <v>-1</v>
      </c>
      <c r="AZ47" s="105">
        <f t="shared" si="21"/>
        <v>0</v>
      </c>
      <c r="BA47" s="106">
        <f t="shared" si="21"/>
        <v>0</v>
      </c>
      <c r="BB47" s="106">
        <f t="shared" si="21"/>
        <v>0</v>
      </c>
      <c r="BC47" s="106">
        <f t="shared" si="21"/>
        <v>0</v>
      </c>
      <c r="BD47" s="106">
        <f t="shared" si="21"/>
        <v>0</v>
      </c>
      <c r="BE47" s="107">
        <f t="shared" si="31"/>
        <v>1647988.1345139525</v>
      </c>
      <c r="BG47" s="108">
        <f>'Op Cost-25'!E40</f>
        <v>8616129</v>
      </c>
      <c r="BH47" s="109">
        <f t="shared" si="22"/>
        <v>0.19126781116136407</v>
      </c>
      <c r="BI47" s="110">
        <f t="shared" si="23"/>
        <v>1647988.1345139525</v>
      </c>
      <c r="BJ47" s="111">
        <f t="shared" si="24"/>
        <v>0</v>
      </c>
      <c r="BK47" s="1">
        <f t="shared" si="32"/>
        <v>0.25486559218950777</v>
      </c>
      <c r="BL47" s="294">
        <f t="shared" si="33"/>
        <v>0.2399910635695866</v>
      </c>
      <c r="BM47" s="294">
        <f t="shared" si="34"/>
        <v>0.21353483568603426</v>
      </c>
      <c r="BN47" s="295">
        <f t="shared" si="35"/>
        <v>0.28296823475120508</v>
      </c>
      <c r="BO47" s="114">
        <f t="shared" si="25"/>
        <v>1647988.1345139525</v>
      </c>
      <c r="BP47" s="296">
        <f t="shared" si="36"/>
        <v>0.25486559218950777</v>
      </c>
      <c r="BQ47" s="116">
        <f t="shared" si="37"/>
        <v>3.4359763767163203E-3</v>
      </c>
      <c r="BR47" s="297">
        <f t="shared" si="38"/>
        <v>3.4359763767163203E-3</v>
      </c>
      <c r="BS47" s="117">
        <f t="shared" si="39"/>
        <v>3.884948507051381E-3</v>
      </c>
      <c r="BT47" s="298">
        <f t="shared" si="40"/>
        <v>1681550.4555845682</v>
      </c>
      <c r="BU47" s="119">
        <f t="shared" si="41"/>
        <v>2584838.6999999997</v>
      </c>
      <c r="BV47" s="119">
        <f t="shared" si="42"/>
        <v>1681550.4555845682</v>
      </c>
      <c r="BW47" s="119">
        <f t="shared" si="43"/>
        <v>0</v>
      </c>
      <c r="BX47" s="120">
        <f t="shared" si="44"/>
        <v>3.4359763767163203E-3</v>
      </c>
      <c r="BY47" s="121">
        <f t="shared" si="45"/>
        <v>6.9312748872646665E-3</v>
      </c>
      <c r="BZ47" s="299">
        <f t="shared" si="46"/>
        <v>1687581.4072245271</v>
      </c>
      <c r="CA47" s="109">
        <f t="shared" si="26"/>
        <v>1.4974200808619383E-2</v>
      </c>
      <c r="CB47" s="123">
        <f t="shared" si="57"/>
        <v>129363.08792833923</v>
      </c>
      <c r="CC47" s="111">
        <f t="shared" si="56"/>
        <v>1777351</v>
      </c>
      <c r="CE47" s="124">
        <f t="shared" si="28"/>
        <v>0</v>
      </c>
      <c r="CF47" s="17"/>
      <c r="CG47" s="108">
        <f t="shared" si="47"/>
        <v>8616129</v>
      </c>
      <c r="CH47" s="125">
        <f t="shared" si="48"/>
        <v>0.20628184652295711</v>
      </c>
      <c r="CI47" s="110">
        <f t="shared" si="49"/>
        <v>1681550.4555845682</v>
      </c>
      <c r="CJ47" s="300">
        <f t="shared" si="50"/>
        <v>0</v>
      </c>
      <c r="CL47" s="127">
        <f t="shared" si="51"/>
        <v>1681550.4555845682</v>
      </c>
      <c r="CM47" s="128">
        <f t="shared" si="52"/>
        <v>1.9571068497470583E-2</v>
      </c>
      <c r="CN47" s="129">
        <f t="shared" si="53"/>
        <v>17028.926073533632</v>
      </c>
      <c r="CO47" s="130">
        <f t="shared" si="55"/>
        <v>1698579</v>
      </c>
      <c r="CQ47" s="131">
        <f t="shared" si="54"/>
        <v>0.1958630618488334</v>
      </c>
      <c r="CR47" s="301"/>
    </row>
    <row r="48" spans="1:96" ht="16.5" customHeight="1">
      <c r="A48" s="133" t="s">
        <v>124</v>
      </c>
      <c r="B48" s="90" t="s">
        <v>128</v>
      </c>
      <c r="C48" s="208">
        <f>'Op Cost-25'!E41</f>
        <v>170603</v>
      </c>
      <c r="D48" s="92">
        <f>'Ridership-25'!$E40</f>
        <v>11675</v>
      </c>
      <c r="E48" s="92">
        <f>'Revenue Hours-25'!$E40</f>
        <v>5322</v>
      </c>
      <c r="F48" s="92">
        <f>'Revenue Miles-25'!$E40</f>
        <v>60529</v>
      </c>
      <c r="G48" s="93">
        <f t="shared" si="58"/>
        <v>5.19117937920835E-4</v>
      </c>
      <c r="H48" s="94">
        <f t="shared" si="59"/>
        <v>5.1911793792083511E-4</v>
      </c>
      <c r="J48" s="95">
        <f>'Ridership-25'!B40/'Revenue Hours-25'!B40</f>
        <v>2.6243417203042716</v>
      </c>
      <c r="K48" s="96">
        <f>'Ridership-25'!C40/'Revenue Hours-25'!C40</f>
        <v>2.06749490079733</v>
      </c>
      <c r="L48" s="96">
        <f>'Ridership-25'!D40/'Revenue Hours-25'!D40</f>
        <v>2.1966604823747682</v>
      </c>
      <c r="M48" s="96">
        <f>'Ridership-25'!E40/'Revenue Hours-25'!E40</f>
        <v>2.1937241638481773</v>
      </c>
      <c r="N48" s="97">
        <f t="shared" si="2"/>
        <v>1.0644651232169628</v>
      </c>
      <c r="O48" s="98">
        <f t="shared" si="3"/>
        <v>5.5258293975303746E-4</v>
      </c>
      <c r="P48" s="99">
        <f t="shared" si="4"/>
        <v>5.218224491653577E-4</v>
      </c>
      <c r="Q48" s="95">
        <f>'Ridership-25'!B40/'Revenue Miles-25'!B40</f>
        <v>0.22349384582163678</v>
      </c>
      <c r="R48" s="96">
        <f>'Ridership-25'!C40/'Revenue Miles-25'!C40</f>
        <v>0.21433239783168659</v>
      </c>
      <c r="S48" s="96">
        <f>'Ridership-25'!D40/'Revenue Miles-25'!D40</f>
        <v>0.21260549470281917</v>
      </c>
      <c r="T48" s="96">
        <f>'Ridership-25'!E40/'Revenue Miles-25'!E40</f>
        <v>0.19288275041715541</v>
      </c>
      <c r="U48" s="97">
        <f t="shared" si="5"/>
        <v>1.1286096730909378</v>
      </c>
      <c r="V48" s="98">
        <f t="shared" si="6"/>
        <v>5.8588152621247551E-4</v>
      </c>
      <c r="W48" s="99">
        <f t="shared" si="7"/>
        <v>5.5535837825980395E-4</v>
      </c>
      <c r="X48" s="95">
        <f>'Op Cost-25'!B41/'Revenue Hours-25'!B40</f>
        <v>28.064170079968793</v>
      </c>
      <c r="Y48" s="96">
        <f>'Op Cost-25'!C41/'Revenue Hours-25'!C40</f>
        <v>27.145188206934915</v>
      </c>
      <c r="Z48" s="96">
        <f>'Op Cost-25'!D41/'Revenue Hours-25'!D40</f>
        <v>30.05751391465677</v>
      </c>
      <c r="AA48" s="96">
        <f>'Op Cost-25'!E41/'Revenue Hours-25'!E40</f>
        <v>32.056181886508831</v>
      </c>
      <c r="AB48" s="97">
        <f t="shared" si="8"/>
        <v>1.0142681961187796</v>
      </c>
      <c r="AC48" s="98">
        <f t="shared" si="9"/>
        <v>5.1181525745094142E-4</v>
      </c>
      <c r="AD48" s="99">
        <f t="shared" si="10"/>
        <v>5.4606353929092567E-4</v>
      </c>
      <c r="AE48" s="95">
        <f>'Op Cost-25'!B41/'Revenue Miles-25'!B40</f>
        <v>2.3899971762204539</v>
      </c>
      <c r="AF48" s="96">
        <f>'Op Cost-25'!C41/'Revenue Miles-25'!C40</f>
        <v>2.8140786590288722</v>
      </c>
      <c r="AG48" s="96">
        <f>'Op Cost-25'!D41/'Revenue Miles-25'!D40</f>
        <v>2.9091398814868019</v>
      </c>
      <c r="AH48" s="96">
        <f>'Op Cost-25'!E41/'Revenue Miles-25'!E40</f>
        <v>2.8185332650465065</v>
      </c>
      <c r="AI48" s="97">
        <f t="shared" si="11"/>
        <v>1.0155039326167026</v>
      </c>
      <c r="AJ48" s="98">
        <f t="shared" si="12"/>
        <v>5.1119244470397714E-4</v>
      </c>
      <c r="AK48" s="99">
        <f t="shared" si="13"/>
        <v>5.4404372855684292E-4</v>
      </c>
      <c r="AL48" s="95">
        <f>'Op Cost-25'!B41/'Ridership-25'!B40</f>
        <v>10.693794128576737</v>
      </c>
      <c r="AM48" s="96">
        <f>'Op Cost-25'!C41/'Ridership-25'!C40</f>
        <v>13.129506726457398</v>
      </c>
      <c r="AN48" s="96">
        <f>'Op Cost-25'!D41/'Ridership-25'!D40</f>
        <v>13.683277027027026</v>
      </c>
      <c r="AO48" s="96">
        <f>'Op Cost-25'!E41/'Ridership-25'!E40</f>
        <v>14.612676659528908</v>
      </c>
      <c r="AP48" s="100">
        <f t="shared" si="14"/>
        <v>1.0760456886888583</v>
      </c>
      <c r="AQ48" s="98">
        <f t="shared" si="15"/>
        <v>4.8243113036712288E-4</v>
      </c>
      <c r="AR48" s="99">
        <f t="shared" si="16"/>
        <v>5.2395128136172053E-4</v>
      </c>
      <c r="AT48" s="101">
        <f t="shared" si="29"/>
        <v>0</v>
      </c>
      <c r="AU48" s="102">
        <f t="shared" si="17"/>
        <v>0</v>
      </c>
      <c r="AV48" s="102">
        <f t="shared" si="18"/>
        <v>0</v>
      </c>
      <c r="AW48" s="102">
        <f t="shared" si="19"/>
        <v>0</v>
      </c>
      <c r="AX48" s="103">
        <f t="shared" si="20"/>
        <v>0</v>
      </c>
      <c r="AY48" s="293">
        <f t="shared" si="30"/>
        <v>-1</v>
      </c>
      <c r="AZ48" s="105">
        <f t="shared" si="21"/>
        <v>0</v>
      </c>
      <c r="BA48" s="106">
        <f t="shared" si="21"/>
        <v>0</v>
      </c>
      <c r="BB48" s="106">
        <f t="shared" si="21"/>
        <v>0</v>
      </c>
      <c r="BC48" s="106">
        <f t="shared" si="21"/>
        <v>0</v>
      </c>
      <c r="BD48" s="106">
        <f t="shared" si="21"/>
        <v>0</v>
      </c>
      <c r="BE48" s="107">
        <f t="shared" si="31"/>
        <v>63457.236524014908</v>
      </c>
      <c r="BG48" s="108">
        <f>'Op Cost-25'!E41</f>
        <v>170603</v>
      </c>
      <c r="BH48" s="109">
        <f t="shared" si="22"/>
        <v>0.37195850321515395</v>
      </c>
      <c r="BI48" s="110">
        <f t="shared" si="23"/>
        <v>51180.9</v>
      </c>
      <c r="BJ48" s="111">
        <f t="shared" si="24"/>
        <v>12276.336524014907</v>
      </c>
      <c r="BK48" s="1">
        <f t="shared" si="32"/>
        <v>0.49180769814657255</v>
      </c>
      <c r="BL48" s="294">
        <f t="shared" si="33"/>
        <v>0.20492431725305185</v>
      </c>
      <c r="BM48" s="294">
        <f t="shared" si="34"/>
        <v>0.25997299849516559</v>
      </c>
      <c r="BN48" s="295">
        <f t="shared" si="35"/>
        <v>0.75116673841903636</v>
      </c>
      <c r="BO48" s="114">
        <f t="shared" si="25"/>
        <v>0</v>
      </c>
      <c r="BP48" s="296">
        <f t="shared" si="36"/>
        <v>0.49180769814657255</v>
      </c>
      <c r="BQ48" s="116">
        <f t="shared" si="37"/>
        <v>2.5530619811544127E-4</v>
      </c>
      <c r="BR48" s="297">
        <f t="shared" si="38"/>
        <v>0</v>
      </c>
      <c r="BS48" s="117">
        <f t="shared" si="39"/>
        <v>0</v>
      </c>
      <c r="BT48" s="298">
        <f t="shared" si="40"/>
        <v>51180.9</v>
      </c>
      <c r="BU48" s="119">
        <f t="shared" si="41"/>
        <v>51180.9</v>
      </c>
      <c r="BV48" s="119">
        <f t="shared" si="42"/>
        <v>51180.9</v>
      </c>
      <c r="BW48" s="119">
        <f t="shared" si="43"/>
        <v>0</v>
      </c>
      <c r="BX48" s="120">
        <f t="shared" si="44"/>
        <v>0</v>
      </c>
      <c r="BY48" s="121">
        <f t="shared" si="45"/>
        <v>0</v>
      </c>
      <c r="BZ48" s="299">
        <f t="shared" si="46"/>
        <v>51180.9</v>
      </c>
      <c r="CA48" s="109">
        <f t="shared" si="26"/>
        <v>0</v>
      </c>
      <c r="CB48" s="123">
        <f t="shared" si="57"/>
        <v>0</v>
      </c>
      <c r="CC48" s="111">
        <f t="shared" si="56"/>
        <v>51181</v>
      </c>
      <c r="CE48" s="124">
        <f t="shared" si="28"/>
        <v>1</v>
      </c>
      <c r="CF48" s="17"/>
      <c r="CG48" s="108">
        <f t="shared" si="47"/>
        <v>170603</v>
      </c>
      <c r="CH48" s="125">
        <f t="shared" si="48"/>
        <v>0.30000058615616371</v>
      </c>
      <c r="CI48" s="110">
        <f t="shared" si="49"/>
        <v>51180.9</v>
      </c>
      <c r="CJ48" s="300">
        <f t="shared" si="50"/>
        <v>0</v>
      </c>
      <c r="CL48" s="127">
        <f t="shared" si="51"/>
        <v>0</v>
      </c>
      <c r="CM48" s="128">
        <f t="shared" si="52"/>
        <v>0</v>
      </c>
      <c r="CN48" s="129">
        <f t="shared" si="53"/>
        <v>0</v>
      </c>
      <c r="CO48" s="130">
        <f t="shared" si="55"/>
        <v>51181</v>
      </c>
      <c r="CQ48" s="131">
        <f t="shared" si="54"/>
        <v>0.3</v>
      </c>
      <c r="CR48" s="301"/>
    </row>
    <row r="49" spans="1:96">
      <c r="A49" s="133" t="s">
        <v>124</v>
      </c>
      <c r="B49" s="90" t="s">
        <v>129</v>
      </c>
      <c r="C49" s="208">
        <f>'Op Cost-25'!E42</f>
        <v>1347958</v>
      </c>
      <c r="D49" s="92">
        <f>'Ridership-25'!$E41</f>
        <v>61663</v>
      </c>
      <c r="E49" s="92">
        <f>'Revenue Hours-25'!$E41</f>
        <v>18247</v>
      </c>
      <c r="F49" s="92">
        <f>'Revenue Miles-25'!$E41</f>
        <v>313578</v>
      </c>
      <c r="G49" s="134">
        <f t="shared" si="58"/>
        <v>2.689118576102695E-3</v>
      </c>
      <c r="H49" s="94">
        <f t="shared" si="59"/>
        <v>2.6891185761026954E-3</v>
      </c>
      <c r="J49" s="95">
        <f>'Ridership-25'!B41/'Revenue Hours-25'!B41</f>
        <v>2.3018086155869781</v>
      </c>
      <c r="K49" s="96">
        <f>'Ridership-25'!C41/'Revenue Hours-25'!C41</f>
        <v>1.8714498597475455</v>
      </c>
      <c r="L49" s="96">
        <f>'Ridership-25'!D41/'Revenue Hours-25'!D41</f>
        <v>2.7255388346838654</v>
      </c>
      <c r="M49" s="96">
        <f>'Ridership-25'!E41/'Revenue Hours-25'!E41</f>
        <v>3.379350030141941</v>
      </c>
      <c r="N49" s="97">
        <f t="shared" si="2"/>
        <v>1.2499873812155375</v>
      </c>
      <c r="O49" s="98">
        <f t="shared" si="3"/>
        <v>3.3613642867206632E-3</v>
      </c>
      <c r="P49" s="99">
        <f t="shared" si="4"/>
        <v>3.1742480964350121E-3</v>
      </c>
      <c r="Q49" s="95">
        <f>'Ridership-25'!B41/'Revenue Miles-25'!B41</f>
        <v>0.15794010138539991</v>
      </c>
      <c r="R49" s="96">
        <f>'Ridership-25'!C41/'Revenue Miles-25'!C41</f>
        <v>0.12054951539089166</v>
      </c>
      <c r="S49" s="96">
        <f>'Ridership-25'!D41/'Revenue Miles-25'!D41</f>
        <v>0.1590504069225078</v>
      </c>
      <c r="T49" s="96">
        <f>'Ridership-25'!E41/'Revenue Miles-25'!E41</f>
        <v>0.19664325941233121</v>
      </c>
      <c r="U49" s="97">
        <f t="shared" si="5"/>
        <v>1.1819101496945379</v>
      </c>
      <c r="V49" s="98">
        <f t="shared" si="6"/>
        <v>3.1782965388278991E-3</v>
      </c>
      <c r="W49" s="99">
        <f t="shared" si="7"/>
        <v>3.0127142305423739E-3</v>
      </c>
      <c r="X49" s="95">
        <f>'Op Cost-25'!B42/'Revenue Hours-25'!B41</f>
        <v>30.822514523731229</v>
      </c>
      <c r="Y49" s="96">
        <f>'Op Cost-25'!C42/'Revenue Hours-25'!C41</f>
        <v>53.352691093969142</v>
      </c>
      <c r="Z49" s="96">
        <f>'Op Cost-25'!D42/'Revenue Hours-25'!D41</f>
        <v>79.509949837384923</v>
      </c>
      <c r="AA49" s="96">
        <f>'Op Cost-25'!E42/'Revenue Hours-25'!E41</f>
        <v>73.872855811914292</v>
      </c>
      <c r="AB49" s="97">
        <f t="shared" si="8"/>
        <v>1.3009553130389218</v>
      </c>
      <c r="AC49" s="98">
        <f t="shared" si="9"/>
        <v>2.0670337782941533E-3</v>
      </c>
      <c r="AD49" s="99">
        <f t="shared" si="10"/>
        <v>2.2053500054507293E-3</v>
      </c>
      <c r="AE49" s="95">
        <f>'Op Cost-25'!B42/'Revenue Miles-25'!B41</f>
        <v>2.1149069631011295</v>
      </c>
      <c r="AF49" s="96">
        <f>'Op Cost-25'!C42/'Revenue Miles-25'!C41</f>
        <v>3.4367156686984583</v>
      </c>
      <c r="AG49" s="96">
        <f>'Op Cost-25'!D42/'Revenue Miles-25'!D41</f>
        <v>4.639849454756007</v>
      </c>
      <c r="AH49" s="96">
        <f>'Op Cost-25'!E42/'Revenue Miles-25'!E41</f>
        <v>4.2986370217298404</v>
      </c>
      <c r="AI49" s="97">
        <f t="shared" si="11"/>
        <v>1.2285075855666157</v>
      </c>
      <c r="AJ49" s="98">
        <f t="shared" si="12"/>
        <v>2.1889311939921096E-3</v>
      </c>
      <c r="AK49" s="99">
        <f t="shared" si="13"/>
        <v>2.3296007221379499E-3</v>
      </c>
      <c r="AL49" s="95">
        <f>'Op Cost-25'!B42/'Ridership-25'!B41</f>
        <v>13.390563539910664</v>
      </c>
      <c r="AM49" s="96">
        <f>'Op Cost-25'!C42/'Ridership-25'!C41</f>
        <v>28.508747277453804</v>
      </c>
      <c r="AN49" s="96">
        <f>'Op Cost-25'!D42/'Ridership-25'!D41</f>
        <v>29.17219480624545</v>
      </c>
      <c r="AO49" s="96">
        <f>'Op Cost-25'!E42/'Ridership-25'!E41</f>
        <v>21.860078166809917</v>
      </c>
      <c r="AP49" s="100">
        <f t="shared" si="14"/>
        <v>1.0579537896315043</v>
      </c>
      <c r="AQ49" s="98">
        <f t="shared" si="15"/>
        <v>2.5418109963378853E-3</v>
      </c>
      <c r="AR49" s="99">
        <f t="shared" si="16"/>
        <v>2.7605704621446749E-3</v>
      </c>
      <c r="AT49" s="101">
        <f t="shared" si="29"/>
        <v>0</v>
      </c>
      <c r="AU49" s="102">
        <f t="shared" si="17"/>
        <v>0</v>
      </c>
      <c r="AV49" s="102">
        <f t="shared" si="18"/>
        <v>0</v>
      </c>
      <c r="AW49" s="102">
        <f t="shared" si="19"/>
        <v>0</v>
      </c>
      <c r="AX49" s="103">
        <f t="shared" si="20"/>
        <v>0</v>
      </c>
      <c r="AY49" s="293">
        <f t="shared" si="30"/>
        <v>-1</v>
      </c>
      <c r="AZ49" s="105">
        <f t="shared" si="21"/>
        <v>0</v>
      </c>
      <c r="BA49" s="106">
        <f t="shared" si="21"/>
        <v>0</v>
      </c>
      <c r="BB49" s="106">
        <f t="shared" si="21"/>
        <v>0</v>
      </c>
      <c r="BC49" s="106">
        <f t="shared" si="21"/>
        <v>0</v>
      </c>
      <c r="BD49" s="106">
        <f t="shared" si="21"/>
        <v>0</v>
      </c>
      <c r="BE49" s="107">
        <f t="shared" si="31"/>
        <v>328719.20051218488</v>
      </c>
      <c r="BG49" s="108">
        <f>'Op Cost-25'!E42</f>
        <v>1347958</v>
      </c>
      <c r="BH49" s="109">
        <f t="shared" si="22"/>
        <v>0.24386457182804278</v>
      </c>
      <c r="BI49" s="110">
        <f t="shared" si="23"/>
        <v>328719.20051218488</v>
      </c>
      <c r="BJ49" s="111">
        <f t="shared" si="24"/>
        <v>0</v>
      </c>
      <c r="BK49" s="1">
        <f t="shared" si="32"/>
        <v>0.39624392703833694</v>
      </c>
      <c r="BL49" s="294">
        <f t="shared" si="33"/>
        <v>0.31567824665391458</v>
      </c>
      <c r="BM49" s="294">
        <f t="shared" si="34"/>
        <v>0.26504152223422228</v>
      </c>
      <c r="BN49" s="295">
        <f t="shared" si="35"/>
        <v>0.50212796963260542</v>
      </c>
      <c r="BO49" s="114">
        <f t="shared" si="25"/>
        <v>328719.20051218488</v>
      </c>
      <c r="BP49" s="296">
        <f>BL49*$BO$8+BM49*$BP$8+BN49*$BQ$8</f>
        <v>0.39624392703833694</v>
      </c>
      <c r="BQ49" s="116">
        <f t="shared" si="37"/>
        <v>1.065546904866673E-3</v>
      </c>
      <c r="BR49" s="297">
        <f t="shared" si="38"/>
        <v>1.065546904866673E-3</v>
      </c>
      <c r="BS49" s="117">
        <f t="shared" si="39"/>
        <v>1.2047797782623617E-3</v>
      </c>
      <c r="BT49" s="298">
        <f t="shared" si="40"/>
        <v>339127.37083002424</v>
      </c>
      <c r="BU49" s="119">
        <f t="shared" si="41"/>
        <v>404387.39999999997</v>
      </c>
      <c r="BV49" s="119">
        <f t="shared" si="42"/>
        <v>339127.37083002424</v>
      </c>
      <c r="BW49" s="119">
        <f t="shared" si="43"/>
        <v>0</v>
      </c>
      <c r="BX49" s="120">
        <f t="shared" si="44"/>
        <v>1.065546904866673E-3</v>
      </c>
      <c r="BY49" s="121">
        <f t="shared" si="45"/>
        <v>2.1494904775693486E-3</v>
      </c>
      <c r="BZ49" s="299">
        <f t="shared" si="46"/>
        <v>340997.65780199121</v>
      </c>
      <c r="CA49" s="109">
        <f t="shared" si="26"/>
        <v>2.98685847005205E-3</v>
      </c>
      <c r="CB49" s="123">
        <f t="shared" si="57"/>
        <v>25803.6632357993</v>
      </c>
      <c r="CC49" s="111">
        <f t="shared" si="56"/>
        <v>354523</v>
      </c>
      <c r="CE49" s="124">
        <f t="shared" si="28"/>
        <v>0</v>
      </c>
      <c r="CF49" s="17"/>
      <c r="CG49" s="108">
        <f t="shared" si="47"/>
        <v>1347958</v>
      </c>
      <c r="CH49" s="125">
        <f t="shared" si="48"/>
        <v>0.26300745275446269</v>
      </c>
      <c r="CI49" s="110">
        <f t="shared" si="49"/>
        <v>339127.37083002424</v>
      </c>
      <c r="CJ49" s="300">
        <f t="shared" si="50"/>
        <v>0</v>
      </c>
      <c r="CL49" s="127">
        <f t="shared" si="51"/>
        <v>339127.37083002424</v>
      </c>
      <c r="CM49" s="128">
        <f t="shared" si="52"/>
        <v>3.9470031849708721E-3</v>
      </c>
      <c r="CN49" s="129">
        <f t="shared" si="53"/>
        <v>3434.3155795278926</v>
      </c>
      <c r="CO49" s="130">
        <f t="shared" si="55"/>
        <v>342562</v>
      </c>
      <c r="CQ49" s="131">
        <f t="shared" si="54"/>
        <v>0.25297350347858849</v>
      </c>
      <c r="CR49" s="301"/>
    </row>
    <row r="50" spans="1:96">
      <c r="A50" s="133" t="s">
        <v>124</v>
      </c>
      <c r="B50" s="90" t="s">
        <v>130</v>
      </c>
      <c r="C50" s="208">
        <f>'Op Cost-25'!E43</f>
        <v>4658904</v>
      </c>
      <c r="D50" s="92">
        <f>'Ridership-25'!$E42</f>
        <v>187266</v>
      </c>
      <c r="E50" s="92">
        <f>'Revenue Hours-25'!$E42</f>
        <v>63759</v>
      </c>
      <c r="F50" s="92">
        <f>'Revenue Miles-25'!$E42</f>
        <v>994681</v>
      </c>
      <c r="G50" s="134">
        <f t="shared" si="58"/>
        <v>8.9154329886672202E-3</v>
      </c>
      <c r="H50" s="94">
        <f t="shared" si="59"/>
        <v>8.9154329886672219E-3</v>
      </c>
      <c r="J50" s="95">
        <f>'Ridership-25'!B42/'Revenue Hours-25'!B42</f>
        <v>4.6066913646259025</v>
      </c>
      <c r="K50" s="96">
        <f>'Ridership-25'!C42/'Revenue Hours-25'!C42</f>
        <v>2.6052602436323364</v>
      </c>
      <c r="L50" s="96">
        <f>'Ridership-25'!D42/'Revenue Hours-25'!D42</f>
        <v>2.7993357457988401</v>
      </c>
      <c r="M50" s="96">
        <f>'Ridership-25'!E42/'Revenue Hours-25'!E42</f>
        <v>2.9370912341787041</v>
      </c>
      <c r="N50" s="97">
        <f t="shared" si="2"/>
        <v>0.93744466278837724</v>
      </c>
      <c r="O50" s="98">
        <f t="shared" si="3"/>
        <v>8.3577250716735177E-3</v>
      </c>
      <c r="P50" s="99">
        <f t="shared" si="4"/>
        <v>7.8924777668679669E-3</v>
      </c>
      <c r="Q50" s="95">
        <f>'Ridership-25'!B42/'Revenue Miles-25'!B42</f>
        <v>0.25866990351642838</v>
      </c>
      <c r="R50" s="96">
        <f>'Ridership-25'!C42/'Revenue Miles-25'!C42</f>
        <v>0.16890249812434263</v>
      </c>
      <c r="S50" s="96">
        <f>'Ridership-25'!D42/'Revenue Miles-25'!D42</f>
        <v>0.1810610173694088</v>
      </c>
      <c r="T50" s="96">
        <f>'Ridership-25'!E42/'Revenue Miles-25'!E42</f>
        <v>0.18826739427012279</v>
      </c>
      <c r="U50" s="97">
        <f t="shared" si="5"/>
        <v>0.99109648571081632</v>
      </c>
      <c r="V50" s="98">
        <f t="shared" si="6"/>
        <v>8.8360543036583635E-3</v>
      </c>
      <c r="W50" s="99">
        <f t="shared" si="7"/>
        <v>8.3757151723463548E-3</v>
      </c>
      <c r="X50" s="95">
        <f>'Op Cost-25'!B43/'Revenue Hours-25'!B42</f>
        <v>60.089370965893899</v>
      </c>
      <c r="Y50" s="96">
        <f>'Op Cost-25'!C43/'Revenue Hours-25'!C42</f>
        <v>61.375230712440015</v>
      </c>
      <c r="Z50" s="96">
        <f>'Op Cost-25'!D43/'Revenue Hours-25'!D42</f>
        <v>66.464250896412693</v>
      </c>
      <c r="AA50" s="96">
        <f>'Op Cost-25'!E43/'Revenue Hours-25'!E42</f>
        <v>73.070531219122003</v>
      </c>
      <c r="AB50" s="97">
        <f t="shared" si="8"/>
        <v>1.0327254943983701</v>
      </c>
      <c r="AC50" s="98">
        <f t="shared" si="9"/>
        <v>8.6329165272142731E-3</v>
      </c>
      <c r="AD50" s="99">
        <f t="shared" si="10"/>
        <v>9.2105909009670573E-3</v>
      </c>
      <c r="AE50" s="95">
        <f>'Op Cost-25'!B43/'Revenue Miles-25'!B42</f>
        <v>3.3740727476265127</v>
      </c>
      <c r="AF50" s="96">
        <f>'Op Cost-25'!C43/'Revenue Miles-25'!C42</f>
        <v>3.9790381078535897</v>
      </c>
      <c r="AG50" s="96">
        <f>'Op Cost-25'!D43/'Revenue Miles-25'!D42</f>
        <v>4.2989073047277451</v>
      </c>
      <c r="AH50" s="96">
        <f>'Op Cost-25'!E43/'Revenue Miles-25'!E42</f>
        <v>4.6838172238134641</v>
      </c>
      <c r="AI50" s="97">
        <f t="shared" si="11"/>
        <v>1.0750496667822353</v>
      </c>
      <c r="AJ50" s="98">
        <f t="shared" si="12"/>
        <v>8.2930428836393046E-3</v>
      </c>
      <c r="AK50" s="99">
        <f t="shared" si="13"/>
        <v>8.8259871957020279E-3</v>
      </c>
      <c r="AL50" s="95">
        <f>'Op Cost-25'!B43/'Ridership-25'!B42</f>
        <v>13.043932447333294</v>
      </c>
      <c r="AM50" s="96">
        <f>'Op Cost-25'!C43/'Ridership-25'!C42</f>
        <v>23.558195716704567</v>
      </c>
      <c r="AN50" s="96">
        <f>'Op Cost-25'!D43/'Ridership-25'!D42</f>
        <v>23.742865069386646</v>
      </c>
      <c r="AO50" s="96">
        <f>'Op Cost-25'!E43/'Ridership-25'!E42</f>
        <v>24.878536413443978</v>
      </c>
      <c r="AP50" s="100">
        <f t="shared" si="14"/>
        <v>1.133836263732076</v>
      </c>
      <c r="AQ50" s="98">
        <f t="shared" si="15"/>
        <v>7.863069187187266E-3</v>
      </c>
      <c r="AR50" s="99">
        <f t="shared" si="16"/>
        <v>8.5397996039921261E-3</v>
      </c>
      <c r="AT50" s="101">
        <f t="shared" si="29"/>
        <v>0</v>
      </c>
      <c r="AU50" s="102">
        <f t="shared" si="17"/>
        <v>0</v>
      </c>
      <c r="AV50" s="102">
        <f t="shared" si="18"/>
        <v>0</v>
      </c>
      <c r="AW50" s="102">
        <f t="shared" si="19"/>
        <v>0</v>
      </c>
      <c r="AX50" s="103">
        <f t="shared" si="20"/>
        <v>0</v>
      </c>
      <c r="AY50" s="293">
        <f t="shared" si="30"/>
        <v>-1</v>
      </c>
      <c r="AZ50" s="105">
        <f t="shared" si="21"/>
        <v>0</v>
      </c>
      <c r="BA50" s="106">
        <f t="shared" si="21"/>
        <v>0</v>
      </c>
      <c r="BB50" s="106">
        <f t="shared" si="21"/>
        <v>0</v>
      </c>
      <c r="BC50" s="106">
        <f t="shared" si="21"/>
        <v>0</v>
      </c>
      <c r="BD50" s="106">
        <f t="shared" si="21"/>
        <v>0</v>
      </c>
      <c r="BE50" s="107">
        <f>$AZ$6*H50</f>
        <v>1089826.9902631203</v>
      </c>
      <c r="BG50" s="108">
        <f>'Op Cost-25'!E43</f>
        <v>4658904</v>
      </c>
      <c r="BH50" s="109">
        <f t="shared" si="22"/>
        <v>0.23392347003997513</v>
      </c>
      <c r="BI50" s="110">
        <f t="shared" si="23"/>
        <v>1089826.9902631203</v>
      </c>
      <c r="BJ50" s="111">
        <f t="shared" si="24"/>
        <v>0</v>
      </c>
      <c r="BK50" s="1">
        <f t="shared" si="32"/>
        <v>0.35263229656150574</v>
      </c>
      <c r="BL50" s="294">
        <f t="shared" si="33"/>
        <v>0.27436513021682213</v>
      </c>
      <c r="BM50" s="294">
        <f t="shared" si="34"/>
        <v>0.25375228682410034</v>
      </c>
      <c r="BN50" s="295">
        <f t="shared" si="35"/>
        <v>0.44120588460255034</v>
      </c>
      <c r="BO50" s="114">
        <f t="shared" si="25"/>
        <v>1089826.9902631203</v>
      </c>
      <c r="BP50" s="296">
        <f t="shared" si="36"/>
        <v>0.35263229656150574</v>
      </c>
      <c r="BQ50" s="116">
        <f t="shared" si="37"/>
        <v>3.1438696096339311E-3</v>
      </c>
      <c r="BR50" s="297">
        <f t="shared" si="38"/>
        <v>3.1438696096339311E-3</v>
      </c>
      <c r="BS50" s="117">
        <f t="shared" si="39"/>
        <v>3.5546727355512133E-3</v>
      </c>
      <c r="BT50" s="298">
        <f t="shared" si="40"/>
        <v>1120536.0376121374</v>
      </c>
      <c r="BU50" s="119">
        <f t="shared" si="41"/>
        <v>1397671.2</v>
      </c>
      <c r="BV50" s="119">
        <f t="shared" si="42"/>
        <v>1120536.0376121374</v>
      </c>
      <c r="BW50" s="119">
        <f t="shared" si="43"/>
        <v>0</v>
      </c>
      <c r="BX50" s="120">
        <f t="shared" si="44"/>
        <v>3.1438696096339311E-3</v>
      </c>
      <c r="BY50" s="121">
        <f t="shared" si="45"/>
        <v>6.3420181296227054E-3</v>
      </c>
      <c r="BZ50" s="299">
        <f t="shared" si="46"/>
        <v>1126054.2727509246</v>
      </c>
      <c r="CA50" s="109">
        <f t="shared" si="26"/>
        <v>9.9025520008773332E-3</v>
      </c>
      <c r="CB50" s="123">
        <f t="shared" si="57"/>
        <v>85548.786314329918</v>
      </c>
      <c r="CC50" s="111">
        <f t="shared" si="56"/>
        <v>1175376</v>
      </c>
      <c r="CE50" s="124">
        <f t="shared" si="28"/>
        <v>0</v>
      </c>
      <c r="CF50" s="17"/>
      <c r="CG50" s="108">
        <f t="shared" si="47"/>
        <v>4658904</v>
      </c>
      <c r="CH50" s="125">
        <f t="shared" si="48"/>
        <v>0.25228594536397403</v>
      </c>
      <c r="CI50" s="110">
        <f t="shared" si="49"/>
        <v>1120536.0376121374</v>
      </c>
      <c r="CJ50" s="300">
        <f t="shared" si="50"/>
        <v>0</v>
      </c>
      <c r="CL50" s="127">
        <f t="shared" si="51"/>
        <v>1120536.0376121374</v>
      </c>
      <c r="CM50" s="128">
        <f t="shared" si="52"/>
        <v>1.3041587585528451E-2</v>
      </c>
      <c r="CN50" s="129">
        <f t="shared" si="53"/>
        <v>11347.578232848182</v>
      </c>
      <c r="CO50" s="130">
        <f t="shared" si="55"/>
        <v>1131884</v>
      </c>
      <c r="CQ50" s="131">
        <f t="shared" si="54"/>
        <v>0.24169939383832004</v>
      </c>
      <c r="CR50" s="301"/>
    </row>
    <row r="51" spans="1:96" s="171" customFormat="1" ht="15" thickBot="1">
      <c r="A51" s="165"/>
      <c r="B51" s="166" t="s">
        <v>131</v>
      </c>
      <c r="C51" s="167">
        <f>SUM(C11:C50)-C34</f>
        <v>535846200</v>
      </c>
      <c r="D51" s="168">
        <f>SUM(D11:D50)-D34</f>
        <v>47351081</v>
      </c>
      <c r="E51" s="168">
        <f>SUM(E11:E50)-E34</f>
        <v>4481273</v>
      </c>
      <c r="F51" s="168">
        <f>SUM(F11:F50)-F34</f>
        <v>63382684</v>
      </c>
      <c r="G51" s="169">
        <f>SUM(G11:G50)</f>
        <v>0.99999999999999978</v>
      </c>
      <c r="H51" s="170">
        <f>SUM(H11:H50)</f>
        <v>1</v>
      </c>
      <c r="J51" s="172">
        <f>'Ridership-25'!B43/'Revenue Hours-25'!B43</f>
        <v>13.526760546299428</v>
      </c>
      <c r="K51" s="173">
        <f>'Ridership-25'!C43/'Revenue Hours-25'!C43</f>
        <v>6.9491805201049877</v>
      </c>
      <c r="L51" s="173">
        <f>'Ridership-25'!D43/'Revenue Hours-25'!D43</f>
        <v>8.9536027544539518</v>
      </c>
      <c r="M51" s="173">
        <f>'Ridership-25'!E43/'Revenue Hours-25'!E43</f>
        <v>10.705045615153841</v>
      </c>
      <c r="N51" s="174"/>
      <c r="O51" s="175">
        <f>SUM(O11:O50)</f>
        <v>1.0589481932731726</v>
      </c>
      <c r="P51" s="176">
        <f>SUM(P11:P50)</f>
        <v>0.99999999999999978</v>
      </c>
      <c r="Q51" s="172">
        <f>'Ridership-25'!B43/'Revenue Miles-25'!B43</f>
        <v>0.94516480852199081</v>
      </c>
      <c r="R51" s="173">
        <f>'Ridership-25'!C43/'Revenue Miles-25'!C43</f>
        <v>0.49283534368231213</v>
      </c>
      <c r="S51" s="173">
        <f>'Ridership-25'!D43/'Revenue Miles-25'!D43</f>
        <v>0.61981636789595917</v>
      </c>
      <c r="T51" s="173">
        <f>'Ridership-25'!E43/'Revenue Miles-25'!E43</f>
        <v>0.74193378363769658</v>
      </c>
      <c r="U51" s="174"/>
      <c r="V51" s="175">
        <f>SUM(V11:V50)</f>
        <v>1.0549611730866739</v>
      </c>
      <c r="W51" s="176">
        <f>SUM(W11:W50)</f>
        <v>1.0000000000000002</v>
      </c>
      <c r="X51" s="177">
        <f>'Op Cost-25'!B44/'Revenue Hours-25'!B43</f>
        <v>103.16343259700481</v>
      </c>
      <c r="Y51" s="178">
        <f>'Op Cost-25'!C44/'Revenue Hours-25'!C43</f>
        <v>125.95961510933006</v>
      </c>
      <c r="Z51" s="178">
        <f>'Op Cost-25'!D44/'Revenue Hours-25'!D43</f>
        <v>126.23027057650225</v>
      </c>
      <c r="AA51" s="178">
        <f>'Op Cost-25'!E44/'Revenue Hours-25'!E43</f>
        <v>117.50453980589081</v>
      </c>
      <c r="AB51" s="174"/>
      <c r="AC51" s="175">
        <f>SUM(AC11:AC50)</f>
        <v>0.93728150778120733</v>
      </c>
      <c r="AD51" s="176">
        <f>SUM(AD11:AD50)</f>
        <v>0.99999999999999978</v>
      </c>
      <c r="AE51" s="177">
        <f>'Op Cost-25'!B44/'Revenue Miles-25'!B43</f>
        <v>7.2084107413060252</v>
      </c>
      <c r="AF51" s="178">
        <f>'Op Cost-25'!C44/'Revenue Miles-25'!C43</f>
        <v>8.9330461372962819</v>
      </c>
      <c r="AG51" s="178">
        <f>'Op Cost-25'!D44/'Revenue Miles-25'!D43</f>
        <v>8.7383358378650051</v>
      </c>
      <c r="AH51" s="178">
        <f>'Op Cost-25'!E44/'Revenue Miles-25'!E43</f>
        <v>8.1438782184524161</v>
      </c>
      <c r="AI51" s="174"/>
      <c r="AJ51" s="175">
        <f>SUM(AJ11:AJ50)</f>
        <v>0.93961646439706481</v>
      </c>
      <c r="AK51" s="176">
        <f>SUM(AK11:AK50)</f>
        <v>0.99999999999999989</v>
      </c>
      <c r="AL51" s="177">
        <f>'Op Cost-25'!B44/'Ridership-25'!B43</f>
        <v>7.6266177880429513</v>
      </c>
      <c r="AM51" s="178">
        <f>'Op Cost-25'!C44/'Ridership-25'!C43</f>
        <v>18.125822857085176</v>
      </c>
      <c r="AN51" s="178">
        <f>'Op Cost-25'!D44/'Ridership-25'!D43</f>
        <v>14.098265696868143</v>
      </c>
      <c r="AO51" s="178">
        <f>'Op Cost-25'!E44/'Ridership-25'!E43</f>
        <v>10.97655666591031</v>
      </c>
      <c r="AP51" s="179"/>
      <c r="AQ51" s="175">
        <f>SUM(AQ11:AQ50)</f>
        <v>0.920755702922056</v>
      </c>
      <c r="AR51" s="176">
        <f>SUM(AR11:AR50)</f>
        <v>1.0000000000000002</v>
      </c>
      <c r="AT51" s="180">
        <f>SUM(AT11:AT50)</f>
        <v>0</v>
      </c>
      <c r="AU51" s="181">
        <f>SUM(AU11:AU50)</f>
        <v>0</v>
      </c>
      <c r="AV51" s="181">
        <f>SUM(AV11:AV50)</f>
        <v>0</v>
      </c>
      <c r="AW51" s="181">
        <f>SUM(AW11:AW50)</f>
        <v>0</v>
      </c>
      <c r="AX51" s="182">
        <f>SUM(AX11:AX50)</f>
        <v>0</v>
      </c>
      <c r="AZ51" s="183">
        <f t="shared" si="21"/>
        <v>0</v>
      </c>
      <c r="BA51" s="184">
        <f t="shared" si="21"/>
        <v>0</v>
      </c>
      <c r="BB51" s="184">
        <f t="shared" si="21"/>
        <v>0</v>
      </c>
      <c r="BC51" s="184">
        <f t="shared" si="21"/>
        <v>0</v>
      </c>
      <c r="BD51" s="184">
        <f t="shared" si="21"/>
        <v>0</v>
      </c>
      <c r="BE51" s="185">
        <f t="shared" ref="BE51" si="60">SUM(AZ51:BD51)</f>
        <v>0</v>
      </c>
      <c r="BG51" s="186">
        <f>'Op Cost-25'!E44</f>
        <v>535846200</v>
      </c>
      <c r="BH51" s="187"/>
      <c r="BI51" s="188">
        <f>SUM(BI11:BI50)</f>
        <v>120035146.41273499</v>
      </c>
      <c r="BJ51" s="189">
        <f>SUM(BJ11:BJ50)</f>
        <v>2205354.0372650386</v>
      </c>
      <c r="BK51" s="1"/>
      <c r="BO51" s="190">
        <f t="shared" ref="BO51:BT51" si="61">SUM(BO11:BO50)</f>
        <v>110055164.58449955</v>
      </c>
      <c r="BP51" s="192">
        <f t="shared" si="61"/>
        <v>33.604487850243814</v>
      </c>
      <c r="BQ51" s="305">
        <f t="shared" si="61"/>
        <v>1.1380570975586346</v>
      </c>
      <c r="BR51" s="305">
        <f t="shared" si="61"/>
        <v>0.88443292632575354</v>
      </c>
      <c r="BS51" s="191">
        <f t="shared" si="61"/>
        <v>0.99999999999999978</v>
      </c>
      <c r="BT51" s="192">
        <f t="shared" si="61"/>
        <v>128674211.00000001</v>
      </c>
      <c r="BU51" s="192"/>
      <c r="BV51" s="192">
        <f t="shared" ref="BV51:CC51" si="62">SUM(BV11:BV50)</f>
        <v>127804103.87857562</v>
      </c>
      <c r="BW51" s="192">
        <f t="shared" si="62"/>
        <v>870107.12142438698</v>
      </c>
      <c r="BX51" s="306">
        <f t="shared" si="62"/>
        <v>0.49572069101306149</v>
      </c>
      <c r="BY51" s="192">
        <f t="shared" si="62"/>
        <v>0.99999999999999989</v>
      </c>
      <c r="BZ51" s="192">
        <f t="shared" si="62"/>
        <v>128674211</v>
      </c>
      <c r="CA51" s="307">
        <f t="shared" si="62"/>
        <v>1</v>
      </c>
      <c r="CB51" s="194">
        <f t="shared" si="62"/>
        <v>8639064.5872650389</v>
      </c>
      <c r="CC51" s="189">
        <f t="shared" si="62"/>
        <v>128674211</v>
      </c>
      <c r="CE51" s="195">
        <f>SUM(CE11:CE50)</f>
        <v>2</v>
      </c>
      <c r="CG51" s="196">
        <f>SUM(CG11:CG50)</f>
        <v>535846200</v>
      </c>
      <c r="CH51" s="197"/>
      <c r="CI51" s="198">
        <f>SUM(CI11:CI50)</f>
        <v>127804103.87857562</v>
      </c>
      <c r="CJ51" s="308">
        <f>SUM(CJ11:CJ50)</f>
        <v>870107.12142438698</v>
      </c>
      <c r="CK51" s="1"/>
      <c r="CL51" s="200">
        <f>SUM(CL11:CL50)</f>
        <v>85920217.171683609</v>
      </c>
      <c r="CM51" s="201">
        <f t="shared" si="52"/>
        <v>1</v>
      </c>
      <c r="CN51" s="202">
        <f t="shared" si="53"/>
        <v>870107.12142438698</v>
      </c>
      <c r="CO51" s="203">
        <f>SUM(CO11:CO50)</f>
        <v>128674209</v>
      </c>
      <c r="CP51" s="1"/>
      <c r="CQ51" s="131">
        <f t="shared" si="54"/>
        <v>0.24013273024983661</v>
      </c>
      <c r="CR51" s="309"/>
    </row>
    <row r="53" spans="1:96">
      <c r="CR53" s="301"/>
    </row>
    <row r="58" spans="1:96">
      <c r="B58" s="1">
        <v>1</v>
      </c>
      <c r="C58" s="1">
        <f>B58+1</f>
        <v>2</v>
      </c>
      <c r="D58" s="1">
        <f t="shared" ref="D58:BO58" si="63">C58+1</f>
        <v>3</v>
      </c>
      <c r="E58" s="1">
        <f t="shared" si="63"/>
        <v>4</v>
      </c>
      <c r="F58" s="1">
        <f t="shared" si="63"/>
        <v>5</v>
      </c>
      <c r="G58" s="1">
        <f t="shared" si="63"/>
        <v>6</v>
      </c>
      <c r="H58" s="1">
        <f t="shared" si="63"/>
        <v>7</v>
      </c>
      <c r="I58" s="1">
        <f t="shared" si="63"/>
        <v>8</v>
      </c>
      <c r="J58" s="1">
        <f t="shared" si="63"/>
        <v>9</v>
      </c>
      <c r="K58" s="1">
        <f t="shared" si="63"/>
        <v>10</v>
      </c>
      <c r="L58" s="1">
        <f t="shared" si="63"/>
        <v>11</v>
      </c>
      <c r="M58" s="1">
        <f t="shared" si="63"/>
        <v>12</v>
      </c>
      <c r="N58" s="1">
        <f t="shared" si="63"/>
        <v>13</v>
      </c>
      <c r="O58" s="1">
        <f t="shared" si="63"/>
        <v>14</v>
      </c>
      <c r="P58" s="1">
        <f t="shared" si="63"/>
        <v>15</v>
      </c>
      <c r="Q58" s="1">
        <f t="shared" si="63"/>
        <v>16</v>
      </c>
      <c r="R58" s="1">
        <f t="shared" si="63"/>
        <v>17</v>
      </c>
      <c r="S58" s="1">
        <f t="shared" si="63"/>
        <v>18</v>
      </c>
      <c r="T58" s="1">
        <f t="shared" si="63"/>
        <v>19</v>
      </c>
      <c r="U58" s="1">
        <f t="shared" si="63"/>
        <v>20</v>
      </c>
      <c r="V58" s="1">
        <f t="shared" si="63"/>
        <v>21</v>
      </c>
      <c r="W58" s="1">
        <f t="shared" si="63"/>
        <v>22</v>
      </c>
      <c r="X58" s="1">
        <f t="shared" si="63"/>
        <v>23</v>
      </c>
      <c r="Y58" s="1">
        <f t="shared" si="63"/>
        <v>24</v>
      </c>
      <c r="Z58" s="1">
        <f t="shared" si="63"/>
        <v>25</v>
      </c>
      <c r="AA58" s="1">
        <f t="shared" si="63"/>
        <v>26</v>
      </c>
      <c r="AB58" s="1">
        <f t="shared" si="63"/>
        <v>27</v>
      </c>
      <c r="AC58" s="1">
        <f t="shared" si="63"/>
        <v>28</v>
      </c>
      <c r="AD58" s="1">
        <f t="shared" si="63"/>
        <v>29</v>
      </c>
      <c r="AE58" s="1">
        <f t="shared" si="63"/>
        <v>30</v>
      </c>
      <c r="AF58" s="1">
        <f t="shared" si="63"/>
        <v>31</v>
      </c>
      <c r="AG58" s="1">
        <f t="shared" si="63"/>
        <v>32</v>
      </c>
      <c r="AH58" s="1">
        <f t="shared" si="63"/>
        <v>33</v>
      </c>
      <c r="AI58" s="1">
        <f t="shared" si="63"/>
        <v>34</v>
      </c>
      <c r="AJ58" s="1">
        <f t="shared" si="63"/>
        <v>35</v>
      </c>
      <c r="AK58" s="1">
        <f t="shared" si="63"/>
        <v>36</v>
      </c>
      <c r="AL58" s="1">
        <f t="shared" si="63"/>
        <v>37</v>
      </c>
      <c r="AM58" s="1">
        <f t="shared" si="63"/>
        <v>38</v>
      </c>
      <c r="AN58" s="1">
        <f t="shared" si="63"/>
        <v>39</v>
      </c>
      <c r="AO58" s="1">
        <f t="shared" si="63"/>
        <v>40</v>
      </c>
      <c r="AP58" s="1">
        <f t="shared" si="63"/>
        <v>41</v>
      </c>
      <c r="AQ58" s="1">
        <f t="shared" si="63"/>
        <v>42</v>
      </c>
      <c r="AR58" s="1">
        <f t="shared" si="63"/>
        <v>43</v>
      </c>
      <c r="AS58" s="1">
        <f t="shared" si="63"/>
        <v>44</v>
      </c>
      <c r="AT58" s="1">
        <f t="shared" si="63"/>
        <v>45</v>
      </c>
      <c r="AU58" s="1">
        <f t="shared" si="63"/>
        <v>46</v>
      </c>
      <c r="AV58" s="1">
        <f t="shared" si="63"/>
        <v>47</v>
      </c>
      <c r="AW58" s="1">
        <f t="shared" si="63"/>
        <v>48</v>
      </c>
      <c r="AX58" s="1">
        <f t="shared" si="63"/>
        <v>49</v>
      </c>
      <c r="AY58" s="1">
        <f t="shared" si="63"/>
        <v>50</v>
      </c>
      <c r="AZ58" s="1">
        <f t="shared" si="63"/>
        <v>51</v>
      </c>
      <c r="BA58" s="1">
        <f t="shared" si="63"/>
        <v>52</v>
      </c>
      <c r="BB58" s="1">
        <f t="shared" si="63"/>
        <v>53</v>
      </c>
      <c r="BC58" s="1">
        <f t="shared" si="63"/>
        <v>54</v>
      </c>
      <c r="BD58" s="1">
        <f t="shared" si="63"/>
        <v>55</v>
      </c>
      <c r="BE58" s="1">
        <f t="shared" si="63"/>
        <v>56</v>
      </c>
      <c r="BF58" s="1">
        <f t="shared" si="63"/>
        <v>57</v>
      </c>
      <c r="BG58" s="1">
        <f t="shared" si="63"/>
        <v>58</v>
      </c>
      <c r="BH58" s="1">
        <f t="shared" si="63"/>
        <v>59</v>
      </c>
      <c r="BI58" s="1">
        <f t="shared" si="63"/>
        <v>60</v>
      </c>
      <c r="BJ58" s="1">
        <f t="shared" si="63"/>
        <v>61</v>
      </c>
      <c r="BK58" s="1">
        <f t="shared" si="63"/>
        <v>62</v>
      </c>
      <c r="BL58" s="1">
        <f t="shared" si="63"/>
        <v>63</v>
      </c>
      <c r="BM58" s="1">
        <f t="shared" si="63"/>
        <v>64</v>
      </c>
      <c r="BN58" s="1">
        <f t="shared" si="63"/>
        <v>65</v>
      </c>
      <c r="BO58" s="1">
        <f t="shared" si="63"/>
        <v>66</v>
      </c>
      <c r="BP58" s="1">
        <f t="shared" ref="BP58:BQ58" si="64">BO58+1</f>
        <v>67</v>
      </c>
      <c r="BQ58" s="1">
        <f t="shared" si="64"/>
        <v>68</v>
      </c>
      <c r="CA58" s="1">
        <f>BO58+1</f>
        <v>67</v>
      </c>
      <c r="CB58" s="1">
        <f t="shared" ref="CB58:CO58" si="65">CA58+1</f>
        <v>68</v>
      </c>
      <c r="CC58" s="1">
        <f t="shared" si="65"/>
        <v>69</v>
      </c>
      <c r="CD58" s="1">
        <f t="shared" si="65"/>
        <v>70</v>
      </c>
      <c r="CE58" s="1">
        <f t="shared" si="65"/>
        <v>71</v>
      </c>
      <c r="CF58" s="1">
        <f t="shared" si="65"/>
        <v>72</v>
      </c>
      <c r="CG58" s="1">
        <f t="shared" si="65"/>
        <v>73</v>
      </c>
      <c r="CH58" s="1">
        <f t="shared" si="65"/>
        <v>74</v>
      </c>
      <c r="CI58" s="1">
        <f t="shared" si="65"/>
        <v>75</v>
      </c>
      <c r="CJ58" s="1">
        <f t="shared" si="65"/>
        <v>76</v>
      </c>
      <c r="CK58" s="1">
        <f t="shared" si="65"/>
        <v>77</v>
      </c>
      <c r="CL58" s="1">
        <f t="shared" si="65"/>
        <v>78</v>
      </c>
      <c r="CM58" s="1">
        <f t="shared" si="65"/>
        <v>79</v>
      </c>
      <c r="CN58" s="1">
        <f t="shared" si="65"/>
        <v>80</v>
      </c>
      <c r="CO58" s="1">
        <f t="shared" si="65"/>
        <v>81</v>
      </c>
    </row>
  </sheetData>
  <autoFilter ref="A10:CQ10" xr:uid="{00000000-0001-0000-0F00-000000000000}"/>
  <mergeCells count="1">
    <mergeCell ref="CL3:CO3"/>
  </mergeCells>
  <conditionalFormatting sqref="BK11:BK50">
    <cfRule type="cellIs" dxfId="17" priority="2" operator="greaterThan">
      <formula>0.93</formula>
    </cfRule>
  </conditionalFormatting>
  <conditionalFormatting sqref="BS11:BS50">
    <cfRule type="cellIs" dxfId="16" priority="1" operator="between">
      <formula>3</formula>
      <formula>30</formula>
    </cfRule>
  </conditionalFormatting>
  <conditionalFormatting sqref="CE51">
    <cfRule type="cellIs" dxfId="15" priority="3" operator="notEqual">
      <formula>0</formula>
    </cfRule>
  </conditionalFormatting>
  <printOptions horizontalCentered="1"/>
  <pageMargins left="0.25" right="0.25" top="0.75" bottom="0.75" header="0.3" footer="0.3"/>
  <pageSetup paperSize="17" scale="18" orientation="landscape" r:id="rId1"/>
  <headerFooter alignWithMargins="0">
    <oddFooter>&amp;L&amp;F&amp;R&amp;D</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A9A41-B6B8-4372-8D91-39032E63B29E}">
  <sheetPr>
    <tabColor theme="6" tint="0.39997558519241921"/>
    <pageSetUpPr fitToPage="1"/>
  </sheetPr>
  <dimension ref="A1:CR58"/>
  <sheetViews>
    <sheetView zoomScale="80" zoomScaleNormal="80" workbookViewId="0">
      <pane xSplit="2" topLeftCell="C1" activePane="topRight" state="frozen"/>
      <selection activeCell="A2" sqref="A2"/>
      <selection pane="topRight" activeCell="A2" sqref="A2"/>
    </sheetView>
  </sheetViews>
  <sheetFormatPr defaultColWidth="9.42578125" defaultRowHeight="14.25"/>
  <cols>
    <col min="1" max="1" width="13.42578125" style="10" customWidth="1"/>
    <col min="2" max="2" width="40.140625" style="1" customWidth="1"/>
    <col min="3" max="3" width="21.42578125" style="1" customWidth="1"/>
    <col min="4" max="4" width="17.42578125" style="1" customWidth="1"/>
    <col min="5" max="5" width="14.42578125" style="1" customWidth="1"/>
    <col min="6" max="6" width="17.85546875" style="1" customWidth="1"/>
    <col min="7" max="7" width="14.5703125" style="1" customWidth="1"/>
    <col min="8" max="8" width="17.42578125" style="4" customWidth="1"/>
    <col min="9" max="9" width="9.42578125" style="1" customWidth="1"/>
    <col min="10" max="10" width="8.5703125" style="1" customWidth="1"/>
    <col min="11" max="11" width="11.5703125" style="1" customWidth="1"/>
    <col min="12" max="13" width="8.5703125" style="1" customWidth="1"/>
    <col min="14" max="16" width="15.5703125" style="1" customWidth="1"/>
    <col min="17" max="20" width="8.5703125" style="1" customWidth="1"/>
    <col min="21" max="22" width="15.5703125" style="1" customWidth="1"/>
    <col min="23" max="23" width="15.5703125" style="5" customWidth="1"/>
    <col min="24" max="27" width="10.5703125" style="1" customWidth="1"/>
    <col min="28" max="29" width="15.5703125" style="1" customWidth="1"/>
    <col min="30" max="30" width="15.5703125" style="5" customWidth="1"/>
    <col min="31" max="34" width="8.5703125" style="1" customWidth="1"/>
    <col min="35" max="36" width="15.5703125" style="1" customWidth="1"/>
    <col min="37" max="37" width="15.5703125" style="5" customWidth="1"/>
    <col min="38" max="40" width="8.5703125" style="1" customWidth="1"/>
    <col min="41" max="41" width="9.42578125" style="1" customWidth="1"/>
    <col min="42" max="43" width="15.5703125" style="1" customWidth="1"/>
    <col min="44" max="44" width="15.5703125" style="5" customWidth="1"/>
    <col min="45" max="45" width="9.42578125" style="1" customWidth="1"/>
    <col min="46" max="50" width="17.5703125" style="1" customWidth="1"/>
    <col min="51" max="51" width="9.42578125" style="1" customWidth="1"/>
    <col min="52" max="52" width="20.42578125" style="1" customWidth="1"/>
    <col min="53" max="57" width="17.5703125" style="1" customWidth="1"/>
    <col min="58" max="58" width="14.42578125" style="1" bestFit="1" customWidth="1"/>
    <col min="59" max="59" width="21" style="6" customWidth="1"/>
    <col min="60" max="60" width="18.5703125" style="1" customWidth="1"/>
    <col min="61" max="61" width="23.5703125" style="1" customWidth="1"/>
    <col min="62" max="62" width="15" style="1" customWidth="1"/>
    <col min="63" max="63" width="15.28515625" style="1" customWidth="1"/>
    <col min="64" max="66" width="16.5703125" style="1" customWidth="1"/>
    <col min="67" max="79" width="21.5703125" style="1" customWidth="1"/>
    <col min="80" max="80" width="18.42578125" style="1" customWidth="1"/>
    <col min="81" max="81" width="18.42578125" style="8" customWidth="1"/>
    <col min="82" max="82" width="10" style="1" customWidth="1"/>
    <col min="83" max="83" width="23.5703125" style="1" customWidth="1"/>
    <col min="84" max="84" width="12.42578125" style="1" customWidth="1"/>
    <col min="85" max="85" width="14.85546875" style="1" customWidth="1"/>
    <col min="86" max="86" width="15.140625" style="1" customWidth="1"/>
    <col min="87" max="87" width="18.42578125" style="1" customWidth="1"/>
    <col min="88" max="88" width="15.85546875" style="1" customWidth="1"/>
    <col min="89" max="89" width="9.42578125" style="1" customWidth="1"/>
    <col min="90" max="91" width="21.5703125" style="1" customWidth="1"/>
    <col min="92" max="92" width="18.42578125" style="1" customWidth="1"/>
    <col min="93" max="93" width="18.42578125" style="8" customWidth="1"/>
    <col min="94" max="94" width="9.42578125" style="1"/>
    <col min="95" max="95" width="9.42578125" style="9"/>
    <col min="96" max="96" width="18.42578125" style="1" customWidth="1"/>
    <col min="97" max="16384" width="9.42578125" style="1"/>
  </cols>
  <sheetData>
    <row r="1" spans="1:96" ht="20.25">
      <c r="A1" s="370" t="s">
        <v>156</v>
      </c>
    </row>
    <row r="2" spans="1:96" ht="17.25">
      <c r="A2" s="1149" t="str" cm="1">
        <f t="array" aca="1" ref="A2" ca="1">"Scenario "&amp;MID(CELL("filename",A1),FIND("]",CELL("filename",A1))+1,500)</f>
        <v>Scenario S6C-Combo-25</v>
      </c>
      <c r="B2" s="11"/>
    </row>
    <row r="3" spans="1:96" ht="15" customHeight="1">
      <c r="A3" s="11"/>
      <c r="B3" s="11"/>
      <c r="C3" s="2" t="s">
        <v>0</v>
      </c>
      <c r="F3" s="3"/>
      <c r="BO3" s="7" t="s">
        <v>1</v>
      </c>
      <c r="BP3" s="7"/>
      <c r="BQ3" s="7"/>
      <c r="BR3" s="7"/>
      <c r="BS3" s="7"/>
      <c r="BT3" s="7"/>
      <c r="BU3" s="7"/>
      <c r="BV3" s="7"/>
      <c r="BW3" s="7"/>
      <c r="BX3" s="7"/>
      <c r="BY3" s="7"/>
      <c r="BZ3" s="7"/>
      <c r="CL3" s="1166" t="s">
        <v>2</v>
      </c>
      <c r="CM3" s="1166"/>
      <c r="CN3" s="1166"/>
      <c r="CO3" s="1166"/>
    </row>
    <row r="4" spans="1:96" ht="15" customHeight="1">
      <c r="A4" s="11"/>
      <c r="B4" s="11"/>
      <c r="C4" s="12">
        <v>0</v>
      </c>
      <c r="D4" s="13"/>
      <c r="E4" s="10"/>
      <c r="F4" s="14"/>
      <c r="H4" s="15"/>
      <c r="L4" s="16"/>
      <c r="N4" s="17"/>
      <c r="O4" s="17"/>
      <c r="R4" s="16"/>
      <c r="Y4" s="16"/>
      <c r="AF4" s="16"/>
      <c r="AM4" s="16"/>
    </row>
    <row r="5" spans="1:96" ht="15" customHeight="1">
      <c r="A5" s="11"/>
      <c r="B5" s="11"/>
      <c r="C5" s="18" t="s">
        <v>3</v>
      </c>
      <c r="D5" s="19"/>
      <c r="E5" s="20"/>
      <c r="F5" s="21"/>
      <c r="H5" s="15"/>
      <c r="L5" s="16"/>
      <c r="N5" s="17"/>
      <c r="O5" s="17"/>
      <c r="R5" s="16"/>
      <c r="Y5" s="16"/>
      <c r="AF5" s="16"/>
      <c r="AM5" s="16"/>
      <c r="AT5" s="22" t="s">
        <v>4</v>
      </c>
      <c r="AU5" s="23"/>
      <c r="AV5" s="23"/>
      <c r="AW5" s="23"/>
      <c r="AX5" s="24"/>
      <c r="AZ5" s="25" t="s">
        <v>5</v>
      </c>
      <c r="BI5" s="25" t="s">
        <v>6</v>
      </c>
      <c r="BO5" s="25" t="s">
        <v>7</v>
      </c>
      <c r="BP5" s="7"/>
      <c r="BQ5" s="7"/>
      <c r="BR5" s="7"/>
      <c r="BS5" s="7"/>
      <c r="BT5" s="7"/>
      <c r="BU5" s="283" t="s">
        <v>142</v>
      </c>
      <c r="BV5" s="7"/>
      <c r="BW5" s="7"/>
      <c r="BX5" s="7"/>
      <c r="BY5" s="7"/>
      <c r="BZ5" s="7"/>
      <c r="CM5" s="25" t="s">
        <v>7</v>
      </c>
    </row>
    <row r="6" spans="1:96">
      <c r="B6" s="26"/>
      <c r="C6" s="27">
        <v>0.35</v>
      </c>
      <c r="D6" s="27">
        <v>0.35</v>
      </c>
      <c r="E6" s="27">
        <v>0.15</v>
      </c>
      <c r="F6" s="27">
        <v>0.15</v>
      </c>
      <c r="H6" s="15"/>
      <c r="L6" s="16"/>
      <c r="N6" s="17"/>
      <c r="O6" s="17"/>
      <c r="R6" s="16"/>
      <c r="Y6" s="16"/>
      <c r="AF6" s="16"/>
      <c r="AM6" s="16"/>
      <c r="AT6" s="28">
        <v>0</v>
      </c>
      <c r="AU6" s="28">
        <v>0</v>
      </c>
      <c r="AV6" s="28">
        <v>0</v>
      </c>
      <c r="AW6" s="28">
        <v>0</v>
      </c>
      <c r="AX6" s="28">
        <v>0</v>
      </c>
      <c r="AY6" s="29"/>
      <c r="AZ6" s="30">
        <f>128674211*(1-AY8)</f>
        <v>122240500.44999999</v>
      </c>
      <c r="BA6" s="1" t="s">
        <v>8</v>
      </c>
      <c r="BI6" s="284">
        <v>0.3</v>
      </c>
      <c r="BO6" s="31">
        <f>$BJ$51+AZ8</f>
        <v>8639064.5872650389</v>
      </c>
      <c r="BP6" s="32"/>
      <c r="BQ6" s="32"/>
      <c r="BR6" s="32"/>
      <c r="BS6" s="32"/>
      <c r="BT6" s="32"/>
      <c r="BU6" s="285">
        <v>0.3</v>
      </c>
      <c r="BV6" s="32"/>
      <c r="BW6" s="32"/>
      <c r="BX6" s="32"/>
      <c r="BY6" s="32"/>
      <c r="BZ6" s="32"/>
      <c r="CM6" s="31">
        <f>CJ51</f>
        <v>794125.90701696766</v>
      </c>
    </row>
    <row r="7" spans="1:96" ht="15" customHeight="1" thickBot="1">
      <c r="A7" s="34" t="s">
        <v>143</v>
      </c>
      <c r="G7" s="35"/>
      <c r="BO7" s="286" t="s">
        <v>144</v>
      </c>
      <c r="BP7" s="286" t="s">
        <v>145</v>
      </c>
      <c r="BQ7" s="286" t="s">
        <v>146</v>
      </c>
    </row>
    <row r="8" spans="1:96" s="29" customFormat="1">
      <c r="A8" s="36"/>
      <c r="B8" s="37"/>
      <c r="C8" s="38" t="s">
        <v>10</v>
      </c>
      <c r="D8" s="39"/>
      <c r="E8" s="39"/>
      <c r="F8" s="39"/>
      <c r="G8" s="40"/>
      <c r="H8" s="41"/>
      <c r="J8" s="42" t="s">
        <v>11</v>
      </c>
      <c r="K8" s="43"/>
      <c r="L8" s="43"/>
      <c r="M8" s="43"/>
      <c r="N8" s="43"/>
      <c r="O8" s="43"/>
      <c r="P8" s="44"/>
      <c r="Q8" s="42" t="s">
        <v>12</v>
      </c>
      <c r="R8" s="43"/>
      <c r="S8" s="43"/>
      <c r="T8" s="43"/>
      <c r="U8" s="43"/>
      <c r="V8" s="43"/>
      <c r="W8" s="44"/>
      <c r="X8" s="42" t="s">
        <v>13</v>
      </c>
      <c r="Y8" s="43"/>
      <c r="Z8" s="43"/>
      <c r="AA8" s="43"/>
      <c r="AB8" s="43"/>
      <c r="AC8" s="43"/>
      <c r="AD8" s="44"/>
      <c r="AE8" s="42" t="s">
        <v>14</v>
      </c>
      <c r="AF8" s="43"/>
      <c r="AG8" s="43"/>
      <c r="AH8" s="43"/>
      <c r="AI8" s="43"/>
      <c r="AJ8" s="43"/>
      <c r="AK8" s="44"/>
      <c r="AL8" s="42" t="s">
        <v>15</v>
      </c>
      <c r="AM8" s="43"/>
      <c r="AN8" s="43"/>
      <c r="AO8" s="43"/>
      <c r="AP8" s="43"/>
      <c r="AQ8" s="43"/>
      <c r="AR8" s="44"/>
      <c r="AX8" s="287" t="s">
        <v>16</v>
      </c>
      <c r="AY8" s="288">
        <v>0.05</v>
      </c>
      <c r="AZ8" s="46">
        <f>128674211*AY8</f>
        <v>6433710.5500000007</v>
      </c>
      <c r="BA8" s="46"/>
      <c r="BB8" s="46"/>
      <c r="BC8" s="46"/>
      <c r="BD8" s="46"/>
      <c r="BG8" s="47"/>
      <c r="BO8" s="289">
        <v>0.25</v>
      </c>
      <c r="BP8" s="289">
        <v>0.25</v>
      </c>
      <c r="BQ8" s="289">
        <v>0.5</v>
      </c>
      <c r="BR8" s="48"/>
      <c r="BS8" s="48"/>
      <c r="BT8" s="48"/>
      <c r="BU8" s="48"/>
      <c r="BV8" s="48"/>
      <c r="BW8" s="48"/>
      <c r="BX8" s="48"/>
      <c r="BY8" s="48"/>
      <c r="BZ8" s="48"/>
      <c r="CA8" s="48"/>
      <c r="CB8" s="48"/>
      <c r="CC8" s="49" t="s">
        <v>18</v>
      </c>
      <c r="CD8" s="50">
        <f>AZ6-CC51</f>
        <v>-6433710.5500000119</v>
      </c>
      <c r="CL8" s="48" t="s">
        <v>17</v>
      </c>
      <c r="CM8" s="48"/>
      <c r="CN8" s="48"/>
      <c r="CO8" s="49" t="s">
        <v>18</v>
      </c>
      <c r="CQ8" s="51"/>
    </row>
    <row r="9" spans="1:96" s="29" customFormat="1" ht="15" thickBot="1">
      <c r="A9" s="52"/>
      <c r="B9" s="53" t="s">
        <v>19</v>
      </c>
      <c r="C9" s="54">
        <f>C$6</f>
        <v>0.35</v>
      </c>
      <c r="D9" s="54">
        <f>D$6</f>
        <v>0.35</v>
      </c>
      <c r="E9" s="54">
        <f>E$6</f>
        <v>0.15</v>
      </c>
      <c r="F9" s="54">
        <f>F$6</f>
        <v>0.15</v>
      </c>
      <c r="G9" s="54"/>
      <c r="H9" s="55"/>
      <c r="J9" s="56" t="s">
        <v>20</v>
      </c>
      <c r="K9" s="57"/>
      <c r="L9" s="57"/>
      <c r="M9" s="57"/>
      <c r="N9" s="57"/>
      <c r="O9" s="57"/>
      <c r="P9" s="58"/>
      <c r="Q9" s="56" t="s">
        <v>21</v>
      </c>
      <c r="R9" s="57"/>
      <c r="S9" s="57"/>
      <c r="T9" s="57"/>
      <c r="U9" s="57"/>
      <c r="V9" s="57"/>
      <c r="W9" s="58"/>
      <c r="X9" s="56" t="s">
        <v>22</v>
      </c>
      <c r="Y9" s="57"/>
      <c r="Z9" s="57"/>
      <c r="AA9" s="57"/>
      <c r="AB9" s="57"/>
      <c r="AC9" s="57"/>
      <c r="AD9" s="58"/>
      <c r="AE9" s="56" t="s">
        <v>23</v>
      </c>
      <c r="AF9" s="57"/>
      <c r="AG9" s="57"/>
      <c r="AH9" s="57"/>
      <c r="AI9" s="57"/>
      <c r="AJ9" s="57"/>
      <c r="AK9" s="58"/>
      <c r="AL9" s="56" t="s">
        <v>24</v>
      </c>
      <c r="AM9" s="57"/>
      <c r="AN9" s="57"/>
      <c r="AO9" s="57"/>
      <c r="AP9" s="57"/>
      <c r="AQ9" s="57"/>
      <c r="AR9" s="58"/>
      <c r="BG9" s="59" t="s">
        <v>25</v>
      </c>
      <c r="BO9" s="59" t="s">
        <v>26</v>
      </c>
      <c r="BP9" s="59"/>
      <c r="BQ9" s="59"/>
      <c r="BR9" s="59"/>
      <c r="BS9" s="59"/>
      <c r="BT9" s="59"/>
      <c r="BU9" s="59"/>
      <c r="BV9" s="59"/>
      <c r="BW9" s="59"/>
      <c r="BX9" s="59"/>
      <c r="BY9" s="59"/>
      <c r="BZ9" s="59"/>
      <c r="CC9" s="60"/>
      <c r="CG9" s="59" t="s">
        <v>27</v>
      </c>
      <c r="CL9" s="59" t="s">
        <v>28</v>
      </c>
      <c r="CO9" s="60"/>
      <c r="CQ9" s="51"/>
    </row>
    <row r="10" spans="1:96" s="45" customFormat="1" ht="101.25" customHeight="1">
      <c r="A10" s="61" t="s">
        <v>29</v>
      </c>
      <c r="B10" s="62" t="s">
        <v>30</v>
      </c>
      <c r="C10" s="63" t="s">
        <v>147</v>
      </c>
      <c r="D10" s="64" t="s">
        <v>148</v>
      </c>
      <c r="E10" s="64" t="s">
        <v>149</v>
      </c>
      <c r="F10" s="64" t="s">
        <v>150</v>
      </c>
      <c r="G10" s="64" t="s">
        <v>35</v>
      </c>
      <c r="H10" s="65" t="s">
        <v>36</v>
      </c>
      <c r="J10" s="66">
        <v>2019</v>
      </c>
      <c r="K10" s="66">
        <v>2021</v>
      </c>
      <c r="L10" s="66">
        <v>2022</v>
      </c>
      <c r="M10" s="66">
        <v>2023</v>
      </c>
      <c r="N10" s="67" t="s">
        <v>37</v>
      </c>
      <c r="O10" s="67" t="s">
        <v>38</v>
      </c>
      <c r="P10" s="68" t="s">
        <v>39</v>
      </c>
      <c r="Q10" s="66">
        <v>2019</v>
      </c>
      <c r="R10" s="66">
        <v>2021</v>
      </c>
      <c r="S10" s="66">
        <v>2022</v>
      </c>
      <c r="T10" s="66">
        <v>2023</v>
      </c>
      <c r="U10" s="67" t="s">
        <v>40</v>
      </c>
      <c r="V10" s="67" t="s">
        <v>41</v>
      </c>
      <c r="W10" s="68" t="s">
        <v>39</v>
      </c>
      <c r="X10" s="66">
        <v>2019</v>
      </c>
      <c r="Y10" s="66">
        <v>2021</v>
      </c>
      <c r="Z10" s="66">
        <v>2022</v>
      </c>
      <c r="AA10" s="66">
        <v>2023</v>
      </c>
      <c r="AB10" s="67" t="s">
        <v>42</v>
      </c>
      <c r="AC10" s="67" t="s">
        <v>43</v>
      </c>
      <c r="AD10" s="68" t="s">
        <v>39</v>
      </c>
      <c r="AE10" s="66">
        <v>2019</v>
      </c>
      <c r="AF10" s="66">
        <v>2021</v>
      </c>
      <c r="AG10" s="66">
        <v>2022</v>
      </c>
      <c r="AH10" s="66">
        <v>2023</v>
      </c>
      <c r="AI10" s="67" t="s">
        <v>44</v>
      </c>
      <c r="AJ10" s="67" t="s">
        <v>45</v>
      </c>
      <c r="AK10" s="68" t="s">
        <v>39</v>
      </c>
      <c r="AL10" s="66">
        <v>2019</v>
      </c>
      <c r="AM10" s="66">
        <v>2021</v>
      </c>
      <c r="AN10" s="66">
        <v>2022</v>
      </c>
      <c r="AO10" s="66">
        <v>2023</v>
      </c>
      <c r="AP10" s="67" t="s">
        <v>46</v>
      </c>
      <c r="AQ10" s="67" t="s">
        <v>47</v>
      </c>
      <c r="AR10" s="68" t="s">
        <v>39</v>
      </c>
      <c r="AT10" s="69" t="s">
        <v>48</v>
      </c>
      <c r="AU10" s="70" t="s">
        <v>49</v>
      </c>
      <c r="AV10" s="70" t="s">
        <v>50</v>
      </c>
      <c r="AW10" s="70" t="s">
        <v>51</v>
      </c>
      <c r="AX10" s="71" t="s">
        <v>52</v>
      </c>
      <c r="AZ10" s="72" t="s">
        <v>53</v>
      </c>
      <c r="BA10" s="73" t="s">
        <v>54</v>
      </c>
      <c r="BB10" s="73" t="s">
        <v>55</v>
      </c>
      <c r="BC10" s="73" t="s">
        <v>56</v>
      </c>
      <c r="BD10" s="73" t="s">
        <v>57</v>
      </c>
      <c r="BE10" s="74" t="s">
        <v>58</v>
      </c>
      <c r="BG10" s="75" t="s">
        <v>59</v>
      </c>
      <c r="BH10" s="76" t="s">
        <v>60</v>
      </c>
      <c r="BI10" s="76" t="s">
        <v>61</v>
      </c>
      <c r="BJ10" s="77" t="s">
        <v>62</v>
      </c>
      <c r="BL10" s="290" t="s">
        <v>63</v>
      </c>
      <c r="BM10" s="290" t="s">
        <v>64</v>
      </c>
      <c r="BN10" s="290" t="s">
        <v>65</v>
      </c>
      <c r="BO10" s="75" t="s">
        <v>66</v>
      </c>
      <c r="BP10" s="291" t="s">
        <v>151</v>
      </c>
      <c r="BQ10" s="291" t="s">
        <v>152</v>
      </c>
      <c r="BR10" s="291" t="s">
        <v>153</v>
      </c>
      <c r="BS10" s="291" t="s">
        <v>154</v>
      </c>
      <c r="BT10" s="291" t="s">
        <v>76</v>
      </c>
      <c r="BU10" s="291" t="s">
        <v>71</v>
      </c>
      <c r="BV10" s="292" t="s">
        <v>72</v>
      </c>
      <c r="BW10" s="292" t="s">
        <v>73</v>
      </c>
      <c r="BX10" s="291" t="s">
        <v>74</v>
      </c>
      <c r="BY10" s="291" t="s">
        <v>75</v>
      </c>
      <c r="BZ10" s="291" t="s">
        <v>76</v>
      </c>
      <c r="CA10" s="76" t="s">
        <v>80</v>
      </c>
      <c r="CB10" s="76" t="s">
        <v>77</v>
      </c>
      <c r="CC10" s="81" t="s">
        <v>78</v>
      </c>
      <c r="CE10" s="82" t="s">
        <v>79</v>
      </c>
      <c r="CG10" s="83" t="s">
        <v>59</v>
      </c>
      <c r="CH10" s="84" t="s">
        <v>60</v>
      </c>
      <c r="CI10" s="84" t="s">
        <v>61</v>
      </c>
      <c r="CJ10" s="85" t="s">
        <v>62</v>
      </c>
      <c r="CL10" s="86" t="s">
        <v>66</v>
      </c>
      <c r="CM10" s="87" t="s">
        <v>80</v>
      </c>
      <c r="CN10" s="87" t="s">
        <v>77</v>
      </c>
      <c r="CO10" s="88" t="s">
        <v>78</v>
      </c>
      <c r="CQ10" s="51" t="s">
        <v>81</v>
      </c>
    </row>
    <row r="11" spans="1:96">
      <c r="A11" s="89" t="s">
        <v>82</v>
      </c>
      <c r="B11" s="90" t="s">
        <v>83</v>
      </c>
      <c r="C11" s="208">
        <f>'Op Cost-25'!E4</f>
        <v>2499963</v>
      </c>
      <c r="D11" s="92">
        <f>'Ridership-25'!$E3</f>
        <v>121717</v>
      </c>
      <c r="E11" s="92">
        <f>'Revenue Hours-25'!$E3</f>
        <v>32940</v>
      </c>
      <c r="F11" s="92">
        <f>'Revenue Miles-25'!$E3</f>
        <v>692104</v>
      </c>
      <c r="G11" s="93">
        <f t="shared" ref="G11:G33" si="0">IFERROR($C$9*(C11/C$51),0) + IFERROR($D$9*(D11/D$51),0) + IFERROR($E$9*(E11/E$51),0) + IFERROR($F$9*(F11/F$51),0)</f>
        <v>5.2730956744402096E-3</v>
      </c>
      <c r="H11" s="94">
        <f t="shared" ref="H11:H33" si="1">G11/(SUM($G$11:$G$50)-$G$34)*(1-$G$34)</f>
        <v>5.2730956744402105E-3</v>
      </c>
      <c r="J11" s="95">
        <f>'Ridership-25'!B3/'Revenue Hours-25'!B3</f>
        <v>4.5693508022964817</v>
      </c>
      <c r="K11" s="207">
        <f>'Ridership-25'!C3/'Revenue Hours-25'!I3</f>
        <v>3.0233116215289679</v>
      </c>
      <c r="L11" s="207">
        <f>'Ridership-25'!D3/'Revenue Hours-25'!J3</f>
        <v>3.1691372472531043</v>
      </c>
      <c r="M11" s="207">
        <f>'Ridership-25'!E3/'Revenue Hours-25'!K3</f>
        <v>3.6951123254401943</v>
      </c>
      <c r="N11" s="97">
        <f t="shared" ref="N11:N50" si="2">IF(J11=0,IF(K11=0,1,AVERAGE(1,(L11/K11)/($L$51/$K$51),(M11/L11)/($M$51/$L$51))), AVERAGE((K11/J11)/($K$51/$J$51),(L11/K11)/($L$51/$K$51),(M11/L11)/($M$51/$L$51)))</f>
        <v>1.0255640826158483</v>
      </c>
      <c r="O11" s="98">
        <f t="shared" ref="O11:O50" si="3">$H11*N11</f>
        <v>5.4078975279028725E-3</v>
      </c>
      <c r="P11" s="99">
        <f t="shared" ref="P11:P50" si="4">O11/SUM($O$11:$O$50)</f>
        <v>5.0835903435048034E-3</v>
      </c>
      <c r="Q11" s="95">
        <f>'Ridership-25'!B3/'Revenue Miles-25'!B3</f>
        <v>0.21529352848722441</v>
      </c>
      <c r="R11" s="207">
        <f>'Ridership-25'!C3/'Revenue Miles-25'!I3</f>
        <v>0.1472857600940598</v>
      </c>
      <c r="S11" s="207">
        <f>'Ridership-25'!D3/'Revenue Miles-25'!J3</f>
        <v>0.15372497942218116</v>
      </c>
      <c r="T11" s="207">
        <f>'Ridership-25'!E3/'Revenue Miles-25'!K3</f>
        <v>0.17586518789083722</v>
      </c>
      <c r="U11" s="97">
        <f t="shared" ref="U11:U50" si="5">IF(Q11=0,IF(R11=0,1,AVERAGE(1,(S11/R11)/($S$51/$R$51),(T11/S11)/($T$51/$S$51))), AVERAGE((R11/Q11)/($R$51/$Q$51),(S11/R11)/($S$51/$R$51),(T11/S11)/($T$51/$S$51)))</f>
        <v>1.0325415201368429</v>
      </c>
      <c r="V11" s="98">
        <f t="shared" ref="V11:V50" si="6">$H11*U11</f>
        <v>5.4446902235135057E-3</v>
      </c>
      <c r="W11" s="99">
        <f t="shared" ref="W11:W50" si="7">V11/SUM($V$11:$V$50)</f>
        <v>5.1260465087117771E-3</v>
      </c>
      <c r="X11" s="95">
        <f>'Op Cost-25'!B4/'Revenue Hours-25'!B3</f>
        <v>50.181245399676136</v>
      </c>
      <c r="Y11" s="96">
        <f>'Op Cost-25'!C4/'Revenue Hours-25'!C3</f>
        <v>64.628076791223862</v>
      </c>
      <c r="Z11" s="96">
        <f>'Op Cost-25'!D4/'Revenue Hours-25'!D3</f>
        <v>74.945094597230351</v>
      </c>
      <c r="AA11" s="96">
        <f>'Op Cost-25'!E4/'Revenue Hours-25'!E3</f>
        <v>75.894444444444446</v>
      </c>
      <c r="AB11" s="97">
        <f t="shared" ref="AB11:AB50" si="8">IF(X11=0,IF(Y11=0,1,AVERAGE(1,(Z11/Y11)/($Z$51/$Z$51),(AA11/Z11)/($AA$51/$Z$51))), AVERAGE((Y11/X11)/($Y$51/$X$51),(Z11/Y11)/($Z$51/$Y$51),(AA11/Z11)/($AA$51/$Z$51)))</f>
        <v>1.0999423299281934</v>
      </c>
      <c r="AC11" s="98">
        <f t="shared" ref="AC11:AC50" si="9">$H11*(1/AB11)</f>
        <v>4.7939746757309082E-3</v>
      </c>
      <c r="AD11" s="99">
        <f t="shared" ref="AD11:AD50" si="10">AC11/SUM($AC$11:$AC$50)</f>
        <v>5.1147650262294312E-3</v>
      </c>
      <c r="AE11" s="95">
        <f>'Op Cost-25'!B4/'Revenue Miles-25'!B3</f>
        <v>2.3643834438252824</v>
      </c>
      <c r="AF11" s="96">
        <f>'Op Cost-25'!C4/'Revenue Miles-25'!C3</f>
        <v>3.148466517916789</v>
      </c>
      <c r="AG11" s="96">
        <f>'Op Cost-25'!D4/'Revenue Miles-25'!D3</f>
        <v>3.6353531658304137</v>
      </c>
      <c r="AH11" s="96">
        <f>'Op Cost-25'!E4/'Revenue Miles-25'!E3</f>
        <v>3.61212043276733</v>
      </c>
      <c r="AI11" s="97">
        <f t="shared" ref="AI11:AI50" si="11">IF(AE11=0,IF(AF11=0,1,AVERAGE(1,(AG11/AF11)/($AG$51/$AF$51),(AH11/AG11)/($AH$51/$AG$51))), AVERAGE((AF11/AE11)/($AF$51/$AE$51),(AG11/AF11)/($AG$51/$AF$51),(AH11/AG11)/($AH$51/$AG$51)))</f>
        <v>1.1070146946084785</v>
      </c>
      <c r="AJ11" s="98">
        <f t="shared" ref="AJ11:AJ50" si="12">$H11*(1/AI11)</f>
        <v>4.7633474967603423E-3</v>
      </c>
      <c r="AK11" s="99">
        <f t="shared" ref="AK11:AK50" si="13">AJ11/SUM($AJ$11:$AJ$50)</f>
        <v>5.0694593775736973E-3</v>
      </c>
      <c r="AL11" s="95">
        <f>'Op Cost-25'!B4/'Ridership-25'!B3</f>
        <v>10.982138945089499</v>
      </c>
      <c r="AM11" s="96">
        <f>'Op Cost-25'!C4/'Ridership-25'!C3</f>
        <v>21.37658464678535</v>
      </c>
      <c r="AN11" s="96">
        <f>'Op Cost-25'!D4/'Ridership-25'!D3</f>
        <v>23.64842187323698</v>
      </c>
      <c r="AO11" s="96">
        <f>'Op Cost-25'!E4/'Ridership-25'!E3</f>
        <v>20.53914408012028</v>
      </c>
      <c r="AP11" s="100">
        <f t="shared" ref="AP11:AP50" si="14">IF(AL11=0,IF(AM11=0,1,AVERAGE(1,(AN11/AM11)/($AN$51/$AM$51),(AO11/AN11)/($AO$51/$AN$51))), AVERAGE((AM11/AL11)/($AM$51/$AL$51),(AN11/AM11)/($AN$51/$AM$51),(AO11/AN11)/($AO$51/$AN$51)))</f>
        <v>1.1189482347230808</v>
      </c>
      <c r="AQ11" s="98">
        <f t="shared" ref="AQ11:AQ50" si="15">$H11*(1/AP11)</f>
        <v>4.7125465779435322E-3</v>
      </c>
      <c r="AR11" s="99">
        <f t="shared" ref="AR11:AR50" si="16">AQ11/SUM($AQ$11:$AQ$50)</f>
        <v>5.1181291226196834E-3</v>
      </c>
      <c r="AT11" s="101">
        <f>P11*AT$6</f>
        <v>0</v>
      </c>
      <c r="AU11" s="102">
        <f t="shared" ref="AU11:AU50" si="17">W11*AU$6</f>
        <v>0</v>
      </c>
      <c r="AV11" s="102">
        <f t="shared" ref="AV11:AV50" si="18">AD11*AV$6</f>
        <v>0</v>
      </c>
      <c r="AW11" s="102">
        <f t="shared" ref="AW11:AW50" si="19">AK11*AW$6</f>
        <v>0</v>
      </c>
      <c r="AX11" s="103">
        <f t="shared" ref="AX11:AX50" si="20">AR11*AX$6</f>
        <v>0</v>
      </c>
      <c r="AY11" s="293">
        <f>(SUM(AT11:AX11)-H11)/H11</f>
        <v>-1</v>
      </c>
      <c r="AZ11" s="105">
        <f t="shared" ref="AZ11:BD51" si="21">AT11*$AZ$6</f>
        <v>0</v>
      </c>
      <c r="BA11" s="106">
        <f t="shared" si="21"/>
        <v>0</v>
      </c>
      <c r="BB11" s="106">
        <f t="shared" si="21"/>
        <v>0</v>
      </c>
      <c r="BC11" s="106">
        <f t="shared" si="21"/>
        <v>0</v>
      </c>
      <c r="BD11" s="106">
        <f t="shared" si="21"/>
        <v>0</v>
      </c>
      <c r="BE11" s="107">
        <f>$AZ$6*H11</f>
        <v>644585.85416430153</v>
      </c>
      <c r="BG11" s="108">
        <f>'Op Cost-25'!E4</f>
        <v>2499963</v>
      </c>
      <c r="BH11" s="109">
        <f t="shared" ref="BH11:BH50" si="22">BE11/BG11</f>
        <v>0.25783815767045415</v>
      </c>
      <c r="BI11" s="110">
        <f t="shared" ref="BI11:BI50" si="23">IF(BE11&gt;BG11*$BI$6,BG11*$BI$6,BE11)</f>
        <v>644585.85416430153</v>
      </c>
      <c r="BJ11" s="111">
        <f t="shared" ref="BJ11:BJ50" si="24">BE11-BI11</f>
        <v>0</v>
      </c>
      <c r="BK11" s="1">
        <f>BL11*$BO$8+BM11*$BP$8+BN11*$BQ$8</f>
        <v>0.48959295184548379</v>
      </c>
      <c r="BL11" s="294">
        <f>AVERAGE(M11/$M$51,L11/$L$51,K11/$K$51)</f>
        <v>0.37806202130016259</v>
      </c>
      <c r="BM11" s="294">
        <f>AVERAGE(T11/$T$51,S11/$S$51,R11/$R$51)</f>
        <v>0.26130236510471577</v>
      </c>
      <c r="BN11" s="295">
        <f>AVERAGE((1/AO11)/(1/$AO$51),(1/AN11)/(1/$AN$51), (1/AM11)/(1/$AM$51))</f>
        <v>0.65950371048852841</v>
      </c>
      <c r="BO11" s="114">
        <f t="shared" ref="BO11:BO50" si="25">IF(OR(BJ11&gt;0,BH11&gt;=0.294),0,BI11)</f>
        <v>644585.85416430153</v>
      </c>
      <c r="BP11" s="296">
        <f>BL11*$BO$8+BM11*$BP$8+BN11*$BQ$8</f>
        <v>0.48959295184548379</v>
      </c>
      <c r="BQ11" s="116">
        <f>BP11*H11</f>
        <v>2.581670476612835E-3</v>
      </c>
      <c r="BR11" s="297">
        <f>IF(BO11=0,0,BQ11)</f>
        <v>2.581670476612835E-3</v>
      </c>
      <c r="BS11" s="117">
        <f>BR11/$BR$51</f>
        <v>2.6884290830756969E-3</v>
      </c>
      <c r="BT11" s="298">
        <f>$BO$6*BS11+BI11</f>
        <v>667811.36665127426</v>
      </c>
      <c r="BU11" s="119">
        <f>BG11*$BU$6</f>
        <v>749988.9</v>
      </c>
      <c r="BV11" s="119">
        <f>IF(BT11&lt;BU11,BT11, BU11)</f>
        <v>667811.36665127426</v>
      </c>
      <c r="BW11" s="119">
        <f>BT11-BV11</f>
        <v>0</v>
      </c>
      <c r="BX11" s="120">
        <f>IF(AND(BW11=0, BJ11=0),BQ11,0)</f>
        <v>2.581670476612835E-3</v>
      </c>
      <c r="BY11" s="121">
        <f>IF($BX$51=0,1, BX11/$BX$51)</f>
        <v>4.7209791444660391E-3</v>
      </c>
      <c r="BZ11" s="299">
        <f>$BW$51*BY11+BV11</f>
        <v>671560.41849638149</v>
      </c>
      <c r="CA11" s="109">
        <f t="shared" ref="CA11:CA50" si="26">BO11/$BO$51</f>
        <v>5.8569341711300904E-3</v>
      </c>
      <c r="CB11" s="123">
        <f t="shared" ref="CB11:CB16" si="27">CA11*$BO$6</f>
        <v>50598.432587752475</v>
      </c>
      <c r="CC11" s="111">
        <f>ROUND((CB11+BI11),0)</f>
        <v>695184</v>
      </c>
      <c r="CE11" s="124">
        <f t="shared" ref="CE11:CE50" si="28">IF(CC11&gt;($BI$6*BG11),1,0)</f>
        <v>0</v>
      </c>
      <c r="CF11" s="17"/>
      <c r="CG11" s="108">
        <f>BG11</f>
        <v>2499963</v>
      </c>
      <c r="CH11" s="125">
        <f>CC11/BG11</f>
        <v>0.27807771555019012</v>
      </c>
      <c r="CI11" s="110">
        <f>IF(BT11&gt;BG11*$BI$6,BG11*$BI$6,BT11)</f>
        <v>667811.36665127426</v>
      </c>
      <c r="CJ11" s="300">
        <f>BT11-CI11</f>
        <v>0</v>
      </c>
      <c r="CL11" s="127">
        <f>IF(OR(CJ11&gt;0,CH11&gt;=0.294),0,CI11)</f>
        <v>667811.36665127426</v>
      </c>
      <c r="CM11" s="128">
        <f>CL11/$CL$51</f>
        <v>7.7655478994866842E-3</v>
      </c>
      <c r="CN11" s="129">
        <f>CM11*$CM$6</f>
        <v>6166.8227691635711</v>
      </c>
      <c r="CO11" s="130">
        <f>ROUND((CN11+CI11),0)</f>
        <v>673978</v>
      </c>
      <c r="CQ11" s="131">
        <f>BZ11/CG11</f>
        <v>0.26862814309507038</v>
      </c>
      <c r="CR11" s="301"/>
    </row>
    <row r="12" spans="1:96">
      <c r="A12" s="133" t="s">
        <v>82</v>
      </c>
      <c r="B12" s="90" t="s">
        <v>84</v>
      </c>
      <c r="C12" s="208">
        <f>'Op Cost-25'!E5</f>
        <v>398814</v>
      </c>
      <c r="D12" s="92">
        <f>'Ridership-25'!$E4</f>
        <v>43762</v>
      </c>
      <c r="E12" s="92">
        <f>'Revenue Hours-25'!$E4</f>
        <v>7886</v>
      </c>
      <c r="F12" s="92">
        <f>'Revenue Miles-25'!$E4</f>
        <v>94333</v>
      </c>
      <c r="G12" s="134">
        <f t="shared" si="0"/>
        <v>1.071176781062159E-3</v>
      </c>
      <c r="H12" s="94">
        <f t="shared" si="1"/>
        <v>1.0711767810621592E-3</v>
      </c>
      <c r="J12" s="95">
        <f>'Ridership-25'!B4/'Revenue Hours-25'!B4</f>
        <v>7.0756269072575293</v>
      </c>
      <c r="K12" s="207">
        <f>'Ridership-25'!C4/'Revenue Hours-25'!I4</f>
        <v>3.8435006435006436</v>
      </c>
      <c r="L12" s="207">
        <f>'Ridership-25'!D4/'Revenue Hours-25'!J4</f>
        <v>4.8354101054361225</v>
      </c>
      <c r="M12" s="207">
        <f>'Ridership-25'!E4/'Revenue Hours-25'!K4</f>
        <v>5.5493279229013446</v>
      </c>
      <c r="N12" s="97">
        <f t="shared" si="2"/>
        <v>0.99788982541066573</v>
      </c>
      <c r="O12" s="98">
        <f t="shared" si="3"/>
        <v>1.0689164110380771E-3</v>
      </c>
      <c r="P12" s="99">
        <f t="shared" si="4"/>
        <v>1.0048143695640999E-3</v>
      </c>
      <c r="Q12" s="95">
        <f>'Ridership-25'!B4/'Revenue Miles-25'!B4</f>
        <v>0.61203433791631279</v>
      </c>
      <c r="R12" s="207">
        <f>'Ridership-25'!C4/'Revenue Miles-25'!I4</f>
        <v>0.31931227680003421</v>
      </c>
      <c r="S12" s="207">
        <f>'Ridership-25'!D4/'Revenue Miles-25'!J4</f>
        <v>0.41985803797543603</v>
      </c>
      <c r="T12" s="207">
        <f>'Ridership-25'!E4/'Revenue Miles-25'!K4</f>
        <v>0.46390976646560589</v>
      </c>
      <c r="U12" s="97">
        <f t="shared" si="5"/>
        <v>0.98970909906924531</v>
      </c>
      <c r="V12" s="98">
        <f t="shared" si="6"/>
        <v>1.0601534069289238E-3</v>
      </c>
      <c r="W12" s="99">
        <f t="shared" si="7"/>
        <v>9.9810924904742207E-4</v>
      </c>
      <c r="X12" s="95">
        <f>'Op Cost-25'!B5/'Revenue Hours-25'!B4</f>
        <v>54.185219583388616</v>
      </c>
      <c r="Y12" s="96">
        <f>'Op Cost-25'!C5/'Revenue Hours-25'!C4</f>
        <v>108.14491634491634</v>
      </c>
      <c r="Z12" s="96">
        <f>'Op Cost-25'!D5/'Revenue Hours-25'!D4</f>
        <v>62.039983568396551</v>
      </c>
      <c r="AA12" s="96">
        <f>'Op Cost-25'!E5/'Revenue Hours-25'!E4</f>
        <v>50.572406796855184</v>
      </c>
      <c r="AB12" s="97">
        <f t="shared" si="8"/>
        <v>1.0275887811661744</v>
      </c>
      <c r="AC12" s="98">
        <f t="shared" si="9"/>
        <v>1.0424177459844573E-3</v>
      </c>
      <c r="AD12" s="99">
        <f t="shared" si="10"/>
        <v>1.1121714632481496E-3</v>
      </c>
      <c r="AE12" s="95">
        <f>'Op Cost-25'!B5/'Revenue Miles-25'!B4</f>
        <v>4.6869649046296509</v>
      </c>
      <c r="AF12" s="96">
        <f>'Op Cost-25'!C5/'Revenue Miles-25'!C4</f>
        <v>8.9845176742296253</v>
      </c>
      <c r="AG12" s="96">
        <f>'Op Cost-25'!D5/'Revenue Miles-25'!D4</f>
        <v>5.3869237994459436</v>
      </c>
      <c r="AH12" s="96">
        <f>'Op Cost-25'!E5/'Revenue Miles-25'!E4</f>
        <v>4.2277251863080787</v>
      </c>
      <c r="AI12" s="97">
        <f t="shared" si="11"/>
        <v>1.0006231580562883</v>
      </c>
      <c r="AJ12" s="98">
        <f t="shared" si="12"/>
        <v>1.0705096843280355E-3</v>
      </c>
      <c r="AK12" s="99">
        <f t="shared" si="13"/>
        <v>1.1393049450394237E-3</v>
      </c>
      <c r="AL12" s="95">
        <f>'Op Cost-25'!B5/'Ridership-25'!B4</f>
        <v>7.6580097132892044</v>
      </c>
      <c r="AM12" s="96">
        <f>'Op Cost-25'!C5/'Ridership-25'!C4</f>
        <v>28.137088132869007</v>
      </c>
      <c r="AN12" s="96">
        <f>'Op Cost-25'!D5/'Ridership-25'!D4</f>
        <v>12.830345765015716</v>
      </c>
      <c r="AO12" s="96">
        <f>'Op Cost-25'!E5/'Ridership-25'!E4</f>
        <v>9.1132489374343031</v>
      </c>
      <c r="AP12" s="100">
        <f t="shared" si="14"/>
        <v>1.0148372723489094</v>
      </c>
      <c r="AQ12" s="98">
        <f t="shared" si="15"/>
        <v>1.0555158055860999E-3</v>
      </c>
      <c r="AR12" s="99">
        <f t="shared" si="16"/>
        <v>1.1463581515013996E-3</v>
      </c>
      <c r="AT12" s="101">
        <f t="shared" ref="AT12:AT50" si="29">P12*AT$6</f>
        <v>0</v>
      </c>
      <c r="AU12" s="102">
        <f t="shared" si="17"/>
        <v>0</v>
      </c>
      <c r="AV12" s="102">
        <f t="shared" si="18"/>
        <v>0</v>
      </c>
      <c r="AW12" s="102">
        <f t="shared" si="19"/>
        <v>0</v>
      </c>
      <c r="AX12" s="103">
        <f t="shared" si="20"/>
        <v>0</v>
      </c>
      <c r="AY12" s="293">
        <f t="shared" ref="AY12:AY50" si="30">(SUM(AT12:AX12)-H12)/H12</f>
        <v>-1</v>
      </c>
      <c r="AZ12" s="105">
        <f t="shared" si="21"/>
        <v>0</v>
      </c>
      <c r="BA12" s="106">
        <f t="shared" si="21"/>
        <v>0</v>
      </c>
      <c r="BB12" s="106">
        <f t="shared" si="21"/>
        <v>0</v>
      </c>
      <c r="BC12" s="106">
        <f t="shared" si="21"/>
        <v>0</v>
      </c>
      <c r="BD12" s="106">
        <f t="shared" si="21"/>
        <v>0</v>
      </c>
      <c r="BE12" s="107">
        <f t="shared" ref="BE12:BE49" si="31">$AZ$6*H12</f>
        <v>130941.18578745841</v>
      </c>
      <c r="BG12" s="108">
        <f>'Op Cost-25'!E5</f>
        <v>398814</v>
      </c>
      <c r="BH12" s="109">
        <f t="shared" si="22"/>
        <v>0.32832645240001207</v>
      </c>
      <c r="BI12" s="110">
        <f t="shared" si="23"/>
        <v>119644.2</v>
      </c>
      <c r="BJ12" s="111">
        <f t="shared" si="24"/>
        <v>11296.985787458412</v>
      </c>
      <c r="BK12" s="1">
        <f t="shared" ref="BK12:BK50" si="32">BL12*$BO$8+BM12*$BP$8+BN12*$BQ$8</f>
        <v>0.78808785661339509</v>
      </c>
      <c r="BL12" s="294">
        <f t="shared" ref="BL12:BL50" si="33">AVERAGE(M12/$M$51,L12/$L$51,K12/$K$51)</f>
        <v>0.53717437140581448</v>
      </c>
      <c r="BM12" s="294">
        <f t="shared" ref="BM12:BM50" si="34">AVERAGE(T12/$T$51,S12/$S$51,R12/$R$51)</f>
        <v>0.65019025707333755</v>
      </c>
      <c r="BN12" s="295">
        <f t="shared" ref="BN12:BN50" si="35">AVERAGE((1/AO12)/(1/$AO$51),(1/AN12)/(1/$AN$51), (1/AM12)/(1/$AM$51))</f>
        <v>0.98249339898721433</v>
      </c>
      <c r="BO12" s="114">
        <f t="shared" si="25"/>
        <v>0</v>
      </c>
      <c r="BP12" s="296">
        <f t="shared" ref="BP12:BP50" si="36">BL12*$BO$8+BM12*$BP$8+BN12*$BQ$8</f>
        <v>0.78808785661339509</v>
      </c>
      <c r="BQ12" s="116">
        <f t="shared" ref="BQ12:BQ50" si="37">BP12*H12</f>
        <v>8.4418141344131303E-4</v>
      </c>
      <c r="BR12" s="297">
        <f t="shared" ref="BR12:BR50" si="38">IF(BO12=0,0,BQ12)</f>
        <v>0</v>
      </c>
      <c r="BS12" s="117">
        <f t="shared" ref="BS12:BS50" si="39">BR12/$BR$51</f>
        <v>0</v>
      </c>
      <c r="BT12" s="298">
        <f t="shared" ref="BT12:BT50" si="40">$BO$6*BS12+BI12</f>
        <v>119644.2</v>
      </c>
      <c r="BU12" s="119">
        <f t="shared" ref="BU12:BU50" si="41">BG12*$BU$6</f>
        <v>119644.2</v>
      </c>
      <c r="BV12" s="119">
        <f t="shared" ref="BV12:BV50" si="42">IF(BT12&lt;BU12,BT12, BU12)</f>
        <v>119644.2</v>
      </c>
      <c r="BW12" s="119">
        <f t="shared" ref="BW12:BW50" si="43">BT12-BV12</f>
        <v>0</v>
      </c>
      <c r="BX12" s="120">
        <f t="shared" ref="BX12:BX50" si="44">IF(AND(BW12=0, BJ12=0),BQ12,0)</f>
        <v>0</v>
      </c>
      <c r="BY12" s="121">
        <f t="shared" ref="BY12:BY50" si="45">IF($BX$51=0,1, BX12/$BX$51)</f>
        <v>0</v>
      </c>
      <c r="BZ12" s="299">
        <f t="shared" ref="BZ12:BZ50" si="46">$BW$51*BY12+BV12</f>
        <v>119644.2</v>
      </c>
      <c r="CA12" s="109">
        <f t="shared" si="26"/>
        <v>0</v>
      </c>
      <c r="CB12" s="123">
        <f t="shared" si="27"/>
        <v>0</v>
      </c>
      <c r="CC12" s="135">
        <f>ROUND((CB12+BI12),0)</f>
        <v>119644</v>
      </c>
      <c r="CE12" s="124">
        <f t="shared" si="28"/>
        <v>0</v>
      </c>
      <c r="CF12" s="17"/>
      <c r="CG12" s="108">
        <f t="shared" ref="CG12:CG50" si="47">BG12</f>
        <v>398814</v>
      </c>
      <c r="CH12" s="125">
        <f t="shared" ref="CH12:CH50" si="48">CC12/BG12</f>
        <v>0.29999949851309132</v>
      </c>
      <c r="CI12" s="110">
        <f t="shared" ref="CI12:CI50" si="49">IF(BT12&gt;BG12*$BI$6,BG12*$BI$6,BT12)</f>
        <v>119644.2</v>
      </c>
      <c r="CJ12" s="300">
        <f t="shared" ref="CJ12:CJ50" si="50">BT12-CI12</f>
        <v>0</v>
      </c>
      <c r="CL12" s="127">
        <f t="shared" ref="CL12:CL50" si="51">IF(OR(CJ12&gt;0,CH12&gt;=0.294),0,CI12)</f>
        <v>0</v>
      </c>
      <c r="CM12" s="128">
        <f t="shared" ref="CM12:CM51" si="52">CL12/$CL$51</f>
        <v>0</v>
      </c>
      <c r="CN12" s="129">
        <f t="shared" ref="CN12:CN51" si="53">CM12*$CM$6</f>
        <v>0</v>
      </c>
      <c r="CO12" s="130">
        <f>ROUND((CN12+CI12),0)</f>
        <v>119644</v>
      </c>
      <c r="CQ12" s="131">
        <f t="shared" ref="CQ12:CQ51" si="54">BZ12/CG12</f>
        <v>0.3</v>
      </c>
      <c r="CR12" s="301"/>
    </row>
    <row r="13" spans="1:96">
      <c r="A13" s="133" t="s">
        <v>82</v>
      </c>
      <c r="B13" s="90" t="s">
        <v>85</v>
      </c>
      <c r="C13" s="208">
        <f>'Op Cost-25'!E6</f>
        <v>2701881</v>
      </c>
      <c r="D13" s="92">
        <f>'Ridership-25'!$E5</f>
        <v>162649</v>
      </c>
      <c r="E13" s="92">
        <f>'Revenue Hours-25'!$E5</f>
        <v>46711</v>
      </c>
      <c r="F13" s="92">
        <f>'Revenue Miles-25'!$E5</f>
        <v>490148</v>
      </c>
      <c r="G13" s="93">
        <f t="shared" si="0"/>
        <v>5.6905429046399045E-3</v>
      </c>
      <c r="H13" s="94">
        <f t="shared" si="1"/>
        <v>5.6905429046399053E-3</v>
      </c>
      <c r="J13" s="95">
        <f>'Ridership-25'!B5/'Revenue Hours-25'!B5</f>
        <v>3.5903165735567972</v>
      </c>
      <c r="K13" s="207">
        <f>'Ridership-25'!C5/'Revenue Hours-25'!I5</f>
        <v>3.0037184124655352</v>
      </c>
      <c r="L13" s="207">
        <f>'Ridership-25'!D5/'Revenue Hours-25'!J5</f>
        <v>3.0190503841343577</v>
      </c>
      <c r="M13" s="207">
        <f>'Ridership-25'!E5/'Revenue Hours-25'!K5</f>
        <v>3.4820277878872212</v>
      </c>
      <c r="N13" s="97">
        <f t="shared" si="2"/>
        <v>1.1244143405144138</v>
      </c>
      <c r="O13" s="98">
        <f t="shared" si="3"/>
        <v>6.3985280472896562E-3</v>
      </c>
      <c r="P13" s="99">
        <f t="shared" si="4"/>
        <v>6.0148135622052311E-3</v>
      </c>
      <c r="Q13" s="95">
        <f>'Ridership-25'!B5/'Revenue Miles-25'!B5</f>
        <v>0.34236028901498144</v>
      </c>
      <c r="R13" s="207">
        <f>'Ridership-25'!C5/'Revenue Miles-25'!I5</f>
        <v>0.30898734605406614</v>
      </c>
      <c r="S13" s="207">
        <f>'Ridership-25'!D5/'Revenue Miles-25'!J5</f>
        <v>0.30702858129224508</v>
      </c>
      <c r="T13" s="207">
        <f>'Ridership-25'!E5/'Revenue Miles-25'!K5</f>
        <v>0.33183650652455993</v>
      </c>
      <c r="U13" s="97">
        <f t="shared" si="5"/>
        <v>1.1412874554012273</v>
      </c>
      <c r="V13" s="98">
        <f t="shared" si="6"/>
        <v>6.4945452314879868E-3</v>
      </c>
      <c r="W13" s="99">
        <f t="shared" si="7"/>
        <v>6.1144600597784829E-3</v>
      </c>
      <c r="X13" s="95">
        <f>'Op Cost-25'!B6/'Revenue Hours-25'!B5</f>
        <v>45.864958582161435</v>
      </c>
      <c r="Y13" s="96">
        <f>'Op Cost-25'!C6/'Revenue Hours-25'!C5</f>
        <v>61.145979308425872</v>
      </c>
      <c r="Z13" s="96">
        <f>'Op Cost-25'!D6/'Revenue Hours-25'!D5</f>
        <v>58.62645167053779</v>
      </c>
      <c r="AA13" s="96">
        <f>'Op Cost-25'!E6/'Revenue Hours-25'!E5</f>
        <v>57.842499625355913</v>
      </c>
      <c r="AB13" s="97">
        <f t="shared" si="8"/>
        <v>1.0361763312133343</v>
      </c>
      <c r="AC13" s="98">
        <f t="shared" si="9"/>
        <v>5.4918672944173838E-3</v>
      </c>
      <c r="AD13" s="99">
        <f t="shared" si="10"/>
        <v>5.8593573529665413E-3</v>
      </c>
      <c r="AE13" s="95">
        <f>'Op Cost-25'!B6/'Revenue Miles-25'!B5</f>
        <v>4.3735253296321996</v>
      </c>
      <c r="AF13" s="96">
        <f>'Op Cost-25'!C6/'Revenue Miles-25'!C5</f>
        <v>6.2899817073329398</v>
      </c>
      <c r="AG13" s="96">
        <f>'Op Cost-25'!D6/'Revenue Miles-25'!D5</f>
        <v>5.9621384184897162</v>
      </c>
      <c r="AH13" s="96">
        <f>'Op Cost-25'!E6/'Revenue Miles-25'!E5</f>
        <v>5.5123778940238459</v>
      </c>
      <c r="AI13" s="97">
        <f t="shared" si="11"/>
        <v>1.0405282730301624</v>
      </c>
      <c r="AJ13" s="98">
        <f t="shared" si="12"/>
        <v>5.4688979166978872E-3</v>
      </c>
      <c r="AK13" s="99">
        <f t="shared" si="13"/>
        <v>5.8203513070699351E-3</v>
      </c>
      <c r="AL13" s="95">
        <f>'Op Cost-25'!B6/'Ridership-25'!B5</f>
        <v>12.774627986836457</v>
      </c>
      <c r="AM13" s="96">
        <f>'Op Cost-25'!C6/'Ridership-25'!C5</f>
        <v>20.356761490913378</v>
      </c>
      <c r="AN13" s="96">
        <f>'Op Cost-25'!D6/'Ridership-25'!D5</f>
        <v>19.418838446231348</v>
      </c>
      <c r="AO13" s="96">
        <f>'Op Cost-25'!E6/'Ridership-25'!E5</f>
        <v>16.611728322953109</v>
      </c>
      <c r="AP13" s="100">
        <f t="shared" si="14"/>
        <v>0.99855496234877406</v>
      </c>
      <c r="AQ13" s="98">
        <f t="shared" si="15"/>
        <v>5.698777853203758E-3</v>
      </c>
      <c r="AR13" s="99">
        <f t="shared" si="16"/>
        <v>6.1892398115140123E-3</v>
      </c>
      <c r="AT13" s="101">
        <f t="shared" si="29"/>
        <v>0</v>
      </c>
      <c r="AU13" s="102">
        <f t="shared" si="17"/>
        <v>0</v>
      </c>
      <c r="AV13" s="102">
        <f t="shared" si="18"/>
        <v>0</v>
      </c>
      <c r="AW13" s="102">
        <f t="shared" si="19"/>
        <v>0</v>
      </c>
      <c r="AX13" s="103">
        <f t="shared" si="20"/>
        <v>0</v>
      </c>
      <c r="AY13" s="293">
        <f t="shared" si="30"/>
        <v>-1</v>
      </c>
      <c r="AZ13" s="105">
        <f t="shared" si="21"/>
        <v>0</v>
      </c>
      <c r="BA13" s="106">
        <f t="shared" si="21"/>
        <v>0</v>
      </c>
      <c r="BB13" s="106">
        <f t="shared" si="21"/>
        <v>0</v>
      </c>
      <c r="BC13" s="106">
        <f t="shared" si="21"/>
        <v>0</v>
      </c>
      <c r="BD13" s="106">
        <f t="shared" si="21"/>
        <v>0</v>
      </c>
      <c r="BE13" s="107">
        <f t="shared" si="31"/>
        <v>695614.81249537854</v>
      </c>
      <c r="BG13" s="108">
        <f>'Op Cost-25'!E6</f>
        <v>2701881</v>
      </c>
      <c r="BH13" s="109">
        <f t="shared" si="22"/>
        <v>0.25745575489645123</v>
      </c>
      <c r="BI13" s="110">
        <f t="shared" si="23"/>
        <v>695614.81249537854</v>
      </c>
      <c r="BJ13" s="111">
        <f t="shared" si="24"/>
        <v>0</v>
      </c>
      <c r="BK13" s="1">
        <f t="shared" si="32"/>
        <v>0.60155406709132531</v>
      </c>
      <c r="BL13" s="294">
        <f t="shared" si="33"/>
        <v>0.36489959133381439</v>
      </c>
      <c r="BM13" s="294">
        <f t="shared" si="34"/>
        <v>0.5231905353943489</v>
      </c>
      <c r="BN13" s="295">
        <f t="shared" si="35"/>
        <v>0.75906307081856894</v>
      </c>
      <c r="BO13" s="114">
        <f t="shared" si="25"/>
        <v>695614.81249537854</v>
      </c>
      <c r="BP13" s="296">
        <f t="shared" si="36"/>
        <v>0.60155406709132531</v>
      </c>
      <c r="BQ13" s="116">
        <f t="shared" si="37"/>
        <v>3.4231692282438186E-3</v>
      </c>
      <c r="BR13" s="297">
        <f t="shared" si="38"/>
        <v>3.4231692282438186E-3</v>
      </c>
      <c r="BS13" s="117">
        <f t="shared" si="39"/>
        <v>3.5647259372833611E-3</v>
      </c>
      <c r="BT13" s="298">
        <f t="shared" si="40"/>
        <v>726410.71010346839</v>
      </c>
      <c r="BU13" s="119">
        <f t="shared" si="41"/>
        <v>810564.29999999993</v>
      </c>
      <c r="BV13" s="119">
        <f t="shared" si="42"/>
        <v>726410.71010346839</v>
      </c>
      <c r="BW13" s="119">
        <f t="shared" si="43"/>
        <v>0</v>
      </c>
      <c r="BX13" s="120">
        <f t="shared" si="44"/>
        <v>3.4231692282438186E-3</v>
      </c>
      <c r="BY13" s="121">
        <f t="shared" si="45"/>
        <v>6.2597882576090466E-3</v>
      </c>
      <c r="BZ13" s="299">
        <f t="shared" si="46"/>
        <v>731381.77013127634</v>
      </c>
      <c r="CA13" s="109">
        <f t="shared" si="26"/>
        <v>6.3206012650255097E-3</v>
      </c>
      <c r="CB13" s="123">
        <f t="shared" si="27"/>
        <v>54604.082558904491</v>
      </c>
      <c r="CC13" s="111">
        <f>ROUND((CB13+BI13),0)</f>
        <v>750219</v>
      </c>
      <c r="CE13" s="124">
        <f t="shared" si="28"/>
        <v>0</v>
      </c>
      <c r="CF13" s="17"/>
      <c r="CG13" s="108">
        <f t="shared" si="47"/>
        <v>2701881</v>
      </c>
      <c r="CH13" s="125">
        <f t="shared" si="48"/>
        <v>0.27766544862634585</v>
      </c>
      <c r="CI13" s="110">
        <f t="shared" si="49"/>
        <v>726410.71010346839</v>
      </c>
      <c r="CJ13" s="300">
        <f t="shared" si="50"/>
        <v>0</v>
      </c>
      <c r="CL13" s="127">
        <f t="shared" si="51"/>
        <v>726410.71010346839</v>
      </c>
      <c r="CM13" s="128">
        <f t="shared" si="52"/>
        <v>8.4469618902942283E-3</v>
      </c>
      <c r="CN13" s="129">
        <f t="shared" si="53"/>
        <v>6707.9512726676639</v>
      </c>
      <c r="CO13" s="130">
        <f t="shared" ref="CO13:CO50" si="55">ROUND((CN13+CI13),0)</f>
        <v>733119</v>
      </c>
      <c r="CQ13" s="131">
        <f t="shared" si="54"/>
        <v>0.27069355390976746</v>
      </c>
      <c r="CR13" s="301"/>
    </row>
    <row r="14" spans="1:96">
      <c r="A14" s="133" t="s">
        <v>82</v>
      </c>
      <c r="B14" s="90" t="s">
        <v>86</v>
      </c>
      <c r="C14" s="208">
        <f>'Op Cost-25'!E7</f>
        <v>2152208</v>
      </c>
      <c r="D14" s="92">
        <f>'Ridership-25'!$E6</f>
        <v>131743</v>
      </c>
      <c r="E14" s="92">
        <f>'Revenue Hours-25'!$E6</f>
        <v>47343</v>
      </c>
      <c r="F14" s="92">
        <f>'Revenue Miles-25'!$E6</f>
        <v>800372</v>
      </c>
      <c r="G14" s="93">
        <f t="shared" si="0"/>
        <v>5.8583906688045341E-3</v>
      </c>
      <c r="H14" s="94">
        <f t="shared" si="1"/>
        <v>5.858390668804535E-3</v>
      </c>
      <c r="J14" s="95">
        <f>'Ridership-25'!B6/'Revenue Hours-25'!B6</f>
        <v>1.8670980965213595</v>
      </c>
      <c r="K14" s="207">
        <f>'Ridership-25'!C6/'Revenue Hours-25'!I6</f>
        <v>1.3455313359222201</v>
      </c>
      <c r="L14" s="207">
        <f>'Ridership-25'!D6/'Revenue Hours-25'!J6</f>
        <v>2.5156324194636741</v>
      </c>
      <c r="M14" s="207">
        <f>'Ridership-25'!E6/'Revenue Hours-25'!K6</f>
        <v>2.7827345119658662</v>
      </c>
      <c r="N14" s="97">
        <f t="shared" si="2"/>
        <v>1.2596800836704516</v>
      </c>
      <c r="O14" s="98">
        <f t="shared" si="3"/>
        <v>7.3796980478538898E-3</v>
      </c>
      <c r="P14" s="99">
        <f t="shared" si="4"/>
        <v>6.9371436016464902E-3</v>
      </c>
      <c r="Q14" s="95">
        <f>'Ridership-25'!B6/'Revenue Miles-25'!B6</f>
        <v>0.11380730389718556</v>
      </c>
      <c r="R14" s="207">
        <f>'Ridership-25'!C6/'Revenue Miles-25'!I6</f>
        <v>8.6154544217069737E-2</v>
      </c>
      <c r="S14" s="207">
        <f>'Ridership-25'!D6/'Revenue Miles-25'!J6</f>
        <v>0.15736959607772016</v>
      </c>
      <c r="T14" s="207">
        <f>'Ridership-25'!E6/'Revenue Miles-25'!K6</f>
        <v>0.16460220997236286</v>
      </c>
      <c r="U14" s="97">
        <f t="shared" si="5"/>
        <v>1.2593362033437594</v>
      </c>
      <c r="V14" s="98">
        <f t="shared" si="6"/>
        <v>7.3776834625568109E-3</v>
      </c>
      <c r="W14" s="99">
        <f t="shared" si="7"/>
        <v>6.9459137256876746E-3</v>
      </c>
      <c r="X14" s="95">
        <f>'Op Cost-25'!B7/'Revenue Hours-25'!B6</f>
        <v>28.535460118042245</v>
      </c>
      <c r="Y14" s="96">
        <f>'Op Cost-25'!C7/'Revenue Hours-25'!C6</f>
        <v>42.25856741971144</v>
      </c>
      <c r="Z14" s="96">
        <f>'Op Cost-25'!D7/'Revenue Hours-25'!D6</f>
        <v>54.154224876915002</v>
      </c>
      <c r="AA14" s="96">
        <f>'Op Cost-25'!E7/'Revenue Hours-25'!E6</f>
        <v>45.459899034704179</v>
      </c>
      <c r="AB14" s="97">
        <f t="shared" si="8"/>
        <v>1.131145514490173</v>
      </c>
      <c r="AC14" s="98">
        <f t="shared" si="9"/>
        <v>5.1791662467450209E-3</v>
      </c>
      <c r="AD14" s="99">
        <f t="shared" si="10"/>
        <v>5.5257318145596132E-3</v>
      </c>
      <c r="AE14" s="95">
        <f>'Op Cost-25'!B7/'Revenue Miles-25'!B6</f>
        <v>1.7393535923745185</v>
      </c>
      <c r="AF14" s="96">
        <f>'Op Cost-25'!C7/'Revenue Miles-25'!C6</f>
        <v>2.7058214982530968</v>
      </c>
      <c r="AG14" s="96">
        <f>'Op Cost-25'!D7/'Revenue Miles-25'!D6</f>
        <v>3.3877081678725758</v>
      </c>
      <c r="AH14" s="96">
        <f>'Op Cost-25'!E7/'Revenue Miles-25'!E6</f>
        <v>2.689009610531103</v>
      </c>
      <c r="AI14" s="97">
        <f t="shared" si="11"/>
        <v>1.1289699957487576</v>
      </c>
      <c r="AJ14" s="98">
        <f t="shared" si="12"/>
        <v>5.1891464705571049E-3</v>
      </c>
      <c r="AK14" s="99">
        <f t="shared" si="13"/>
        <v>5.5226219071064153E-3</v>
      </c>
      <c r="AL14" s="95">
        <f>'Op Cost-25'!B7/'Ridership-25'!B6</f>
        <v>15.283321305510098</v>
      </c>
      <c r="AM14" s="96">
        <f>'Op Cost-25'!C7/'Ridership-25'!C6</f>
        <v>31.406602203543365</v>
      </c>
      <c r="AN14" s="96">
        <f>'Op Cost-25'!D7/'Ridership-25'!D6</f>
        <v>21.527081801744522</v>
      </c>
      <c r="AO14" s="96">
        <f>'Op Cost-25'!E7/'Ridership-25'!E6</f>
        <v>16.33641256081917</v>
      </c>
      <c r="AP14" s="100">
        <f t="shared" si="14"/>
        <v>0.9068629018501454</v>
      </c>
      <c r="AQ14" s="98">
        <f t="shared" si="15"/>
        <v>6.4600621073510464E-3</v>
      </c>
      <c r="AR14" s="99">
        <f t="shared" si="16"/>
        <v>7.0160435464583868E-3</v>
      </c>
      <c r="AT14" s="101">
        <f t="shared" si="29"/>
        <v>0</v>
      </c>
      <c r="AU14" s="102">
        <f t="shared" si="17"/>
        <v>0</v>
      </c>
      <c r="AV14" s="102">
        <f t="shared" si="18"/>
        <v>0</v>
      </c>
      <c r="AW14" s="102">
        <f t="shared" si="19"/>
        <v>0</v>
      </c>
      <c r="AX14" s="103">
        <f t="shared" si="20"/>
        <v>0</v>
      </c>
      <c r="AY14" s="293">
        <f t="shared" si="30"/>
        <v>-1</v>
      </c>
      <c r="AZ14" s="105">
        <f t="shared" si="21"/>
        <v>0</v>
      </c>
      <c r="BA14" s="106">
        <f t="shared" si="21"/>
        <v>0</v>
      </c>
      <c r="BB14" s="106">
        <f t="shared" si="21"/>
        <v>0</v>
      </c>
      <c r="BC14" s="106">
        <f t="shared" si="21"/>
        <v>0</v>
      </c>
      <c r="BD14" s="106">
        <f t="shared" si="21"/>
        <v>0</v>
      </c>
      <c r="BE14" s="107">
        <f t="shared" si="31"/>
        <v>716132.60718627647</v>
      </c>
      <c r="BG14" s="108">
        <f>'Op Cost-25'!E7</f>
        <v>2152208</v>
      </c>
      <c r="BH14" s="109">
        <f t="shared" si="22"/>
        <v>0.3327432140324153</v>
      </c>
      <c r="BI14" s="110">
        <f t="shared" si="23"/>
        <v>645662.4</v>
      </c>
      <c r="BJ14" s="111">
        <f t="shared" si="24"/>
        <v>70470.207186276442</v>
      </c>
      <c r="BK14" s="1">
        <f t="shared" si="32"/>
        <v>0.43275003011830826</v>
      </c>
      <c r="BL14" s="294">
        <f t="shared" si="33"/>
        <v>0.24484455918712109</v>
      </c>
      <c r="BM14" s="294">
        <f t="shared" si="34"/>
        <v>0.21685561441924597</v>
      </c>
      <c r="BN14" s="295">
        <f t="shared" si="35"/>
        <v>0.63464997343343299</v>
      </c>
      <c r="BO14" s="114">
        <f t="shared" si="25"/>
        <v>0</v>
      </c>
      <c r="BP14" s="296">
        <f t="shared" si="36"/>
        <v>0.43275003011830826</v>
      </c>
      <c r="BQ14" s="116">
        <f t="shared" si="37"/>
        <v>2.5352187383699785E-3</v>
      </c>
      <c r="BR14" s="297">
        <f t="shared" si="38"/>
        <v>0</v>
      </c>
      <c r="BS14" s="117">
        <f t="shared" si="39"/>
        <v>0</v>
      </c>
      <c r="BT14" s="298">
        <f t="shared" si="40"/>
        <v>645662.4</v>
      </c>
      <c r="BU14" s="119">
        <f t="shared" si="41"/>
        <v>645662.4</v>
      </c>
      <c r="BV14" s="119">
        <f t="shared" si="42"/>
        <v>645662.4</v>
      </c>
      <c r="BW14" s="119">
        <f t="shared" si="43"/>
        <v>0</v>
      </c>
      <c r="BX14" s="120">
        <f t="shared" si="44"/>
        <v>0</v>
      </c>
      <c r="BY14" s="121">
        <f t="shared" si="45"/>
        <v>0</v>
      </c>
      <c r="BZ14" s="299">
        <f t="shared" si="46"/>
        <v>645662.4</v>
      </c>
      <c r="CA14" s="109">
        <f t="shared" si="26"/>
        <v>0</v>
      </c>
      <c r="CB14" s="123">
        <f t="shared" si="27"/>
        <v>0</v>
      </c>
      <c r="CC14" s="111">
        <f t="shared" ref="CC14:CC50" si="56">ROUND((CB14+BI14),0)</f>
        <v>645662</v>
      </c>
      <c r="CE14" s="124">
        <f t="shared" si="28"/>
        <v>0</v>
      </c>
      <c r="CF14" s="17"/>
      <c r="CG14" s="108">
        <f t="shared" si="47"/>
        <v>2152208</v>
      </c>
      <c r="CH14" s="125">
        <f t="shared" si="48"/>
        <v>0.29999981414435778</v>
      </c>
      <c r="CI14" s="110">
        <f t="shared" si="49"/>
        <v>645662.4</v>
      </c>
      <c r="CJ14" s="300">
        <f t="shared" si="50"/>
        <v>0</v>
      </c>
      <c r="CL14" s="127">
        <f t="shared" si="51"/>
        <v>0</v>
      </c>
      <c r="CM14" s="128">
        <f t="shared" si="52"/>
        <v>0</v>
      </c>
      <c r="CN14" s="129">
        <f t="shared" si="53"/>
        <v>0</v>
      </c>
      <c r="CO14" s="130">
        <f t="shared" si="55"/>
        <v>645662</v>
      </c>
      <c r="CQ14" s="131">
        <f t="shared" si="54"/>
        <v>0.3</v>
      </c>
      <c r="CR14" s="301"/>
    </row>
    <row r="15" spans="1:96">
      <c r="A15" s="133" t="s">
        <v>82</v>
      </c>
      <c r="B15" s="90" t="s">
        <v>87</v>
      </c>
      <c r="C15" s="208">
        <f>'Op Cost-25'!E8</f>
        <v>456069</v>
      </c>
      <c r="D15" s="92">
        <f>'Ridership-25'!$E7</f>
        <v>31171</v>
      </c>
      <c r="E15" s="92">
        <f>'Revenue Hours-25'!$E7</f>
        <v>8170</v>
      </c>
      <c r="F15" s="92">
        <f>'Revenue Miles-25'!$E7</f>
        <v>132943</v>
      </c>
      <c r="G15" s="93">
        <f t="shared" si="0"/>
        <v>1.1163863673089888E-3</v>
      </c>
      <c r="H15" s="94">
        <f t="shared" si="1"/>
        <v>1.116386367308989E-3</v>
      </c>
      <c r="J15" s="95">
        <f>'Ridership-25'!B7/'Revenue Hours-25'!B7</f>
        <v>5.5566235366605055</v>
      </c>
      <c r="K15" s="207">
        <f>'Ridership-25'!C7/'Revenue Hours-25'!I7</f>
        <v>3.8071505958829901</v>
      </c>
      <c r="L15" s="207">
        <f>'Ridership-25'!D7/'Revenue Hours-25'!J7</f>
        <v>3.650582779796967</v>
      </c>
      <c r="M15" s="207">
        <f>'Ridership-25'!E7/'Revenue Hours-25'!K7</f>
        <v>3.815299877600979</v>
      </c>
      <c r="N15" s="97">
        <f t="shared" si="2"/>
        <v>0.98400547632215163</v>
      </c>
      <c r="O15" s="98">
        <f t="shared" si="3"/>
        <v>1.0985302991234382E-3</v>
      </c>
      <c r="P15" s="99">
        <f t="shared" si="4"/>
        <v>1.0326523370417777E-3</v>
      </c>
      <c r="Q15" s="95">
        <f>'Ridership-25'!B7/'Revenue Miles-25'!B7</f>
        <v>0.3373331737387037</v>
      </c>
      <c r="R15" s="207">
        <f>'Ridership-25'!C7/'Revenue Miles-25'!I7</f>
        <v>0.2437813629741542</v>
      </c>
      <c r="S15" s="207">
        <f>'Ridership-25'!D7/'Revenue Miles-25'!J7</f>
        <v>0.22496138399752857</v>
      </c>
      <c r="T15" s="207">
        <f>'Ridership-25'!E7/'Revenue Miles-25'!K7</f>
        <v>0.23446890772737189</v>
      </c>
      <c r="U15" s="97">
        <f t="shared" si="5"/>
        <v>0.9968029568907818</v>
      </c>
      <c r="V15" s="98">
        <f t="shared" si="6"/>
        <v>1.1128172319661586E-3</v>
      </c>
      <c r="W15" s="99">
        <f t="shared" si="7"/>
        <v>1.0476909893090964E-3</v>
      </c>
      <c r="X15" s="95">
        <f>'Op Cost-25'!B8/'Revenue Hours-25'!B7</f>
        <v>38.559704251386322</v>
      </c>
      <c r="Y15" s="96">
        <f>'Op Cost-25'!C8/'Revenue Hours-25'!C7</f>
        <v>43.683519922956542</v>
      </c>
      <c r="Z15" s="96">
        <f>'Op Cost-25'!D8/'Revenue Hours-25'!D7</f>
        <v>59.664118310565236</v>
      </c>
      <c r="AA15" s="96">
        <f>'Op Cost-25'!E8/'Revenue Hours-25'!E7</f>
        <v>55.822399020807836</v>
      </c>
      <c r="AB15" s="97">
        <f t="shared" si="8"/>
        <v>1.0986125400469504</v>
      </c>
      <c r="AC15" s="98">
        <f t="shared" si="9"/>
        <v>1.0161784310793313E-3</v>
      </c>
      <c r="AD15" s="99">
        <f t="shared" si="10"/>
        <v>1.0841763361840923E-3</v>
      </c>
      <c r="AE15" s="95">
        <f>'Op Cost-25'!B8/'Revenue Miles-25'!B7</f>
        <v>2.340894128912562</v>
      </c>
      <c r="AF15" s="96">
        <f>'Op Cost-25'!C8/'Revenue Miles-25'!C7</f>
        <v>2.7971649027603269</v>
      </c>
      <c r="AG15" s="96">
        <f>'Op Cost-25'!D8/'Revenue Miles-25'!D7</f>
        <v>3.6767068273092369</v>
      </c>
      <c r="AH15" s="96">
        <f>'Op Cost-25'!E8/'Revenue Miles-25'!E7</f>
        <v>3.4305604657635227</v>
      </c>
      <c r="AI15" s="97">
        <f t="shared" si="11"/>
        <v>1.1030365413985617</v>
      </c>
      <c r="AJ15" s="98">
        <f t="shared" si="12"/>
        <v>1.0121027957002231E-3</v>
      </c>
      <c r="AK15" s="99">
        <f t="shared" si="13"/>
        <v>1.0771445946827587E-3</v>
      </c>
      <c r="AL15" s="95">
        <f>'Op Cost-25'!B8/'Ridership-25'!B7</f>
        <v>6.9394127561429961</v>
      </c>
      <c r="AM15" s="96">
        <f>'Op Cost-25'!C8/'Ridership-25'!C7</f>
        <v>11.474071966103839</v>
      </c>
      <c r="AN15" s="96">
        <f>'Op Cost-25'!D8/'Ridership-25'!D7</f>
        <v>16.343724251579236</v>
      </c>
      <c r="AO15" s="96">
        <f>'Op Cost-25'!E8/'Ridership-25'!E7</f>
        <v>14.631195662635141</v>
      </c>
      <c r="AP15" s="100">
        <f t="shared" si="14"/>
        <v>1.2256175688486206</v>
      </c>
      <c r="AQ15" s="98">
        <f t="shared" si="15"/>
        <v>9.1087660268916802E-4</v>
      </c>
      <c r="AR15" s="99">
        <f t="shared" si="16"/>
        <v>9.8927066082617112E-4</v>
      </c>
      <c r="AT15" s="101">
        <f t="shared" si="29"/>
        <v>0</v>
      </c>
      <c r="AU15" s="102">
        <f t="shared" si="17"/>
        <v>0</v>
      </c>
      <c r="AV15" s="102">
        <f t="shared" si="18"/>
        <v>0</v>
      </c>
      <c r="AW15" s="102">
        <f t="shared" si="19"/>
        <v>0</v>
      </c>
      <c r="AX15" s="103">
        <f t="shared" si="20"/>
        <v>0</v>
      </c>
      <c r="AY15" s="293">
        <f t="shared" si="30"/>
        <v>-1</v>
      </c>
      <c r="AZ15" s="105">
        <f t="shared" si="21"/>
        <v>0</v>
      </c>
      <c r="BA15" s="106">
        <f t="shared" si="21"/>
        <v>0</v>
      </c>
      <c r="BB15" s="106">
        <f t="shared" si="21"/>
        <v>0</v>
      </c>
      <c r="BC15" s="106">
        <f t="shared" si="21"/>
        <v>0</v>
      </c>
      <c r="BD15" s="106">
        <f t="shared" si="21"/>
        <v>0</v>
      </c>
      <c r="BE15" s="107">
        <f t="shared" si="31"/>
        <v>136467.62823540834</v>
      </c>
      <c r="BG15" s="108">
        <f>'Op Cost-25'!E8</f>
        <v>456069</v>
      </c>
      <c r="BH15" s="109">
        <f t="shared" si="22"/>
        <v>0.29922583695758392</v>
      </c>
      <c r="BI15" s="110">
        <f t="shared" si="23"/>
        <v>136467.62823540834</v>
      </c>
      <c r="BJ15" s="111">
        <f t="shared" si="24"/>
        <v>0</v>
      </c>
      <c r="BK15" s="1">
        <f t="shared" si="32"/>
        <v>0.73922470559427067</v>
      </c>
      <c r="BL15" s="294">
        <f t="shared" si="33"/>
        <v>0.43732676301715251</v>
      </c>
      <c r="BM15" s="294">
        <f t="shared" si="34"/>
        <v>0.39120773527810115</v>
      </c>
      <c r="BN15" s="295">
        <f t="shared" si="35"/>
        <v>1.0641821620409144</v>
      </c>
      <c r="BO15" s="114">
        <f t="shared" si="25"/>
        <v>0</v>
      </c>
      <c r="BP15" s="296">
        <f t="shared" si="36"/>
        <v>0.73922470559427067</v>
      </c>
      <c r="BQ15" s="116">
        <f t="shared" si="37"/>
        <v>8.2526038370344475E-4</v>
      </c>
      <c r="BR15" s="297">
        <f t="shared" si="38"/>
        <v>0</v>
      </c>
      <c r="BS15" s="117">
        <f t="shared" si="39"/>
        <v>0</v>
      </c>
      <c r="BT15" s="298">
        <f t="shared" si="40"/>
        <v>136467.62823540834</v>
      </c>
      <c r="BU15" s="119">
        <f t="shared" si="41"/>
        <v>136820.69999999998</v>
      </c>
      <c r="BV15" s="119">
        <f t="shared" si="42"/>
        <v>136467.62823540834</v>
      </c>
      <c r="BW15" s="119">
        <f t="shared" si="43"/>
        <v>0</v>
      </c>
      <c r="BX15" s="120">
        <f t="shared" si="44"/>
        <v>8.2526038370344475E-4</v>
      </c>
      <c r="BY15" s="121">
        <f t="shared" si="45"/>
        <v>1.5091147749148933E-3</v>
      </c>
      <c r="BZ15" s="299">
        <f t="shared" si="46"/>
        <v>137666.05537483032</v>
      </c>
      <c r="CA15" s="109">
        <f t="shared" si="26"/>
        <v>0</v>
      </c>
      <c r="CB15" s="123">
        <f t="shared" si="27"/>
        <v>0</v>
      </c>
      <c r="CC15" s="111">
        <f t="shared" si="56"/>
        <v>136468</v>
      </c>
      <c r="CE15" s="124">
        <f t="shared" si="28"/>
        <v>0</v>
      </c>
      <c r="CF15" s="17"/>
      <c r="CG15" s="108">
        <f t="shared" si="47"/>
        <v>456069</v>
      </c>
      <c r="CH15" s="125">
        <f t="shared" si="48"/>
        <v>0.29922665210746618</v>
      </c>
      <c r="CI15" s="110">
        <f t="shared" si="49"/>
        <v>136467.62823540834</v>
      </c>
      <c r="CJ15" s="300">
        <f t="shared" si="50"/>
        <v>0</v>
      </c>
      <c r="CL15" s="127">
        <f t="shared" si="51"/>
        <v>0</v>
      </c>
      <c r="CM15" s="128">
        <f t="shared" si="52"/>
        <v>0</v>
      </c>
      <c r="CN15" s="129">
        <f t="shared" si="53"/>
        <v>0</v>
      </c>
      <c r="CO15" s="130">
        <f>ROUND((CN15+CI15),0)</f>
        <v>136468</v>
      </c>
      <c r="CQ15" s="131">
        <f t="shared" si="54"/>
        <v>0.30185356903194543</v>
      </c>
      <c r="CR15" s="301"/>
    </row>
    <row r="16" spans="1:96">
      <c r="A16" s="133" t="s">
        <v>88</v>
      </c>
      <c r="B16" s="90" t="s">
        <v>89</v>
      </c>
      <c r="C16" s="208">
        <f>'Op Cost-25'!E9</f>
        <v>10488989</v>
      </c>
      <c r="D16" s="92">
        <f>'Ridership-25'!$E8</f>
        <v>1147018</v>
      </c>
      <c r="E16" s="92">
        <f>'Revenue Hours-25'!$E8</f>
        <v>73719</v>
      </c>
      <c r="F16" s="92">
        <f>'Revenue Miles-25'!$E8</f>
        <v>782454</v>
      </c>
      <c r="G16" s="93">
        <f t="shared" si="0"/>
        <v>1.9648717850780675E-2</v>
      </c>
      <c r="H16" s="94">
        <f t="shared" si="1"/>
        <v>1.9648717850780678E-2</v>
      </c>
      <c r="J16" s="95">
        <f>'Ridership-25'!B8/'Revenue Hours-25'!B8</f>
        <v>17.327594346172003</v>
      </c>
      <c r="K16" s="207">
        <f>'Ridership-25'!C8/'Revenue Hours-25'!I8</f>
        <v>8.228226225879153</v>
      </c>
      <c r="L16" s="207">
        <f>'Ridership-25'!D8/'Revenue Hours-25'!J8</f>
        <v>19.647103879082909</v>
      </c>
      <c r="M16" s="207">
        <f>'Ridership-25'!E8/'Revenue Hours-25'!K8</f>
        <v>15.559326632211507</v>
      </c>
      <c r="N16" s="97">
        <f t="shared" si="2"/>
        <v>1.146642827024652</v>
      </c>
      <c r="O16" s="98">
        <f t="shared" si="3"/>
        <v>2.2530061383828903E-2</v>
      </c>
      <c r="P16" s="99">
        <f t="shared" si="4"/>
        <v>2.1178952060102743E-2</v>
      </c>
      <c r="Q16" s="95">
        <f>'Ridership-25'!B8/'Revenue Miles-25'!B8</f>
        <v>1.9171644901717197</v>
      </c>
      <c r="R16" s="207">
        <f>'Ridership-25'!C8/'Revenue Miles-25'!I8</f>
        <v>0.84464065708418889</v>
      </c>
      <c r="S16" s="207">
        <f>'Ridership-25'!D8/'Revenue Miles-25'!J8</f>
        <v>1.4289408659654961</v>
      </c>
      <c r="T16" s="207">
        <f>'Ridership-25'!E8/'Revenue Miles-25'!K8</f>
        <v>1.465923875397148</v>
      </c>
      <c r="U16" s="97">
        <f t="shared" si="5"/>
        <v>1.0157118214755225</v>
      </c>
      <c r="V16" s="98">
        <f t="shared" si="6"/>
        <v>1.9957434997875056E-2</v>
      </c>
      <c r="W16" s="99">
        <f t="shared" si="7"/>
        <v>1.8789450968559017E-2</v>
      </c>
      <c r="X16" s="95">
        <f>'Op Cost-25'!B9/'Revenue Hours-25'!B8</f>
        <v>81.344653948330603</v>
      </c>
      <c r="Y16" s="96">
        <f>'Op Cost-25'!C9/'Revenue Hours-25'!C8</f>
        <v>121.31553469268006</v>
      </c>
      <c r="Z16" s="96">
        <f>'Op Cost-25'!D9/'Revenue Hours-25'!D8</f>
        <v>156.54829705026299</v>
      </c>
      <c r="AA16" s="96">
        <f>'Op Cost-25'!E9/'Revenue Hours-25'!E8</f>
        <v>142.28338691517791</v>
      </c>
      <c r="AB16" s="97">
        <f t="shared" si="8"/>
        <v>1.1618312176531347</v>
      </c>
      <c r="AC16" s="98">
        <f t="shared" si="9"/>
        <v>1.6911852214188665E-2</v>
      </c>
      <c r="AD16" s="99">
        <f t="shared" si="10"/>
        <v>1.8043514220421868E-2</v>
      </c>
      <c r="AE16" s="95">
        <f>'Op Cost-25'!B9/'Revenue Miles-25'!B8</f>
        <v>9.0001577194989437</v>
      </c>
      <c r="AF16" s="96">
        <f>'Op Cost-25'!C9/'Revenue Miles-25'!C8</f>
        <v>12.453234770704997</v>
      </c>
      <c r="AG16" s="96">
        <f>'Op Cost-25'!D9/'Revenue Miles-25'!D8</f>
        <v>11.385813427218888</v>
      </c>
      <c r="AH16" s="96">
        <f>'Op Cost-25'!E9/'Revenue Miles-25'!E8</f>
        <v>13.405246826011497</v>
      </c>
      <c r="AI16" s="97">
        <f t="shared" si="11"/>
        <v>1.1048323787932597</v>
      </c>
      <c r="AJ16" s="98">
        <f t="shared" si="12"/>
        <v>1.7784342881262911E-2</v>
      </c>
      <c r="AK16" s="99">
        <f t="shared" si="13"/>
        <v>1.8927236330064531E-2</v>
      </c>
      <c r="AL16" s="95">
        <f>'Op Cost-25'!B9/'Ridership-25'!B8</f>
        <v>4.6945151371402689</v>
      </c>
      <c r="AM16" s="96">
        <f>'Op Cost-25'!C9/'Ridership-25'!C8</f>
        <v>14.743825869921071</v>
      </c>
      <c r="AN16" s="96">
        <f>'Op Cost-25'!D9/'Ridership-25'!D8</f>
        <v>7.9680088227624495</v>
      </c>
      <c r="AO16" s="96">
        <f>'Op Cost-25'!E9/'Ridership-25'!E8</f>
        <v>9.1445722734952728</v>
      </c>
      <c r="AP16" s="97">
        <f t="shared" si="14"/>
        <v>1.1634437228193528</v>
      </c>
      <c r="AQ16" s="98">
        <f t="shared" si="15"/>
        <v>1.6888412791609967E-2</v>
      </c>
      <c r="AR16" s="99">
        <f t="shared" si="16"/>
        <v>1.8341904088146177E-2</v>
      </c>
      <c r="AT16" s="101">
        <f t="shared" si="29"/>
        <v>0</v>
      </c>
      <c r="AU16" s="102">
        <f t="shared" si="17"/>
        <v>0</v>
      </c>
      <c r="AV16" s="102">
        <f t="shared" si="18"/>
        <v>0</v>
      </c>
      <c r="AW16" s="102">
        <f t="shared" si="19"/>
        <v>0</v>
      </c>
      <c r="AX16" s="103">
        <f t="shared" si="20"/>
        <v>0</v>
      </c>
      <c r="AY16" s="293">
        <f t="shared" si="30"/>
        <v>-1</v>
      </c>
      <c r="AZ16" s="105">
        <f t="shared" si="21"/>
        <v>0</v>
      </c>
      <c r="BA16" s="106">
        <f t="shared" si="21"/>
        <v>0</v>
      </c>
      <c r="BB16" s="106">
        <f t="shared" si="21"/>
        <v>0</v>
      </c>
      <c r="BC16" s="106">
        <f t="shared" si="21"/>
        <v>0</v>
      </c>
      <c r="BD16" s="106">
        <f t="shared" si="21"/>
        <v>0</v>
      </c>
      <c r="BE16" s="107">
        <f t="shared" si="31"/>
        <v>2401869.1032802784</v>
      </c>
      <c r="BG16" s="108">
        <f>'Op Cost-25'!E9</f>
        <v>10488989</v>
      </c>
      <c r="BH16" s="109">
        <f t="shared" si="22"/>
        <v>0.22898957213896196</v>
      </c>
      <c r="BI16" s="110">
        <f t="shared" si="23"/>
        <v>2401869.1032802784</v>
      </c>
      <c r="BJ16" s="111">
        <f t="shared" si="24"/>
        <v>0</v>
      </c>
      <c r="BK16" s="1">
        <f t="shared" si="32"/>
        <v>1.6020896223371766</v>
      </c>
      <c r="BL16" s="294">
        <f t="shared" si="33"/>
        <v>1.6106127262124401</v>
      </c>
      <c r="BM16" s="294">
        <f t="shared" si="34"/>
        <v>1.9983601930987263</v>
      </c>
      <c r="BN16" s="295">
        <f t="shared" si="35"/>
        <v>1.3996927850187699</v>
      </c>
      <c r="BO16" s="114">
        <f t="shared" si="25"/>
        <v>2401869.1032802784</v>
      </c>
      <c r="BP16" s="296">
        <f t="shared" si="36"/>
        <v>1.6020896223371766</v>
      </c>
      <c r="BQ16" s="116">
        <f t="shared" si="37"/>
        <v>3.1479006960966956E-2</v>
      </c>
      <c r="BR16" s="297">
        <f t="shared" si="38"/>
        <v>3.1479006960966956E-2</v>
      </c>
      <c r="BS16" s="302">
        <f t="shared" si="39"/>
        <v>3.2780743548355425E-2</v>
      </c>
      <c r="BT16" s="298">
        <f t="shared" si="40"/>
        <v>2685064.0640130928</v>
      </c>
      <c r="BU16" s="119">
        <f t="shared" si="41"/>
        <v>3146696.6999999997</v>
      </c>
      <c r="BV16" s="119">
        <f t="shared" si="42"/>
        <v>2685064.0640130928</v>
      </c>
      <c r="BW16" s="119">
        <f t="shared" si="43"/>
        <v>0</v>
      </c>
      <c r="BX16" s="120">
        <f t="shared" si="44"/>
        <v>3.1479006960966956E-2</v>
      </c>
      <c r="BY16" s="121">
        <f t="shared" si="45"/>
        <v>5.7564176643568256E-2</v>
      </c>
      <c r="BZ16" s="299">
        <f t="shared" si="46"/>
        <v>2730777.2680018512</v>
      </c>
      <c r="CA16" s="109">
        <f t="shared" si="26"/>
        <v>2.182422889782824E-2</v>
      </c>
      <c r="CB16" s="123">
        <f t="shared" si="27"/>
        <v>188540.92301559425</v>
      </c>
      <c r="CC16" s="111">
        <f>ROUND((CB16+BI16),0)</f>
        <v>2590410</v>
      </c>
      <c r="CE16" s="124">
        <f t="shared" si="28"/>
        <v>0</v>
      </c>
      <c r="CF16" s="17"/>
      <c r="CG16" s="108">
        <f t="shared" si="47"/>
        <v>10488989</v>
      </c>
      <c r="CH16" s="125">
        <f t="shared" si="48"/>
        <v>0.24696469793227926</v>
      </c>
      <c r="CI16" s="110">
        <f t="shared" si="49"/>
        <v>2685064.0640130928</v>
      </c>
      <c r="CJ16" s="300">
        <f t="shared" si="50"/>
        <v>0</v>
      </c>
      <c r="CL16" s="127">
        <f t="shared" si="51"/>
        <v>2685064.0640130928</v>
      </c>
      <c r="CM16" s="128">
        <f t="shared" si="52"/>
        <v>3.1222879159486176E-2</v>
      </c>
      <c r="CN16" s="129">
        <f t="shared" si="53"/>
        <v>24794.897232208135</v>
      </c>
      <c r="CO16" s="130">
        <f>ROUND((CN16+CI16),0)</f>
        <v>2709859</v>
      </c>
      <c r="CQ16" s="131">
        <f t="shared" si="54"/>
        <v>0.26034704278952442</v>
      </c>
      <c r="CR16" s="301"/>
    </row>
    <row r="17" spans="1:96">
      <c r="A17" s="136"/>
      <c r="B17" s="137"/>
      <c r="C17" s="208"/>
      <c r="D17" s="139"/>
      <c r="E17" s="139"/>
      <c r="F17" s="139"/>
      <c r="G17" s="140"/>
      <c r="H17" s="141"/>
      <c r="J17" s="142"/>
      <c r="K17" s="207"/>
      <c r="L17" s="207"/>
      <c r="M17" s="207"/>
      <c r="N17" s="144"/>
      <c r="O17" s="145"/>
      <c r="P17" s="146"/>
      <c r="Q17" s="142"/>
      <c r="R17" s="207"/>
      <c r="S17" s="207"/>
      <c r="T17" s="207"/>
      <c r="U17" s="144"/>
      <c r="V17" s="145"/>
      <c r="W17" s="146"/>
      <c r="X17" s="142"/>
      <c r="Y17" s="143"/>
      <c r="Z17" s="143"/>
      <c r="AA17" s="143"/>
      <c r="AB17" s="144"/>
      <c r="AC17" s="145"/>
      <c r="AD17" s="146"/>
      <c r="AE17" s="142"/>
      <c r="AF17" s="143"/>
      <c r="AG17" s="143"/>
      <c r="AH17" s="143"/>
      <c r="AI17" s="144"/>
      <c r="AJ17" s="145"/>
      <c r="AK17" s="146"/>
      <c r="AL17" s="142"/>
      <c r="AM17" s="143"/>
      <c r="AN17" s="143"/>
      <c r="AO17" s="143"/>
      <c r="AP17" s="147"/>
      <c r="AQ17" s="145"/>
      <c r="AR17" s="146"/>
      <c r="AT17" s="148"/>
      <c r="AU17" s="149"/>
      <c r="AV17" s="149"/>
      <c r="AW17" s="149"/>
      <c r="AX17" s="150"/>
      <c r="AY17" s="293" t="e">
        <f t="shared" si="30"/>
        <v>#DIV/0!</v>
      </c>
      <c r="AZ17" s="151"/>
      <c r="BA17" s="152"/>
      <c r="BB17" s="152"/>
      <c r="BC17" s="152"/>
      <c r="BD17" s="152"/>
      <c r="BE17" s="107">
        <f t="shared" si="31"/>
        <v>0</v>
      </c>
      <c r="BG17" s="153"/>
      <c r="BH17" s="154"/>
      <c r="BI17" s="155"/>
      <c r="BJ17" s="156"/>
      <c r="BK17" s="1">
        <f t="shared" si="32"/>
        <v>0</v>
      </c>
      <c r="BL17" s="294">
        <f t="shared" si="33"/>
        <v>0</v>
      </c>
      <c r="BM17" s="294">
        <f t="shared" si="34"/>
        <v>0</v>
      </c>
      <c r="BN17" s="295">
        <v>0</v>
      </c>
      <c r="BO17" s="157"/>
      <c r="BP17" s="296">
        <f t="shared" si="36"/>
        <v>0</v>
      </c>
      <c r="BQ17" s="116">
        <f t="shared" si="37"/>
        <v>0</v>
      </c>
      <c r="BR17" s="297">
        <f t="shared" si="38"/>
        <v>0</v>
      </c>
      <c r="BS17" s="117">
        <f t="shared" si="39"/>
        <v>0</v>
      </c>
      <c r="BT17" s="298">
        <f t="shared" si="40"/>
        <v>0</v>
      </c>
      <c r="BU17" s="119">
        <f t="shared" si="41"/>
        <v>0</v>
      </c>
      <c r="BV17" s="119">
        <f t="shared" si="42"/>
        <v>0</v>
      </c>
      <c r="BW17" s="119">
        <f t="shared" si="43"/>
        <v>0</v>
      </c>
      <c r="BX17" s="120">
        <f t="shared" si="44"/>
        <v>0</v>
      </c>
      <c r="BY17" s="121">
        <f t="shared" si="45"/>
        <v>0</v>
      </c>
      <c r="BZ17" s="299">
        <f t="shared" si="46"/>
        <v>0</v>
      </c>
      <c r="CA17" s="154"/>
      <c r="CB17" s="158"/>
      <c r="CC17" s="156"/>
      <c r="CE17" s="159"/>
      <c r="CF17" s="17"/>
      <c r="CG17" s="153"/>
      <c r="CH17" s="160"/>
      <c r="CI17" s="110">
        <f t="shared" si="49"/>
        <v>0</v>
      </c>
      <c r="CJ17" s="300">
        <f t="shared" si="50"/>
        <v>0</v>
      </c>
      <c r="CL17" s="127"/>
      <c r="CM17" s="128">
        <f t="shared" si="52"/>
        <v>0</v>
      </c>
      <c r="CN17" s="129">
        <f t="shared" si="53"/>
        <v>0</v>
      </c>
      <c r="CO17" s="162"/>
      <c r="CQ17" s="131" t="e">
        <f t="shared" si="54"/>
        <v>#DIV/0!</v>
      </c>
      <c r="CR17" s="301"/>
    </row>
    <row r="18" spans="1:96">
      <c r="A18" s="133" t="s">
        <v>90</v>
      </c>
      <c r="B18" s="90" t="s">
        <v>91</v>
      </c>
      <c r="C18" s="208">
        <f>'Op Cost-25'!E11</f>
        <v>4568165</v>
      </c>
      <c r="D18" s="92">
        <f>'Ridership-25'!$E10</f>
        <v>288349</v>
      </c>
      <c r="E18" s="92">
        <f>'Revenue Hours-25'!$E10</f>
        <v>37181</v>
      </c>
      <c r="F18" s="92">
        <f>'Revenue Miles-25'!$E10</f>
        <v>548622</v>
      </c>
      <c r="G18" s="134">
        <f t="shared" si="0"/>
        <v>7.6580607817630392E-3</v>
      </c>
      <c r="H18" s="94">
        <f t="shared" si="1"/>
        <v>7.658060781763041E-3</v>
      </c>
      <c r="J18" s="95">
        <f>'Ridership-25'!B10/'Revenue Hours-25'!B10</f>
        <v>5.5934530095036958</v>
      </c>
      <c r="K18" s="207">
        <f>'Ridership-25'!C10/'Revenue Hours-25'!I10</f>
        <v>3.4815432129025932</v>
      </c>
      <c r="L18" s="207">
        <f>'Ridership-25'!D10/'Revenue Hours-25'!J10</f>
        <v>4.4669216251117509</v>
      </c>
      <c r="M18" s="207">
        <f>'Ridership-25'!E10/'Revenue Hours-25'!K10</f>
        <v>7.7552782335063606</v>
      </c>
      <c r="N18" s="97">
        <f t="shared" si="2"/>
        <v>1.2198287632498523</v>
      </c>
      <c r="O18" s="98">
        <f t="shared" si="3"/>
        <v>9.3415228123102084E-3</v>
      </c>
      <c r="P18" s="99">
        <f t="shared" si="4"/>
        <v>8.7813193421779866E-3</v>
      </c>
      <c r="Q18" s="95">
        <f>'Ridership-25'!B10/'Revenue Miles-25'!B10</f>
        <v>0.3427235145820865</v>
      </c>
      <c r="R18" s="207">
        <f>'Ridership-25'!C10/'Revenue Miles-25'!I10</f>
        <v>0.23255357049300571</v>
      </c>
      <c r="S18" s="207">
        <f>'Ridership-25'!D10/'Revenue Miles-25'!J10</f>
        <v>0.30066694525699961</v>
      </c>
      <c r="T18" s="207">
        <f>'Ridership-25'!E10/'Revenue Miles-25'!K10</f>
        <v>0.52558774529639718</v>
      </c>
      <c r="U18" s="97">
        <f t="shared" si="5"/>
        <v>1.2632311762484385</v>
      </c>
      <c r="V18" s="98">
        <f t="shared" si="6"/>
        <v>9.6739011291285624E-3</v>
      </c>
      <c r="W18" s="99">
        <f t="shared" si="7"/>
        <v>9.1077481129114186E-3</v>
      </c>
      <c r="X18" s="95">
        <f>'Op Cost-25'!B11/'Revenue Hours-25'!B10</f>
        <v>71.54291748378337</v>
      </c>
      <c r="Y18" s="96">
        <f>'Op Cost-25'!C11/'Revenue Hours-25'!C10</f>
        <v>97.854576204715912</v>
      </c>
      <c r="Z18" s="96">
        <f>'Op Cost-25'!D11/'Revenue Hours-25'!D10</f>
        <v>112.67122777391477</v>
      </c>
      <c r="AA18" s="96">
        <f>'Op Cost-25'!E11/'Revenue Hours-25'!E10</f>
        <v>122.86288695839272</v>
      </c>
      <c r="AB18" s="97">
        <f t="shared" si="8"/>
        <v>1.1468704387138906</v>
      </c>
      <c r="AC18" s="98">
        <f t="shared" si="9"/>
        <v>6.6773547588782995E-3</v>
      </c>
      <c r="AD18" s="99">
        <f t="shared" si="10"/>
        <v>7.1241720907151583E-3</v>
      </c>
      <c r="AE18" s="95">
        <f>'Op Cost-25'!B11/'Revenue Miles-25'!B10</f>
        <v>4.38359633697433</v>
      </c>
      <c r="AF18" s="96">
        <f>'Op Cost-25'!C11/'Revenue Miles-25'!C10</f>
        <v>6.5363057971394145</v>
      </c>
      <c r="AG18" s="96">
        <f>'Op Cost-25'!D11/'Revenue Miles-25'!D10</f>
        <v>7.5838612620142083</v>
      </c>
      <c r="AH18" s="96">
        <f>'Op Cost-25'!E11/'Revenue Miles-25'!E10</f>
        <v>8.3266165046243135</v>
      </c>
      <c r="AI18" s="97">
        <f t="shared" si="11"/>
        <v>1.1891379558716986</v>
      </c>
      <c r="AJ18" s="98">
        <f t="shared" si="12"/>
        <v>6.440010382268299E-3</v>
      </c>
      <c r="AK18" s="99">
        <f t="shared" si="13"/>
        <v>6.8538713680381703E-3</v>
      </c>
      <c r="AL18" s="95">
        <f>'Op Cost-25'!B11/'Ridership-25'!B10</f>
        <v>12.790474392513282</v>
      </c>
      <c r="AM18" s="96">
        <f>'Op Cost-25'!C11/'Ridership-25'!C10</f>
        <v>28.106667136018022</v>
      </c>
      <c r="AN18" s="96">
        <f>'Op Cost-25'!D11/'Ridership-25'!D10</f>
        <v>25.223461978940815</v>
      </c>
      <c r="AO18" s="96">
        <f>'Op Cost-25'!E11/'Ridership-25'!E10</f>
        <v>15.842486015210735</v>
      </c>
      <c r="AP18" s="100">
        <f t="shared" si="14"/>
        <v>0.96170318816631051</v>
      </c>
      <c r="AQ18" s="98">
        <f t="shared" si="15"/>
        <v>7.9630190229115771E-3</v>
      </c>
      <c r="AR18" s="99">
        <f t="shared" si="16"/>
        <v>8.6483515634392591E-3</v>
      </c>
      <c r="AT18" s="101">
        <f t="shared" si="29"/>
        <v>0</v>
      </c>
      <c r="AU18" s="102">
        <f t="shared" si="17"/>
        <v>0</v>
      </c>
      <c r="AV18" s="102">
        <f t="shared" si="18"/>
        <v>0</v>
      </c>
      <c r="AW18" s="102">
        <f t="shared" si="19"/>
        <v>0</v>
      </c>
      <c r="AX18" s="103">
        <f t="shared" si="20"/>
        <v>0</v>
      </c>
      <c r="AY18" s="293">
        <f t="shared" si="30"/>
        <v>-1</v>
      </c>
      <c r="AZ18" s="105">
        <f t="shared" si="21"/>
        <v>0</v>
      </c>
      <c r="BA18" s="106">
        <f t="shared" si="21"/>
        <v>0</v>
      </c>
      <c r="BB18" s="106">
        <f t="shared" si="21"/>
        <v>0</v>
      </c>
      <c r="BC18" s="106">
        <f t="shared" si="21"/>
        <v>0</v>
      </c>
      <c r="BD18" s="106">
        <f t="shared" si="21"/>
        <v>0</v>
      </c>
      <c r="BE18" s="107">
        <f t="shared" si="31"/>
        <v>936125.18243923225</v>
      </c>
      <c r="BG18" s="108">
        <f>'Op Cost-25'!E11</f>
        <v>4568165</v>
      </c>
      <c r="BH18" s="109">
        <f t="shared" si="22"/>
        <v>0.20492367995447455</v>
      </c>
      <c r="BI18" s="110">
        <f t="shared" si="23"/>
        <v>936125.18243923225</v>
      </c>
      <c r="BJ18" s="111">
        <f t="shared" si="24"/>
        <v>0</v>
      </c>
      <c r="BK18" s="1">
        <f t="shared" si="32"/>
        <v>0.59858984391509074</v>
      </c>
      <c r="BL18" s="294">
        <f t="shared" si="33"/>
        <v>0.57478261519705454</v>
      </c>
      <c r="BM18" s="294">
        <f t="shared" si="34"/>
        <v>0.55512051762645409</v>
      </c>
      <c r="BN18" s="295">
        <f t="shared" si="35"/>
        <v>0.6322281214184271</v>
      </c>
      <c r="BO18" s="114">
        <f t="shared" si="25"/>
        <v>936125.18243923225</v>
      </c>
      <c r="BP18" s="296">
        <f t="shared" si="36"/>
        <v>0.59858984391509074</v>
      </c>
      <c r="BQ18" s="116">
        <f t="shared" si="37"/>
        <v>4.584037408047816E-3</v>
      </c>
      <c r="BR18" s="297">
        <f t="shared" si="38"/>
        <v>4.584037408047816E-3</v>
      </c>
      <c r="BS18" s="117">
        <f t="shared" si="39"/>
        <v>4.7735989536014109E-3</v>
      </c>
      <c r="BT18" s="298">
        <f t="shared" si="40"/>
        <v>977364.61211309559</v>
      </c>
      <c r="BU18" s="119">
        <f t="shared" si="41"/>
        <v>1370449.5</v>
      </c>
      <c r="BV18" s="119">
        <f t="shared" si="42"/>
        <v>977364.61211309559</v>
      </c>
      <c r="BW18" s="119">
        <f t="shared" si="43"/>
        <v>0</v>
      </c>
      <c r="BX18" s="120">
        <f t="shared" si="44"/>
        <v>4.584037408047816E-3</v>
      </c>
      <c r="BY18" s="121">
        <f t="shared" si="45"/>
        <v>8.382613194399308E-3</v>
      </c>
      <c r="BZ18" s="299">
        <f t="shared" si="46"/>
        <v>984021.4624192703</v>
      </c>
      <c r="CA18" s="109">
        <f t="shared" si="26"/>
        <v>8.5059632228388707E-3</v>
      </c>
      <c r="CB18" s="123">
        <f t="shared" ref="CB18:CB50" si="57">CA18*$BO$6</f>
        <v>73483.565659006083</v>
      </c>
      <c r="CC18" s="111">
        <f t="shared" si="56"/>
        <v>1009609</v>
      </c>
      <c r="CE18" s="124">
        <f t="shared" si="28"/>
        <v>0</v>
      </c>
      <c r="CF18" s="17"/>
      <c r="CG18" s="108">
        <f t="shared" si="47"/>
        <v>4568165</v>
      </c>
      <c r="CH18" s="125">
        <f t="shared" si="48"/>
        <v>0.2210097489911157</v>
      </c>
      <c r="CI18" s="110">
        <f t="shared" si="49"/>
        <v>977364.61211309559</v>
      </c>
      <c r="CJ18" s="300">
        <f t="shared" si="50"/>
        <v>0</v>
      </c>
      <c r="CL18" s="127">
        <f t="shared" si="51"/>
        <v>977364.61211309559</v>
      </c>
      <c r="CM18" s="128">
        <f t="shared" si="52"/>
        <v>1.1365143047334181E-2</v>
      </c>
      <c r="CN18" s="129">
        <f t="shared" si="53"/>
        <v>9025.3545308418397</v>
      </c>
      <c r="CO18" s="130">
        <f t="shared" si="55"/>
        <v>986390</v>
      </c>
      <c r="CQ18" s="131">
        <f t="shared" si="54"/>
        <v>0.21540847636179303</v>
      </c>
      <c r="CR18" s="301"/>
    </row>
    <row r="19" spans="1:96">
      <c r="A19" s="133" t="s">
        <v>92</v>
      </c>
      <c r="B19" s="90" t="s">
        <v>93</v>
      </c>
      <c r="C19" s="208">
        <f>'Op Cost-25'!E12</f>
        <v>1970225</v>
      </c>
      <c r="D19" s="92">
        <f>'Ridership-25'!$E11</f>
        <v>75077</v>
      </c>
      <c r="E19" s="92">
        <f>'Revenue Hours-25'!$E11</f>
        <v>22410</v>
      </c>
      <c r="F19" s="92">
        <f>'Revenue Miles-25'!$E11</f>
        <v>442128</v>
      </c>
      <c r="G19" s="134">
        <f t="shared" si="0"/>
        <v>3.6382871513673735E-3</v>
      </c>
      <c r="H19" s="94">
        <f t="shared" si="1"/>
        <v>3.6382871513673744E-3</v>
      </c>
      <c r="J19" s="95">
        <f>'Ridership-25'!B11/'Revenue Hours-25'!B11</f>
        <v>6.7021276595744679</v>
      </c>
      <c r="K19" s="207">
        <f>'Ridership-25'!C11/'Revenue Hours-25'!I11</f>
        <v>5.361326293975428</v>
      </c>
      <c r="L19" s="207">
        <f>'Ridership-25'!D11/'Revenue Hours-25'!J11</f>
        <v>3.4816356739753909</v>
      </c>
      <c r="M19" s="207">
        <f>'Ridership-25'!E11/'Revenue Hours-25'!K11</f>
        <v>3.3501561802766622</v>
      </c>
      <c r="N19" s="97">
        <f t="shared" si="2"/>
        <v>0.9553120857071894</v>
      </c>
      <c r="O19" s="98">
        <f t="shared" si="3"/>
        <v>3.4756996869744353E-3</v>
      </c>
      <c r="P19" s="99">
        <f t="shared" si="4"/>
        <v>3.2672648241686966E-3</v>
      </c>
      <c r="Q19" s="95">
        <f>'Ridership-25'!B11/'Revenue Miles-25'!B11</f>
        <v>0.35838935027674113</v>
      </c>
      <c r="R19" s="207">
        <f>'Ridership-25'!C11/'Revenue Miles-25'!I11</f>
        <v>0.29459705668644059</v>
      </c>
      <c r="S19" s="207">
        <f>'Ridership-25'!D11/'Revenue Miles-25'!J11</f>
        <v>0.18135424146189841</v>
      </c>
      <c r="T19" s="207">
        <f>'Ridership-25'!E11/'Revenue Miles-25'!K11</f>
        <v>0.16980829081171064</v>
      </c>
      <c r="U19" s="97">
        <f t="shared" si="5"/>
        <v>0.94938316718089533</v>
      </c>
      <c r="V19" s="98">
        <f t="shared" si="6"/>
        <v>3.4541285788787152E-3</v>
      </c>
      <c r="W19" s="99">
        <f t="shared" si="7"/>
        <v>3.2519800053889859E-3</v>
      </c>
      <c r="X19" s="95">
        <f>'Op Cost-25'!B12/'Revenue Hours-25'!B11</f>
        <v>66.919313392948922</v>
      </c>
      <c r="Y19" s="96">
        <f>'Op Cost-25'!C12/'Revenue Hours-25'!C11</f>
        <v>71.305225243005879</v>
      </c>
      <c r="Z19" s="96">
        <f>'Op Cost-25'!D12/'Revenue Hours-25'!D11</f>
        <v>79.874363955962622</v>
      </c>
      <c r="AA19" s="96">
        <f>'Op Cost-25'!E12/'Revenue Hours-25'!E11</f>
        <v>87.91722445336903</v>
      </c>
      <c r="AB19" s="97">
        <f t="shared" si="8"/>
        <v>1.0576341091476011</v>
      </c>
      <c r="AC19" s="98">
        <f t="shared" si="9"/>
        <v>3.4400244091027351E-3</v>
      </c>
      <c r="AD19" s="99">
        <f t="shared" si="10"/>
        <v>3.6702147439632953E-3</v>
      </c>
      <c r="AE19" s="95">
        <f>'Op Cost-25'!B12/'Revenue Miles-25'!B11</f>
        <v>3.578441125871858</v>
      </c>
      <c r="AF19" s="96">
        <f>'Op Cost-25'!C12/'Revenue Miles-25'!C11</f>
        <v>3.9181180795800845</v>
      </c>
      <c r="AG19" s="96">
        <f>'Op Cost-25'!D12/'Revenue Miles-25'!D11</f>
        <v>4.1605601630756928</v>
      </c>
      <c r="AH19" s="96">
        <f>'Op Cost-25'!E12/'Revenue Miles-25'!E11</f>
        <v>4.456232131871313</v>
      </c>
      <c r="AI19" s="97">
        <f t="shared" si="11"/>
        <v>1.0394400432187054</v>
      </c>
      <c r="AJ19" s="98">
        <f t="shared" si="12"/>
        <v>3.5002376280416718E-3</v>
      </c>
      <c r="AK19" s="99">
        <f t="shared" si="13"/>
        <v>3.7251769851518218E-3</v>
      </c>
      <c r="AL19" s="95">
        <f>'Op Cost-25'!B12/'Ridership-25'!B11</f>
        <v>9.9847864427574571</v>
      </c>
      <c r="AM19" s="96">
        <f>'Op Cost-25'!C12/'Ridership-25'!C11</f>
        <v>13.299922693220932</v>
      </c>
      <c r="AN19" s="96">
        <f>'Op Cost-25'!D12/'Ridership-25'!D11</f>
        <v>22.941620386363031</v>
      </c>
      <c r="AO19" s="96">
        <f>'Op Cost-25'!E12/'Ridership-25'!E11</f>
        <v>26.242724136553139</v>
      </c>
      <c r="AP19" s="100">
        <f t="shared" si="14"/>
        <v>1.4157977453231483</v>
      </c>
      <c r="AQ19" s="98">
        <f t="shared" si="15"/>
        <v>2.5697788850037721E-3</v>
      </c>
      <c r="AR19" s="99">
        <f t="shared" si="16"/>
        <v>2.7909453906703736E-3</v>
      </c>
      <c r="AT19" s="101">
        <f t="shared" si="29"/>
        <v>0</v>
      </c>
      <c r="AU19" s="102">
        <f t="shared" si="17"/>
        <v>0</v>
      </c>
      <c r="AV19" s="102">
        <f t="shared" si="18"/>
        <v>0</v>
      </c>
      <c r="AW19" s="102">
        <f t="shared" si="19"/>
        <v>0</v>
      </c>
      <c r="AX19" s="103">
        <f t="shared" si="20"/>
        <v>0</v>
      </c>
      <c r="AY19" s="293">
        <f t="shared" si="30"/>
        <v>-1</v>
      </c>
      <c r="AZ19" s="105">
        <f t="shared" si="21"/>
        <v>0</v>
      </c>
      <c r="BA19" s="106">
        <f t="shared" si="21"/>
        <v>0</v>
      </c>
      <c r="BB19" s="106">
        <f t="shared" si="21"/>
        <v>0</v>
      </c>
      <c r="BC19" s="106">
        <f t="shared" si="21"/>
        <v>0</v>
      </c>
      <c r="BD19" s="106">
        <f t="shared" si="21"/>
        <v>0</v>
      </c>
      <c r="BE19" s="107">
        <f t="shared" si="31"/>
        <v>444746.04216395272</v>
      </c>
      <c r="BG19" s="108">
        <f>'Op Cost-25'!E12</f>
        <v>1970225</v>
      </c>
      <c r="BH19" s="109">
        <f t="shared" si="22"/>
        <v>0.22573363050613646</v>
      </c>
      <c r="BI19" s="110">
        <f t="shared" si="23"/>
        <v>444746.04216395272</v>
      </c>
      <c r="BJ19" s="111">
        <f t="shared" si="24"/>
        <v>0</v>
      </c>
      <c r="BK19" s="1">
        <f t="shared" si="32"/>
        <v>0.61531957501235046</v>
      </c>
      <c r="BL19" s="294">
        <f t="shared" si="33"/>
        <v>0.49110300070115631</v>
      </c>
      <c r="BM19" s="294">
        <f t="shared" si="34"/>
        <v>0.37307522260053227</v>
      </c>
      <c r="BN19" s="295">
        <f t="shared" si="35"/>
        <v>0.79855003837385663</v>
      </c>
      <c r="BO19" s="114">
        <f t="shared" si="25"/>
        <v>444746.04216395272</v>
      </c>
      <c r="BP19" s="296">
        <f t="shared" si="36"/>
        <v>0.61531957501235046</v>
      </c>
      <c r="BQ19" s="116">
        <f t="shared" si="37"/>
        <v>2.2387093037522679E-3</v>
      </c>
      <c r="BR19" s="297">
        <f t="shared" si="38"/>
        <v>2.2387093037522679E-3</v>
      </c>
      <c r="BS19" s="117">
        <f t="shared" si="39"/>
        <v>2.3312855979420698E-3</v>
      </c>
      <c r="BT19" s="298">
        <f t="shared" si="40"/>
        <v>464886.16901593504</v>
      </c>
      <c r="BU19" s="119">
        <f t="shared" si="41"/>
        <v>591067.5</v>
      </c>
      <c r="BV19" s="119">
        <f t="shared" si="42"/>
        <v>464886.16901593504</v>
      </c>
      <c r="BW19" s="119">
        <f t="shared" si="43"/>
        <v>0</v>
      </c>
      <c r="BX19" s="120">
        <f t="shared" si="44"/>
        <v>2.2387093037522679E-3</v>
      </c>
      <c r="BY19" s="121">
        <f t="shared" si="45"/>
        <v>4.0938222090229721E-3</v>
      </c>
      <c r="BZ19" s="299">
        <f t="shared" si="46"/>
        <v>468137.17929084162</v>
      </c>
      <c r="CA19" s="109">
        <f t="shared" si="26"/>
        <v>4.0411192318237817E-3</v>
      </c>
      <c r="CB19" s="123">
        <f t="shared" si="57"/>
        <v>34911.490048564527</v>
      </c>
      <c r="CC19" s="111">
        <f t="shared" si="56"/>
        <v>479658</v>
      </c>
      <c r="CE19" s="124">
        <f t="shared" si="28"/>
        <v>0</v>
      </c>
      <c r="CF19" s="17"/>
      <c r="CG19" s="108">
        <f t="shared" si="47"/>
        <v>1970225</v>
      </c>
      <c r="CH19" s="125">
        <f t="shared" si="48"/>
        <v>0.24345341268129275</v>
      </c>
      <c r="CI19" s="110">
        <f t="shared" si="49"/>
        <v>464886.16901593504</v>
      </c>
      <c r="CJ19" s="300">
        <f t="shared" si="50"/>
        <v>0</v>
      </c>
      <c r="CL19" s="127">
        <f t="shared" si="51"/>
        <v>464886.16901593504</v>
      </c>
      <c r="CM19" s="128">
        <f t="shared" si="52"/>
        <v>5.4058615854426888E-3</v>
      </c>
      <c r="CN19" s="129">
        <f t="shared" si="53"/>
        <v>4292.9347347478579</v>
      </c>
      <c r="CO19" s="130">
        <f t="shared" si="55"/>
        <v>469179</v>
      </c>
      <c r="CQ19" s="131">
        <f t="shared" si="54"/>
        <v>0.23760594819923694</v>
      </c>
      <c r="CR19" s="301"/>
    </row>
    <row r="20" spans="1:96">
      <c r="A20" s="133" t="s">
        <v>92</v>
      </c>
      <c r="B20" s="90" t="s">
        <v>94</v>
      </c>
      <c r="C20" s="208">
        <f>'Op Cost-25'!E13</f>
        <v>195234</v>
      </c>
      <c r="D20" s="92">
        <f>'Ridership-25'!$E12</f>
        <v>10861</v>
      </c>
      <c r="E20" s="92">
        <f>'Revenue Hours-25'!$E12</f>
        <v>3108</v>
      </c>
      <c r="F20" s="92">
        <f>'Revenue Miles-25'!$E12</f>
        <v>54991</v>
      </c>
      <c r="G20" s="134">
        <f t="shared" si="0"/>
        <v>4.4197496208873098E-4</v>
      </c>
      <c r="H20" s="94">
        <f t="shared" si="1"/>
        <v>4.4197496208873109E-4</v>
      </c>
      <c r="J20" s="95">
        <f>'Ridership-25'!B12/'Revenue Hours-25'!B12</f>
        <v>2.5672572178477688</v>
      </c>
      <c r="K20" s="207">
        <f>'Ridership-25'!C12/'Revenue Hours-25'!I12</f>
        <v>1.3415032679738561</v>
      </c>
      <c r="L20" s="207">
        <f>'Ridership-25'!D12/'Revenue Hours-25'!J12</f>
        <v>1.759546925566343</v>
      </c>
      <c r="M20" s="207">
        <f>'Ridership-25'!E12/'Revenue Hours-25'!K12</f>
        <v>3.4945302445302446</v>
      </c>
      <c r="N20" s="97">
        <f t="shared" si="2"/>
        <v>1.2320810455604696</v>
      </c>
      <c r="O20" s="98">
        <f t="shared" si="3"/>
        <v>5.4454897340183272E-4</v>
      </c>
      <c r="P20" s="99">
        <f t="shared" si="4"/>
        <v>5.1189281758164443E-4</v>
      </c>
      <c r="Q20" s="95">
        <f>'Ridership-25'!B12/'Revenue Miles-25'!B12</f>
        <v>0.14723314580314975</v>
      </c>
      <c r="R20" s="207">
        <f>'Ridership-25'!C12/'Revenue Miles-25'!I12</f>
        <v>8.4451119157340354E-2</v>
      </c>
      <c r="S20" s="207">
        <f>'Ridership-25'!D12/'Revenue Miles-25'!J12</f>
        <v>0.10382691059084138</v>
      </c>
      <c r="T20" s="207">
        <f>'Ridership-25'!E12/'Revenue Miles-25'!K12</f>
        <v>0.19750504628030041</v>
      </c>
      <c r="U20" s="97">
        <f t="shared" si="5"/>
        <v>1.2222489720634329</v>
      </c>
      <c r="V20" s="98">
        <f t="shared" si="6"/>
        <v>5.4020344309072628E-4</v>
      </c>
      <c r="W20" s="99">
        <f t="shared" si="7"/>
        <v>5.0858870932465449E-4</v>
      </c>
      <c r="X20" s="95">
        <f>'Op Cost-25'!B13/'Revenue Hours-25'!B12</f>
        <v>44.952755905511808</v>
      </c>
      <c r="Y20" s="96">
        <f>'Op Cost-25'!C13/'Revenue Hours-25'!C12</f>
        <v>49.306209150326801</v>
      </c>
      <c r="Z20" s="96">
        <f>'Op Cost-25'!D13/'Revenue Hours-25'!D12</f>
        <v>54.219417475728157</v>
      </c>
      <c r="AA20" s="96">
        <f>'Op Cost-25'!E13/'Revenue Hours-25'!E12</f>
        <v>62.816602316602314</v>
      </c>
      <c r="AB20" s="97">
        <f t="shared" si="8"/>
        <v>1.0800743947036444</v>
      </c>
      <c r="AC20" s="98">
        <f t="shared" si="9"/>
        <v>4.0920788813811489E-4</v>
      </c>
      <c r="AD20" s="99">
        <f t="shared" si="10"/>
        <v>4.3659016500476782E-4</v>
      </c>
      <c r="AE20" s="95">
        <f>'Op Cost-25'!B13/'Revenue Miles-25'!B12</f>
        <v>2.5780570869475228</v>
      </c>
      <c r="AF20" s="96">
        <f>'Op Cost-25'!C13/'Revenue Miles-25'!C12</f>
        <v>3.103954081632653</v>
      </c>
      <c r="AG20" s="96">
        <f>'Op Cost-25'!D13/'Revenue Miles-25'!D12</f>
        <v>3.1993660008402398</v>
      </c>
      <c r="AH20" s="96">
        <f>'Op Cost-25'!E13/'Revenue Miles-25'!E12</f>
        <v>3.5502900474623118</v>
      </c>
      <c r="AI20" s="97">
        <f t="shared" si="11"/>
        <v>1.0719789765841485</v>
      </c>
      <c r="AJ20" s="98">
        <f t="shared" si="12"/>
        <v>4.1229816231758609E-4</v>
      </c>
      <c r="AK20" s="99">
        <f t="shared" si="13"/>
        <v>4.3879410157223088E-4</v>
      </c>
      <c r="AL20" s="95">
        <f>'Op Cost-25'!B13/'Ridership-25'!B12</f>
        <v>17.510031948881789</v>
      </c>
      <c r="AM20" s="96">
        <f>'Op Cost-25'!C13/'Ridership-25'!C12</f>
        <v>36.754445797807549</v>
      </c>
      <c r="AN20" s="96">
        <f>'Op Cost-25'!D13/'Ridership-25'!D12</f>
        <v>30.814419716755562</v>
      </c>
      <c r="AO20" s="96">
        <f>'Op Cost-25'!E13/'Ridership-25'!E12</f>
        <v>17.97569284596262</v>
      </c>
      <c r="AP20" s="100">
        <f t="shared" si="14"/>
        <v>0.90344938129174057</v>
      </c>
      <c r="AQ20" s="98">
        <f t="shared" si="15"/>
        <v>4.8920832892353184E-4</v>
      </c>
      <c r="AR20" s="99">
        <f t="shared" si="16"/>
        <v>5.313117555188734E-4</v>
      </c>
      <c r="AT20" s="101">
        <f t="shared" si="29"/>
        <v>0</v>
      </c>
      <c r="AU20" s="102">
        <f t="shared" si="17"/>
        <v>0</v>
      </c>
      <c r="AV20" s="102">
        <f t="shared" si="18"/>
        <v>0</v>
      </c>
      <c r="AW20" s="102">
        <f t="shared" si="19"/>
        <v>0</v>
      </c>
      <c r="AX20" s="103">
        <f t="shared" si="20"/>
        <v>0</v>
      </c>
      <c r="AY20" s="293">
        <f t="shared" si="30"/>
        <v>-1</v>
      </c>
      <c r="AZ20" s="105">
        <f t="shared" si="21"/>
        <v>0</v>
      </c>
      <c r="BA20" s="106">
        <f t="shared" si="21"/>
        <v>0</v>
      </c>
      <c r="BB20" s="106">
        <f t="shared" si="21"/>
        <v>0</v>
      </c>
      <c r="BC20" s="106">
        <f t="shared" si="21"/>
        <v>0</v>
      </c>
      <c r="BD20" s="106">
        <f t="shared" si="21"/>
        <v>0</v>
      </c>
      <c r="BE20" s="107">
        <f t="shared" si="31"/>
        <v>54027.240552096264</v>
      </c>
      <c r="BG20" s="108">
        <f>'Op Cost-25'!E13</f>
        <v>195234</v>
      </c>
      <c r="BH20" s="109">
        <f t="shared" si="22"/>
        <v>0.27673069522775884</v>
      </c>
      <c r="BI20" s="110">
        <f t="shared" si="23"/>
        <v>54027.240552096264</v>
      </c>
      <c r="BJ20" s="111">
        <f t="shared" si="24"/>
        <v>0</v>
      </c>
      <c r="BK20" s="1">
        <f t="shared" si="32"/>
        <v>0.37030866204173679</v>
      </c>
      <c r="BL20" s="294">
        <f t="shared" si="33"/>
        <v>0.23866693631272037</v>
      </c>
      <c r="BM20" s="294">
        <f t="shared" si="34"/>
        <v>0.20169103757110482</v>
      </c>
      <c r="BN20" s="295">
        <f t="shared" si="35"/>
        <v>0.52043833714156096</v>
      </c>
      <c r="BO20" s="114">
        <f t="shared" si="25"/>
        <v>54027.240552096264</v>
      </c>
      <c r="BP20" s="296">
        <f t="shared" si="36"/>
        <v>0.37030866204173679</v>
      </c>
      <c r="BQ20" s="116">
        <f t="shared" si="37"/>
        <v>1.6366715686702535E-4</v>
      </c>
      <c r="BR20" s="297">
        <f t="shared" si="38"/>
        <v>1.6366715686702535E-4</v>
      </c>
      <c r="BS20" s="117">
        <f t="shared" si="39"/>
        <v>1.7043520792123533E-4</v>
      </c>
      <c r="BT20" s="298">
        <f t="shared" si="40"/>
        <v>55499.64132127176</v>
      </c>
      <c r="BU20" s="119">
        <f t="shared" si="41"/>
        <v>58570.2</v>
      </c>
      <c r="BV20" s="119">
        <f t="shared" si="42"/>
        <v>55499.64132127176</v>
      </c>
      <c r="BW20" s="119">
        <f t="shared" si="43"/>
        <v>0</v>
      </c>
      <c r="BX20" s="120">
        <f t="shared" si="44"/>
        <v>1.6366715686702535E-4</v>
      </c>
      <c r="BY20" s="121">
        <f t="shared" si="45"/>
        <v>2.9929041727162038E-4</v>
      </c>
      <c r="BZ20" s="299">
        <f t="shared" si="46"/>
        <v>55737.315595349071</v>
      </c>
      <c r="CA20" s="109">
        <f t="shared" si="26"/>
        <v>4.9091054250902089E-4</v>
      </c>
      <c r="CB20" s="123">
        <f t="shared" si="57"/>
        <v>4241.007883304751</v>
      </c>
      <c r="CC20" s="111">
        <f t="shared" si="56"/>
        <v>58268</v>
      </c>
      <c r="CE20" s="124">
        <f t="shared" si="28"/>
        <v>0</v>
      </c>
      <c r="CF20" s="17"/>
      <c r="CG20" s="108">
        <f t="shared" si="47"/>
        <v>195234</v>
      </c>
      <c r="CH20" s="125">
        <f t="shared" si="48"/>
        <v>0.29845211387360809</v>
      </c>
      <c r="CI20" s="110">
        <f t="shared" si="49"/>
        <v>55499.64132127176</v>
      </c>
      <c r="CJ20" s="300">
        <f t="shared" si="50"/>
        <v>0</v>
      </c>
      <c r="CL20" s="127">
        <f t="shared" si="51"/>
        <v>0</v>
      </c>
      <c r="CM20" s="128">
        <f t="shared" si="52"/>
        <v>0</v>
      </c>
      <c r="CN20" s="129">
        <f t="shared" si="53"/>
        <v>0</v>
      </c>
      <c r="CO20" s="130">
        <f t="shared" si="55"/>
        <v>55500</v>
      </c>
      <c r="CQ20" s="131">
        <f t="shared" si="54"/>
        <v>0.28548979990856649</v>
      </c>
      <c r="CR20" s="301"/>
    </row>
    <row r="21" spans="1:96">
      <c r="A21" s="133" t="s">
        <v>92</v>
      </c>
      <c r="B21" s="90" t="s">
        <v>95</v>
      </c>
      <c r="C21" s="208">
        <f>'Op Cost-25'!E14</f>
        <v>120169392</v>
      </c>
      <c r="D21" s="92">
        <f>'Ridership-25'!$E13</f>
        <v>7133773</v>
      </c>
      <c r="E21" s="92">
        <f>'Revenue Hours-25'!$E13</f>
        <v>955047</v>
      </c>
      <c r="F21" s="92">
        <f>'Revenue Miles-25'!$E13</f>
        <v>13757219</v>
      </c>
      <c r="G21" s="134">
        <f t="shared" si="0"/>
        <v>0.19574675447162002</v>
      </c>
      <c r="H21" s="94">
        <f t="shared" si="1"/>
        <v>0.19574675447162007</v>
      </c>
      <c r="J21" s="95">
        <f>'Ridership-25'!B13/'Revenue Hours-25'!B13</f>
        <v>12.193537039037592</v>
      </c>
      <c r="K21" s="207">
        <f>'Ridership-25'!C13/'Revenue Hours-25'!I13</f>
        <v>6.640780447028594</v>
      </c>
      <c r="L21" s="207">
        <f>'Ridership-25'!D13/'Revenue Hours-25'!J13</f>
        <v>7.1961861955660096</v>
      </c>
      <c r="M21" s="207">
        <f>'Ridership-25'!E13/'Revenue Hours-25'!K13</f>
        <v>7.4695517602798605</v>
      </c>
      <c r="N21" s="97">
        <f t="shared" si="2"/>
        <v>0.92310493377221914</v>
      </c>
      <c r="O21" s="98">
        <f t="shared" si="3"/>
        <v>0.18069479482265169</v>
      </c>
      <c r="P21" s="99">
        <f t="shared" si="4"/>
        <v>0.16985867600901625</v>
      </c>
      <c r="Q21" s="95">
        <f>'Ridership-25'!B13/'Revenue Miles-25'!B13</f>
        <v>0.90434093823673278</v>
      </c>
      <c r="R21" s="207">
        <f>'Ridership-25'!C13/'Revenue Miles-25'!I13</f>
        <v>0.46622665154015291</v>
      </c>
      <c r="S21" s="207">
        <f>'Ridership-25'!D13/'Revenue Miles-25'!J13</f>
        <v>0.49455273703023678</v>
      </c>
      <c r="T21" s="207">
        <f>'Ridership-25'!E13/'Revenue Miles-25'!K13</f>
        <v>0.51854760762331398</v>
      </c>
      <c r="U21" s="97">
        <f t="shared" si="5"/>
        <v>0.90269772340845067</v>
      </c>
      <c r="V21" s="98">
        <f t="shared" si="6"/>
        <v>0.1767001496261244</v>
      </c>
      <c r="W21" s="99">
        <f t="shared" si="7"/>
        <v>0.16635899342228147</v>
      </c>
      <c r="X21" s="95">
        <f>'Op Cost-25'!B14/'Revenue Hours-25'!B13</f>
        <v>89.156752379659721</v>
      </c>
      <c r="Y21" s="96">
        <f>'Op Cost-25'!C14/'Revenue Hours-25'!C13</f>
        <v>107.97198556298591</v>
      </c>
      <c r="Z21" s="96">
        <f>'Op Cost-25'!D14/'Revenue Hours-25'!D13</f>
        <v>112.49719845156518</v>
      </c>
      <c r="AA21" s="96">
        <f>'Op Cost-25'!E14/'Revenue Hours-25'!E13</f>
        <v>125.82563161812979</v>
      </c>
      <c r="AB21" s="97">
        <f t="shared" si="8"/>
        <v>1.0776912350820134</v>
      </c>
      <c r="AC21" s="98">
        <f t="shared" si="9"/>
        <v>0.1816352848566348</v>
      </c>
      <c r="AD21" s="99">
        <f t="shared" si="10"/>
        <v>0.19378946810399947</v>
      </c>
      <c r="AE21" s="95">
        <f>'Op Cost-25'!B14/'Revenue Miles-25'!B13</f>
        <v>6.6123636512548227</v>
      </c>
      <c r="AF21" s="96">
        <f>'Op Cost-25'!C14/'Revenue Miles-25'!C13</f>
        <v>7.5803465708156237</v>
      </c>
      <c r="AG21" s="96">
        <f>'Op Cost-25'!D14/'Revenue Miles-25'!D13</f>
        <v>7.7312893094311175</v>
      </c>
      <c r="AH21" s="96">
        <f>'Op Cost-25'!E14/'Revenue Miles-25'!E13</f>
        <v>8.735006108429328</v>
      </c>
      <c r="AI21" s="97">
        <f t="shared" si="11"/>
        <v>1.0599998872255201</v>
      </c>
      <c r="AJ21" s="98">
        <f t="shared" si="12"/>
        <v>0.18466676914841407</v>
      </c>
      <c r="AK21" s="99">
        <f t="shared" si="13"/>
        <v>0.19653419894777116</v>
      </c>
      <c r="AL21" s="95">
        <f>'Op Cost-25'!B14/'Ridership-25'!B13</f>
        <v>7.311803957639567</v>
      </c>
      <c r="AM21" s="96">
        <f>'Op Cost-25'!C14/'Ridership-25'!C13</f>
        <v>16.258930170067252</v>
      </c>
      <c r="AN21" s="96">
        <f>'Op Cost-25'!D14/'Ridership-25'!D13</f>
        <v>15.632891561488677</v>
      </c>
      <c r="AO21" s="96">
        <f>'Op Cost-25'!E14/'Ridership-25'!E13</f>
        <v>16.845138189847084</v>
      </c>
      <c r="AP21" s="97">
        <f t="shared" si="14"/>
        <v>1.1852646901926562</v>
      </c>
      <c r="AQ21" s="98">
        <f t="shared" si="15"/>
        <v>0.16515024541885479</v>
      </c>
      <c r="AR21" s="99">
        <f t="shared" si="16"/>
        <v>0.17936380398703339</v>
      </c>
      <c r="AT21" s="101">
        <f t="shared" si="29"/>
        <v>0</v>
      </c>
      <c r="AU21" s="102">
        <f t="shared" si="17"/>
        <v>0</v>
      </c>
      <c r="AV21" s="102">
        <f t="shared" si="18"/>
        <v>0</v>
      </c>
      <c r="AW21" s="102">
        <f t="shared" si="19"/>
        <v>0</v>
      </c>
      <c r="AX21" s="103">
        <f t="shared" si="20"/>
        <v>0</v>
      </c>
      <c r="AY21" s="293">
        <f t="shared" si="30"/>
        <v>-1</v>
      </c>
      <c r="AZ21" s="105">
        <f t="shared" si="21"/>
        <v>0</v>
      </c>
      <c r="BA21" s="106">
        <f t="shared" si="21"/>
        <v>0</v>
      </c>
      <c r="BB21" s="106">
        <f t="shared" si="21"/>
        <v>0</v>
      </c>
      <c r="BC21" s="106">
        <f t="shared" si="21"/>
        <v>0</v>
      </c>
      <c r="BD21" s="106">
        <f t="shared" si="21"/>
        <v>0</v>
      </c>
      <c r="BE21" s="107">
        <f t="shared" si="31"/>
        <v>23928181.228074111</v>
      </c>
      <c r="BG21" s="108">
        <f>'Op Cost-25'!E14</f>
        <v>120169392</v>
      </c>
      <c r="BH21" s="109">
        <f t="shared" si="22"/>
        <v>0.19912043183237635</v>
      </c>
      <c r="BI21" s="110">
        <f t="shared" si="23"/>
        <v>23928181.228074111</v>
      </c>
      <c r="BJ21" s="111">
        <f t="shared" si="24"/>
        <v>0</v>
      </c>
      <c r="BK21" s="1">
        <f t="shared" si="32"/>
        <v>0.85303903763670119</v>
      </c>
      <c r="BL21" s="294">
        <f t="shared" si="33"/>
        <v>0.81903339799544062</v>
      </c>
      <c r="BM21" s="294">
        <f t="shared" si="34"/>
        <v>0.81427486130925164</v>
      </c>
      <c r="BN21" s="295">
        <f t="shared" si="35"/>
        <v>0.88942394562105631</v>
      </c>
      <c r="BO21" s="114">
        <f t="shared" si="25"/>
        <v>23928181.228074111</v>
      </c>
      <c r="BP21" s="296">
        <f t="shared" si="36"/>
        <v>0.85303903763670119</v>
      </c>
      <c r="BQ21" s="116">
        <f t="shared" si="37"/>
        <v>0.16697962305497843</v>
      </c>
      <c r="BR21" s="297">
        <f t="shared" si="38"/>
        <v>0.16697962305497843</v>
      </c>
      <c r="BS21" s="302">
        <f t="shared" si="39"/>
        <v>0.17388465296740627</v>
      </c>
      <c r="BT21" s="298">
        <f t="shared" si="40"/>
        <v>25430381.975793701</v>
      </c>
      <c r="BU21" s="119">
        <f t="shared" si="41"/>
        <v>36050817.600000001</v>
      </c>
      <c r="BV21" s="119">
        <f t="shared" si="42"/>
        <v>25430381.975793701</v>
      </c>
      <c r="BW21" s="119">
        <f t="shared" si="43"/>
        <v>0</v>
      </c>
      <c r="BX21" s="120">
        <f t="shared" si="44"/>
        <v>0.16697962305497843</v>
      </c>
      <c r="BY21" s="121">
        <f t="shared" si="45"/>
        <v>0.30534776809611158</v>
      </c>
      <c r="BZ21" s="299">
        <f t="shared" si="46"/>
        <v>25672866.549088631</v>
      </c>
      <c r="CA21" s="109">
        <f t="shared" si="26"/>
        <v>0.21741988500414469</v>
      </c>
      <c r="CB21" s="123">
        <f t="shared" si="57"/>
        <v>1878304.4291065435</v>
      </c>
      <c r="CC21" s="111">
        <f>ROUND((CB21+BI21),0)</f>
        <v>25806486</v>
      </c>
      <c r="CE21" s="124">
        <f t="shared" si="28"/>
        <v>0</v>
      </c>
      <c r="CF21" s="17"/>
      <c r="CG21" s="108">
        <f t="shared" si="47"/>
        <v>120169392</v>
      </c>
      <c r="CH21" s="125">
        <f t="shared" si="48"/>
        <v>0.2147509076188053</v>
      </c>
      <c r="CI21" s="110">
        <f t="shared" si="49"/>
        <v>25430381.975793701</v>
      </c>
      <c r="CJ21" s="300">
        <f t="shared" si="50"/>
        <v>0</v>
      </c>
      <c r="CL21" s="127">
        <f t="shared" si="51"/>
        <v>25430381.975793701</v>
      </c>
      <c r="CM21" s="128">
        <f t="shared" si="52"/>
        <v>0.29571351911173999</v>
      </c>
      <c r="CN21" s="129">
        <f t="shared" si="53"/>
        <v>234833.76658178991</v>
      </c>
      <c r="CO21" s="130">
        <f t="shared" si="55"/>
        <v>25665216</v>
      </c>
      <c r="CQ21" s="131">
        <f t="shared" si="54"/>
        <v>0.21363898178904517</v>
      </c>
      <c r="CR21" s="301"/>
    </row>
    <row r="22" spans="1:96">
      <c r="A22" s="133" t="s">
        <v>92</v>
      </c>
      <c r="B22" s="90" t="s">
        <v>96</v>
      </c>
      <c r="C22" s="208">
        <f>'Op Cost-25'!E15</f>
        <v>1246809</v>
      </c>
      <c r="D22" s="92">
        <f>'Ridership-25'!$E14</f>
        <v>91713</v>
      </c>
      <c r="E22" s="92">
        <f>'Revenue Hours-25'!$E14</f>
        <v>20260</v>
      </c>
      <c r="F22" s="92">
        <f>'Revenue Miles-25'!$E14</f>
        <v>510877</v>
      </c>
      <c r="G22" s="134">
        <f t="shared" si="0"/>
        <v>3.3794719285632165E-3</v>
      </c>
      <c r="H22" s="94">
        <f t="shared" si="1"/>
        <v>3.3794719285632174E-3</v>
      </c>
      <c r="J22" s="95">
        <f>'Ridership-25'!B14/'Revenue Hours-25'!B14</f>
        <v>5.1587647801630121</v>
      </c>
      <c r="K22" s="207">
        <f>'Ridership-25'!C14/'Revenue Hours-25'!I14</f>
        <v>2.5445369916707494</v>
      </c>
      <c r="L22" s="207">
        <f>'Ridership-25'!D14/'Revenue Hours-25'!J14</f>
        <v>3.1323175227328584</v>
      </c>
      <c r="M22" s="207">
        <f>'Ridership-25'!E14/'Revenue Hours-25'!K14</f>
        <v>4.5268015794669303</v>
      </c>
      <c r="N22" s="97">
        <f t="shared" si="2"/>
        <v>1.0414257978498263</v>
      </c>
      <c r="O22" s="98">
        <f t="shared" si="3"/>
        <v>3.5194692495150396E-3</v>
      </c>
      <c r="P22" s="99">
        <f t="shared" si="4"/>
        <v>3.30840956190139E-3</v>
      </c>
      <c r="Q22" s="95">
        <f>'Ridership-25'!B14/'Revenue Miles-25'!B14</f>
        <v>0.22008311029377553</v>
      </c>
      <c r="R22" s="207">
        <f>'Ridership-25'!C14/'Revenue Miles-25'!I14</f>
        <v>0.1120356208297289</v>
      </c>
      <c r="S22" s="207">
        <f>'Ridership-25'!D14/'Revenue Miles-25'!J14</f>
        <v>0.13193504175827817</v>
      </c>
      <c r="T22" s="207">
        <f>'Ridership-25'!E14/'Revenue Miles-25'!K14</f>
        <v>0.17952070654971744</v>
      </c>
      <c r="U22" s="97">
        <f t="shared" si="5"/>
        <v>1.0164527966738026</v>
      </c>
      <c r="V22" s="98">
        <f t="shared" si="6"/>
        <v>3.4350736930686917E-3</v>
      </c>
      <c r="W22" s="99">
        <f t="shared" si="7"/>
        <v>3.2340402830410464E-3</v>
      </c>
      <c r="X22" s="95">
        <f>'Op Cost-25'!B15/'Revenue Hours-25'!B14</f>
        <v>42.671162897485935</v>
      </c>
      <c r="Y22" s="96">
        <f>'Op Cost-25'!C15/'Revenue Hours-25'!C14</f>
        <v>48.696570308672221</v>
      </c>
      <c r="Z22" s="96">
        <f>'Op Cost-25'!D15/'Revenue Hours-25'!D14</f>
        <v>59.030916687146721</v>
      </c>
      <c r="AA22" s="96">
        <f>'Op Cost-25'!E15/'Revenue Hours-25'!E14</f>
        <v>61.540424481737411</v>
      </c>
      <c r="AB22" s="97">
        <f t="shared" si="8"/>
        <v>1.0880724721451041</v>
      </c>
      <c r="AC22" s="98">
        <f t="shared" si="9"/>
        <v>3.10592540026372E-3</v>
      </c>
      <c r="AD22" s="99">
        <f t="shared" si="10"/>
        <v>3.3137593929664366E-3</v>
      </c>
      <c r="AE22" s="95">
        <f>'Op Cost-25'!B15/'Revenue Miles-25'!B14</f>
        <v>1.8204362188489445</v>
      </c>
      <c r="AF22" s="96">
        <f>'Op Cost-25'!C15/'Revenue Miles-25'!C14</f>
        <v>2.1441034281165527</v>
      </c>
      <c r="AG22" s="96">
        <f>'Op Cost-25'!D15/'Revenue Miles-25'!D14</f>
        <v>2.4864166552799274</v>
      </c>
      <c r="AH22" s="96">
        <f>'Op Cost-25'!E15/'Revenue Miles-25'!E14</f>
        <v>2.4405267804187702</v>
      </c>
      <c r="AI22" s="97">
        <f t="shared" si="11"/>
        <v>1.063030778927097</v>
      </c>
      <c r="AJ22" s="98">
        <f t="shared" si="12"/>
        <v>3.1790913260047599E-3</v>
      </c>
      <c r="AK22" s="99">
        <f t="shared" si="13"/>
        <v>3.3833925292536529E-3</v>
      </c>
      <c r="AL22" s="95">
        <f>'Op Cost-25'!B15/'Ridership-25'!B14</f>
        <v>8.2715852952957416</v>
      </c>
      <c r="AM22" s="96">
        <f>'Op Cost-25'!C15/'Ridership-25'!C14</f>
        <v>19.13769399622598</v>
      </c>
      <c r="AN22" s="96">
        <f>'Op Cost-25'!D15/'Ridership-25'!D14</f>
        <v>18.84576396189998</v>
      </c>
      <c r="AO22" s="96">
        <f>'Op Cost-25'!E15/'Ridership-25'!E14</f>
        <v>13.594681233849073</v>
      </c>
      <c r="AP22" s="100">
        <f t="shared" si="14"/>
        <v>1.0553612396000409</v>
      </c>
      <c r="AQ22" s="98">
        <f t="shared" si="15"/>
        <v>3.2021944730924209E-3</v>
      </c>
      <c r="AR22" s="99">
        <f t="shared" si="16"/>
        <v>3.4777894537390596E-3</v>
      </c>
      <c r="AT22" s="101">
        <f t="shared" si="29"/>
        <v>0</v>
      </c>
      <c r="AU22" s="102">
        <f t="shared" si="17"/>
        <v>0</v>
      </c>
      <c r="AV22" s="102">
        <f t="shared" si="18"/>
        <v>0</v>
      </c>
      <c r="AW22" s="102">
        <f t="shared" si="19"/>
        <v>0</v>
      </c>
      <c r="AX22" s="103">
        <f t="shared" si="20"/>
        <v>0</v>
      </c>
      <c r="AY22" s="293">
        <f t="shared" si="30"/>
        <v>-1</v>
      </c>
      <c r="AZ22" s="105">
        <f t="shared" si="21"/>
        <v>0</v>
      </c>
      <c r="BA22" s="106">
        <f t="shared" si="21"/>
        <v>0</v>
      </c>
      <c r="BB22" s="106">
        <f t="shared" si="21"/>
        <v>0</v>
      </c>
      <c r="BC22" s="106">
        <f t="shared" si="21"/>
        <v>0</v>
      </c>
      <c r="BD22" s="106">
        <f t="shared" si="21"/>
        <v>0</v>
      </c>
      <c r="BE22" s="107">
        <f t="shared" si="31"/>
        <v>413108.33980429429</v>
      </c>
      <c r="BG22" s="108">
        <f>'Op Cost-25'!E15</f>
        <v>1246809</v>
      </c>
      <c r="BH22" s="109">
        <f t="shared" si="22"/>
        <v>0.33133249744290766</v>
      </c>
      <c r="BI22" s="110">
        <f t="shared" si="23"/>
        <v>374042.7</v>
      </c>
      <c r="BJ22" s="111">
        <f t="shared" si="24"/>
        <v>39065.639804294275</v>
      </c>
      <c r="BK22" s="1">
        <f t="shared" si="32"/>
        <v>0.56885667396453543</v>
      </c>
      <c r="BL22" s="294">
        <f t="shared" si="33"/>
        <v>0.37962285202296436</v>
      </c>
      <c r="BM22" s="294">
        <f t="shared" si="34"/>
        <v>0.22738448387341545</v>
      </c>
      <c r="BN22" s="295">
        <f t="shared" si="35"/>
        <v>0.83420967998088091</v>
      </c>
      <c r="BO22" s="114">
        <f t="shared" si="25"/>
        <v>0</v>
      </c>
      <c r="BP22" s="296">
        <f t="shared" si="36"/>
        <v>0.56885667396453543</v>
      </c>
      <c r="BQ22" s="116">
        <f t="shared" si="37"/>
        <v>1.9224351610389859E-3</v>
      </c>
      <c r="BR22" s="297">
        <f t="shared" si="38"/>
        <v>0</v>
      </c>
      <c r="BS22" s="117">
        <f t="shared" si="39"/>
        <v>0</v>
      </c>
      <c r="BT22" s="298">
        <f t="shared" si="40"/>
        <v>374042.7</v>
      </c>
      <c r="BU22" s="119">
        <f t="shared" si="41"/>
        <v>374042.7</v>
      </c>
      <c r="BV22" s="119">
        <f t="shared" si="42"/>
        <v>374042.7</v>
      </c>
      <c r="BW22" s="119">
        <f t="shared" si="43"/>
        <v>0</v>
      </c>
      <c r="BX22" s="120">
        <f t="shared" si="44"/>
        <v>0</v>
      </c>
      <c r="BY22" s="121">
        <f t="shared" si="45"/>
        <v>0</v>
      </c>
      <c r="BZ22" s="299">
        <f t="shared" si="46"/>
        <v>374042.7</v>
      </c>
      <c r="CA22" s="109">
        <f t="shared" si="26"/>
        <v>0</v>
      </c>
      <c r="CB22" s="123">
        <f t="shared" si="57"/>
        <v>0</v>
      </c>
      <c r="CC22" s="111">
        <f t="shared" si="56"/>
        <v>374043</v>
      </c>
      <c r="CE22" s="124">
        <f t="shared" si="28"/>
        <v>1</v>
      </c>
      <c r="CF22" s="17"/>
      <c r="CG22" s="108">
        <f t="shared" si="47"/>
        <v>1246809</v>
      </c>
      <c r="CH22" s="125">
        <f t="shared" si="48"/>
        <v>0.30000024061424002</v>
      </c>
      <c r="CI22" s="110">
        <f t="shared" si="49"/>
        <v>374042.7</v>
      </c>
      <c r="CJ22" s="300">
        <f t="shared" si="50"/>
        <v>0</v>
      </c>
      <c r="CL22" s="127">
        <f t="shared" si="51"/>
        <v>0</v>
      </c>
      <c r="CM22" s="128">
        <f t="shared" si="52"/>
        <v>0</v>
      </c>
      <c r="CN22" s="129">
        <f t="shared" si="53"/>
        <v>0</v>
      </c>
      <c r="CO22" s="130">
        <f t="shared" si="55"/>
        <v>374043</v>
      </c>
      <c r="CQ22" s="131">
        <f t="shared" si="54"/>
        <v>0.3</v>
      </c>
      <c r="CR22" s="301"/>
    </row>
    <row r="23" spans="1:96">
      <c r="A23" s="133" t="s">
        <v>92</v>
      </c>
      <c r="B23" s="90" t="s">
        <v>97</v>
      </c>
      <c r="C23" s="208">
        <f>'Op Cost-25'!E16</f>
        <v>50424</v>
      </c>
      <c r="D23" s="92">
        <f>'Ridership-25'!$E15</f>
        <v>3145</v>
      </c>
      <c r="E23" s="92">
        <f>'Revenue Hours-25'!$E15</f>
        <v>502</v>
      </c>
      <c r="F23" s="92">
        <f>'Revenue Miles-25'!$E15</f>
        <v>4641</v>
      </c>
      <c r="G23" s="93">
        <f t="shared" si="0"/>
        <v>8.3968680056373309E-5</v>
      </c>
      <c r="H23" s="94">
        <f t="shared" si="1"/>
        <v>8.3968680056373322E-5</v>
      </c>
      <c r="J23" s="95">
        <f>'Ridership-25'!B15/'Revenue Hours-25'!B15</f>
        <v>8.9790310918293557</v>
      </c>
      <c r="K23" s="207">
        <f>'Ridership-25'!C15/'Revenue Hours-25'!I15</f>
        <v>1.0119225037257824</v>
      </c>
      <c r="L23" s="207">
        <f>'Ridership-25'!D15/'Revenue Hours-25'!J15</f>
        <v>3.4102272727272727</v>
      </c>
      <c r="M23" s="207">
        <f>'Ridership-25'!E15/'Revenue Hours-25'!K15</f>
        <v>6.2649402390438249</v>
      </c>
      <c r="N23" s="97">
        <f t="shared" si="2"/>
        <v>1.4571700207400993</v>
      </c>
      <c r="O23" s="98">
        <f t="shared" si="3"/>
        <v>1.2235664325926427E-4</v>
      </c>
      <c r="P23" s="99">
        <f t="shared" si="4"/>
        <v>1.150190156021073E-4</v>
      </c>
      <c r="Q23" s="95">
        <f>'Ridership-25'!B15/'Revenue Miles-25'!B15</f>
        <v>0.71335018382352944</v>
      </c>
      <c r="R23" s="207">
        <f>'Ridership-25'!C15/'Revenue Miles-25'!I15</f>
        <v>0.14279705573080967</v>
      </c>
      <c r="S23" s="207">
        <f>'Ridership-25'!D15/'Revenue Miles-25'!J15</f>
        <v>0.44282130736314002</v>
      </c>
      <c r="T23" s="207">
        <f>'Ridership-25'!E15/'Revenue Miles-25'!K15</f>
        <v>0.67765567765567769</v>
      </c>
      <c r="U23" s="97">
        <f t="shared" si="5"/>
        <v>1.3760274920295139</v>
      </c>
      <c r="V23" s="98">
        <f t="shared" si="6"/>
        <v>1.1554321222700004E-4</v>
      </c>
      <c r="W23" s="99">
        <f t="shared" si="7"/>
        <v>1.0878118962282378E-4</v>
      </c>
      <c r="X23" s="95">
        <f>'Op Cost-25'!B16/'Revenue Hours-25'!B15</f>
        <v>67.96963123644251</v>
      </c>
      <c r="Y23" s="96">
        <f>'Op Cost-25'!C16/'Revenue Hours-25'!C15</f>
        <v>58.488077496274215</v>
      </c>
      <c r="Z23" s="96">
        <f>'Op Cost-25'!D16/'Revenue Hours-25'!D15</f>
        <v>76.226136363636357</v>
      </c>
      <c r="AA23" s="96">
        <f>'Op Cost-25'!E16/'Revenue Hours-25'!E15</f>
        <v>100.44621513944223</v>
      </c>
      <c r="AB23" s="97">
        <f t="shared" si="8"/>
        <v>1.1402815557474089</v>
      </c>
      <c r="AC23" s="98">
        <f t="shared" si="9"/>
        <v>7.3638549736372095E-5</v>
      </c>
      <c r="AD23" s="99">
        <f t="shared" si="10"/>
        <v>7.8566096871679426E-5</v>
      </c>
      <c r="AE23" s="95">
        <f>'Op Cost-25'!B16/'Revenue Miles-25'!B15</f>
        <v>5.399931066176471</v>
      </c>
      <c r="AF23" s="96">
        <f>'Op Cost-25'!C16/'Revenue Miles-25'!C15</f>
        <v>8.2535226077812833</v>
      </c>
      <c r="AG23" s="96">
        <f>'Op Cost-25'!D16/'Revenue Miles-25'!D15</f>
        <v>9.8980374797107871</v>
      </c>
      <c r="AH23" s="96">
        <f>'Op Cost-25'!E16/'Revenue Miles-25'!E15</f>
        <v>10.864899806076277</v>
      </c>
      <c r="AI23" s="97">
        <f t="shared" si="11"/>
        <v>1.2123808252271491</v>
      </c>
      <c r="AJ23" s="98">
        <f t="shared" si="12"/>
        <v>6.9259327027579084E-5</v>
      </c>
      <c r="AK23" s="99">
        <f t="shared" si="13"/>
        <v>7.3710210124959408E-5</v>
      </c>
      <c r="AL23" s="95">
        <f>'Op Cost-25'!B16/'Ridership-25'!B15</f>
        <v>7.5698180061201485</v>
      </c>
      <c r="AM23" s="96">
        <f>'Op Cost-25'!C16/'Ridership-25'!C15</f>
        <v>57.798969072164951</v>
      </c>
      <c r="AN23" s="96">
        <f>'Op Cost-25'!D16/'Ridership-25'!D15</f>
        <v>22.352215928023991</v>
      </c>
      <c r="AO23" s="96">
        <f>'Op Cost-25'!E16/'Ridership-25'!E15</f>
        <v>16.033068362480126</v>
      </c>
      <c r="AP23" s="100">
        <f t="shared" si="14"/>
        <v>1.5437268946082094</v>
      </c>
      <c r="AQ23" s="98">
        <f t="shared" si="15"/>
        <v>5.4393481353244264E-5</v>
      </c>
      <c r="AR23" s="99">
        <f t="shared" si="16"/>
        <v>5.9074824278170985E-5</v>
      </c>
      <c r="AT23" s="101">
        <f t="shared" si="29"/>
        <v>0</v>
      </c>
      <c r="AU23" s="102">
        <f t="shared" si="17"/>
        <v>0</v>
      </c>
      <c r="AV23" s="102">
        <f t="shared" si="18"/>
        <v>0</v>
      </c>
      <c r="AW23" s="102">
        <f t="shared" si="19"/>
        <v>0</v>
      </c>
      <c r="AX23" s="103">
        <f t="shared" si="20"/>
        <v>0</v>
      </c>
      <c r="AY23" s="293">
        <f t="shared" si="30"/>
        <v>-1</v>
      </c>
      <c r="AZ23" s="105">
        <f t="shared" si="21"/>
        <v>0</v>
      </c>
      <c r="BA23" s="106">
        <f t="shared" si="21"/>
        <v>0</v>
      </c>
      <c r="BB23" s="106">
        <f t="shared" si="21"/>
        <v>0</v>
      </c>
      <c r="BC23" s="106">
        <f t="shared" si="21"/>
        <v>0</v>
      </c>
      <c r="BD23" s="106">
        <f t="shared" si="21"/>
        <v>0</v>
      </c>
      <c r="BE23" s="107">
        <f t="shared" si="31"/>
        <v>10264.373472217008</v>
      </c>
      <c r="BG23" s="108">
        <f>'Op Cost-25'!E16</f>
        <v>50424</v>
      </c>
      <c r="BH23" s="109">
        <f t="shared" si="22"/>
        <v>0.20356126987579343</v>
      </c>
      <c r="BI23" s="110">
        <f t="shared" si="23"/>
        <v>10264.373472217008</v>
      </c>
      <c r="BJ23" s="111">
        <f t="shared" si="24"/>
        <v>0</v>
      </c>
      <c r="BK23" s="1">
        <f t="shared" si="32"/>
        <v>0.52393199225951492</v>
      </c>
      <c r="BL23" s="294">
        <f t="shared" si="33"/>
        <v>0.3705758854826231</v>
      </c>
      <c r="BM23" s="294">
        <f t="shared" si="34"/>
        <v>0.63918319462014006</v>
      </c>
      <c r="BN23" s="295">
        <f t="shared" si="35"/>
        <v>0.54298444446764838</v>
      </c>
      <c r="BO23" s="114">
        <f t="shared" si="25"/>
        <v>10264.373472217008</v>
      </c>
      <c r="BP23" s="296">
        <f t="shared" si="36"/>
        <v>0.52393199225951492</v>
      </c>
      <c r="BQ23" s="116">
        <f t="shared" si="37"/>
        <v>4.399387782933747E-5</v>
      </c>
      <c r="BR23" s="297">
        <f t="shared" si="38"/>
        <v>4.399387782933747E-5</v>
      </c>
      <c r="BS23" s="117">
        <f t="shared" si="39"/>
        <v>4.5813135992803624E-5</v>
      </c>
      <c r="BT23" s="298">
        <f t="shared" si="40"/>
        <v>10660.156113003995</v>
      </c>
      <c r="BU23" s="119">
        <f t="shared" si="41"/>
        <v>15127.199999999999</v>
      </c>
      <c r="BV23" s="119">
        <f t="shared" si="42"/>
        <v>10660.156113003995</v>
      </c>
      <c r="BW23" s="119">
        <f t="shared" si="43"/>
        <v>0</v>
      </c>
      <c r="BX23" s="120">
        <f t="shared" si="44"/>
        <v>4.399387782933747E-5</v>
      </c>
      <c r="BY23" s="121">
        <f t="shared" si="45"/>
        <v>8.0449531262016409E-5</v>
      </c>
      <c r="BZ23" s="299">
        <f t="shared" si="46"/>
        <v>10724.043169986535</v>
      </c>
      <c r="CA23" s="109">
        <f t="shared" si="26"/>
        <v>9.3265713707929598E-5</v>
      </c>
      <c r="CB23" s="123">
        <f t="shared" si="57"/>
        <v>805.7285245001741</v>
      </c>
      <c r="CC23" s="111">
        <f t="shared" si="56"/>
        <v>11070</v>
      </c>
      <c r="CE23" s="124">
        <f t="shared" si="28"/>
        <v>0</v>
      </c>
      <c r="CF23" s="17"/>
      <c r="CG23" s="108">
        <f t="shared" si="47"/>
        <v>50424</v>
      </c>
      <c r="CH23" s="125">
        <f t="shared" si="48"/>
        <v>0.2195383150880533</v>
      </c>
      <c r="CI23" s="110">
        <f t="shared" si="49"/>
        <v>10660.156113003995</v>
      </c>
      <c r="CJ23" s="300">
        <f t="shared" si="50"/>
        <v>0</v>
      </c>
      <c r="CL23" s="127">
        <f t="shared" si="51"/>
        <v>10660.156113003995</v>
      </c>
      <c r="CM23" s="128">
        <f t="shared" si="52"/>
        <v>1.2396008370843797E-4</v>
      </c>
      <c r="CN23" s="129">
        <f t="shared" si="53"/>
        <v>98.439913908862536</v>
      </c>
      <c r="CO23" s="130">
        <f t="shared" si="55"/>
        <v>10759</v>
      </c>
      <c r="CQ23" s="131">
        <f t="shared" si="54"/>
        <v>0.21267735939208582</v>
      </c>
      <c r="CR23" s="301"/>
    </row>
    <row r="24" spans="1:96">
      <c r="A24" s="133" t="s">
        <v>92</v>
      </c>
      <c r="B24" s="90" t="s">
        <v>98</v>
      </c>
      <c r="C24" s="208">
        <f>'Op Cost-25'!E17</f>
        <v>7910674</v>
      </c>
      <c r="D24" s="92">
        <f>'Ridership-25'!$E16</f>
        <v>1655082</v>
      </c>
      <c r="E24" s="92">
        <f>'Revenue Hours-25'!$E16</f>
        <v>71283</v>
      </c>
      <c r="F24" s="92">
        <f>'Revenue Miles-25'!$E16</f>
        <v>1099660</v>
      </c>
      <c r="G24" s="134">
        <f t="shared" si="0"/>
        <v>2.2389189665575945E-2</v>
      </c>
      <c r="H24" s="94">
        <f t="shared" si="1"/>
        <v>2.2389189665575949E-2</v>
      </c>
      <c r="J24" s="95">
        <f>'Ridership-25'!B16/'Revenue Hours-25'!B16</f>
        <v>23.310953988801508</v>
      </c>
      <c r="K24" s="207">
        <f>'Ridership-25'!C16/'Revenue Hours-25'!I16</f>
        <v>14.316342020333447</v>
      </c>
      <c r="L24" s="207">
        <f>'Ridership-25'!D16/'Revenue Hours-25'!J16</f>
        <v>19.466079261836335</v>
      </c>
      <c r="M24" s="207">
        <f>'Ridership-25'!E16/'Revenue Hours-25'!K16</f>
        <v>23.218467236227433</v>
      </c>
      <c r="N24" s="97">
        <f t="shared" si="2"/>
        <v>1.0827952067365614</v>
      </c>
      <c r="O24" s="98">
        <f t="shared" si="3"/>
        <v>2.4242907252601392E-2</v>
      </c>
      <c r="P24" s="99">
        <f t="shared" si="4"/>
        <v>2.2789079965351823E-2</v>
      </c>
      <c r="Q24" s="95">
        <f>'Ridership-25'!B16/'Revenue Miles-25'!B16</f>
        <v>1.6285925776934442</v>
      </c>
      <c r="R24" s="207">
        <f>'Ridership-25'!C16/'Revenue Miles-25'!I16</f>
        <v>1.0462325686324412</v>
      </c>
      <c r="S24" s="207">
        <f>'Ridership-25'!D16/'Revenue Miles-25'!J16</f>
        <v>1.4050534441156883</v>
      </c>
      <c r="T24" s="207">
        <f>'Ridership-25'!E16/'Revenue Miles-25'!K16</f>
        <v>1.5050852081552479</v>
      </c>
      <c r="U24" s="97">
        <f t="shared" si="5"/>
        <v>1.0649155001693644</v>
      </c>
      <c r="V24" s="98">
        <f t="shared" si="6"/>
        <v>2.3842595111103575E-2</v>
      </c>
      <c r="W24" s="99">
        <f t="shared" si="7"/>
        <v>2.2447236924533875E-2</v>
      </c>
      <c r="X24" s="95">
        <f>'Op Cost-25'!B17/'Revenue Hours-25'!B16</f>
        <v>79.983720905617247</v>
      </c>
      <c r="Y24" s="96">
        <f>'Op Cost-25'!C17/'Revenue Hours-25'!C16</f>
        <v>90.654407919074401</v>
      </c>
      <c r="Z24" s="96">
        <f>'Op Cost-25'!D17/'Revenue Hours-25'!D16</f>
        <v>94.089194776382797</v>
      </c>
      <c r="AA24" s="96">
        <f>'Op Cost-25'!E17/'Revenue Hours-25'!E16</f>
        <v>110.97560428152575</v>
      </c>
      <c r="AB24" s="97">
        <f t="shared" si="8"/>
        <v>1.0770025946706425</v>
      </c>
      <c r="AC24" s="98">
        <f t="shared" si="9"/>
        <v>2.0788426858361259E-2</v>
      </c>
      <c r="AD24" s="99">
        <f t="shared" si="10"/>
        <v>2.2179491098221867E-2</v>
      </c>
      <c r="AE24" s="95">
        <f>'Op Cost-25'!B17/'Revenue Miles-25'!B16</f>
        <v>5.5879692553882192</v>
      </c>
      <c r="AF24" s="96">
        <f>'Op Cost-25'!C17/'Revenue Miles-25'!C16</f>
        <v>6.6249879976545323</v>
      </c>
      <c r="AG24" s="96">
        <f>'Op Cost-25'!D17/'Revenue Miles-25'!D16</f>
        <v>6.7913186521237527</v>
      </c>
      <c r="AH24" s="96">
        <f>'Op Cost-25'!E17/'Revenue Miles-25'!E16</f>
        <v>7.1937453394685633</v>
      </c>
      <c r="AI24" s="97">
        <f t="shared" si="11"/>
        <v>1.0470712277412029</v>
      </c>
      <c r="AJ24" s="98">
        <f t="shared" si="12"/>
        <v>2.1382680635657507E-2</v>
      </c>
      <c r="AK24" s="99">
        <f t="shared" si="13"/>
        <v>2.2756817750504608E-2</v>
      </c>
      <c r="AL24" s="95">
        <f>'Op Cost-25'!B17/'Ridership-25'!B16</f>
        <v>3.4311646337614974</v>
      </c>
      <c r="AM24" s="96">
        <f>'Op Cost-25'!C17/'Ridership-25'!C16</f>
        <v>6.3322326185221254</v>
      </c>
      <c r="AN24" s="96">
        <f>'Op Cost-25'!D17/'Ridership-25'!D16</f>
        <v>4.833494896984555</v>
      </c>
      <c r="AO24" s="96">
        <f>'Op Cost-25'!E17/'Ridership-25'!E16</f>
        <v>4.779626628771263</v>
      </c>
      <c r="AP24" s="97">
        <f t="shared" si="14"/>
        <v>1.0093254200826904</v>
      </c>
      <c r="AQ24" s="98">
        <f t="shared" si="15"/>
        <v>2.2182330118805174E-2</v>
      </c>
      <c r="AR24" s="99">
        <f t="shared" si="16"/>
        <v>2.4091439291017844E-2</v>
      </c>
      <c r="AT24" s="101">
        <f t="shared" si="29"/>
        <v>0</v>
      </c>
      <c r="AU24" s="102">
        <f t="shared" si="17"/>
        <v>0</v>
      </c>
      <c r="AV24" s="102">
        <f t="shared" si="18"/>
        <v>0</v>
      </c>
      <c r="AW24" s="102">
        <f t="shared" si="19"/>
        <v>0</v>
      </c>
      <c r="AX24" s="103">
        <f t="shared" si="20"/>
        <v>0</v>
      </c>
      <c r="AY24" s="293">
        <f t="shared" si="30"/>
        <v>-1</v>
      </c>
      <c r="AZ24" s="105">
        <f t="shared" si="21"/>
        <v>0</v>
      </c>
      <c r="BA24" s="106">
        <f t="shared" si="21"/>
        <v>0</v>
      </c>
      <c r="BB24" s="106">
        <f t="shared" si="21"/>
        <v>0</v>
      </c>
      <c r="BC24" s="106">
        <f t="shared" si="21"/>
        <v>0</v>
      </c>
      <c r="BD24" s="106">
        <f t="shared" si="21"/>
        <v>0</v>
      </c>
      <c r="BE24" s="107">
        <f t="shared" si="31"/>
        <v>2736865.7493899721</v>
      </c>
      <c r="BG24" s="108">
        <f>'Op Cost-25'!E17</f>
        <v>7910674</v>
      </c>
      <c r="BH24" s="109">
        <f t="shared" si="22"/>
        <v>0.34597124712634753</v>
      </c>
      <c r="BI24" s="110">
        <f t="shared" si="23"/>
        <v>2373202.1999999997</v>
      </c>
      <c r="BJ24" s="111">
        <f t="shared" si="24"/>
        <v>363663.54938997235</v>
      </c>
      <c r="BK24" s="1">
        <f t="shared" si="32"/>
        <v>2.4144266589887478</v>
      </c>
      <c r="BL24" s="294">
        <f t="shared" si="33"/>
        <v>2.134393812952601</v>
      </c>
      <c r="BM24" s="294">
        <f t="shared" si="34"/>
        <v>2.1394563369285962</v>
      </c>
      <c r="BN24" s="295">
        <f t="shared" si="35"/>
        <v>2.6919282430368967</v>
      </c>
      <c r="BO24" s="114">
        <f t="shared" si="25"/>
        <v>0</v>
      </c>
      <c r="BP24" s="296">
        <f t="shared" si="36"/>
        <v>2.4144266589887478</v>
      </c>
      <c r="BQ24" s="116">
        <f t="shared" si="37"/>
        <v>5.405705640172194E-2</v>
      </c>
      <c r="BR24" s="297">
        <f t="shared" si="38"/>
        <v>0</v>
      </c>
      <c r="BS24" s="117">
        <f t="shared" si="39"/>
        <v>0</v>
      </c>
      <c r="BT24" s="298">
        <f t="shared" si="40"/>
        <v>2373202.1999999997</v>
      </c>
      <c r="BU24" s="119">
        <f t="shared" si="41"/>
        <v>2373202.1999999997</v>
      </c>
      <c r="BV24" s="119">
        <f t="shared" si="42"/>
        <v>2373202.1999999997</v>
      </c>
      <c r="BW24" s="119">
        <f t="shared" si="43"/>
        <v>0</v>
      </c>
      <c r="BX24" s="120">
        <f t="shared" si="44"/>
        <v>0</v>
      </c>
      <c r="BY24" s="121">
        <f t="shared" si="45"/>
        <v>0</v>
      </c>
      <c r="BZ24" s="299">
        <f t="shared" si="46"/>
        <v>2373202.1999999997</v>
      </c>
      <c r="CA24" s="109">
        <f t="shared" si="26"/>
        <v>0</v>
      </c>
      <c r="CB24" s="123">
        <f t="shared" si="57"/>
        <v>0</v>
      </c>
      <c r="CC24" s="111">
        <f t="shared" si="56"/>
        <v>2373202</v>
      </c>
      <c r="CE24" s="124">
        <f t="shared" si="28"/>
        <v>0</v>
      </c>
      <c r="CF24" s="17"/>
      <c r="CG24" s="108">
        <f t="shared" si="47"/>
        <v>7910674</v>
      </c>
      <c r="CH24" s="125">
        <f t="shared" si="48"/>
        <v>0.29999997471770423</v>
      </c>
      <c r="CI24" s="110">
        <f t="shared" si="49"/>
        <v>2373202.1999999997</v>
      </c>
      <c r="CJ24" s="300">
        <f t="shared" si="50"/>
        <v>0</v>
      </c>
      <c r="CL24" s="127">
        <f t="shared" si="51"/>
        <v>0</v>
      </c>
      <c r="CM24" s="128">
        <f t="shared" si="52"/>
        <v>0</v>
      </c>
      <c r="CN24" s="129">
        <f t="shared" si="53"/>
        <v>0</v>
      </c>
      <c r="CO24" s="130">
        <f t="shared" si="55"/>
        <v>2373202</v>
      </c>
      <c r="CQ24" s="131">
        <f t="shared" si="54"/>
        <v>0.3</v>
      </c>
      <c r="CR24" s="301"/>
    </row>
    <row r="25" spans="1:96">
      <c r="A25" s="133" t="s">
        <v>99</v>
      </c>
      <c r="B25" s="90" t="s">
        <v>100</v>
      </c>
      <c r="C25" s="208">
        <f>'Op Cost-25'!E18</f>
        <v>3679008</v>
      </c>
      <c r="D25" s="92">
        <f>'Ridership-25'!$E17</f>
        <v>235586</v>
      </c>
      <c r="E25" s="92">
        <f>'Revenue Hours-25'!$E17</f>
        <v>29937</v>
      </c>
      <c r="F25" s="92">
        <f>'Revenue Miles-25'!$E17</f>
        <v>470807</v>
      </c>
      <c r="G25" s="93">
        <f t="shared" si="0"/>
        <v>6.2606542431901E-3</v>
      </c>
      <c r="H25" s="94">
        <f t="shared" si="1"/>
        <v>6.2606542431901018E-3</v>
      </c>
      <c r="J25" s="95">
        <f>'Ridership-25'!B17/'Revenue Hours-25'!B17</f>
        <v>8.8925454444382677</v>
      </c>
      <c r="K25" s="207">
        <f>'Ridership-25'!C17/'Revenue Hours-25'!I17</f>
        <v>5.7639186016175321</v>
      </c>
      <c r="L25" s="207">
        <f>'Ridership-25'!D17/'Revenue Hours-25'!J17</f>
        <v>6.4797153630255435</v>
      </c>
      <c r="M25" s="207">
        <f>'Ridership-25'!E17/'Revenue Hours-25'!K17</f>
        <v>7.8693923906871097</v>
      </c>
      <c r="N25" s="97">
        <f t="shared" si="2"/>
        <v>1.0499909933163976</v>
      </c>
      <c r="O25" s="98">
        <f t="shared" si="3"/>
        <v>6.5736305676176937E-3</v>
      </c>
      <c r="P25" s="99">
        <f t="shared" si="4"/>
        <v>6.179415327839677E-3</v>
      </c>
      <c r="Q25" s="95">
        <f>'Ridership-25'!B17/'Revenue Miles-25'!B17</f>
        <v>0.59288580032429927</v>
      </c>
      <c r="R25" s="207">
        <f>'Ridership-25'!C17/'Revenue Miles-25'!I17</f>
        <v>0.39323250859241093</v>
      </c>
      <c r="S25" s="207">
        <f>'Ridership-25'!D17/'Revenue Miles-25'!J17</f>
        <v>0.42963025620782347</v>
      </c>
      <c r="T25" s="207">
        <f>'Ridership-25'!E17/'Revenue Miles-25'!K17</f>
        <v>0.50038763229943484</v>
      </c>
      <c r="U25" s="97">
        <f t="shared" si="5"/>
        <v>1.0379042251721813</v>
      </c>
      <c r="V25" s="98">
        <f t="shared" si="6"/>
        <v>6.4979594913491517E-3</v>
      </c>
      <c r="W25" s="99">
        <f t="shared" si="7"/>
        <v>6.1176745043332124E-3</v>
      </c>
      <c r="X25" s="95">
        <f>'Op Cost-25'!B18/'Revenue Hours-25'!B17</f>
        <v>81.611429206737455</v>
      </c>
      <c r="Y25" s="96">
        <f>'Op Cost-25'!C18/'Revenue Hours-25'!C17</f>
        <v>72.997808505087406</v>
      </c>
      <c r="Z25" s="96">
        <f>'Op Cost-25'!D18/'Revenue Hours-25'!D17</f>
        <v>89.842457403679873</v>
      </c>
      <c r="AA25" s="96">
        <f>'Op Cost-25'!E18/'Revenue Hours-25'!E17</f>
        <v>122.89167251227578</v>
      </c>
      <c r="AB25" s="97">
        <f t="shared" si="8"/>
        <v>1.1433754529366269</v>
      </c>
      <c r="AC25" s="98">
        <f t="shared" si="9"/>
        <v>5.4755891663673031E-3</v>
      </c>
      <c r="AD25" s="99">
        <f t="shared" si="10"/>
        <v>5.8419899687655926E-3</v>
      </c>
      <c r="AE25" s="95">
        <f>'Op Cost-25'!B18/'Revenue Miles-25'!B17</f>
        <v>5.4412156590224692</v>
      </c>
      <c r="AF25" s="96">
        <f>'Op Cost-25'!C18/'Revenue Miles-25'!C17</f>
        <v>4.9801382261276927</v>
      </c>
      <c r="AG25" s="96">
        <f>'Op Cost-25'!D18/'Revenue Miles-25'!D17</f>
        <v>5.9569033252504751</v>
      </c>
      <c r="AH25" s="96">
        <f>'Op Cost-25'!E18/'Revenue Miles-25'!E17</f>
        <v>7.8142593461864411</v>
      </c>
      <c r="AI25" s="97">
        <f t="shared" si="11"/>
        <v>1.1229656613500592</v>
      </c>
      <c r="AJ25" s="98">
        <f t="shared" si="12"/>
        <v>5.5751074664770932E-3</v>
      </c>
      <c r="AK25" s="99">
        <f t="shared" si="13"/>
        <v>5.9333863099712081E-3</v>
      </c>
      <c r="AL25" s="95">
        <f>'Op Cost-25'!B18/'Ridership-25'!B17</f>
        <v>9.1775105021004197</v>
      </c>
      <c r="AM25" s="96">
        <f>'Op Cost-25'!C18/'Ridership-25'!C17</f>
        <v>12.664614743969837</v>
      </c>
      <c r="AN25" s="96">
        <f>'Op Cost-25'!D18/'Ridership-25'!D17</f>
        <v>13.865185794477576</v>
      </c>
      <c r="AO25" s="96">
        <f>'Op Cost-25'!E18/'Ridership-25'!E17</f>
        <v>15.616411841111102</v>
      </c>
      <c r="AP25" s="100">
        <f t="shared" si="14"/>
        <v>1.1449369771833227</v>
      </c>
      <c r="AQ25" s="98">
        <f t="shared" si="15"/>
        <v>5.4681212747552579E-3</v>
      </c>
      <c r="AR25" s="99">
        <f t="shared" si="16"/>
        <v>5.9387319105403862E-3</v>
      </c>
      <c r="AT25" s="101">
        <f t="shared" si="29"/>
        <v>0</v>
      </c>
      <c r="AU25" s="102">
        <f t="shared" si="17"/>
        <v>0</v>
      </c>
      <c r="AV25" s="102">
        <f t="shared" si="18"/>
        <v>0</v>
      </c>
      <c r="AW25" s="102">
        <f t="shared" si="19"/>
        <v>0</v>
      </c>
      <c r="AX25" s="103">
        <f t="shared" si="20"/>
        <v>0</v>
      </c>
      <c r="AY25" s="293">
        <f t="shared" si="30"/>
        <v>-1</v>
      </c>
      <c r="AZ25" s="105">
        <f t="shared" si="21"/>
        <v>0</v>
      </c>
      <c r="BA25" s="106">
        <f t="shared" si="21"/>
        <v>0</v>
      </c>
      <c r="BB25" s="106">
        <f t="shared" si="21"/>
        <v>0</v>
      </c>
      <c r="BC25" s="106">
        <f t="shared" si="21"/>
        <v>0</v>
      </c>
      <c r="BD25" s="106">
        <f t="shared" si="21"/>
        <v>0</v>
      </c>
      <c r="BE25" s="107">
        <f t="shared" si="31"/>
        <v>765305.50783197396</v>
      </c>
      <c r="BG25" s="108">
        <f>'Op Cost-25'!E18</f>
        <v>3679008</v>
      </c>
      <c r="BH25" s="109">
        <f t="shared" si="22"/>
        <v>0.20801952804450927</v>
      </c>
      <c r="BI25" s="110">
        <f t="shared" si="23"/>
        <v>765305.50783197396</v>
      </c>
      <c r="BJ25" s="111">
        <f t="shared" si="24"/>
        <v>0</v>
      </c>
      <c r="BK25" s="1">
        <f t="shared" si="32"/>
        <v>0.8962974735801128</v>
      </c>
      <c r="BL25" s="294">
        <f t="shared" si="33"/>
        <v>0.7627494729256652</v>
      </c>
      <c r="BM25" s="294">
        <f t="shared" si="34"/>
        <v>0.72183090937394212</v>
      </c>
      <c r="BN25" s="295">
        <f t="shared" si="35"/>
        <v>1.0503047560104219</v>
      </c>
      <c r="BO25" s="114">
        <f t="shared" si="25"/>
        <v>765305.50783197396</v>
      </c>
      <c r="BP25" s="296">
        <f t="shared" si="36"/>
        <v>0.8962974735801128</v>
      </c>
      <c r="BQ25" s="116">
        <f t="shared" si="37"/>
        <v>5.6114085811299012E-3</v>
      </c>
      <c r="BR25" s="297">
        <f t="shared" si="38"/>
        <v>5.6114085811299012E-3</v>
      </c>
      <c r="BS25" s="117">
        <f t="shared" si="39"/>
        <v>5.8434545241896644E-3</v>
      </c>
      <c r="BT25" s="298">
        <f t="shared" si="40"/>
        <v>815787.4888791946</v>
      </c>
      <c r="BU25" s="119">
        <f t="shared" si="41"/>
        <v>1103702.3999999999</v>
      </c>
      <c r="BV25" s="119">
        <f t="shared" si="42"/>
        <v>815787.4888791946</v>
      </c>
      <c r="BW25" s="119">
        <f t="shared" si="43"/>
        <v>0</v>
      </c>
      <c r="BX25" s="120">
        <f t="shared" si="44"/>
        <v>5.6114085811299012E-3</v>
      </c>
      <c r="BY25" s="121">
        <f t="shared" si="45"/>
        <v>1.0261318445779653E-2</v>
      </c>
      <c r="BZ25" s="299">
        <f t="shared" si="46"/>
        <v>823936.26769713929</v>
      </c>
      <c r="CA25" s="109">
        <f t="shared" si="26"/>
        <v>6.9538354762477134E-3</v>
      </c>
      <c r="CB25" s="123">
        <f t="shared" si="57"/>
        <v>60074.633808518935</v>
      </c>
      <c r="CC25" s="111">
        <f t="shared" si="56"/>
        <v>825380</v>
      </c>
      <c r="CE25" s="124">
        <f t="shared" si="28"/>
        <v>0</v>
      </c>
      <c r="CF25" s="17"/>
      <c r="CG25" s="108">
        <f t="shared" si="47"/>
        <v>3679008</v>
      </c>
      <c r="CH25" s="125">
        <f t="shared" si="48"/>
        <v>0.22434852003583575</v>
      </c>
      <c r="CI25" s="110">
        <f t="shared" si="49"/>
        <v>815787.4888791946</v>
      </c>
      <c r="CJ25" s="300">
        <f t="shared" si="50"/>
        <v>0</v>
      </c>
      <c r="CL25" s="127">
        <f t="shared" si="51"/>
        <v>815787.4888791946</v>
      </c>
      <c r="CM25" s="128">
        <f t="shared" si="52"/>
        <v>9.4862668367869385E-3</v>
      </c>
      <c r="CN25" s="129">
        <f t="shared" si="53"/>
        <v>7533.290255968408</v>
      </c>
      <c r="CO25" s="130">
        <f t="shared" si="55"/>
        <v>823321</v>
      </c>
      <c r="CQ25" s="131">
        <f t="shared" si="54"/>
        <v>0.22395609569132202</v>
      </c>
      <c r="CR25" s="301"/>
    </row>
    <row r="26" spans="1:96">
      <c r="A26" s="133" t="s">
        <v>99</v>
      </c>
      <c r="B26" s="90" t="s">
        <v>101</v>
      </c>
      <c r="C26" s="208">
        <f>'Op Cost-25'!E19</f>
        <v>703038</v>
      </c>
      <c r="D26" s="92">
        <f>'Ridership-25'!$E18</f>
        <v>90145</v>
      </c>
      <c r="E26" s="92">
        <f>'Revenue Hours-25'!$E18</f>
        <v>11560</v>
      </c>
      <c r="F26" s="92">
        <f>'Revenue Miles-25'!$E18</f>
        <v>171222</v>
      </c>
      <c r="G26" s="93">
        <f t="shared" si="0"/>
        <v>1.9176740527783996E-3</v>
      </c>
      <c r="H26" s="94">
        <f t="shared" si="1"/>
        <v>1.9176740527784E-3</v>
      </c>
      <c r="J26" s="95">
        <f>'Ridership-25'!B18/'Revenue Hours-25'!B18</f>
        <v>12.121389319430746</v>
      </c>
      <c r="K26" s="207">
        <f>'Ridership-25'!C18/'Revenue Hours-25'!I18</f>
        <v>6.5520235467255334</v>
      </c>
      <c r="L26" s="207">
        <f>'Ridership-25'!D18/'Revenue Hours-25'!J18</f>
        <v>6.5625580805947452</v>
      </c>
      <c r="M26" s="207">
        <f>'Ridership-25'!E18/'Revenue Hours-25'!K18</f>
        <v>7.7980103806228378</v>
      </c>
      <c r="N26" s="97">
        <f t="shared" si="2"/>
        <v>0.9411305771415881</v>
      </c>
      <c r="O26" s="98">
        <f t="shared" si="3"/>
        <v>1.8047816880607838E-3</v>
      </c>
      <c r="P26" s="99">
        <f t="shared" si="4"/>
        <v>1.6965504087718877E-3</v>
      </c>
      <c r="Q26" s="95">
        <f>'Ridership-25'!B18/'Revenue Miles-25'!B18</f>
        <v>0.79351997048242784</v>
      </c>
      <c r="R26" s="207">
        <f>'Ridership-25'!C18/'Revenue Miles-25'!I18</f>
        <v>0.47317713453679738</v>
      </c>
      <c r="S26" s="207">
        <f>'Ridership-25'!D18/'Revenue Miles-25'!J18</f>
        <v>0.44629120011030743</v>
      </c>
      <c r="T26" s="207">
        <f>'Ridership-25'!E18/'Revenue Miles-25'!K18</f>
        <v>0.52648024202497345</v>
      </c>
      <c r="U26" s="97">
        <f t="shared" si="5"/>
        <v>0.95968549774921197</v>
      </c>
      <c r="V26" s="98">
        <f t="shared" si="6"/>
        <v>1.8403639778613874E-3</v>
      </c>
      <c r="W26" s="99">
        <f t="shared" si="7"/>
        <v>1.7326589679490664E-3</v>
      </c>
      <c r="X26" s="95">
        <f>'Op Cost-25'!B19/'Revenue Hours-25'!B18</f>
        <v>47.958362688459914</v>
      </c>
      <c r="Y26" s="96">
        <f>'Op Cost-25'!C19/'Revenue Hours-25'!C18</f>
        <v>45.519278881530539</v>
      </c>
      <c r="Z26" s="96">
        <f>'Op Cost-25'!D19/'Revenue Hours-25'!D18</f>
        <v>51.194390470558417</v>
      </c>
      <c r="AA26" s="96">
        <f>'Op Cost-25'!E19/'Revenue Hours-25'!E18</f>
        <v>60.816435986159171</v>
      </c>
      <c r="AB26" s="97">
        <f t="shared" si="8"/>
        <v>1.0585987264876684</v>
      </c>
      <c r="AC26" s="98">
        <f t="shared" si="9"/>
        <v>1.8115212164868772E-3</v>
      </c>
      <c r="AD26" s="99">
        <f t="shared" si="10"/>
        <v>1.9327397387527959E-3</v>
      </c>
      <c r="AE26" s="95">
        <f>'Op Cost-25'!B19/'Revenue Miles-25'!B18</f>
        <v>3.1395673830827415</v>
      </c>
      <c r="AF26" s="96">
        <f>'Op Cost-25'!C19/'Revenue Miles-25'!C18</f>
        <v>3.2873328054671349</v>
      </c>
      <c r="AG26" s="96">
        <f>'Op Cost-25'!D19/'Revenue Miles-25'!D18</f>
        <v>3.4815091434513583</v>
      </c>
      <c r="AH26" s="96">
        <f>'Op Cost-25'!E19/'Revenue Miles-25'!E18</f>
        <v>4.1060027332936189</v>
      </c>
      <c r="AI26" s="97">
        <f t="shared" si="11"/>
        <v>1.0643484033760391</v>
      </c>
      <c r="AJ26" s="98">
        <f t="shared" si="12"/>
        <v>1.8017352651591072E-3</v>
      </c>
      <c r="AK26" s="99">
        <f t="shared" si="13"/>
        <v>1.9175220246010149E-3</v>
      </c>
      <c r="AL26" s="95">
        <f>'Op Cost-25'!B19/'Ridership-25'!B18</f>
        <v>3.95650708220237</v>
      </c>
      <c r="AM26" s="96">
        <f>'Op Cost-25'!C19/'Ridership-25'!C18</f>
        <v>6.9473619190943596</v>
      </c>
      <c r="AN26" s="96">
        <f>'Op Cost-25'!D19/'Ridership-25'!D18</f>
        <v>7.8009809348489334</v>
      </c>
      <c r="AO26" s="96">
        <f>'Op Cost-25'!E19/'Ridership-25'!E18</f>
        <v>7.7989683288035945</v>
      </c>
      <c r="AP26" s="100">
        <f t="shared" si="14"/>
        <v>1.1555135455372394</v>
      </c>
      <c r="AQ26" s="98">
        <f t="shared" si="15"/>
        <v>1.659585956551297E-3</v>
      </c>
      <c r="AR26" s="99">
        <f t="shared" si="16"/>
        <v>1.8024172441012669E-3</v>
      </c>
      <c r="AT26" s="101">
        <f t="shared" si="29"/>
        <v>0</v>
      </c>
      <c r="AU26" s="102">
        <f t="shared" si="17"/>
        <v>0</v>
      </c>
      <c r="AV26" s="102">
        <f t="shared" si="18"/>
        <v>0</v>
      </c>
      <c r="AW26" s="102">
        <f t="shared" si="19"/>
        <v>0</v>
      </c>
      <c r="AX26" s="103">
        <f t="shared" si="20"/>
        <v>0</v>
      </c>
      <c r="AY26" s="293">
        <f t="shared" si="30"/>
        <v>-1</v>
      </c>
      <c r="AZ26" s="105">
        <f t="shared" si="21"/>
        <v>0</v>
      </c>
      <c r="BA26" s="106">
        <f t="shared" si="21"/>
        <v>0</v>
      </c>
      <c r="BB26" s="106">
        <f t="shared" si="21"/>
        <v>0</v>
      </c>
      <c r="BC26" s="106">
        <f t="shared" si="21"/>
        <v>0</v>
      </c>
      <c r="BD26" s="106">
        <f t="shared" si="21"/>
        <v>0</v>
      </c>
      <c r="BE26" s="107">
        <f t="shared" si="31"/>
        <v>234417.4359116113</v>
      </c>
      <c r="BG26" s="108">
        <f>'Op Cost-25'!E19</f>
        <v>703038</v>
      </c>
      <c r="BH26" s="109">
        <f t="shared" si="22"/>
        <v>0.33343494364687443</v>
      </c>
      <c r="BI26" s="110">
        <f t="shared" si="23"/>
        <v>210911.4</v>
      </c>
      <c r="BJ26" s="111">
        <f t="shared" si="24"/>
        <v>23506.03591161131</v>
      </c>
      <c r="BK26" s="1">
        <f t="shared" si="32"/>
        <v>1.3701168300378255</v>
      </c>
      <c r="BL26" s="294">
        <f t="shared" si="33"/>
        <v>0.8014141865012383</v>
      </c>
      <c r="BM26" s="294">
        <f t="shared" si="34"/>
        <v>0.79658507419540747</v>
      </c>
      <c r="BN26" s="295">
        <f t="shared" si="35"/>
        <v>1.9412340297273281</v>
      </c>
      <c r="BO26" s="114">
        <f t="shared" si="25"/>
        <v>0</v>
      </c>
      <c r="BP26" s="296">
        <f t="shared" si="36"/>
        <v>1.3701168300378255</v>
      </c>
      <c r="BQ26" s="116">
        <f t="shared" si="37"/>
        <v>2.627437494238531E-3</v>
      </c>
      <c r="BR26" s="297">
        <f t="shared" si="38"/>
        <v>0</v>
      </c>
      <c r="BS26" s="117">
        <f t="shared" si="39"/>
        <v>0</v>
      </c>
      <c r="BT26" s="298">
        <f t="shared" si="40"/>
        <v>210911.4</v>
      </c>
      <c r="BU26" s="119">
        <f t="shared" si="41"/>
        <v>210911.4</v>
      </c>
      <c r="BV26" s="119">
        <f t="shared" si="42"/>
        <v>210911.4</v>
      </c>
      <c r="BW26" s="119">
        <f t="shared" si="43"/>
        <v>0</v>
      </c>
      <c r="BX26" s="120">
        <f t="shared" si="44"/>
        <v>0</v>
      </c>
      <c r="BY26" s="121">
        <f t="shared" si="45"/>
        <v>0</v>
      </c>
      <c r="BZ26" s="299">
        <f t="shared" si="46"/>
        <v>210911.4</v>
      </c>
      <c r="CA26" s="109">
        <f t="shared" si="26"/>
        <v>0</v>
      </c>
      <c r="CB26" s="123">
        <f t="shared" si="57"/>
        <v>0</v>
      </c>
      <c r="CC26" s="111">
        <f t="shared" si="56"/>
        <v>210911</v>
      </c>
      <c r="CE26" s="124">
        <f t="shared" si="28"/>
        <v>0</v>
      </c>
      <c r="CF26" s="17"/>
      <c r="CG26" s="108">
        <f t="shared" si="47"/>
        <v>703038</v>
      </c>
      <c r="CH26" s="125">
        <f t="shared" si="48"/>
        <v>0.29999943104071186</v>
      </c>
      <c r="CI26" s="110">
        <f t="shared" si="49"/>
        <v>210911.4</v>
      </c>
      <c r="CJ26" s="300">
        <f t="shared" si="50"/>
        <v>0</v>
      </c>
      <c r="CL26" s="127">
        <f t="shared" si="51"/>
        <v>0</v>
      </c>
      <c r="CM26" s="128">
        <f t="shared" si="52"/>
        <v>0</v>
      </c>
      <c r="CN26" s="129">
        <f t="shared" si="53"/>
        <v>0</v>
      </c>
      <c r="CO26" s="130">
        <f t="shared" si="55"/>
        <v>210911</v>
      </c>
      <c r="CQ26" s="131">
        <f t="shared" si="54"/>
        <v>0.3</v>
      </c>
      <c r="CR26" s="301"/>
    </row>
    <row r="27" spans="1:96">
      <c r="A27" s="133" t="s">
        <v>99</v>
      </c>
      <c r="B27" s="90" t="s">
        <v>102</v>
      </c>
      <c r="C27" s="208">
        <f>'Op Cost-25'!E20</f>
        <v>8675119</v>
      </c>
      <c r="D27" s="92">
        <f>'Ridership-25'!$E19</f>
        <v>519342</v>
      </c>
      <c r="E27" s="92">
        <f>'Revenue Hours-25'!$E19</f>
        <v>79599</v>
      </c>
      <c r="F27" s="92">
        <f>'Revenue Miles-25'!$E19</f>
        <v>1150861</v>
      </c>
      <c r="G27" s="93">
        <f t="shared" si="0"/>
        <v>1.4893103845630756E-2</v>
      </c>
      <c r="H27" s="94">
        <f t="shared" si="1"/>
        <v>1.4893103845630759E-2</v>
      </c>
      <c r="J27" s="95">
        <f>'Ridership-25'!B19/'Revenue Hours-25'!B19</f>
        <v>21.272344057919085</v>
      </c>
      <c r="K27" s="207">
        <f>'Ridership-25'!C19/'Revenue Hours-25'!I19</f>
        <v>6.2106387495687709</v>
      </c>
      <c r="L27" s="207">
        <f>'Ridership-25'!D19/'Revenue Hours-25'!J19</f>
        <v>5.9993407953505891</v>
      </c>
      <c r="M27" s="207">
        <f>'Ridership-25'!E19/'Revenue Hours-25'!K19</f>
        <v>6.5244789507405869</v>
      </c>
      <c r="N27" s="97">
        <f t="shared" si="2"/>
        <v>0.74254458405060142</v>
      </c>
      <c r="O27" s="98">
        <f t="shared" si="3"/>
        <v>1.1058793600276305E-2</v>
      </c>
      <c r="P27" s="99">
        <f t="shared" si="4"/>
        <v>1.0395606807841689E-2</v>
      </c>
      <c r="Q27" s="95">
        <f>'Ridership-25'!B19/'Revenue Miles-25'!B19</f>
        <v>1.6130997617774709</v>
      </c>
      <c r="R27" s="207">
        <f>'Ridership-25'!C19/'Revenue Miles-25'!I19</f>
        <v>0.43710720015539234</v>
      </c>
      <c r="S27" s="207">
        <f>'Ridership-25'!D19/'Revenue Miles-25'!J19</f>
        <v>0.41539215330115964</v>
      </c>
      <c r="T27" s="207">
        <f>'Ridership-25'!E19/'Revenue Miles-25'!K19</f>
        <v>0.45126387982562621</v>
      </c>
      <c r="U27" s="97">
        <f t="shared" si="5"/>
        <v>0.72761827424943293</v>
      </c>
      <c r="V27" s="98">
        <f t="shared" si="6"/>
        <v>1.0836494518375445E-2</v>
      </c>
      <c r="W27" s="99">
        <f t="shared" si="7"/>
        <v>1.020230217188498E-2</v>
      </c>
      <c r="X27" s="95">
        <f>'Op Cost-25'!B20/'Revenue Hours-25'!B19</f>
        <v>85.260382965718563</v>
      </c>
      <c r="Y27" s="96">
        <f>'Op Cost-25'!C20/'Revenue Hours-25'!C19</f>
        <v>88.890998593530242</v>
      </c>
      <c r="Z27" s="96">
        <f>'Op Cost-25'!D20/'Revenue Hours-25'!D19</f>
        <v>103.53699617930367</v>
      </c>
      <c r="AA27" s="96">
        <f>'Op Cost-25'!E20/'Revenue Hours-25'!E19</f>
        <v>108.98527619693715</v>
      </c>
      <c r="AB27" s="97">
        <f t="shared" si="8"/>
        <v>1.0489833242149993</v>
      </c>
      <c r="AC27" s="98">
        <f t="shared" si="9"/>
        <v>1.4197655483966754E-2</v>
      </c>
      <c r="AD27" s="99">
        <f t="shared" si="10"/>
        <v>1.5147696146887983E-2</v>
      </c>
      <c r="AE27" s="95">
        <f>'Op Cost-25'!B20/'Revenue Miles-25'!B19</f>
        <v>6.465366631744411</v>
      </c>
      <c r="AF27" s="96">
        <f>'Op Cost-25'!C20/'Revenue Miles-25'!C19</f>
        <v>6.2561834749980854</v>
      </c>
      <c r="AG27" s="96">
        <f>'Op Cost-25'!D20/'Revenue Miles-25'!D19</f>
        <v>7.168863589577354</v>
      </c>
      <c r="AH27" s="96">
        <f>'Op Cost-25'!E20/'Revenue Miles-25'!E19</f>
        <v>7.537938117635405</v>
      </c>
      <c r="AI27" s="97">
        <f t="shared" si="11"/>
        <v>1.026827470444114</v>
      </c>
      <c r="AJ27" s="98">
        <f t="shared" si="12"/>
        <v>1.4503998260963286E-2</v>
      </c>
      <c r="AK27" s="99">
        <f t="shared" si="13"/>
        <v>1.5436083562318424E-2</v>
      </c>
      <c r="AL27" s="95">
        <f>'Op Cost-25'!B20/'Ridership-25'!B19</f>
        <v>4.008038922912144</v>
      </c>
      <c r="AM27" s="96">
        <f>'Op Cost-25'!C20/'Ridership-25'!C19</f>
        <v>14.312698287225656</v>
      </c>
      <c r="AN27" s="96">
        <f>'Op Cost-25'!D20/'Ridership-25'!D19</f>
        <v>17.258062129016487</v>
      </c>
      <c r="AO27" s="96">
        <f>'Op Cost-25'!E20/'Ridership-25'!E19</f>
        <v>16.704058212122263</v>
      </c>
      <c r="AP27" s="97">
        <f t="shared" si="14"/>
        <v>1.4319841470376262</v>
      </c>
      <c r="AQ27" s="98">
        <f t="shared" si="15"/>
        <v>1.0400327319572928E-2</v>
      </c>
      <c r="AR27" s="99">
        <f t="shared" si="16"/>
        <v>1.1295425362631003E-2</v>
      </c>
      <c r="AT27" s="101">
        <f t="shared" si="29"/>
        <v>0</v>
      </c>
      <c r="AU27" s="102">
        <f t="shared" si="17"/>
        <v>0</v>
      </c>
      <c r="AV27" s="102">
        <f t="shared" si="18"/>
        <v>0</v>
      </c>
      <c r="AW27" s="102">
        <f t="shared" si="19"/>
        <v>0</v>
      </c>
      <c r="AX27" s="103">
        <f t="shared" si="20"/>
        <v>0</v>
      </c>
      <c r="AY27" s="293">
        <f t="shared" si="30"/>
        <v>-1</v>
      </c>
      <c r="AZ27" s="105">
        <f t="shared" si="21"/>
        <v>0</v>
      </c>
      <c r="BA27" s="106">
        <f t="shared" si="21"/>
        <v>0</v>
      </c>
      <c r="BB27" s="106">
        <f t="shared" si="21"/>
        <v>0</v>
      </c>
      <c r="BC27" s="106">
        <f t="shared" si="21"/>
        <v>0</v>
      </c>
      <c r="BD27" s="106">
        <f t="shared" si="21"/>
        <v>0</v>
      </c>
      <c r="BE27" s="107">
        <f t="shared" si="31"/>
        <v>1820540.4673437234</v>
      </c>
      <c r="BG27" s="108">
        <f>'Op Cost-25'!E20</f>
        <v>8675119</v>
      </c>
      <c r="BH27" s="109">
        <f t="shared" si="22"/>
        <v>0.20985769386491682</v>
      </c>
      <c r="BI27" s="110">
        <f t="shared" si="23"/>
        <v>1820540.4673437234</v>
      </c>
      <c r="BJ27" s="111">
        <f t="shared" si="24"/>
        <v>0</v>
      </c>
      <c r="BK27" s="1">
        <f t="shared" si="32"/>
        <v>0.81828918657254812</v>
      </c>
      <c r="BL27" s="294">
        <f t="shared" si="33"/>
        <v>0.72441571260263238</v>
      </c>
      <c r="BM27" s="294">
        <f t="shared" si="34"/>
        <v>0.72177862213712718</v>
      </c>
      <c r="BN27" s="295">
        <f t="shared" si="35"/>
        <v>0.9134812057752163</v>
      </c>
      <c r="BO27" s="114">
        <f t="shared" si="25"/>
        <v>1820540.4673437234</v>
      </c>
      <c r="BP27" s="296">
        <f t="shared" si="36"/>
        <v>0.81828918657254812</v>
      </c>
      <c r="BQ27" s="116">
        <f t="shared" si="37"/>
        <v>1.2186865831381682E-2</v>
      </c>
      <c r="BR27" s="297">
        <f t="shared" si="38"/>
        <v>1.2186865831381682E-2</v>
      </c>
      <c r="BS27" s="117">
        <f t="shared" si="39"/>
        <v>1.2690823569247269E-2</v>
      </c>
      <c r="BT27" s="298">
        <f t="shared" si="40"/>
        <v>1930177.3118240361</v>
      </c>
      <c r="BU27" s="119">
        <f t="shared" si="41"/>
        <v>2602535.6999999997</v>
      </c>
      <c r="BV27" s="119">
        <f t="shared" si="42"/>
        <v>1930177.3118240361</v>
      </c>
      <c r="BW27" s="119">
        <f t="shared" si="43"/>
        <v>0</v>
      </c>
      <c r="BX27" s="120">
        <f t="shared" si="44"/>
        <v>1.2186865831381682E-2</v>
      </c>
      <c r="BY27" s="121">
        <f t="shared" si="45"/>
        <v>2.2285547263895401E-2</v>
      </c>
      <c r="BZ27" s="299">
        <f t="shared" si="46"/>
        <v>1947874.8422583465</v>
      </c>
      <c r="CA27" s="109">
        <f t="shared" si="26"/>
        <v>1.6542072098269644E-2</v>
      </c>
      <c r="CB27" s="123">
        <f t="shared" si="57"/>
        <v>142908.02926414635</v>
      </c>
      <c r="CC27" s="111">
        <f t="shared" si="56"/>
        <v>1963448</v>
      </c>
      <c r="CE27" s="124">
        <f t="shared" si="28"/>
        <v>0</v>
      </c>
      <c r="CF27" s="17"/>
      <c r="CG27" s="108">
        <f t="shared" si="47"/>
        <v>8675119</v>
      </c>
      <c r="CH27" s="125">
        <f t="shared" si="48"/>
        <v>0.22633095868771369</v>
      </c>
      <c r="CI27" s="110">
        <f t="shared" si="49"/>
        <v>1930177.3118240361</v>
      </c>
      <c r="CJ27" s="300">
        <f t="shared" si="50"/>
        <v>0</v>
      </c>
      <c r="CL27" s="127">
        <f t="shared" si="51"/>
        <v>1930177.3118240361</v>
      </c>
      <c r="CM27" s="128">
        <f t="shared" si="52"/>
        <v>2.244478773195107E-2</v>
      </c>
      <c r="CN27" s="129">
        <f t="shared" si="53"/>
        <v>17823.987415438951</v>
      </c>
      <c r="CO27" s="130">
        <f t="shared" si="55"/>
        <v>1948001</v>
      </c>
      <c r="CQ27" s="131">
        <f t="shared" si="54"/>
        <v>0.22453580662793748</v>
      </c>
      <c r="CR27" s="301"/>
    </row>
    <row r="28" spans="1:96">
      <c r="A28" s="133" t="s">
        <v>99</v>
      </c>
      <c r="B28" s="90" t="s">
        <v>103</v>
      </c>
      <c r="C28" s="208">
        <f>'Op Cost-25'!E21</f>
        <v>177251</v>
      </c>
      <c r="D28" s="92">
        <f>'Ridership-25'!$E20</f>
        <v>14298</v>
      </c>
      <c r="E28" s="92">
        <f>'Revenue Hours-25'!$E20</f>
        <v>3028</v>
      </c>
      <c r="F28" s="92">
        <f>'Revenue Miles-25'!$E20</f>
        <v>48742</v>
      </c>
      <c r="G28" s="134">
        <f t="shared" si="0"/>
        <v>4.3816732213642587E-4</v>
      </c>
      <c r="H28" s="94">
        <f t="shared" si="1"/>
        <v>4.3816732213642598E-4</v>
      </c>
      <c r="J28" s="95">
        <f>'Ridership-25'!B20/'Revenue Hours-25'!B20</f>
        <v>5.9558432934926957</v>
      </c>
      <c r="K28" s="207">
        <f>'Ridership-25'!C20/'Revenue Hours-25'!I20</f>
        <v>4.686815011624045</v>
      </c>
      <c r="L28" s="207">
        <f>'Ridership-25'!D20/'Revenue Hours-25'!J20</f>
        <v>4.8892540256325994</v>
      </c>
      <c r="M28" s="207">
        <f>'Ridership-25'!E20/'Revenue Hours-25'!K20</f>
        <v>4.7219286657859971</v>
      </c>
      <c r="N28" s="97">
        <f t="shared" si="2"/>
        <v>1.0497324316835372</v>
      </c>
      <c r="O28" s="98">
        <f t="shared" si="3"/>
        <v>4.5995844855053423E-4</v>
      </c>
      <c r="P28" s="99">
        <f t="shared" si="4"/>
        <v>4.3237511720598237E-4</v>
      </c>
      <c r="Q28" s="95">
        <f>'Ridership-25'!B20/'Revenue Miles-25'!B20</f>
        <v>0.37067112984544176</v>
      </c>
      <c r="R28" s="207">
        <f>'Ridership-25'!C20/'Revenue Miles-25'!I20</f>
        <v>0.28707433174661295</v>
      </c>
      <c r="S28" s="207">
        <f>'Ridership-25'!D20/'Revenue Miles-25'!J20</f>
        <v>0.30552817479875144</v>
      </c>
      <c r="T28" s="207">
        <f>'Ridership-25'!E20/'Revenue Miles-25'!K20</f>
        <v>0.29334044561158756</v>
      </c>
      <c r="U28" s="97">
        <f t="shared" si="5"/>
        <v>1.0445386621931119</v>
      </c>
      <c r="V28" s="98">
        <f t="shared" si="6"/>
        <v>4.5768270848112067E-4</v>
      </c>
      <c r="W28" s="99">
        <f t="shared" si="7"/>
        <v>4.3089739794111519E-4</v>
      </c>
      <c r="X28" s="95">
        <f>'Op Cost-25'!B21/'Revenue Hours-25'!B20</f>
        <v>35.128818061088978</v>
      </c>
      <c r="Y28" s="96">
        <f>'Op Cost-25'!C21/'Revenue Hours-25'!C20</f>
        <v>38.42344735968117</v>
      </c>
      <c r="Z28" s="96">
        <f>'Op Cost-25'!D21/'Revenue Hours-25'!D20</f>
        <v>35.43739730529083</v>
      </c>
      <c r="AA28" s="96">
        <f>'Op Cost-25'!E21/'Revenue Hours-25'!E20</f>
        <v>58.537318361955087</v>
      </c>
      <c r="AB28" s="97">
        <f t="shared" si="8"/>
        <v>1.1968858090440895</v>
      </c>
      <c r="AC28" s="98">
        <f t="shared" si="9"/>
        <v>3.6608949561059195E-4</v>
      </c>
      <c r="AD28" s="99">
        <f t="shared" si="10"/>
        <v>3.9058649143438494E-4</v>
      </c>
      <c r="AE28" s="95">
        <f>'Op Cost-25'!B21/'Revenue Miles-25'!B20</f>
        <v>2.1862963881312507</v>
      </c>
      <c r="AF28" s="96">
        <f>'Op Cost-25'!C21/'Revenue Miles-25'!C20</f>
        <v>2.3534928190731925</v>
      </c>
      <c r="AG28" s="96">
        <f>'Op Cost-25'!D21/'Revenue Miles-25'!D20</f>
        <v>2.2144734680466569</v>
      </c>
      <c r="AH28" s="96">
        <f>'Op Cost-25'!E21/'Revenue Miles-25'!E20</f>
        <v>3.6365147101062738</v>
      </c>
      <c r="AI28" s="97">
        <f t="shared" si="11"/>
        <v>1.1975235749946818</v>
      </c>
      <c r="AJ28" s="98">
        <f t="shared" si="12"/>
        <v>3.6589452707715744E-4</v>
      </c>
      <c r="AK28" s="99">
        <f t="shared" si="13"/>
        <v>3.8940838197417651E-4</v>
      </c>
      <c r="AL28" s="95">
        <f>'Op Cost-25'!B21/'Ridership-25'!B20</f>
        <v>5.8982106025976924</v>
      </c>
      <c r="AM28" s="96">
        <f>'Op Cost-25'!C21/'Ridership-25'!C20</f>
        <v>8.1982001133786842</v>
      </c>
      <c r="AN28" s="96">
        <f>'Op Cost-25'!D21/'Ridership-25'!D20</f>
        <v>7.2480172066137918</v>
      </c>
      <c r="AO28" s="96">
        <f>'Op Cost-25'!E21/'Ridership-25'!E20</f>
        <v>12.396908658553643</v>
      </c>
      <c r="AP28" s="100">
        <f t="shared" si="14"/>
        <v>1.3061052839788061</v>
      </c>
      <c r="AQ28" s="98">
        <f t="shared" si="15"/>
        <v>3.3547626482424979E-4</v>
      </c>
      <c r="AR28" s="99">
        <f t="shared" si="16"/>
        <v>3.6434883189927805E-4</v>
      </c>
      <c r="AT28" s="101">
        <f t="shared" si="29"/>
        <v>0</v>
      </c>
      <c r="AU28" s="102">
        <f t="shared" si="17"/>
        <v>0</v>
      </c>
      <c r="AV28" s="102">
        <f t="shared" si="18"/>
        <v>0</v>
      </c>
      <c r="AW28" s="102">
        <f t="shared" si="19"/>
        <v>0</v>
      </c>
      <c r="AX28" s="103">
        <f t="shared" si="20"/>
        <v>0</v>
      </c>
      <c r="AY28" s="293">
        <f t="shared" si="30"/>
        <v>-1</v>
      </c>
      <c r="AZ28" s="105">
        <f t="shared" si="21"/>
        <v>0</v>
      </c>
      <c r="BA28" s="106">
        <f t="shared" si="21"/>
        <v>0</v>
      </c>
      <c r="BB28" s="106">
        <f t="shared" si="21"/>
        <v>0</v>
      </c>
      <c r="BC28" s="106">
        <f t="shared" si="21"/>
        <v>0</v>
      </c>
      <c r="BD28" s="106">
        <f t="shared" si="21"/>
        <v>0</v>
      </c>
      <c r="BE28" s="107">
        <f t="shared" si="31"/>
        <v>53561.792738793069</v>
      </c>
      <c r="BG28" s="108">
        <f>'Op Cost-25'!E21</f>
        <v>177251</v>
      </c>
      <c r="BH28" s="109">
        <f t="shared" si="22"/>
        <v>0.302180482698507</v>
      </c>
      <c r="BI28" s="110">
        <f t="shared" si="23"/>
        <v>53175.299999999996</v>
      </c>
      <c r="BJ28" s="111">
        <f t="shared" si="24"/>
        <v>386.49273879307293</v>
      </c>
      <c r="BK28" s="1">
        <f t="shared" si="32"/>
        <v>1.1012833192239984</v>
      </c>
      <c r="BL28" s="294">
        <f t="shared" si="33"/>
        <v>0.55386689766944885</v>
      </c>
      <c r="BM28" s="294">
        <f t="shared" si="34"/>
        <v>0.49026720320843387</v>
      </c>
      <c r="BN28" s="295">
        <f t="shared" si="35"/>
        <v>1.6804995880090552</v>
      </c>
      <c r="BO28" s="114">
        <f t="shared" si="25"/>
        <v>0</v>
      </c>
      <c r="BP28" s="296">
        <f t="shared" si="36"/>
        <v>1.1012833192239984</v>
      </c>
      <c r="BQ28" s="116">
        <f t="shared" si="37"/>
        <v>4.8254636289789412E-4</v>
      </c>
      <c r="BR28" s="297">
        <f t="shared" si="38"/>
        <v>0</v>
      </c>
      <c r="BS28" s="117">
        <f t="shared" si="39"/>
        <v>0</v>
      </c>
      <c r="BT28" s="298">
        <f t="shared" si="40"/>
        <v>53175.299999999996</v>
      </c>
      <c r="BU28" s="119">
        <f t="shared" si="41"/>
        <v>53175.299999999996</v>
      </c>
      <c r="BV28" s="119">
        <f t="shared" si="42"/>
        <v>53175.299999999996</v>
      </c>
      <c r="BW28" s="119">
        <f t="shared" si="43"/>
        <v>0</v>
      </c>
      <c r="BX28" s="120">
        <f t="shared" si="44"/>
        <v>0</v>
      </c>
      <c r="BY28" s="121">
        <f t="shared" si="45"/>
        <v>0</v>
      </c>
      <c r="BZ28" s="299">
        <f t="shared" si="46"/>
        <v>53175.299999999996</v>
      </c>
      <c r="CA28" s="109">
        <f t="shared" si="26"/>
        <v>0</v>
      </c>
      <c r="CB28" s="123">
        <f t="shared" si="57"/>
        <v>0</v>
      </c>
      <c r="CC28" s="111">
        <f t="shared" si="56"/>
        <v>53175</v>
      </c>
      <c r="CE28" s="124">
        <f t="shared" si="28"/>
        <v>0</v>
      </c>
      <c r="CF28" s="17"/>
      <c r="CG28" s="108">
        <f t="shared" si="47"/>
        <v>177251</v>
      </c>
      <c r="CH28" s="125">
        <f t="shared" si="48"/>
        <v>0.29999830748486611</v>
      </c>
      <c r="CI28" s="110">
        <f t="shared" si="49"/>
        <v>53175.299999999996</v>
      </c>
      <c r="CJ28" s="300">
        <f t="shared" si="50"/>
        <v>0</v>
      </c>
      <c r="CL28" s="127">
        <f t="shared" si="51"/>
        <v>0</v>
      </c>
      <c r="CM28" s="128">
        <f t="shared" si="52"/>
        <v>0</v>
      </c>
      <c r="CN28" s="129">
        <f t="shared" si="53"/>
        <v>0</v>
      </c>
      <c r="CO28" s="130">
        <f t="shared" si="55"/>
        <v>53175</v>
      </c>
      <c r="CQ28" s="131">
        <f t="shared" si="54"/>
        <v>0.3</v>
      </c>
      <c r="CR28" s="301"/>
    </row>
    <row r="29" spans="1:96">
      <c r="A29" s="133" t="s">
        <v>104</v>
      </c>
      <c r="B29" s="90" t="s">
        <v>105</v>
      </c>
      <c r="C29" s="208">
        <f>'Op Cost-25'!E22</f>
        <v>18874570</v>
      </c>
      <c r="D29" s="92">
        <f>'Ridership-25'!$E21</f>
        <v>527426</v>
      </c>
      <c r="E29" s="92">
        <f>'Revenue Hours-25'!$E21</f>
        <v>118492</v>
      </c>
      <c r="F29" s="92">
        <f>'Revenue Miles-25'!$E21</f>
        <v>2591443</v>
      </c>
      <c r="G29" s="134">
        <f t="shared" si="0"/>
        <v>2.6325957603928272E-2</v>
      </c>
      <c r="H29" s="94">
        <f t="shared" si="1"/>
        <v>2.6325957603928279E-2</v>
      </c>
      <c r="J29" s="95">
        <f>'Ridership-25'!B21/'Revenue Hours-25'!B21</f>
        <v>9.5977192221126977</v>
      </c>
      <c r="K29" s="207">
        <f>'Ridership-25'!C21/'Revenue Hours-25'!I21</f>
        <v>3.7989869458797934</v>
      </c>
      <c r="L29" s="207">
        <f>'Ridership-25'!D21/'Revenue Hours-25'!J21</f>
        <v>4.7546665463609399</v>
      </c>
      <c r="M29" s="207">
        <f>'Ridership-25'!E21/'Revenue Hours-25'!K21</f>
        <v>4.8706758029662192</v>
      </c>
      <c r="N29" s="97">
        <f t="shared" si="2"/>
        <v>0.86621767769251523</v>
      </c>
      <c r="O29" s="98">
        <f t="shared" si="3"/>
        <v>2.2804009858706367E-2</v>
      </c>
      <c r="P29" s="99">
        <f t="shared" si="4"/>
        <v>2.1436472069370559E-2</v>
      </c>
      <c r="Q29" s="95">
        <f>'Ridership-25'!B21/'Revenue Miles-25'!B21</f>
        <v>0.37124438856652447</v>
      </c>
      <c r="R29" s="207">
        <f>'Ridership-25'!C21/'Revenue Miles-25'!I21</f>
        <v>0.19319109064254694</v>
      </c>
      <c r="S29" s="207">
        <f>'Ridership-25'!D21/'Revenue Miles-25'!J21</f>
        <v>0.23157738033111441</v>
      </c>
      <c r="T29" s="207">
        <f>'Ridership-25'!E21/'Revenue Miles-25'!K21</f>
        <v>0.2523477615168061</v>
      </c>
      <c r="U29" s="97">
        <f t="shared" si="5"/>
        <v>0.95382031015965552</v>
      </c>
      <c r="V29" s="98">
        <f t="shared" si="6"/>
        <v>2.5110233047028814E-2</v>
      </c>
      <c r="W29" s="99">
        <f t="shared" si="7"/>
        <v>2.3640687928908367E-2</v>
      </c>
      <c r="X29" s="95">
        <f>'Op Cost-25'!B22/'Revenue Hours-25'!B21</f>
        <v>112.24563612250527</v>
      </c>
      <c r="Y29" s="96">
        <f>'Op Cost-25'!C22/'Revenue Hours-25'!C21</f>
        <v>179.69728056645377</v>
      </c>
      <c r="Z29" s="96">
        <f>'Op Cost-25'!D22/'Revenue Hours-25'!D21</f>
        <v>158.41301948873704</v>
      </c>
      <c r="AA29" s="96">
        <f>'Op Cost-25'!E22/'Revenue Hours-25'!E21</f>
        <v>159.2898254734497</v>
      </c>
      <c r="AB29" s="97">
        <f t="shared" si="8"/>
        <v>1.0903539930795201</v>
      </c>
      <c r="AC29" s="98">
        <f t="shared" si="9"/>
        <v>2.4144413439139221E-2</v>
      </c>
      <c r="AD29" s="99">
        <f t="shared" si="10"/>
        <v>2.5760044595668403E-2</v>
      </c>
      <c r="AE29" s="95">
        <f>'Op Cost-25'!B22/'Revenue Miles-25'!B21</f>
        <v>4.3417151082679135</v>
      </c>
      <c r="AF29" s="96">
        <f>'Op Cost-25'!C22/'Revenue Miles-25'!C21</f>
        <v>8.4429703468712045</v>
      </c>
      <c r="AG29" s="96">
        <f>'Op Cost-25'!D22/'Revenue Miles-25'!D21</f>
        <v>6.9594026402794391</v>
      </c>
      <c r="AH29" s="96">
        <f>'Op Cost-25'!E22/'Revenue Miles-25'!E21</f>
        <v>7.2834208585718461</v>
      </c>
      <c r="AI29" s="97">
        <f t="shared" si="11"/>
        <v>1.1782619786185278</v>
      </c>
      <c r="AJ29" s="98">
        <f t="shared" si="12"/>
        <v>2.2343042618412055E-2</v>
      </c>
      <c r="AK29" s="99">
        <f t="shared" si="13"/>
        <v>2.3778896459364606E-2</v>
      </c>
      <c r="AL29" s="95">
        <f>'Op Cost-25'!B22/'Ridership-25'!B21</f>
        <v>11.695032280575219</v>
      </c>
      <c r="AM29" s="96">
        <f>'Op Cost-25'!C22/'Ridership-25'!C21</f>
        <v>51.778617939287642</v>
      </c>
      <c r="AN29" s="96">
        <f>'Op Cost-25'!D22/'Ridership-25'!D21</f>
        <v>37.117218541475417</v>
      </c>
      <c r="AO29" s="96">
        <f>'Op Cost-25'!E22/'Ridership-25'!E21</f>
        <v>35.786195599003463</v>
      </c>
      <c r="AP29" s="97">
        <f t="shared" si="14"/>
        <v>1.3409477845398807</v>
      </c>
      <c r="AQ29" s="98">
        <f t="shared" si="15"/>
        <v>1.9632351018769537E-2</v>
      </c>
      <c r="AR29" s="99">
        <f t="shared" si="16"/>
        <v>2.1321997742143182E-2</v>
      </c>
      <c r="AT29" s="101">
        <f t="shared" si="29"/>
        <v>0</v>
      </c>
      <c r="AU29" s="102">
        <f t="shared" si="17"/>
        <v>0</v>
      </c>
      <c r="AV29" s="102">
        <f t="shared" si="18"/>
        <v>0</v>
      </c>
      <c r="AW29" s="102">
        <f t="shared" si="19"/>
        <v>0</v>
      </c>
      <c r="AX29" s="103">
        <f t="shared" si="20"/>
        <v>0</v>
      </c>
      <c r="AY29" s="293">
        <f t="shared" si="30"/>
        <v>-1</v>
      </c>
      <c r="AZ29" s="105">
        <f t="shared" si="21"/>
        <v>0</v>
      </c>
      <c r="BA29" s="106">
        <f t="shared" si="21"/>
        <v>0</v>
      </c>
      <c r="BB29" s="106">
        <f t="shared" si="21"/>
        <v>0</v>
      </c>
      <c r="BC29" s="106">
        <f t="shared" si="21"/>
        <v>0</v>
      </c>
      <c r="BD29" s="106">
        <f t="shared" si="21"/>
        <v>0</v>
      </c>
      <c r="BE29" s="107">
        <f t="shared" si="31"/>
        <v>3218098.2323296755</v>
      </c>
      <c r="BG29" s="108">
        <f>'Op Cost-25'!E22</f>
        <v>18874570</v>
      </c>
      <c r="BH29" s="109">
        <f t="shared" si="22"/>
        <v>0.17049915480615851</v>
      </c>
      <c r="BI29" s="110">
        <f t="shared" si="23"/>
        <v>3218098.2323296755</v>
      </c>
      <c r="BJ29" s="111">
        <f t="shared" si="24"/>
        <v>0</v>
      </c>
      <c r="BK29" s="1">
        <f t="shared" si="32"/>
        <v>0.3926407461473792</v>
      </c>
      <c r="BL29" s="294">
        <f t="shared" si="33"/>
        <v>0.51090132544584066</v>
      </c>
      <c r="BM29" s="294">
        <f t="shared" si="34"/>
        <v>0.36858116674451741</v>
      </c>
      <c r="BN29" s="295">
        <f t="shared" si="35"/>
        <v>0.34554024619957929</v>
      </c>
      <c r="BO29" s="114">
        <f t="shared" si="25"/>
        <v>3218098.2323296755</v>
      </c>
      <c r="BP29" s="296">
        <f t="shared" si="36"/>
        <v>0.3926407461473792</v>
      </c>
      <c r="BQ29" s="116">
        <f t="shared" si="37"/>
        <v>1.0336643636650671E-2</v>
      </c>
      <c r="BR29" s="297">
        <f t="shared" si="38"/>
        <v>1.0336643636650671E-2</v>
      </c>
      <c r="BS29" s="117">
        <f t="shared" si="39"/>
        <v>1.0764090005251465E-2</v>
      </c>
      <c r="BT29" s="298">
        <f t="shared" si="40"/>
        <v>3311089.9011081769</v>
      </c>
      <c r="BU29" s="119">
        <f t="shared" si="41"/>
        <v>5662371</v>
      </c>
      <c r="BV29" s="119">
        <f t="shared" si="42"/>
        <v>3311089.9011081769</v>
      </c>
      <c r="BW29" s="119">
        <f t="shared" si="43"/>
        <v>0</v>
      </c>
      <c r="BX29" s="120">
        <f t="shared" si="44"/>
        <v>1.0336643636650671E-2</v>
      </c>
      <c r="BY29" s="121">
        <f t="shared" si="45"/>
        <v>1.8902133124452838E-2</v>
      </c>
      <c r="BZ29" s="299">
        <f t="shared" si="46"/>
        <v>3326100.5747201885</v>
      </c>
      <c r="CA29" s="109">
        <f t="shared" si="26"/>
        <v>2.9240774337844392E-2</v>
      </c>
      <c r="CB29" s="123">
        <f t="shared" si="57"/>
        <v>252612.93808627981</v>
      </c>
      <c r="CC29" s="111">
        <f t="shared" si="56"/>
        <v>3470711</v>
      </c>
      <c r="CE29" s="124">
        <f t="shared" si="28"/>
        <v>0</v>
      </c>
      <c r="CF29" s="17"/>
      <c r="CG29" s="108">
        <f t="shared" si="47"/>
        <v>18874570</v>
      </c>
      <c r="CH29" s="125">
        <f t="shared" si="48"/>
        <v>0.18388291759759295</v>
      </c>
      <c r="CI29" s="110">
        <f t="shared" si="49"/>
        <v>3311089.9011081769</v>
      </c>
      <c r="CJ29" s="300">
        <f t="shared" si="50"/>
        <v>0</v>
      </c>
      <c r="CL29" s="127">
        <f t="shared" si="51"/>
        <v>3311089.9011081769</v>
      </c>
      <c r="CM29" s="128">
        <f t="shared" si="52"/>
        <v>3.8502530071473008E-2</v>
      </c>
      <c r="CN29" s="129">
        <f t="shared" si="53"/>
        <v>30575.856615456574</v>
      </c>
      <c r="CO29" s="130">
        <f t="shared" si="55"/>
        <v>3341666</v>
      </c>
      <c r="CQ29" s="131">
        <f t="shared" si="54"/>
        <v>0.17622126356892837</v>
      </c>
      <c r="CR29" s="301"/>
    </row>
    <row r="30" spans="1:96">
      <c r="A30" s="133" t="s">
        <v>104</v>
      </c>
      <c r="B30" s="90" t="s">
        <v>106</v>
      </c>
      <c r="C30" s="208">
        <f>'Op Cost-25'!E23</f>
        <v>23750125</v>
      </c>
      <c r="D30" s="92">
        <f>'Ridership-25'!$E22</f>
        <v>2106063</v>
      </c>
      <c r="E30" s="92">
        <f>'Revenue Hours-25'!$E22</f>
        <v>216250</v>
      </c>
      <c r="F30" s="92">
        <f>'Revenue Miles-25'!$E22</f>
        <v>2205880</v>
      </c>
      <c r="G30" s="134">
        <f t="shared" si="0"/>
        <v>4.3538933937356653E-2</v>
      </c>
      <c r="H30" s="94">
        <f t="shared" si="1"/>
        <v>4.3538933937356659E-2</v>
      </c>
      <c r="J30" s="95">
        <f>'Ridership-25'!B22/'Revenue Hours-25'!B22</f>
        <v>12.903471027599291</v>
      </c>
      <c r="K30" s="207">
        <f>'Ridership-25'!C22/'Revenue Hours-25'!I22</f>
        <v>7.8216167510040826</v>
      </c>
      <c r="L30" s="207">
        <f>'Ridership-25'!D22/'Revenue Hours-25'!J22</f>
        <v>8.8817225863249529</v>
      </c>
      <c r="M30" s="207">
        <f>'Ridership-25'!E22/'Revenue Hours-25'!K22</f>
        <v>9.7390196531791915</v>
      </c>
      <c r="N30" s="97">
        <f t="shared" si="2"/>
        <v>0.99278724982653765</v>
      </c>
      <c r="O30" s="98">
        <f t="shared" si="3"/>
        <v>4.3224898484047626E-2</v>
      </c>
      <c r="P30" s="99">
        <f t="shared" si="4"/>
        <v>4.0632736733399601E-2</v>
      </c>
      <c r="Q30" s="95">
        <f>'Ridership-25'!B22/'Revenue Miles-25'!B22</f>
        <v>1.2587048387152435</v>
      </c>
      <c r="R30" s="207">
        <f>'Ridership-25'!C22/'Revenue Miles-25'!I22</f>
        <v>0.78433143162528551</v>
      </c>
      <c r="S30" s="207">
        <f>'Ridership-25'!D22/'Revenue Miles-25'!J22</f>
        <v>0.87157122671755427</v>
      </c>
      <c r="T30" s="207">
        <f>'Ridership-25'!E22/'Revenue Miles-25'!K22</f>
        <v>0.95474957839955032</v>
      </c>
      <c r="U30" s="97">
        <f t="shared" si="5"/>
        <v>0.99791433128261009</v>
      </c>
      <c r="V30" s="98">
        <f t="shared" si="6"/>
        <v>4.3448126144855007E-2</v>
      </c>
      <c r="W30" s="99">
        <f t="shared" si="7"/>
        <v>4.0905378670227005E-2</v>
      </c>
      <c r="X30" s="95">
        <f>'Op Cost-25'!B23/'Revenue Hours-25'!B22</f>
        <v>70.784446046283321</v>
      </c>
      <c r="Y30" s="96">
        <f>'Op Cost-25'!C23/'Revenue Hours-25'!C22</f>
        <v>115.12446224595757</v>
      </c>
      <c r="Z30" s="96">
        <f>'Op Cost-25'!D23/'Revenue Hours-25'!D22</f>
        <v>128.33355179497212</v>
      </c>
      <c r="AA30" s="96">
        <f>'Op Cost-25'!E23/'Revenue Hours-25'!E22</f>
        <v>109.8271676300578</v>
      </c>
      <c r="AB30" s="97">
        <f t="shared" si="8"/>
        <v>1.1212511733586463</v>
      </c>
      <c r="AC30" s="98">
        <f t="shared" si="9"/>
        <v>3.883066967674885E-2</v>
      </c>
      <c r="AD30" s="99">
        <f t="shared" si="10"/>
        <v>4.1429036372083443E-2</v>
      </c>
      <c r="AE30" s="95">
        <f>'Op Cost-25'!B23/'Revenue Miles-25'!B22</f>
        <v>6.9048649432129956</v>
      </c>
      <c r="AF30" s="96">
        <f>'Op Cost-25'!C23/'Revenue Miles-25'!C22</f>
        <v>11.544382339734495</v>
      </c>
      <c r="AG30" s="96">
        <f>'Op Cost-25'!D23/'Revenue Miles-25'!D22</f>
        <v>12.593483986899244</v>
      </c>
      <c r="AH30" s="96">
        <f>'Op Cost-25'!E23/'Revenue Miles-25'!E22</f>
        <v>10.766734817850473</v>
      </c>
      <c r="AI30" s="97">
        <f t="shared" si="11"/>
        <v>1.1272229978943926</v>
      </c>
      <c r="AJ30" s="98">
        <f t="shared" si="12"/>
        <v>3.8624951778561692E-2</v>
      </c>
      <c r="AK30" s="99">
        <f t="shared" si="13"/>
        <v>4.1107146630669819E-2</v>
      </c>
      <c r="AL30" s="95">
        <f>'Op Cost-25'!B23/'Ridership-25'!B22</f>
        <v>5.485690315023156</v>
      </c>
      <c r="AM30" s="96">
        <f>'Op Cost-25'!C23/'Ridership-25'!C22</f>
        <v>14.718755202519828</v>
      </c>
      <c r="AN30" s="96">
        <f>'Op Cost-25'!D23/'Ridership-25'!D22</f>
        <v>14.449173631313958</v>
      </c>
      <c r="AO30" s="96">
        <f>'Op Cost-25'!E23/'Ridership-25'!E22</f>
        <v>11.277024951295379</v>
      </c>
      <c r="AP30" s="97">
        <f t="shared" si="14"/>
        <v>1.1311670338589401</v>
      </c>
      <c r="AQ30" s="98">
        <f t="shared" si="15"/>
        <v>3.8490278300301044E-2</v>
      </c>
      <c r="AR30" s="99">
        <f t="shared" si="16"/>
        <v>4.1802921424380614E-2</v>
      </c>
      <c r="AT30" s="101">
        <f t="shared" si="29"/>
        <v>0</v>
      </c>
      <c r="AU30" s="102">
        <f t="shared" si="17"/>
        <v>0</v>
      </c>
      <c r="AV30" s="102">
        <f t="shared" si="18"/>
        <v>0</v>
      </c>
      <c r="AW30" s="102">
        <f t="shared" si="19"/>
        <v>0</v>
      </c>
      <c r="AX30" s="103">
        <f t="shared" si="20"/>
        <v>0</v>
      </c>
      <c r="AY30" s="293">
        <f t="shared" si="30"/>
        <v>-1</v>
      </c>
      <c r="AZ30" s="105">
        <f t="shared" si="21"/>
        <v>0</v>
      </c>
      <c r="BA30" s="106">
        <f t="shared" si="21"/>
        <v>0</v>
      </c>
      <c r="BB30" s="106">
        <f t="shared" si="21"/>
        <v>0</v>
      </c>
      <c r="BC30" s="106">
        <f t="shared" si="21"/>
        <v>0</v>
      </c>
      <c r="BD30" s="106">
        <f t="shared" si="21"/>
        <v>0</v>
      </c>
      <c r="BE30" s="107">
        <f t="shared" si="31"/>
        <v>5322221.0735619664</v>
      </c>
      <c r="BG30" s="108">
        <f>'Op Cost-25'!E23</f>
        <v>23750125</v>
      </c>
      <c r="BH30" s="109">
        <f t="shared" si="22"/>
        <v>0.22409233945345408</v>
      </c>
      <c r="BI30" s="110">
        <f t="shared" si="23"/>
        <v>5322221.0735619664</v>
      </c>
      <c r="BJ30" s="111">
        <f t="shared" si="24"/>
        <v>0</v>
      </c>
      <c r="BK30" s="1">
        <f t="shared" si="32"/>
        <v>1.1394046888170006</v>
      </c>
      <c r="BL30" s="294">
        <f t="shared" si="33"/>
        <v>1.0090922922875845</v>
      </c>
      <c r="BM30" s="294">
        <f t="shared" si="34"/>
        <v>1.4281611204696791</v>
      </c>
      <c r="BN30" s="295">
        <f t="shared" si="35"/>
        <v>1.0601826712553695</v>
      </c>
      <c r="BO30" s="114">
        <f t="shared" si="25"/>
        <v>5322221.0735619664</v>
      </c>
      <c r="BP30" s="296">
        <f t="shared" si="36"/>
        <v>1.1394046888170006</v>
      </c>
      <c r="BQ30" s="116">
        <f t="shared" si="37"/>
        <v>4.9608465474317812E-2</v>
      </c>
      <c r="BR30" s="297">
        <f t="shared" si="38"/>
        <v>4.9608465474317812E-2</v>
      </c>
      <c r="BS30" s="302">
        <f t="shared" si="39"/>
        <v>5.1659901043177754E-2</v>
      </c>
      <c r="BT30" s="298">
        <f t="shared" si="40"/>
        <v>5768514.2952456996</v>
      </c>
      <c r="BU30" s="119">
        <f t="shared" si="41"/>
        <v>7125037.5</v>
      </c>
      <c r="BV30" s="119">
        <f t="shared" si="42"/>
        <v>5768514.2952456996</v>
      </c>
      <c r="BW30" s="119">
        <f t="shared" si="43"/>
        <v>0</v>
      </c>
      <c r="BX30" s="120">
        <f t="shared" si="44"/>
        <v>4.9608465474317812E-2</v>
      </c>
      <c r="BY30" s="121">
        <f t="shared" si="45"/>
        <v>9.0716663112052259E-2</v>
      </c>
      <c r="BZ30" s="299">
        <f t="shared" si="46"/>
        <v>5840554.7476211106</v>
      </c>
      <c r="CA30" s="109">
        <f t="shared" si="26"/>
        <v>4.8359575796877788E-2</v>
      </c>
      <c r="CB30" s="123">
        <f t="shared" si="57"/>
        <v>417781.49872196635</v>
      </c>
      <c r="CC30" s="111">
        <f t="shared" si="56"/>
        <v>5740003</v>
      </c>
      <c r="CE30" s="124">
        <f t="shared" si="28"/>
        <v>0</v>
      </c>
      <c r="CF30" s="17"/>
      <c r="CG30" s="108">
        <f t="shared" si="47"/>
        <v>23750125</v>
      </c>
      <c r="CH30" s="125">
        <f t="shared" si="48"/>
        <v>0.2416830648259746</v>
      </c>
      <c r="CI30" s="110">
        <f t="shared" si="49"/>
        <v>5768514.2952456996</v>
      </c>
      <c r="CJ30" s="300">
        <f t="shared" si="50"/>
        <v>0</v>
      </c>
      <c r="CL30" s="127">
        <f t="shared" si="51"/>
        <v>5768514.2952456996</v>
      </c>
      <c r="CM30" s="128">
        <f t="shared" si="52"/>
        <v>6.7078334250629923E-2</v>
      </c>
      <c r="CN30" s="129">
        <f t="shared" si="53"/>
        <v>53268.643027968814</v>
      </c>
      <c r="CO30" s="130">
        <f t="shared" si="55"/>
        <v>5821783</v>
      </c>
      <c r="CQ30" s="131">
        <f t="shared" si="54"/>
        <v>0.2459168003377292</v>
      </c>
      <c r="CR30" s="301"/>
    </row>
    <row r="31" spans="1:96">
      <c r="A31" s="133" t="s">
        <v>104</v>
      </c>
      <c r="B31" s="90" t="s">
        <v>107</v>
      </c>
      <c r="C31" s="208">
        <f>'Op Cost-25'!E24</f>
        <v>32028446</v>
      </c>
      <c r="D31" s="92">
        <f>'Ridership-25'!$E23</f>
        <v>4580046</v>
      </c>
      <c r="E31" s="92">
        <f>'Revenue Hours-25'!$E23</f>
        <v>310607</v>
      </c>
      <c r="F31" s="92">
        <f>'Revenue Miles-25'!$E23</f>
        <v>3036654</v>
      </c>
      <c r="G31" s="134">
        <f t="shared" si="0"/>
        <v>7.2357252900407218E-2</v>
      </c>
      <c r="H31" s="94">
        <f t="shared" si="1"/>
        <v>7.2357252900407232E-2</v>
      </c>
      <c r="J31" s="95">
        <f>'Ridership-25'!B23/'Revenue Hours-25'!B23</f>
        <v>15.892603773584906</v>
      </c>
      <c r="K31" s="207">
        <f>'Ridership-25'!C23/'Revenue Hours-25'!I23</f>
        <v>7.2218469159098948</v>
      </c>
      <c r="L31" s="207">
        <f>'Ridership-25'!D23/'Revenue Hours-25'!J23</f>
        <v>11.021126607734487</v>
      </c>
      <c r="M31" s="207">
        <f>'Ridership-25'!E23/'Revenue Hours-25'!K23</f>
        <v>14.745469355165852</v>
      </c>
      <c r="N31" s="97">
        <f t="shared" si="2"/>
        <v>1.0626677883283782</v>
      </c>
      <c r="O31" s="98">
        <f t="shared" si="3"/>
        <v>7.6891721909192884E-2</v>
      </c>
      <c r="P31" s="99">
        <f t="shared" si="4"/>
        <v>7.2280588338849552E-2</v>
      </c>
      <c r="Q31" s="95">
        <f>'Ridership-25'!B23/'Revenue Miles-25'!B23</f>
        <v>1.6926824335930128</v>
      </c>
      <c r="R31" s="207">
        <f>'Ridership-25'!C23/'Revenue Miles-25'!I23</f>
        <v>0.80452628182287345</v>
      </c>
      <c r="S31" s="207">
        <f>'Ridership-25'!D23/'Revenue Miles-25'!J23</f>
        <v>1.2173072182855937</v>
      </c>
      <c r="T31" s="207">
        <f>'Ridership-25'!E23/'Revenue Miles-25'!K23</f>
        <v>1.5082541507857004</v>
      </c>
      <c r="U31" s="97">
        <f t="shared" si="5"/>
        <v>1.0498988916910428</v>
      </c>
      <c r="V31" s="98">
        <f t="shared" si="6"/>
        <v>7.5967799625946048E-2</v>
      </c>
      <c r="W31" s="99">
        <f t="shared" si="7"/>
        <v>7.152187875911957E-2</v>
      </c>
      <c r="X31" s="95">
        <f>'Op Cost-25'!B24/'Revenue Hours-25'!B23</f>
        <v>83.128810327706063</v>
      </c>
      <c r="Y31" s="96">
        <f>'Op Cost-25'!C24/'Revenue Hours-25'!C23</f>
        <v>113.69054841372804</v>
      </c>
      <c r="Z31" s="96">
        <f>'Op Cost-25'!D24/'Revenue Hours-25'!D23</f>
        <v>98.632543150219192</v>
      </c>
      <c r="AA31" s="96">
        <f>'Op Cost-25'!E24/'Revenue Hours-25'!E23</f>
        <v>103.11566062580688</v>
      </c>
      <c r="AB31" s="97">
        <f t="shared" si="8"/>
        <v>1.0363020583866838</v>
      </c>
      <c r="AC31" s="98">
        <f t="shared" si="9"/>
        <v>6.9822550592105445E-2</v>
      </c>
      <c r="AD31" s="99">
        <f t="shared" si="10"/>
        <v>7.4494748922758383E-2</v>
      </c>
      <c r="AE31" s="95">
        <f>'Op Cost-25'!B24/'Revenue Miles-25'!B23</f>
        <v>8.8538466680374093</v>
      </c>
      <c r="AF31" s="96">
        <f>'Op Cost-25'!C24/'Revenue Miles-25'!C23</f>
        <v>12.665324432756394</v>
      </c>
      <c r="AG31" s="96">
        <f>'Op Cost-25'!D24/'Revenue Miles-25'!D23</f>
        <v>10.894177247756708</v>
      </c>
      <c r="AH31" s="96">
        <f>'Op Cost-25'!E24/'Revenue Miles-25'!E23</f>
        <v>10.547281975490128</v>
      </c>
      <c r="AI31" s="97">
        <f t="shared" si="11"/>
        <v>1.0241555778199913</v>
      </c>
      <c r="AJ31" s="98">
        <f t="shared" si="12"/>
        <v>7.0650645729456701E-2</v>
      </c>
      <c r="AK31" s="99">
        <f t="shared" si="13"/>
        <v>7.5190940566151068E-2</v>
      </c>
      <c r="AL31" s="95">
        <f>'Op Cost-25'!B24/'Ridership-25'!B23</f>
        <v>5.2306602185523836</v>
      </c>
      <c r="AM31" s="96">
        <f>'Op Cost-25'!C24/'Ridership-25'!C23</f>
        <v>15.742586313102974</v>
      </c>
      <c r="AN31" s="96">
        <f>'Op Cost-25'!D24/'Ridership-25'!D23</f>
        <v>8.9494065952386492</v>
      </c>
      <c r="AO31" s="96">
        <f>'Op Cost-25'!E24/'Ridership-25'!E23</f>
        <v>6.9930402445739626</v>
      </c>
      <c r="AP31" s="97">
        <f t="shared" si="14"/>
        <v>1.0002872892817887</v>
      </c>
      <c r="AQ31" s="98">
        <f t="shared" si="15"/>
        <v>7.2336471407489444E-2</v>
      </c>
      <c r="AR31" s="99">
        <f t="shared" si="16"/>
        <v>7.8562067199721586E-2</v>
      </c>
      <c r="AT31" s="101">
        <f t="shared" si="29"/>
        <v>0</v>
      </c>
      <c r="AU31" s="102">
        <f t="shared" si="17"/>
        <v>0</v>
      </c>
      <c r="AV31" s="102">
        <f t="shared" si="18"/>
        <v>0</v>
      </c>
      <c r="AW31" s="102">
        <f t="shared" si="19"/>
        <v>0</v>
      </c>
      <c r="AX31" s="103">
        <f t="shared" si="20"/>
        <v>0</v>
      </c>
      <c r="AY31" s="293">
        <f t="shared" si="30"/>
        <v>-1</v>
      </c>
      <c r="AZ31" s="105">
        <f t="shared" si="21"/>
        <v>0</v>
      </c>
      <c r="BA31" s="106">
        <f t="shared" si="21"/>
        <v>0</v>
      </c>
      <c r="BB31" s="106">
        <f t="shared" si="21"/>
        <v>0</v>
      </c>
      <c r="BC31" s="106">
        <f t="shared" si="21"/>
        <v>0</v>
      </c>
      <c r="BD31" s="106">
        <f t="shared" si="21"/>
        <v>0</v>
      </c>
      <c r="BE31" s="107">
        <f t="shared" si="31"/>
        <v>8844986.8057329934</v>
      </c>
      <c r="BG31" s="108">
        <f>'Op Cost-25'!E24</f>
        <v>32028446</v>
      </c>
      <c r="BH31" s="109">
        <f t="shared" si="22"/>
        <v>0.27616034838945958</v>
      </c>
      <c r="BI31" s="110">
        <f t="shared" si="23"/>
        <v>8844986.8057329934</v>
      </c>
      <c r="BJ31" s="111">
        <f t="shared" si="24"/>
        <v>0</v>
      </c>
      <c r="BK31" s="1">
        <f t="shared" si="32"/>
        <v>1.4891327757088955</v>
      </c>
      <c r="BL31" s="294">
        <f t="shared" si="33"/>
        <v>1.215861405442985</v>
      </c>
      <c r="BM31" s="294">
        <f t="shared" si="34"/>
        <v>1.8764312502052896</v>
      </c>
      <c r="BN31" s="295">
        <f t="shared" si="35"/>
        <v>1.4321192235936533</v>
      </c>
      <c r="BO31" s="114">
        <f t="shared" si="25"/>
        <v>8844986.8057329934</v>
      </c>
      <c r="BP31" s="296">
        <f t="shared" si="36"/>
        <v>1.4891327757088955</v>
      </c>
      <c r="BQ31" s="116">
        <f t="shared" si="37"/>
        <v>0.10774955685425394</v>
      </c>
      <c r="BR31" s="297">
        <f t="shared" si="38"/>
        <v>0.10774955685425394</v>
      </c>
      <c r="BS31" s="302">
        <f t="shared" si="39"/>
        <v>0.1122052736627923</v>
      </c>
      <c r="BT31" s="298">
        <f t="shared" si="40"/>
        <v>9814335.4119376056</v>
      </c>
      <c r="BU31" s="119">
        <f t="shared" si="41"/>
        <v>9608533.7999999989</v>
      </c>
      <c r="BV31" s="119">
        <f t="shared" si="42"/>
        <v>9608533.7999999989</v>
      </c>
      <c r="BW31" s="119">
        <f t="shared" si="43"/>
        <v>205801.61193760671</v>
      </c>
      <c r="BX31" s="120">
        <f t="shared" si="44"/>
        <v>0</v>
      </c>
      <c r="BY31" s="121">
        <f t="shared" si="45"/>
        <v>0</v>
      </c>
      <c r="BZ31" s="299">
        <f t="shared" si="46"/>
        <v>9608533.7999999989</v>
      </c>
      <c r="CA31" s="109">
        <f t="shared" si="26"/>
        <v>8.0368666378594869E-2</v>
      </c>
      <c r="CB31" s="123">
        <f t="shared" si="57"/>
        <v>694310.09963703726</v>
      </c>
      <c r="CC31" s="111">
        <f t="shared" si="56"/>
        <v>9539297</v>
      </c>
      <c r="CE31" s="124">
        <f t="shared" si="28"/>
        <v>0</v>
      </c>
      <c r="CF31" s="17"/>
      <c r="CG31" s="108">
        <f t="shared" si="47"/>
        <v>32028446</v>
      </c>
      <c r="CH31" s="125">
        <f t="shared" si="48"/>
        <v>0.29783827164140275</v>
      </c>
      <c r="CI31" s="110">
        <f t="shared" si="49"/>
        <v>9608533.7999999989</v>
      </c>
      <c r="CJ31" s="300">
        <f t="shared" si="50"/>
        <v>205801.61193760671</v>
      </c>
      <c r="CL31" s="127">
        <f t="shared" si="51"/>
        <v>0</v>
      </c>
      <c r="CM31" s="128">
        <f t="shared" si="52"/>
        <v>0</v>
      </c>
      <c r="CN31" s="129">
        <f t="shared" si="53"/>
        <v>0</v>
      </c>
      <c r="CO31" s="130">
        <f t="shared" si="55"/>
        <v>9608534</v>
      </c>
      <c r="CQ31" s="131">
        <f t="shared" si="54"/>
        <v>0.3</v>
      </c>
      <c r="CR31" s="301"/>
    </row>
    <row r="32" spans="1:96">
      <c r="A32" s="133" t="s">
        <v>104</v>
      </c>
      <c r="B32" s="90" t="s">
        <v>108</v>
      </c>
      <c r="C32" s="208">
        <f>'Op Cost-25'!E25</f>
        <v>5328325</v>
      </c>
      <c r="D32" s="92">
        <f>'Ridership-25'!$E24</f>
        <v>847511</v>
      </c>
      <c r="E32" s="92">
        <f>'Revenue Hours-25'!$E24</f>
        <v>34638</v>
      </c>
      <c r="F32" s="92">
        <f>'Revenue Miles-25'!$E24</f>
        <v>439291</v>
      </c>
      <c r="G32" s="134">
        <f t="shared" si="0"/>
        <v>1.1943814141336426E-2</v>
      </c>
      <c r="H32" s="94">
        <f t="shared" si="1"/>
        <v>1.1943814141336429E-2</v>
      </c>
      <c r="J32" s="95">
        <f>'Ridership-25'!B24/'Revenue Hours-25'!B24</f>
        <v>17.559390774078722</v>
      </c>
      <c r="K32" s="207">
        <f>'Ridership-25'!C24/'Revenue Hours-25'!I24</f>
        <v>9.5356184364060681</v>
      </c>
      <c r="L32" s="207">
        <f>'Ridership-25'!D24/'Revenue Hours-25'!J24</f>
        <v>13.465131541402728</v>
      </c>
      <c r="M32" s="207">
        <f>'Ridership-25'!E24/'Revenue Hours-25'!K24</f>
        <v>24.467665569605636</v>
      </c>
      <c r="N32" s="97">
        <f t="shared" si="2"/>
        <v>1.2242812771624043</v>
      </c>
      <c r="O32" s="98">
        <f t="shared" si="3"/>
        <v>1.462258803114575E-2</v>
      </c>
      <c r="P32" s="99">
        <f t="shared" si="4"/>
        <v>1.3745683406284494E-2</v>
      </c>
      <c r="Q32" s="95">
        <f>'Ridership-25'!B24/'Revenue Miles-25'!B24</f>
        <v>1.3807895890071515</v>
      </c>
      <c r="R32" s="207">
        <f>'Ridership-25'!C24/'Revenue Miles-25'!I24</f>
        <v>0.74451206457520036</v>
      </c>
      <c r="S32" s="207">
        <f>'Ridership-25'!D24/'Revenue Miles-25'!J24</f>
        <v>1.0865963144527517</v>
      </c>
      <c r="T32" s="207">
        <f>'Ridership-25'!E24/'Revenue Miles-25'!K24</f>
        <v>1.9292701193514095</v>
      </c>
      <c r="U32" s="97">
        <f t="shared" si="5"/>
        <v>1.2259407232504442</v>
      </c>
      <c r="V32" s="98">
        <f t="shared" si="6"/>
        <v>1.4642408146798866E-2</v>
      </c>
      <c r="W32" s="99">
        <f t="shared" si="7"/>
        <v>1.3785479444888572E-2</v>
      </c>
      <c r="X32" s="95">
        <f>'Op Cost-25'!B25/'Revenue Hours-25'!B24</f>
        <v>115.9866367111137</v>
      </c>
      <c r="Y32" s="96">
        <f>'Op Cost-25'!C25/'Revenue Hours-25'!C24</f>
        <v>133.20037922987166</v>
      </c>
      <c r="Z32" s="96">
        <f>'Op Cost-25'!D25/'Revenue Hours-25'!D24</f>
        <v>152.54685270786965</v>
      </c>
      <c r="AA32" s="96">
        <f>'Op Cost-25'!E25/'Revenue Hours-25'!E24</f>
        <v>153.82888734915412</v>
      </c>
      <c r="AB32" s="97">
        <f t="shared" si="8"/>
        <v>1.0555488667259996</v>
      </c>
      <c r="AC32" s="98">
        <f t="shared" si="9"/>
        <v>1.1315264046829598E-2</v>
      </c>
      <c r="AD32" s="99">
        <f t="shared" si="10"/>
        <v>1.2072428563768226E-2</v>
      </c>
      <c r="AE32" s="95">
        <f>'Op Cost-25'!B25/'Revenue Miles-25'!B24</f>
        <v>9.1206547251673182</v>
      </c>
      <c r="AF32" s="96">
        <f>'Op Cost-25'!C25/'Revenue Miles-25'!C24</f>
        <v>10.399880196968939</v>
      </c>
      <c r="AG32" s="96">
        <f>'Op Cost-25'!D25/'Revenue Miles-25'!D24</f>
        <v>12.310080107577638</v>
      </c>
      <c r="AH32" s="96">
        <f>'Op Cost-25'!E25/'Revenue Miles-25'!E24</f>
        <v>12.129374378259513</v>
      </c>
      <c r="AI32" s="97">
        <f t="shared" si="11"/>
        <v>1.0624696456281881</v>
      </c>
      <c r="AJ32" s="98">
        <f t="shared" si="12"/>
        <v>1.1241557996957755E-2</v>
      </c>
      <c r="AK32" s="99">
        <f t="shared" si="13"/>
        <v>1.1963985756860128E-2</v>
      </c>
      <c r="AL32" s="95">
        <f>'Op Cost-25'!B25/'Ridership-25'!B24</f>
        <v>6.6053907110680559</v>
      </c>
      <c r="AM32" s="96">
        <f>'Op Cost-25'!C25/'Ridership-25'!C24</f>
        <v>13.968719503427852</v>
      </c>
      <c r="AN32" s="96">
        <f>'Op Cost-25'!D25/'Ridership-25'!D24</f>
        <v>11.329028033541075</v>
      </c>
      <c r="AO32" s="96">
        <f>'Op Cost-25'!E25/'Ridership-25'!E24</f>
        <v>6.2870275430053413</v>
      </c>
      <c r="AP32" s="100">
        <f t="shared" si="14"/>
        <v>0.88176517012639621</v>
      </c>
      <c r="AQ32" s="98">
        <f t="shared" si="15"/>
        <v>1.3545345797253874E-2</v>
      </c>
      <c r="AR32" s="99">
        <f t="shared" si="16"/>
        <v>1.4711118002600651E-2</v>
      </c>
      <c r="AT32" s="101">
        <f t="shared" si="29"/>
        <v>0</v>
      </c>
      <c r="AU32" s="102">
        <f t="shared" si="17"/>
        <v>0</v>
      </c>
      <c r="AV32" s="102">
        <f t="shared" si="18"/>
        <v>0</v>
      </c>
      <c r="AW32" s="102">
        <f t="shared" si="19"/>
        <v>0</v>
      </c>
      <c r="AX32" s="103">
        <f t="shared" si="20"/>
        <v>0</v>
      </c>
      <c r="AY32" s="293">
        <f t="shared" si="30"/>
        <v>-1</v>
      </c>
      <c r="AZ32" s="105">
        <f t="shared" si="21"/>
        <v>0</v>
      </c>
      <c r="BA32" s="106">
        <f t="shared" si="21"/>
        <v>0</v>
      </c>
      <c r="BB32" s="106">
        <f t="shared" si="21"/>
        <v>0</v>
      </c>
      <c r="BC32" s="106">
        <f t="shared" si="21"/>
        <v>0</v>
      </c>
      <c r="BD32" s="106">
        <f t="shared" si="21"/>
        <v>0</v>
      </c>
      <c r="BE32" s="107">
        <f t="shared" si="31"/>
        <v>1460017.8179187521</v>
      </c>
      <c r="BG32" s="108">
        <f>'Op Cost-25'!E25</f>
        <v>5328325</v>
      </c>
      <c r="BH32" s="109">
        <f t="shared" si="22"/>
        <v>0.27401065398952806</v>
      </c>
      <c r="BI32" s="110">
        <f t="shared" si="23"/>
        <v>1460017.8179187521</v>
      </c>
      <c r="BJ32" s="111">
        <f t="shared" si="24"/>
        <v>0</v>
      </c>
      <c r="BK32" s="1">
        <f t="shared" si="32"/>
        <v>1.6334725798386767</v>
      </c>
      <c r="BL32" s="294">
        <f t="shared" si="33"/>
        <v>1.7205639161822599</v>
      </c>
      <c r="BM32" s="294">
        <f t="shared" si="34"/>
        <v>1.9546971648033509</v>
      </c>
      <c r="BN32" s="295">
        <f t="shared" si="35"/>
        <v>1.4293146191845478</v>
      </c>
      <c r="BO32" s="114">
        <f t="shared" si="25"/>
        <v>1460017.8179187521</v>
      </c>
      <c r="BP32" s="296">
        <f t="shared" si="36"/>
        <v>1.6334725798386767</v>
      </c>
      <c r="BQ32" s="116">
        <f t="shared" si="37"/>
        <v>1.9509892898562486E-2</v>
      </c>
      <c r="BR32" s="297">
        <f t="shared" si="38"/>
        <v>1.9509892898562486E-2</v>
      </c>
      <c r="BS32" s="117">
        <f t="shared" si="39"/>
        <v>2.0316676334697574E-2</v>
      </c>
      <c r="BT32" s="298">
        <f t="shared" si="40"/>
        <v>1635534.8969727636</v>
      </c>
      <c r="BU32" s="119">
        <f t="shared" si="41"/>
        <v>1598497.5</v>
      </c>
      <c r="BV32" s="119">
        <f t="shared" si="42"/>
        <v>1598497.5</v>
      </c>
      <c r="BW32" s="119">
        <f t="shared" si="43"/>
        <v>37037.396972763585</v>
      </c>
      <c r="BX32" s="120">
        <f t="shared" si="44"/>
        <v>0</v>
      </c>
      <c r="BY32" s="121">
        <f t="shared" si="45"/>
        <v>0</v>
      </c>
      <c r="BZ32" s="299">
        <f t="shared" si="46"/>
        <v>1598497.5</v>
      </c>
      <c r="CA32" s="109">
        <f t="shared" si="26"/>
        <v>1.3266236286419444E-2</v>
      </c>
      <c r="CB32" s="123">
        <f t="shared" si="57"/>
        <v>114607.87210829668</v>
      </c>
      <c r="CC32" s="111">
        <f t="shared" si="56"/>
        <v>1574626</v>
      </c>
      <c r="CE32" s="124">
        <f t="shared" si="28"/>
        <v>0</v>
      </c>
      <c r="CF32" s="17"/>
      <c r="CG32" s="108">
        <f t="shared" si="47"/>
        <v>5328325</v>
      </c>
      <c r="CH32" s="125">
        <f t="shared" si="48"/>
        <v>0.29551988664355122</v>
      </c>
      <c r="CI32" s="110">
        <f t="shared" si="49"/>
        <v>1598497.5</v>
      </c>
      <c r="CJ32" s="300">
        <f t="shared" si="50"/>
        <v>37037.396972763585</v>
      </c>
      <c r="CL32" s="127">
        <f t="shared" si="51"/>
        <v>0</v>
      </c>
      <c r="CM32" s="128">
        <f t="shared" si="52"/>
        <v>0</v>
      </c>
      <c r="CN32" s="129">
        <f t="shared" si="53"/>
        <v>0</v>
      </c>
      <c r="CO32" s="130">
        <f t="shared" si="55"/>
        <v>1598498</v>
      </c>
      <c r="CQ32" s="131">
        <f t="shared" si="54"/>
        <v>0.3</v>
      </c>
      <c r="CR32" s="301"/>
    </row>
    <row r="33" spans="1:96">
      <c r="A33" s="133" t="s">
        <v>104</v>
      </c>
      <c r="B33" s="90" t="s">
        <v>109</v>
      </c>
      <c r="C33" s="208">
        <f>'Op Cost-25'!E26</f>
        <v>108453691</v>
      </c>
      <c r="D33" s="92">
        <f>'Ridership-25'!$E25</f>
        <v>8365287</v>
      </c>
      <c r="E33" s="92">
        <f>'Revenue Hours-25'!$E25</f>
        <v>848788</v>
      </c>
      <c r="F33" s="92">
        <f>'Revenue Miles-25'!$E25</f>
        <v>11068404</v>
      </c>
      <c r="G33" s="134">
        <f t="shared" si="0"/>
        <v>0.18727717717678311</v>
      </c>
      <c r="H33" s="94">
        <f t="shared" si="1"/>
        <v>0.18727717717678313</v>
      </c>
      <c r="J33" s="95">
        <f>'Ridership-25'!B25/'Revenue Hours-25'!B25</f>
        <v>10.935817531005453</v>
      </c>
      <c r="K33" s="207">
        <f>'Ridership-25'!C25/'Revenue Hours-25'!I25</f>
        <v>5.8893423328487904</v>
      </c>
      <c r="L33" s="207">
        <f>'Ridership-25'!D25/'Revenue Hours-25'!J25</f>
        <v>6.1772085175648597</v>
      </c>
      <c r="M33" s="207">
        <f>'Ridership-25'!E25/'Revenue Hours-25'!K25</f>
        <v>9.8555669967058908</v>
      </c>
      <c r="N33" s="97">
        <f t="shared" si="2"/>
        <v>1.0655946905126179</v>
      </c>
      <c r="O33" s="98">
        <f t="shared" si="3"/>
        <v>0.19956156565377092</v>
      </c>
      <c r="P33" s="99">
        <f t="shared" si="4"/>
        <v>0.18759402204975179</v>
      </c>
      <c r="Q33" s="95">
        <f>'Ridership-25'!B25/'Revenue Miles-25'!B25</f>
        <v>0.82322383518472986</v>
      </c>
      <c r="R33" s="207">
        <f>'Ridership-25'!C25/'Revenue Miles-25'!I25</f>
        <v>0.45809445888874789</v>
      </c>
      <c r="S33" s="207">
        <f>'Ridership-25'!D25/'Revenue Miles-25'!J25</f>
        <v>0.47819886223375052</v>
      </c>
      <c r="T33" s="207">
        <f>'Ridership-25'!E25/'Revenue Miles-25'!K25</f>
        <v>0.7557807792342961</v>
      </c>
      <c r="U33" s="97">
        <f t="shared" si="5"/>
        <v>1.0725193262827102</v>
      </c>
      <c r="V33" s="98">
        <f t="shared" si="6"/>
        <v>0.20085839189377119</v>
      </c>
      <c r="W33" s="99">
        <f t="shared" si="7"/>
        <v>0.18910340464661216</v>
      </c>
      <c r="X33" s="95">
        <f>'Op Cost-25'!B26/'Revenue Hours-25'!B25</f>
        <v>111.12397982480542</v>
      </c>
      <c r="Y33" s="96">
        <f>'Op Cost-25'!C26/'Revenue Hours-25'!C25</f>
        <v>123.96447205256577</v>
      </c>
      <c r="Z33" s="96">
        <f>'Op Cost-25'!D26/'Revenue Hours-25'!D25</f>
        <v>123.17011468072208</v>
      </c>
      <c r="AA33" s="96">
        <f>'Op Cost-25'!E26/'Revenue Hours-25'!E25</f>
        <v>127.77476943594867</v>
      </c>
      <c r="AB33" s="97">
        <f t="shared" si="8"/>
        <v>1.0065131598163113</v>
      </c>
      <c r="AC33" s="98">
        <f t="shared" si="9"/>
        <v>0.18606530411481279</v>
      </c>
      <c r="AD33" s="99">
        <f t="shared" si="10"/>
        <v>0.19851592351936875</v>
      </c>
      <c r="AE33" s="95">
        <f>'Op Cost-25'!B26/'Revenue Miles-25'!B25</f>
        <v>8.3651641583266318</v>
      </c>
      <c r="AF33" s="96">
        <f>'Op Cost-25'!C26/'Revenue Miles-25'!C25</f>
        <v>9.6003592943580749</v>
      </c>
      <c r="AG33" s="96">
        <f>'Op Cost-25'!D26/'Revenue Miles-25'!D25</f>
        <v>9.4889394391510358</v>
      </c>
      <c r="AH33" s="96">
        <f>'Op Cost-25'!E26/'Revenue Miles-25'!E25</f>
        <v>9.7984940737616739</v>
      </c>
      <c r="AI33" s="97">
        <f t="shared" si="11"/>
        <v>1.0148352621303056</v>
      </c>
      <c r="AJ33" s="98">
        <f t="shared" si="12"/>
        <v>0.18453948553547264</v>
      </c>
      <c r="AK33" s="99">
        <f t="shared" si="13"/>
        <v>0.19639873557759371</v>
      </c>
      <c r="AL33" s="95">
        <f>'Op Cost-25'!B26/'Ridership-25'!B25</f>
        <v>10.161469822420175</v>
      </c>
      <c r="AM33" s="96">
        <f>'Op Cost-25'!C26/'Ridership-25'!C25</f>
        <v>21.10561073742015</v>
      </c>
      <c r="AN33" s="96">
        <f>'Op Cost-25'!D26/'Ridership-25'!D25</f>
        <v>19.999257439903197</v>
      </c>
      <c r="AO33" s="96">
        <f>'Op Cost-25'!E26/'Ridership-25'!E25</f>
        <v>12.964730439015423</v>
      </c>
      <c r="AP33" s="97">
        <f t="shared" si="14"/>
        <v>0.97494497637420541</v>
      </c>
      <c r="AQ33" s="98">
        <f t="shared" si="15"/>
        <v>0.19208999657935777</v>
      </c>
      <c r="AR33" s="99">
        <f t="shared" si="16"/>
        <v>0.20862210895870889</v>
      </c>
      <c r="AT33" s="101">
        <f t="shared" si="29"/>
        <v>0</v>
      </c>
      <c r="AU33" s="102">
        <f t="shared" si="17"/>
        <v>0</v>
      </c>
      <c r="AV33" s="102">
        <f t="shared" si="18"/>
        <v>0</v>
      </c>
      <c r="AW33" s="102">
        <f t="shared" si="19"/>
        <v>0</v>
      </c>
      <c r="AX33" s="103">
        <f t="shared" si="20"/>
        <v>0</v>
      </c>
      <c r="AY33" s="293">
        <f t="shared" si="30"/>
        <v>-1</v>
      </c>
      <c r="AZ33" s="105">
        <f t="shared" si="21"/>
        <v>0</v>
      </c>
      <c r="BA33" s="106">
        <f t="shared" si="21"/>
        <v>0</v>
      </c>
      <c r="BB33" s="106">
        <f t="shared" si="21"/>
        <v>0</v>
      </c>
      <c r="BC33" s="106">
        <f t="shared" si="21"/>
        <v>0</v>
      </c>
      <c r="BD33" s="106">
        <f t="shared" si="21"/>
        <v>0</v>
      </c>
      <c r="BE33" s="107">
        <f t="shared" si="31"/>
        <v>22892855.860953286</v>
      </c>
      <c r="BG33" s="108">
        <f>'Op Cost-25'!E26</f>
        <v>108453691</v>
      </c>
      <c r="BH33" s="109">
        <f t="shared" si="22"/>
        <v>0.21108415628706714</v>
      </c>
      <c r="BI33" s="110">
        <f t="shared" si="23"/>
        <v>22892855.860953286</v>
      </c>
      <c r="BJ33" s="111">
        <f t="shared" si="24"/>
        <v>0</v>
      </c>
      <c r="BK33" s="1">
        <f t="shared" si="32"/>
        <v>0.8332117129695743</v>
      </c>
      <c r="BL33" s="294">
        <f t="shared" si="33"/>
        <v>0.81934912817134398</v>
      </c>
      <c r="BM33" s="294">
        <f t="shared" si="34"/>
        <v>0.90656283701335927</v>
      </c>
      <c r="BN33" s="295">
        <f t="shared" si="35"/>
        <v>0.80346744334679698</v>
      </c>
      <c r="BO33" s="114">
        <f t="shared" si="25"/>
        <v>22892855.860953286</v>
      </c>
      <c r="BP33" s="296">
        <f t="shared" si="36"/>
        <v>0.8332117129695743</v>
      </c>
      <c r="BQ33" s="116">
        <f t="shared" si="37"/>
        <v>0.15604153759557393</v>
      </c>
      <c r="BR33" s="297">
        <f t="shared" si="38"/>
        <v>0.15604153759557393</v>
      </c>
      <c r="BS33" s="302">
        <f t="shared" si="39"/>
        <v>0.16249424999823586</v>
      </c>
      <c r="BT33" s="298">
        <f t="shared" si="40"/>
        <v>24296654.181747239</v>
      </c>
      <c r="BU33" s="119">
        <f t="shared" si="41"/>
        <v>32536107.299999997</v>
      </c>
      <c r="BV33" s="119">
        <f t="shared" si="42"/>
        <v>24296654.181747239</v>
      </c>
      <c r="BW33" s="119">
        <f t="shared" si="43"/>
        <v>0</v>
      </c>
      <c r="BX33" s="120">
        <f t="shared" si="44"/>
        <v>0.15604153759557393</v>
      </c>
      <c r="BY33" s="121">
        <f t="shared" si="45"/>
        <v>0.28534580665214537</v>
      </c>
      <c r="BZ33" s="299">
        <f t="shared" si="46"/>
        <v>24523254.679268364</v>
      </c>
      <c r="CA33" s="109">
        <f t="shared" si="26"/>
        <v>0.20801255395312521</v>
      </c>
      <c r="CB33" s="123">
        <f t="shared" si="57"/>
        <v>1797033.8885630022</v>
      </c>
      <c r="CC33" s="111">
        <f>ROUND((CB33+BI33),0)</f>
        <v>24689890</v>
      </c>
      <c r="CE33" s="124">
        <f t="shared" si="28"/>
        <v>0</v>
      </c>
      <c r="CF33" s="17"/>
      <c r="CG33" s="108">
        <f t="shared" si="47"/>
        <v>108453691</v>
      </c>
      <c r="CH33" s="125">
        <f t="shared" si="48"/>
        <v>0.22765375500221566</v>
      </c>
      <c r="CI33" s="110">
        <f t="shared" si="49"/>
        <v>24296654.181747239</v>
      </c>
      <c r="CJ33" s="300">
        <f t="shared" si="50"/>
        <v>0</v>
      </c>
      <c r="CL33" s="127">
        <f t="shared" si="51"/>
        <v>24296654.181747239</v>
      </c>
      <c r="CM33" s="128">
        <f t="shared" si="52"/>
        <v>0.2825301294162415</v>
      </c>
      <c r="CN33" s="129">
        <f t="shared" si="53"/>
        <v>224364.49528229402</v>
      </c>
      <c r="CO33" s="130">
        <f t="shared" si="55"/>
        <v>24521019</v>
      </c>
      <c r="CQ33" s="131">
        <f t="shared" si="54"/>
        <v>0.22611728981421539</v>
      </c>
      <c r="CR33" s="301"/>
    </row>
    <row r="34" spans="1:96">
      <c r="A34" s="133" t="s">
        <v>104</v>
      </c>
      <c r="B34" s="90" t="s">
        <v>110</v>
      </c>
      <c r="C34" s="208"/>
      <c r="D34" s="92">
        <v>0</v>
      </c>
      <c r="E34" s="92">
        <v>0</v>
      </c>
      <c r="F34" s="92">
        <v>0</v>
      </c>
      <c r="G34" s="163">
        <f>$C$4</f>
        <v>0</v>
      </c>
      <c r="H34" s="164">
        <f>$C$4</f>
        <v>0</v>
      </c>
      <c r="J34" s="95">
        <v>0</v>
      </c>
      <c r="K34" s="207">
        <f>'Ridership-25'!C26/'Revenue Hours-25'!I26</f>
        <v>6.8452722063037248</v>
      </c>
      <c r="L34" s="207">
        <f>'Ridership-25'!D26/'Revenue Hours-25'!J26</f>
        <v>11.458428595327051</v>
      </c>
      <c r="M34" s="207">
        <f>'Ridership-25'!E26/'Revenue Hours-25'!K26</f>
        <v>18.573292460478314</v>
      </c>
      <c r="N34" s="97">
        <f t="shared" si="2"/>
        <v>1.2183040414453181</v>
      </c>
      <c r="O34" s="98">
        <f t="shared" si="3"/>
        <v>0</v>
      </c>
      <c r="P34" s="99">
        <f t="shared" si="4"/>
        <v>0</v>
      </c>
      <c r="Q34" s="95">
        <v>0</v>
      </c>
      <c r="R34" s="207">
        <f>'Ridership-25'!C26/'Revenue Miles-25'!I26</f>
        <v>0.21891420471730516</v>
      </c>
      <c r="S34" s="207">
        <f>'Ridership-25'!D26/'Revenue Miles-25'!J26</f>
        <v>0.3739722356317734</v>
      </c>
      <c r="T34" s="207">
        <f>'Ridership-25'!E26/'Revenue Miles-25'!K26</f>
        <v>0.60720848091657109</v>
      </c>
      <c r="U34" s="97">
        <f t="shared" si="5"/>
        <v>1.2382511515453458</v>
      </c>
      <c r="V34" s="98">
        <f t="shared" si="6"/>
        <v>0</v>
      </c>
      <c r="W34" s="99">
        <f t="shared" si="7"/>
        <v>0</v>
      </c>
      <c r="X34" s="95">
        <v>0</v>
      </c>
      <c r="Y34" s="96">
        <v>0</v>
      </c>
      <c r="Z34" s="96">
        <v>0</v>
      </c>
      <c r="AA34" s="96">
        <v>0</v>
      </c>
      <c r="AB34" s="97">
        <f t="shared" si="8"/>
        <v>1</v>
      </c>
      <c r="AC34" s="98">
        <f t="shared" si="9"/>
        <v>0</v>
      </c>
      <c r="AD34" s="99">
        <f t="shared" si="10"/>
        <v>0</v>
      </c>
      <c r="AE34" s="95">
        <v>0</v>
      </c>
      <c r="AF34" s="96">
        <v>0</v>
      </c>
      <c r="AG34" s="96">
        <v>0</v>
      </c>
      <c r="AH34" s="96">
        <v>0</v>
      </c>
      <c r="AI34" s="97">
        <f t="shared" si="11"/>
        <v>1</v>
      </c>
      <c r="AJ34" s="98">
        <f t="shared" si="12"/>
        <v>0</v>
      </c>
      <c r="AK34" s="99">
        <f t="shared" si="13"/>
        <v>0</v>
      </c>
      <c r="AL34" s="95">
        <v>0</v>
      </c>
      <c r="AM34" s="96">
        <v>0</v>
      </c>
      <c r="AN34" s="96">
        <v>0</v>
      </c>
      <c r="AO34" s="96">
        <v>0</v>
      </c>
      <c r="AP34" s="97">
        <f t="shared" si="14"/>
        <v>1</v>
      </c>
      <c r="AQ34" s="98">
        <f t="shared" si="15"/>
        <v>0</v>
      </c>
      <c r="AR34" s="99">
        <f t="shared" si="16"/>
        <v>0</v>
      </c>
      <c r="AT34" s="101">
        <f t="shared" si="29"/>
        <v>0</v>
      </c>
      <c r="AU34" s="102">
        <f t="shared" si="17"/>
        <v>0</v>
      </c>
      <c r="AV34" s="102">
        <f t="shared" si="18"/>
        <v>0</v>
      </c>
      <c r="AW34" s="102">
        <f t="shared" si="19"/>
        <v>0</v>
      </c>
      <c r="AX34" s="103">
        <f t="shared" si="20"/>
        <v>0</v>
      </c>
      <c r="AY34" s="293" t="e">
        <f t="shared" si="30"/>
        <v>#DIV/0!</v>
      </c>
      <c r="AZ34" s="105">
        <f t="shared" si="21"/>
        <v>0</v>
      </c>
      <c r="BA34" s="106">
        <f t="shared" si="21"/>
        <v>0</v>
      </c>
      <c r="BB34" s="106">
        <f t="shared" si="21"/>
        <v>0</v>
      </c>
      <c r="BC34" s="106">
        <f t="shared" si="21"/>
        <v>0</v>
      </c>
      <c r="BD34" s="106">
        <f t="shared" si="21"/>
        <v>0</v>
      </c>
      <c r="BE34" s="107">
        <f t="shared" si="31"/>
        <v>0</v>
      </c>
      <c r="BG34" s="108">
        <v>0</v>
      </c>
      <c r="BH34" s="109">
        <v>0</v>
      </c>
      <c r="BI34" s="110">
        <f t="shared" si="23"/>
        <v>0</v>
      </c>
      <c r="BJ34" s="111">
        <f t="shared" si="24"/>
        <v>0</v>
      </c>
      <c r="BK34" s="1">
        <f t="shared" si="32"/>
        <v>0.48881446714292665</v>
      </c>
      <c r="BL34" s="294">
        <f t="shared" si="33"/>
        <v>1.3332690583889548</v>
      </c>
      <c r="BM34" s="294">
        <f t="shared" si="34"/>
        <v>0.62198881018275165</v>
      </c>
      <c r="BN34" s="295">
        <v>0</v>
      </c>
      <c r="BO34" s="114">
        <f t="shared" si="25"/>
        <v>0</v>
      </c>
      <c r="BP34" s="296">
        <f t="shared" si="36"/>
        <v>0.48881446714292665</v>
      </c>
      <c r="BQ34" s="116">
        <f t="shared" si="37"/>
        <v>0</v>
      </c>
      <c r="BR34" s="297">
        <f t="shared" si="38"/>
        <v>0</v>
      </c>
      <c r="BS34" s="117">
        <f t="shared" si="39"/>
        <v>0</v>
      </c>
      <c r="BT34" s="298">
        <f t="shared" si="40"/>
        <v>0</v>
      </c>
      <c r="BU34" s="119">
        <f t="shared" si="41"/>
        <v>0</v>
      </c>
      <c r="BV34" s="119">
        <f t="shared" si="42"/>
        <v>0</v>
      </c>
      <c r="BW34" s="119">
        <f t="shared" si="43"/>
        <v>0</v>
      </c>
      <c r="BX34" s="120">
        <f t="shared" si="44"/>
        <v>0</v>
      </c>
      <c r="BY34" s="121">
        <f t="shared" si="45"/>
        <v>0</v>
      </c>
      <c r="BZ34" s="299">
        <f t="shared" si="46"/>
        <v>0</v>
      </c>
      <c r="CA34" s="109">
        <f t="shared" si="26"/>
        <v>0</v>
      </c>
      <c r="CB34" s="123">
        <f t="shared" si="57"/>
        <v>0</v>
      </c>
      <c r="CC34" s="111">
        <f>ROUND((CB34+BI34),0)</f>
        <v>0</v>
      </c>
      <c r="CE34" s="124">
        <f t="shared" si="28"/>
        <v>0</v>
      </c>
      <c r="CF34" s="17"/>
      <c r="CG34" s="108">
        <f t="shared" si="47"/>
        <v>0</v>
      </c>
      <c r="CH34" s="125">
        <v>0</v>
      </c>
      <c r="CI34" s="110">
        <f t="shared" si="49"/>
        <v>0</v>
      </c>
      <c r="CJ34" s="300">
        <f t="shared" si="50"/>
        <v>0</v>
      </c>
      <c r="CL34" s="127">
        <f t="shared" si="51"/>
        <v>0</v>
      </c>
      <c r="CM34" s="128">
        <f t="shared" si="52"/>
        <v>0</v>
      </c>
      <c r="CN34" s="129">
        <f t="shared" si="53"/>
        <v>0</v>
      </c>
      <c r="CO34" s="130">
        <f t="shared" si="55"/>
        <v>0</v>
      </c>
      <c r="CQ34" s="131" t="e">
        <f t="shared" si="54"/>
        <v>#DIV/0!</v>
      </c>
      <c r="CR34" s="301"/>
    </row>
    <row r="35" spans="1:96">
      <c r="A35" s="133" t="s">
        <v>104</v>
      </c>
      <c r="B35" s="90" t="s">
        <v>111</v>
      </c>
      <c r="C35" s="208">
        <f>'Op Cost-25'!E28</f>
        <v>45655907</v>
      </c>
      <c r="D35" s="92">
        <f>'Ridership-25'!$E27</f>
        <v>1572283</v>
      </c>
      <c r="E35" s="92">
        <f>'Revenue Hours-25'!$E27</f>
        <v>207877</v>
      </c>
      <c r="F35" s="92">
        <f>'Revenue Miles-25'!$E27</f>
        <v>5086977</v>
      </c>
      <c r="G35" s="134">
        <f t="shared" ref="G35:G50" si="58">IFERROR($C$9*(C35/C$51),0) + IFERROR($D$9*(D35/D$51),0) + IFERROR($E$9*(E35/E$51),0) + IFERROR($F$9*(F35/F$51),0)</f>
        <v>6.0439774273113124E-2</v>
      </c>
      <c r="H35" s="94">
        <f t="shared" ref="H35:H50" si="59">G35/(SUM($G$11:$G$50)-$G$34)*(1-$G$34)</f>
        <v>6.0439774273113138E-2</v>
      </c>
      <c r="J35" s="95">
        <f>'Ridership-25'!B27/'Revenue Hours-25'!B27</f>
        <v>10.619348493496171</v>
      </c>
      <c r="K35" s="207">
        <f>'Ridership-25'!C27/'Revenue Hours-25'!I27</f>
        <v>4.7414961079159808</v>
      </c>
      <c r="L35" s="207">
        <f>'Ridership-25'!D27/'Revenue Hours-25'!J27</f>
        <v>8.3506672141244103</v>
      </c>
      <c r="M35" s="207">
        <f>'Ridership-25'!E27/'Revenue Hours-25'!K27</f>
        <v>10.489718990179334</v>
      </c>
      <c r="N35" s="97">
        <f t="shared" si="2"/>
        <v>1.0955554591192429</v>
      </c>
      <c r="O35" s="98">
        <f t="shared" si="3"/>
        <v>6.6215124652843863E-2</v>
      </c>
      <c r="P35" s="99">
        <f t="shared" si="4"/>
        <v>6.2244257873299243E-2</v>
      </c>
      <c r="Q35" s="95">
        <f>'Ridership-25'!B27/'Revenue Miles-25'!B27</f>
        <v>0.5403360203480656</v>
      </c>
      <c r="R35" s="207">
        <f>'Ridership-25'!C27/'Revenue Miles-25'!I27</f>
        <v>0.22608261693569948</v>
      </c>
      <c r="S35" s="207">
        <f>'Ridership-25'!D27/'Revenue Miles-25'!J27</f>
        <v>0.36842213317062111</v>
      </c>
      <c r="T35" s="207">
        <f>'Ridership-25'!E27/'Revenue Miles-25'!K27</f>
        <v>0.47612101471833368</v>
      </c>
      <c r="U35" s="97">
        <f t="shared" si="5"/>
        <v>1.0592627686812428</v>
      </c>
      <c r="V35" s="98">
        <f t="shared" si="6"/>
        <v>6.4021602635007169E-2</v>
      </c>
      <c r="W35" s="99">
        <f t="shared" si="7"/>
        <v>6.0274818069913125E-2</v>
      </c>
      <c r="X35" s="95">
        <f>'Op Cost-25'!B28/'Revenue Hours-25'!B27</f>
        <v>147.42823097382487</v>
      </c>
      <c r="Y35" s="96">
        <f>'Op Cost-25'!C28/'Revenue Hours-25'!C27</f>
        <v>162.67460550900779</v>
      </c>
      <c r="Z35" s="96">
        <f>'Op Cost-25'!D28/'Revenue Hours-25'!D27</f>
        <v>182.82648723257418</v>
      </c>
      <c r="AA35" s="96">
        <f>'Op Cost-25'!E28/'Revenue Hours-25'!E27</f>
        <v>219.6294299032601</v>
      </c>
      <c r="AB35" s="97">
        <f t="shared" si="8"/>
        <v>1.1052316025815632</v>
      </c>
      <c r="AC35" s="98">
        <f t="shared" si="9"/>
        <v>5.4685166558701294E-2</v>
      </c>
      <c r="AD35" s="99">
        <f t="shared" si="10"/>
        <v>5.8344441989638215E-2</v>
      </c>
      <c r="AE35" s="95">
        <f>'Op Cost-25'!B28/'Revenue Miles-25'!B27</f>
        <v>7.5014755999523217</v>
      </c>
      <c r="AF35" s="96">
        <f>'Op Cost-25'!C28/'Revenue Miles-25'!C27</f>
        <v>7.31477070368339</v>
      </c>
      <c r="AG35" s="96">
        <f>'Op Cost-25'!D28/'Revenue Miles-25'!D27</f>
        <v>7.6158139347686928</v>
      </c>
      <c r="AH35" s="96">
        <f>'Op Cost-25'!E28/'Revenue Miles-25'!E27</f>
        <v>8.9750566987033746</v>
      </c>
      <c r="AI35" s="97">
        <f t="shared" si="11"/>
        <v>1.0385690261414711</v>
      </c>
      <c r="AJ35" s="98">
        <f t="shared" si="12"/>
        <v>5.8195240520181081E-2</v>
      </c>
      <c r="AK35" s="99">
        <f t="shared" si="13"/>
        <v>6.1935100889833741E-2</v>
      </c>
      <c r="AL35" s="95">
        <f>'Op Cost-25'!B28/'Ridership-25'!B27</f>
        <v>13.882982657939651</v>
      </c>
      <c r="AM35" s="96">
        <f>'Op Cost-25'!C28/'Ridership-25'!C27</f>
        <v>51.119974938660576</v>
      </c>
      <c r="AN35" s="96">
        <f>'Op Cost-25'!D28/'Ridership-25'!D27</f>
        <v>32.564033916722593</v>
      </c>
      <c r="AO35" s="96">
        <f>'Op Cost-25'!E28/'Ridership-25'!E27</f>
        <v>29.037970263623023</v>
      </c>
      <c r="AP35" s="97">
        <f t="shared" si="14"/>
        <v>1.17121247832242</v>
      </c>
      <c r="AQ35" s="98">
        <f t="shared" si="15"/>
        <v>5.1604448715986809E-2</v>
      </c>
      <c r="AR35" s="99">
        <f t="shared" si="16"/>
        <v>5.6045755190239903E-2</v>
      </c>
      <c r="AT35" s="101">
        <f t="shared" si="29"/>
        <v>0</v>
      </c>
      <c r="AU35" s="102">
        <f t="shared" si="17"/>
        <v>0</v>
      </c>
      <c r="AV35" s="102">
        <f t="shared" si="18"/>
        <v>0</v>
      </c>
      <c r="AW35" s="102">
        <f t="shared" si="19"/>
        <v>0</v>
      </c>
      <c r="AX35" s="103">
        <f t="shared" si="20"/>
        <v>0</v>
      </c>
      <c r="AY35" s="293">
        <f t="shared" si="30"/>
        <v>-1</v>
      </c>
      <c r="AZ35" s="105">
        <f t="shared" si="21"/>
        <v>0</v>
      </c>
      <c r="BA35" s="106">
        <f t="shared" si="21"/>
        <v>0</v>
      </c>
      <c r="BB35" s="106">
        <f t="shared" si="21"/>
        <v>0</v>
      </c>
      <c r="BC35" s="106">
        <f t="shared" si="21"/>
        <v>0</v>
      </c>
      <c r="BD35" s="106">
        <f t="shared" si="21"/>
        <v>0</v>
      </c>
      <c r="BE35" s="107">
        <f t="shared" si="31"/>
        <v>7388188.2542303838</v>
      </c>
      <c r="BG35" s="108">
        <f>'Op Cost-25'!E28</f>
        <v>45655907</v>
      </c>
      <c r="BH35" s="109">
        <f t="shared" si="22"/>
        <v>0.16182327194223486</v>
      </c>
      <c r="BI35" s="110">
        <f t="shared" si="23"/>
        <v>7388188.2542303838</v>
      </c>
      <c r="BJ35" s="111">
        <f t="shared" si="24"/>
        <v>0</v>
      </c>
      <c r="BK35" s="1">
        <f t="shared" si="32"/>
        <v>0.55173094209734119</v>
      </c>
      <c r="BL35" s="294">
        <f t="shared" si="33"/>
        <v>0.86495187221981595</v>
      </c>
      <c r="BM35" s="294">
        <f t="shared" si="34"/>
        <v>0.56495791219628355</v>
      </c>
      <c r="BN35" s="295">
        <f t="shared" si="35"/>
        <v>0.38850699198663258</v>
      </c>
      <c r="BO35" s="114">
        <f t="shared" si="25"/>
        <v>7388188.2542303838</v>
      </c>
      <c r="BP35" s="296">
        <f t="shared" si="36"/>
        <v>0.55173094209734119</v>
      </c>
      <c r="BQ35" s="116">
        <f t="shared" si="37"/>
        <v>3.3346493599855358E-2</v>
      </c>
      <c r="BR35" s="297">
        <f t="shared" si="38"/>
        <v>3.3346493599855358E-2</v>
      </c>
      <c r="BS35" s="302">
        <f t="shared" si="39"/>
        <v>3.4725455484957778E-2</v>
      </c>
      <c r="BT35" s="298">
        <f t="shared" si="40"/>
        <v>7688183.7069871314</v>
      </c>
      <c r="BU35" s="119">
        <f t="shared" si="41"/>
        <v>13696772.1</v>
      </c>
      <c r="BV35" s="119">
        <f t="shared" si="42"/>
        <v>7688183.7069871314</v>
      </c>
      <c r="BW35" s="119">
        <f t="shared" si="43"/>
        <v>0</v>
      </c>
      <c r="BX35" s="120">
        <f t="shared" si="44"/>
        <v>3.3346493599855358E-2</v>
      </c>
      <c r="BY35" s="121">
        <f t="shared" si="45"/>
        <v>6.0979161458488647E-2</v>
      </c>
      <c r="BZ35" s="299">
        <f t="shared" si="46"/>
        <v>7736608.838889488</v>
      </c>
      <c r="CA35" s="109">
        <f t="shared" si="26"/>
        <v>6.7131681481042968E-2</v>
      </c>
      <c r="CB35" s="123">
        <f t="shared" si="57"/>
        <v>579954.93216643448</v>
      </c>
      <c r="CC35" s="111">
        <f t="shared" si="56"/>
        <v>7968143</v>
      </c>
      <c r="CE35" s="124">
        <f t="shared" si="28"/>
        <v>0</v>
      </c>
      <c r="CF35" s="17"/>
      <c r="CG35" s="108">
        <f t="shared" si="47"/>
        <v>45655907</v>
      </c>
      <c r="CH35" s="125">
        <f t="shared" si="48"/>
        <v>0.17452600383122385</v>
      </c>
      <c r="CI35" s="110">
        <f t="shared" si="49"/>
        <v>7688183.7069871314</v>
      </c>
      <c r="CJ35" s="300">
        <f t="shared" si="50"/>
        <v>0</v>
      </c>
      <c r="CL35" s="127">
        <f t="shared" si="51"/>
        <v>7688183.7069871314</v>
      </c>
      <c r="CM35" s="128">
        <f t="shared" si="52"/>
        <v>8.9400932386103082E-2</v>
      </c>
      <c r="CN35" s="129">
        <f t="shared" si="53"/>
        <v>70995.596519276703</v>
      </c>
      <c r="CO35" s="130">
        <f t="shared" si="55"/>
        <v>7759179</v>
      </c>
      <c r="CQ35" s="131">
        <f t="shared" si="54"/>
        <v>0.16945471785040844</v>
      </c>
      <c r="CR35" s="301"/>
    </row>
    <row r="36" spans="1:96">
      <c r="A36" s="133" t="s">
        <v>112</v>
      </c>
      <c r="B36" s="90" t="s">
        <v>113</v>
      </c>
      <c r="C36" s="208">
        <f>'Op Cost-25'!E29</f>
        <v>4736557</v>
      </c>
      <c r="D36" s="92">
        <f>'Ridership-25'!$E28</f>
        <v>475942</v>
      </c>
      <c r="E36" s="92">
        <f>'Revenue Hours-25'!$E28</f>
        <v>43849</v>
      </c>
      <c r="F36" s="92">
        <f>'Revenue Miles-25'!$E28</f>
        <v>553318</v>
      </c>
      <c r="G36" s="93">
        <f t="shared" si="58"/>
        <v>9.3889701844317944E-3</v>
      </c>
      <c r="H36" s="94">
        <f t="shared" si="59"/>
        <v>9.3889701844317962E-3</v>
      </c>
      <c r="J36" s="95">
        <f>'Ridership-25'!B28/'Revenue Hours-25'!B28</f>
        <v>7.2311072676573369</v>
      </c>
      <c r="K36" s="207">
        <f>'Ridership-25'!C28/'Revenue Hours-25'!I28</f>
        <v>7.0651748073074137</v>
      </c>
      <c r="L36" s="207">
        <f>'Ridership-25'!D28/'Revenue Hours-25'!J28</f>
        <v>8.5454680032144825</v>
      </c>
      <c r="M36" s="207">
        <f>'Ridership-25'!E28/'Revenue Hours-25'!K28</f>
        <v>10.854112978631212</v>
      </c>
      <c r="N36" s="97">
        <f t="shared" si="2"/>
        <v>1.3009855746270713</v>
      </c>
      <c r="O36" s="98">
        <f t="shared" si="3"/>
        <v>1.2214914770549441E-2</v>
      </c>
      <c r="P36" s="99">
        <f t="shared" si="4"/>
        <v>1.1482396338670894E-2</v>
      </c>
      <c r="Q36" s="95">
        <f>'Ridership-25'!B28/'Revenue Miles-25'!B28</f>
        <v>0.68740479018609113</v>
      </c>
      <c r="R36" s="207">
        <f>'Ridership-25'!C28/'Revenue Miles-25'!I28</f>
        <v>0.60435953803758868</v>
      </c>
      <c r="S36" s="207">
        <f>'Ridership-25'!D28/'Revenue Miles-25'!J28</f>
        <v>0.7290038463481342</v>
      </c>
      <c r="T36" s="207">
        <f>'Ridership-25'!E28/'Revenue Miles-25'!K28</f>
        <v>0.86015998033680452</v>
      </c>
      <c r="U36" s="97">
        <f t="shared" si="5"/>
        <v>1.2103155382207087</v>
      </c>
      <c r="V36" s="98">
        <f t="shared" si="6"/>
        <v>1.1363616502108756E-2</v>
      </c>
      <c r="W36" s="99">
        <f t="shared" si="7"/>
        <v>1.0698574997970153E-2</v>
      </c>
      <c r="X36" s="95">
        <f>'Op Cost-25'!B29/'Revenue Hours-25'!B28</f>
        <v>63.118368571529423</v>
      </c>
      <c r="Y36" s="96">
        <f>'Op Cost-25'!C29/'Revenue Hours-25'!C28</f>
        <v>99.128071370778855</v>
      </c>
      <c r="Z36" s="96">
        <f>'Op Cost-25'!D29/'Revenue Hours-25'!D28</f>
        <v>86.295224802267057</v>
      </c>
      <c r="AA36" s="96">
        <f>'Op Cost-25'!E29/'Revenue Hours-25'!E28</f>
        <v>108.01972678966453</v>
      </c>
      <c r="AB36" s="97">
        <f t="shared" si="8"/>
        <v>1.1665516654755821</v>
      </c>
      <c r="AC36" s="98">
        <f t="shared" si="9"/>
        <v>8.0484820881071579E-3</v>
      </c>
      <c r="AD36" s="99">
        <f t="shared" si="10"/>
        <v>8.587048844226149E-3</v>
      </c>
      <c r="AE36" s="95">
        <f>'Op Cost-25'!B29/'Revenue Miles-25'!B28</f>
        <v>6.0001694483031685</v>
      </c>
      <c r="AF36" s="96">
        <f>'Op Cost-25'!C29/'Revenue Miles-25'!C28</f>
        <v>8.4794781522232086</v>
      </c>
      <c r="AG36" s="96">
        <f>'Op Cost-25'!D29/'Revenue Miles-25'!D28</f>
        <v>7.3617443513527165</v>
      </c>
      <c r="AH36" s="96">
        <f>'Op Cost-25'!E29/'Revenue Miles-25'!E28</f>
        <v>8.5602799836621983</v>
      </c>
      <c r="AI36" s="97">
        <f t="shared" si="11"/>
        <v>1.0918608229846662</v>
      </c>
      <c r="AJ36" s="98">
        <f t="shared" si="12"/>
        <v>8.599054006504684E-3</v>
      </c>
      <c r="AK36" s="99">
        <f t="shared" si="13"/>
        <v>9.1516638249017311E-3</v>
      </c>
      <c r="AL36" s="95">
        <f>'Op Cost-25'!B29/'Ridership-25'!B28</f>
        <v>8.7287280129060925</v>
      </c>
      <c r="AM36" s="96">
        <f>'Op Cost-25'!C29/'Ridership-25'!C28</f>
        <v>14.030519282870687</v>
      </c>
      <c r="AN36" s="96">
        <f>'Op Cost-25'!D29/'Ridership-25'!D28</f>
        <v>10.098361467131589</v>
      </c>
      <c r="AO36" s="96">
        <f>'Op Cost-25'!E29/'Ridership-25'!E28</f>
        <v>9.9519626341024754</v>
      </c>
      <c r="AP36" s="100">
        <f t="shared" si="14"/>
        <v>0.95582060414578562</v>
      </c>
      <c r="AQ36" s="98">
        <f t="shared" si="15"/>
        <v>9.8229418195297166E-3</v>
      </c>
      <c r="AR36" s="99">
        <f t="shared" si="16"/>
        <v>1.0668347519712566E-2</v>
      </c>
      <c r="AT36" s="101">
        <f t="shared" si="29"/>
        <v>0</v>
      </c>
      <c r="AU36" s="102">
        <f t="shared" si="17"/>
        <v>0</v>
      </c>
      <c r="AV36" s="102">
        <f t="shared" si="18"/>
        <v>0</v>
      </c>
      <c r="AW36" s="102">
        <f t="shared" si="19"/>
        <v>0</v>
      </c>
      <c r="AX36" s="103">
        <f t="shared" si="20"/>
        <v>0</v>
      </c>
      <c r="AY36" s="293">
        <f t="shared" si="30"/>
        <v>-1</v>
      </c>
      <c r="AZ36" s="105">
        <f t="shared" si="21"/>
        <v>0</v>
      </c>
      <c r="BA36" s="106">
        <f t="shared" si="21"/>
        <v>0</v>
      </c>
      <c r="BB36" s="106">
        <f t="shared" si="21"/>
        <v>0</v>
      </c>
      <c r="BC36" s="106">
        <f t="shared" si="21"/>
        <v>0</v>
      </c>
      <c r="BD36" s="106">
        <f t="shared" si="21"/>
        <v>0</v>
      </c>
      <c r="BE36" s="107">
        <f t="shared" si="31"/>
        <v>1147712.4140550715</v>
      </c>
      <c r="BG36" s="108">
        <f>'Op Cost-25'!E29</f>
        <v>4736557</v>
      </c>
      <c r="BH36" s="109">
        <f t="shared" si="22"/>
        <v>0.24230942730237839</v>
      </c>
      <c r="BI36" s="110">
        <f t="shared" si="23"/>
        <v>1147712.4140550715</v>
      </c>
      <c r="BJ36" s="111">
        <f t="shared" si="24"/>
        <v>0</v>
      </c>
      <c r="BK36" s="1">
        <f t="shared" si="32"/>
        <v>1.1773918034819308</v>
      </c>
      <c r="BL36" s="294">
        <f t="shared" si="33"/>
        <v>0.99501115253592831</v>
      </c>
      <c r="BM36" s="294">
        <f t="shared" si="34"/>
        <v>1.1872669039719692</v>
      </c>
      <c r="BN36" s="295">
        <f t="shared" si="35"/>
        <v>1.2636445787099129</v>
      </c>
      <c r="BO36" s="114">
        <f t="shared" si="25"/>
        <v>1147712.4140550715</v>
      </c>
      <c r="BP36" s="296">
        <f t="shared" si="36"/>
        <v>1.1773918034819308</v>
      </c>
      <c r="BQ36" s="116">
        <f t="shared" si="37"/>
        <v>1.1054496538286229E-2</v>
      </c>
      <c r="BR36" s="297">
        <f t="shared" si="38"/>
        <v>1.1054496538286229E-2</v>
      </c>
      <c r="BS36" s="117">
        <f t="shared" si="39"/>
        <v>1.1511627940712284E-2</v>
      </c>
      <c r="BT36" s="298">
        <f t="shared" si="40"/>
        <v>1247162.1113394499</v>
      </c>
      <c r="BU36" s="119">
        <f t="shared" si="41"/>
        <v>1420967.0999999999</v>
      </c>
      <c r="BV36" s="119">
        <f t="shared" si="42"/>
        <v>1247162.1113394499</v>
      </c>
      <c r="BW36" s="119">
        <f t="shared" si="43"/>
        <v>0</v>
      </c>
      <c r="BX36" s="120">
        <f t="shared" si="44"/>
        <v>1.1054496538286229E-2</v>
      </c>
      <c r="BY36" s="121">
        <f t="shared" si="45"/>
        <v>2.0214836898275378E-2</v>
      </c>
      <c r="BZ36" s="299">
        <f t="shared" si="46"/>
        <v>1263215.2370264928</v>
      </c>
      <c r="CA36" s="109">
        <f t="shared" si="26"/>
        <v>1.0428519355617031E-2</v>
      </c>
      <c r="CB36" s="123">
        <f t="shared" si="57"/>
        <v>90092.652262719115</v>
      </c>
      <c r="CC36" s="111">
        <f t="shared" si="56"/>
        <v>1237805</v>
      </c>
      <c r="CE36" s="124">
        <f t="shared" si="28"/>
        <v>0</v>
      </c>
      <c r="CF36" s="17"/>
      <c r="CG36" s="108">
        <f t="shared" si="47"/>
        <v>4736557</v>
      </c>
      <c r="CH36" s="125">
        <f t="shared" si="48"/>
        <v>0.26133011805832801</v>
      </c>
      <c r="CI36" s="110">
        <f t="shared" si="49"/>
        <v>1247162.1113394499</v>
      </c>
      <c r="CJ36" s="300">
        <f t="shared" si="50"/>
        <v>0</v>
      </c>
      <c r="CL36" s="127">
        <f t="shared" si="51"/>
        <v>1247162.1113394499</v>
      </c>
      <c r="CM36" s="128">
        <f t="shared" si="52"/>
        <v>1.450244424948343E-2</v>
      </c>
      <c r="CN36" s="129">
        <f t="shared" si="53"/>
        <v>11516.766693584035</v>
      </c>
      <c r="CO36" s="130">
        <f t="shared" si="55"/>
        <v>1258679</v>
      </c>
      <c r="CQ36" s="131">
        <f t="shared" si="54"/>
        <v>0.2666948243262971</v>
      </c>
      <c r="CR36" s="301"/>
    </row>
    <row r="37" spans="1:96">
      <c r="A37" s="133" t="s">
        <v>112</v>
      </c>
      <c r="B37" s="90" t="s">
        <v>114</v>
      </c>
      <c r="C37" s="208">
        <f>'Op Cost-25'!E30</f>
        <v>68802962</v>
      </c>
      <c r="D37" s="92">
        <f>'Ridership-25'!$E29</f>
        <v>9625071</v>
      </c>
      <c r="E37" s="92">
        <f>'Revenue Hours-25'!$E29</f>
        <v>583725</v>
      </c>
      <c r="F37" s="92">
        <f>'Revenue Miles-25'!$E29</f>
        <v>7022292</v>
      </c>
      <c r="G37" s="134">
        <f t="shared" si="58"/>
        <v>0.15224243269925947</v>
      </c>
      <c r="H37" s="94">
        <f t="shared" si="59"/>
        <v>0.15224243269925949</v>
      </c>
      <c r="J37" s="95">
        <f>'Ridership-25'!B29/'Revenue Hours-25'!B29</f>
        <v>15.08483737680125</v>
      </c>
      <c r="K37" s="207">
        <f>'Ridership-25'!C29/'Revenue Hours-25'!I29</f>
        <v>12.685908078458269</v>
      </c>
      <c r="L37" s="207">
        <f>'Ridership-25'!D29/'Revenue Hours-25'!J29</f>
        <v>14.999735241854868</v>
      </c>
      <c r="M37" s="207">
        <f>'Ridership-25'!E29/'Revenue Hours-25'!K29</f>
        <v>16.535848596310085</v>
      </c>
      <c r="N37" s="97">
        <f t="shared" si="2"/>
        <v>1.1589035149089713</v>
      </c>
      <c r="O37" s="98">
        <f t="shared" si="3"/>
        <v>0.17643429037346434</v>
      </c>
      <c r="P37" s="99">
        <f t="shared" si="4"/>
        <v>0.16585367052128336</v>
      </c>
      <c r="Q37" s="95">
        <f>'Ridership-25'!B29/'Revenue Miles-25'!B29</f>
        <v>1.1884855709632467</v>
      </c>
      <c r="R37" s="207">
        <f>'Ridership-25'!C29/'Revenue Miles-25'!I29</f>
        <v>1.0554722157446399</v>
      </c>
      <c r="S37" s="207">
        <f>'Ridership-25'!D29/'Revenue Miles-25'!J29</f>
        <v>1.2009259173704827</v>
      </c>
      <c r="T37" s="207">
        <f>'Ridership-25'!E29/'Revenue Miles-25'!K29</f>
        <v>1.3773946096971872</v>
      </c>
      <c r="U37" s="97">
        <f t="shared" si="5"/>
        <v>1.1886814417752132</v>
      </c>
      <c r="V37" s="98">
        <f t="shared" si="6"/>
        <v>0.18096775440032165</v>
      </c>
      <c r="W37" s="99">
        <f t="shared" si="7"/>
        <v>0.17037684194171823</v>
      </c>
      <c r="X37" s="95">
        <f>'Op Cost-25'!B30/'Revenue Hours-25'!B29</f>
        <v>87.19640419871854</v>
      </c>
      <c r="Y37" s="96">
        <f>'Op Cost-25'!C30/'Revenue Hours-25'!C29</f>
        <v>106.94058914595765</v>
      </c>
      <c r="Z37" s="96">
        <f>'Op Cost-25'!D30/'Revenue Hours-25'!D29</f>
        <v>99.059409351732896</v>
      </c>
      <c r="AA37" s="96">
        <f>'Op Cost-25'!E30/'Revenue Hours-25'!E29</f>
        <v>117.86879438091567</v>
      </c>
      <c r="AB37" s="97">
        <f t="shared" si="8"/>
        <v>1.069009747172706</v>
      </c>
      <c r="AC37" s="98">
        <f t="shared" si="9"/>
        <v>0.14241444767169525</v>
      </c>
      <c r="AD37" s="99">
        <f t="shared" si="10"/>
        <v>0.15194415603997974</v>
      </c>
      <c r="AE37" s="95">
        <f>'Op Cost-25'!B30/'Revenue Miles-25'!B29</f>
        <v>6.8699228000581352</v>
      </c>
      <c r="AF37" s="96">
        <f>'Op Cost-25'!C30/'Revenue Miles-25'!C29</f>
        <v>8.897496330640184</v>
      </c>
      <c r="AG37" s="96">
        <f>'Op Cost-25'!D30/'Revenue Miles-25'!D29</f>
        <v>7.9310074565820816</v>
      </c>
      <c r="AH37" s="96">
        <f>'Op Cost-25'!E30/'Revenue Miles-25'!E29</f>
        <v>9.7977928004133119</v>
      </c>
      <c r="AI37" s="97">
        <f t="shared" si="11"/>
        <v>1.0939620676553767</v>
      </c>
      <c r="AJ37" s="98">
        <f t="shared" si="12"/>
        <v>0.13916609835069654</v>
      </c>
      <c r="AK37" s="99">
        <f t="shared" si="13"/>
        <v>0.14810947192160681</v>
      </c>
      <c r="AL37" s="95">
        <f>'Op Cost-25'!B30/'Ridership-25'!B29</f>
        <v>5.7804006778897481</v>
      </c>
      <c r="AM37" s="96">
        <f>'Op Cost-25'!C30/'Ridership-25'!C29</f>
        <v>8.4298726180707302</v>
      </c>
      <c r="AN37" s="96">
        <f>'Op Cost-25'!D30/'Ridership-25'!D29</f>
        <v>6.6040771889973175</v>
      </c>
      <c r="AO37" s="96">
        <f>'Op Cost-25'!E30/'Ridership-25'!E29</f>
        <v>7.148306957943479</v>
      </c>
      <c r="AP37" s="97">
        <f t="shared" si="14"/>
        <v>1.0036922938781936</v>
      </c>
      <c r="AQ37" s="98">
        <f t="shared" si="15"/>
        <v>0.15168237678801524</v>
      </c>
      <c r="AR37" s="99">
        <f t="shared" si="16"/>
        <v>0.16473683117752624</v>
      </c>
      <c r="AT37" s="101">
        <f t="shared" si="29"/>
        <v>0</v>
      </c>
      <c r="AU37" s="102">
        <f t="shared" si="17"/>
        <v>0</v>
      </c>
      <c r="AV37" s="102">
        <f t="shared" si="18"/>
        <v>0</v>
      </c>
      <c r="AW37" s="102">
        <f t="shared" si="19"/>
        <v>0</v>
      </c>
      <c r="AX37" s="103">
        <f t="shared" si="20"/>
        <v>0</v>
      </c>
      <c r="AY37" s="293">
        <f t="shared" si="30"/>
        <v>-1</v>
      </c>
      <c r="AZ37" s="105">
        <f t="shared" si="21"/>
        <v>0</v>
      </c>
      <c r="BA37" s="106">
        <f t="shared" si="21"/>
        <v>0</v>
      </c>
      <c r="BB37" s="106">
        <f t="shared" si="21"/>
        <v>0</v>
      </c>
      <c r="BC37" s="106">
        <f t="shared" si="21"/>
        <v>0</v>
      </c>
      <c r="BD37" s="106">
        <f t="shared" si="21"/>
        <v>0</v>
      </c>
      <c r="BE37" s="107">
        <f t="shared" si="31"/>
        <v>18610191.162882924</v>
      </c>
      <c r="BF37" s="301"/>
      <c r="BG37" s="108">
        <f>'Op Cost-25'!E30</f>
        <v>68802962</v>
      </c>
      <c r="BH37" s="303">
        <f t="shared" si="22"/>
        <v>0.27048531955474425</v>
      </c>
      <c r="BI37" s="304">
        <f>IF(BE37&gt;BG37*$BI$6,BG37*$BI$6,BE37)</f>
        <v>18610191.162882924</v>
      </c>
      <c r="BJ37" s="111">
        <f t="shared" si="24"/>
        <v>0</v>
      </c>
      <c r="BK37" s="1">
        <f t="shared" si="32"/>
        <v>1.8851824611435071</v>
      </c>
      <c r="BL37" s="294">
        <f t="shared" si="33"/>
        <v>1.6818258268897142</v>
      </c>
      <c r="BM37" s="294">
        <f t="shared" si="34"/>
        <v>1.9785587822724857</v>
      </c>
      <c r="BN37" s="295">
        <f t="shared" si="35"/>
        <v>1.9401726177059142</v>
      </c>
      <c r="BO37" s="114">
        <f t="shared" si="25"/>
        <v>18610191.162882924</v>
      </c>
      <c r="BP37" s="296">
        <f t="shared" si="36"/>
        <v>1.8851824611435071</v>
      </c>
      <c r="BQ37" s="116">
        <f t="shared" si="37"/>
        <v>0.28700476396646474</v>
      </c>
      <c r="BR37" s="297">
        <f t="shared" si="38"/>
        <v>0.28700476396646474</v>
      </c>
      <c r="BS37" s="302">
        <f t="shared" si="39"/>
        <v>0.29887313714841418</v>
      </c>
      <c r="BT37" s="298">
        <f t="shared" si="40"/>
        <v>21192175.498106595</v>
      </c>
      <c r="BU37" s="119">
        <f t="shared" si="41"/>
        <v>20640888.599999998</v>
      </c>
      <c r="BV37" s="119">
        <f t="shared" si="42"/>
        <v>20640888.599999998</v>
      </c>
      <c r="BW37" s="119">
        <f t="shared" si="43"/>
        <v>551286.89810659736</v>
      </c>
      <c r="BX37" s="120">
        <f t="shared" si="44"/>
        <v>0</v>
      </c>
      <c r="BY37" s="121">
        <f t="shared" si="45"/>
        <v>0</v>
      </c>
      <c r="BZ37" s="299">
        <f t="shared" si="46"/>
        <v>20640888.599999998</v>
      </c>
      <c r="CA37" s="109">
        <f t="shared" si="26"/>
        <v>0.16909875363999075</v>
      </c>
      <c r="CB37" s="123">
        <f t="shared" si="57"/>
        <v>1460855.0543218991</v>
      </c>
      <c r="CC37" s="111">
        <f>ROUND((CB37+BI37),0)</f>
        <v>20071046</v>
      </c>
      <c r="CE37" s="124">
        <f t="shared" si="28"/>
        <v>0</v>
      </c>
      <c r="CF37" s="17"/>
      <c r="CG37" s="108">
        <f t="shared" si="47"/>
        <v>68802962</v>
      </c>
      <c r="CH37" s="125">
        <f t="shared" si="48"/>
        <v>0.29171776063943294</v>
      </c>
      <c r="CI37" s="110">
        <f t="shared" si="49"/>
        <v>20640888.599999998</v>
      </c>
      <c r="CJ37" s="300">
        <f t="shared" si="50"/>
        <v>551286.89810659736</v>
      </c>
      <c r="CL37" s="127">
        <f t="shared" si="51"/>
        <v>0</v>
      </c>
      <c r="CM37" s="128">
        <f t="shared" si="52"/>
        <v>0</v>
      </c>
      <c r="CN37" s="129">
        <f t="shared" si="53"/>
        <v>0</v>
      </c>
      <c r="CO37" s="130">
        <f t="shared" si="55"/>
        <v>20640889</v>
      </c>
      <c r="CQ37" s="131">
        <f t="shared" si="54"/>
        <v>0.3</v>
      </c>
      <c r="CR37" s="301"/>
    </row>
    <row r="38" spans="1:96">
      <c r="A38" s="133" t="s">
        <v>115</v>
      </c>
      <c r="B38" s="90" t="s">
        <v>116</v>
      </c>
      <c r="C38" s="208">
        <f>'Op Cost-25'!E31</f>
        <v>12020724</v>
      </c>
      <c r="D38" s="92">
        <f>'Ridership-25'!$E30</f>
        <v>3520078</v>
      </c>
      <c r="E38" s="92">
        <f>'Revenue Hours-25'!$E30</f>
        <v>92885</v>
      </c>
      <c r="F38" s="92">
        <f>'Revenue Miles-25'!$E30</f>
        <v>970481</v>
      </c>
      <c r="G38" s="134">
        <f t="shared" si="58"/>
        <v>3.9276419598528838E-2</v>
      </c>
      <c r="H38" s="94">
        <f t="shared" si="59"/>
        <v>3.9276419598528844E-2</v>
      </c>
      <c r="J38" s="95">
        <f>'Ridership-25'!B30/'Revenue Hours-25'!B30</f>
        <v>41.020012326113751</v>
      </c>
      <c r="K38" s="207">
        <f>'Ridership-25'!C30/'Revenue Hours-25'!I30</f>
        <v>7.7359808402431227</v>
      </c>
      <c r="L38" s="207">
        <f>'Ridership-25'!D30/'Revenue Hours-25'!J30</f>
        <v>32.633977790205321</v>
      </c>
      <c r="M38" s="207">
        <f>'Ridership-25'!E30/'Revenue Hours-25'!K30</f>
        <v>37.897163158744682</v>
      </c>
      <c r="N38" s="97">
        <f t="shared" si="2"/>
        <v>1.5374893226393143</v>
      </c>
      <c r="O38" s="98">
        <f t="shared" si="3"/>
        <v>6.0387075764239601E-2</v>
      </c>
      <c r="P38" s="99">
        <f t="shared" si="4"/>
        <v>5.6765712301990734E-2</v>
      </c>
      <c r="Q38" s="95">
        <f>'Ridership-25'!B30/'Revenue Miles-25'!B30</f>
        <v>4.0590237544714967</v>
      </c>
      <c r="R38" s="207">
        <f>'Ridership-25'!C30/'Revenue Miles-25'!I30</f>
        <v>0.74890286156611607</v>
      </c>
      <c r="S38" s="207">
        <f>'Ridership-25'!D30/'Revenue Miles-25'!J30</f>
        <v>3.1121743743196539</v>
      </c>
      <c r="T38" s="207">
        <f>'Ridership-25'!E30/'Revenue Miles-25'!K30</f>
        <v>3.6271477751754029</v>
      </c>
      <c r="U38" s="97">
        <f t="shared" si="5"/>
        <v>1.5439223358228489</v>
      </c>
      <c r="V38" s="98">
        <f t="shared" si="6"/>
        <v>6.0639741489318971E-2</v>
      </c>
      <c r="W38" s="99">
        <f t="shared" si="7"/>
        <v>5.7090876136185222E-2</v>
      </c>
      <c r="X38" s="95">
        <f>'Op Cost-25'!B31/'Revenue Hours-25'!B30</f>
        <v>80.165865469272759</v>
      </c>
      <c r="Y38" s="96">
        <f>'Op Cost-25'!C31/'Revenue Hours-25'!C30</f>
        <v>94.638769882541524</v>
      </c>
      <c r="Z38" s="96">
        <f>'Op Cost-25'!D31/'Revenue Hours-25'!D30</f>
        <v>99.879114404410004</v>
      </c>
      <c r="AA38" s="96">
        <f>'Op Cost-25'!E31/'Revenue Hours-25'!E30</f>
        <v>129.41512623136137</v>
      </c>
      <c r="AB38" s="97">
        <f t="shared" si="8"/>
        <v>1.1373094562186856</v>
      </c>
      <c r="AC38" s="98">
        <f t="shared" si="9"/>
        <v>3.4534505436290545E-2</v>
      </c>
      <c r="AD38" s="99">
        <f t="shared" si="10"/>
        <v>3.6845392925806075E-2</v>
      </c>
      <c r="AE38" s="95">
        <f>'Op Cost-25'!B31/'Revenue Miles-25'!B30</f>
        <v>7.9325951842875142</v>
      </c>
      <c r="AF38" s="96">
        <f>'Op Cost-25'!C31/'Revenue Miles-25'!C30</f>
        <v>9.1617659148578081</v>
      </c>
      <c r="AG38" s="96">
        <f>'Op Cost-25'!D31/'Revenue Miles-25'!D30</f>
        <v>9.5250791177666656</v>
      </c>
      <c r="AH38" s="96">
        <f>'Op Cost-25'!E31/'Revenue Miles-25'!E30</f>
        <v>12.386356868398249</v>
      </c>
      <c r="AI38" s="97">
        <f t="shared" si="11"/>
        <v>1.1300370084817091</v>
      </c>
      <c r="AJ38" s="98">
        <f t="shared" si="12"/>
        <v>3.4756755136099222E-2</v>
      </c>
      <c r="AK38" s="99">
        <f t="shared" si="13"/>
        <v>3.6990364103934699E-2</v>
      </c>
      <c r="AL38" s="95">
        <f>'Op Cost-25'!B31/'Ridership-25'!B30</f>
        <v>1.9543111014191081</v>
      </c>
      <c r="AM38" s="96">
        <f>'Op Cost-25'!C31/'Ridership-25'!C30</f>
        <v>12.233583799771571</v>
      </c>
      <c r="AN38" s="96">
        <f>'Op Cost-25'!D31/'Ridership-25'!D30</f>
        <v>3.0605865777841972</v>
      </c>
      <c r="AO38" s="96">
        <f>'Op Cost-25'!E31/'Ridership-25'!E30</f>
        <v>3.4149027379506931</v>
      </c>
      <c r="AP38" s="97">
        <f t="shared" si="14"/>
        <v>1.4628694458817215</v>
      </c>
      <c r="AQ38" s="98">
        <f t="shared" si="15"/>
        <v>2.6848889153505837E-2</v>
      </c>
      <c r="AR38" s="99">
        <f t="shared" si="16"/>
        <v>2.9159622979580562E-2</v>
      </c>
      <c r="AT38" s="101">
        <f t="shared" si="29"/>
        <v>0</v>
      </c>
      <c r="AU38" s="102">
        <f t="shared" si="17"/>
        <v>0</v>
      </c>
      <c r="AV38" s="102">
        <f t="shared" si="18"/>
        <v>0</v>
      </c>
      <c r="AW38" s="102">
        <f t="shared" si="19"/>
        <v>0</v>
      </c>
      <c r="AX38" s="103">
        <f t="shared" si="20"/>
        <v>0</v>
      </c>
      <c r="AY38" s="293">
        <f t="shared" si="30"/>
        <v>-1</v>
      </c>
      <c r="AZ38" s="105">
        <f t="shared" si="21"/>
        <v>0</v>
      </c>
      <c r="BA38" s="106">
        <f t="shared" si="21"/>
        <v>0</v>
      </c>
      <c r="BB38" s="106">
        <f t="shared" si="21"/>
        <v>0</v>
      </c>
      <c r="BC38" s="106">
        <f t="shared" si="21"/>
        <v>0</v>
      </c>
      <c r="BD38" s="106">
        <f t="shared" si="21"/>
        <v>0</v>
      </c>
      <c r="BE38" s="107">
        <f t="shared" si="31"/>
        <v>4801169.1876083538</v>
      </c>
      <c r="BG38" s="108">
        <f>'Op Cost-25'!E31</f>
        <v>12020724</v>
      </c>
      <c r="BH38" s="109">
        <f t="shared" si="22"/>
        <v>0.39940765528002753</v>
      </c>
      <c r="BI38" s="110">
        <f t="shared" si="23"/>
        <v>3606217.1999999997</v>
      </c>
      <c r="BJ38" s="111">
        <f t="shared" si="24"/>
        <v>1194951.9876083541</v>
      </c>
      <c r="BK38" s="1">
        <f t="shared" si="32"/>
        <v>3.1943588558948921</v>
      </c>
      <c r="BL38" s="294">
        <f t="shared" si="33"/>
        <v>2.7660436482096027</v>
      </c>
      <c r="BM38" s="294">
        <f t="shared" si="34"/>
        <v>3.8098263692074621</v>
      </c>
      <c r="BN38" s="295">
        <f t="shared" si="35"/>
        <v>3.100782703081252</v>
      </c>
      <c r="BO38" s="114">
        <f t="shared" si="25"/>
        <v>0</v>
      </c>
      <c r="BP38" s="296">
        <f t="shared" si="36"/>
        <v>3.1943588558948921</v>
      </c>
      <c r="BQ38" s="116">
        <f t="shared" si="37"/>
        <v>0.12546297877240431</v>
      </c>
      <c r="BR38" s="297">
        <f t="shared" si="38"/>
        <v>0</v>
      </c>
      <c r="BS38" s="117">
        <f t="shared" si="39"/>
        <v>0</v>
      </c>
      <c r="BT38" s="298">
        <f t="shared" si="40"/>
        <v>3606217.1999999997</v>
      </c>
      <c r="BU38" s="119">
        <f t="shared" si="41"/>
        <v>3606217.1999999997</v>
      </c>
      <c r="BV38" s="119">
        <f t="shared" si="42"/>
        <v>3606217.1999999997</v>
      </c>
      <c r="BW38" s="119">
        <f t="shared" si="43"/>
        <v>0</v>
      </c>
      <c r="BX38" s="120">
        <f t="shared" si="44"/>
        <v>0</v>
      </c>
      <c r="BY38" s="121">
        <f t="shared" si="45"/>
        <v>0</v>
      </c>
      <c r="BZ38" s="299">
        <f t="shared" si="46"/>
        <v>3606217.1999999997</v>
      </c>
      <c r="CA38" s="109">
        <f t="shared" si="26"/>
        <v>0</v>
      </c>
      <c r="CB38" s="123">
        <f t="shared" si="57"/>
        <v>0</v>
      </c>
      <c r="CC38" s="111">
        <f t="shared" si="56"/>
        <v>3606217</v>
      </c>
      <c r="CE38" s="124">
        <f t="shared" si="28"/>
        <v>0</v>
      </c>
      <c r="CF38" s="17"/>
      <c r="CG38" s="108">
        <f t="shared" si="47"/>
        <v>12020724</v>
      </c>
      <c r="CH38" s="125">
        <f t="shared" si="48"/>
        <v>0.29999998336206707</v>
      </c>
      <c r="CI38" s="110">
        <f t="shared" si="49"/>
        <v>3606217.1999999997</v>
      </c>
      <c r="CJ38" s="300">
        <f t="shared" si="50"/>
        <v>0</v>
      </c>
      <c r="CL38" s="127">
        <f t="shared" si="51"/>
        <v>0</v>
      </c>
      <c r="CM38" s="128">
        <f t="shared" si="52"/>
        <v>0</v>
      </c>
      <c r="CN38" s="129">
        <f t="shared" si="53"/>
        <v>0</v>
      </c>
      <c r="CO38" s="130">
        <f t="shared" si="55"/>
        <v>3606217</v>
      </c>
      <c r="CQ38" s="131">
        <f t="shared" si="54"/>
        <v>0.3</v>
      </c>
      <c r="CR38" s="301"/>
    </row>
    <row r="39" spans="1:96">
      <c r="A39" s="133" t="s">
        <v>115</v>
      </c>
      <c r="B39" s="90" t="s">
        <v>117</v>
      </c>
      <c r="C39" s="208">
        <f>'Op Cost-25'!E32</f>
        <v>2609867</v>
      </c>
      <c r="D39" s="92">
        <f>'Ridership-25'!$E31</f>
        <v>120233</v>
      </c>
      <c r="E39" s="92">
        <f>'Revenue Hours-25'!$E31</f>
        <v>32095</v>
      </c>
      <c r="F39" s="92">
        <f>'Revenue Miles-25'!$E31</f>
        <v>388317</v>
      </c>
      <c r="G39" s="134">
        <f t="shared" si="58"/>
        <v>4.5866931274603793E-3</v>
      </c>
      <c r="H39" s="94">
        <f t="shared" si="59"/>
        <v>4.5866931274603801E-3</v>
      </c>
      <c r="J39" s="95">
        <f>'Ridership-25'!B31/'Revenue Hours-25'!B31</f>
        <v>8.58772210149559</v>
      </c>
      <c r="K39" s="207">
        <f>'Ridership-25'!C31/'Revenue Hours-25'!I31</f>
        <v>3.353975911522431</v>
      </c>
      <c r="L39" s="207">
        <f>'Ridership-25'!D31/'Revenue Hours-25'!J31</f>
        <v>4.039822296622992</v>
      </c>
      <c r="M39" s="207">
        <f>'Ridership-25'!E31/'Revenue Hours-25'!K31</f>
        <v>3.7461598379809939</v>
      </c>
      <c r="N39" s="97">
        <f t="shared" si="2"/>
        <v>0.82355293566047949</v>
      </c>
      <c r="O39" s="98">
        <f t="shared" si="3"/>
        <v>3.777384590093742E-3</v>
      </c>
      <c r="P39" s="99">
        <f t="shared" si="4"/>
        <v>3.5508579307994021E-3</v>
      </c>
      <c r="Q39" s="95">
        <f>'Ridership-25'!B31/'Revenue Miles-25'!B31</f>
        <v>0.78227240838260248</v>
      </c>
      <c r="R39" s="207">
        <f>'Ridership-25'!C31/'Revenue Miles-25'!I31</f>
        <v>0.29134203947124609</v>
      </c>
      <c r="S39" s="207">
        <f>'Ridership-25'!D31/'Revenue Miles-25'!J31</f>
        <v>0.3358526722031458</v>
      </c>
      <c r="T39" s="207">
        <f>'Ridership-25'!E31/'Revenue Miles-25'!K31</f>
        <v>0.30962589842834592</v>
      </c>
      <c r="U39" s="97">
        <f t="shared" si="5"/>
        <v>0.80034342624183574</v>
      </c>
      <c r="V39" s="98">
        <f t="shared" si="6"/>
        <v>3.6709296927515218E-3</v>
      </c>
      <c r="W39" s="99">
        <f t="shared" si="7"/>
        <v>3.4560931040650334E-3</v>
      </c>
      <c r="X39" s="95">
        <f>'Op Cost-25'!B32/'Revenue Hours-25'!B31</f>
        <v>50.245430141889301</v>
      </c>
      <c r="Y39" s="96">
        <f>'Op Cost-25'!C32/'Revenue Hours-25'!C31</f>
        <v>54.975878704341831</v>
      </c>
      <c r="Z39" s="96">
        <f>'Op Cost-25'!D32/'Revenue Hours-25'!D31</f>
        <v>56.597366641985644</v>
      </c>
      <c r="AA39" s="96">
        <f>'Op Cost-25'!E32/'Revenue Hours-25'!E31</f>
        <v>81.316934101885025</v>
      </c>
      <c r="AB39" s="97">
        <f t="shared" si="8"/>
        <v>1.1556230050053564</v>
      </c>
      <c r="AC39" s="98">
        <f t="shared" si="9"/>
        <v>3.969021997307089E-3</v>
      </c>
      <c r="AD39" s="99">
        <f t="shared" si="10"/>
        <v>4.234610375171928E-3</v>
      </c>
      <c r="AE39" s="95">
        <f>'Op Cost-25'!B32/'Revenue Miles-25'!B31</f>
        <v>4.5769545384416093</v>
      </c>
      <c r="AF39" s="96">
        <f>'Op Cost-25'!C32/'Revenue Miles-25'!C31</f>
        <v>4.775462032515458</v>
      </c>
      <c r="AG39" s="96">
        <f>'Op Cost-25'!D32/'Revenue Miles-25'!D31</f>
        <v>4.7052507339893959</v>
      </c>
      <c r="AH39" s="96">
        <f>'Op Cost-25'!E32/'Revenue Miles-25'!E31</f>
        <v>6.7209702382331962</v>
      </c>
      <c r="AI39" s="97">
        <f t="shared" si="11"/>
        <v>1.127283500961868</v>
      </c>
      <c r="AJ39" s="98">
        <f t="shared" si="12"/>
        <v>4.0688017908065977E-3</v>
      </c>
      <c r="AK39" s="99">
        <f t="shared" si="13"/>
        <v>4.330279369271669E-3</v>
      </c>
      <c r="AL39" s="95">
        <f>'Op Cost-25'!B32/'Ridership-25'!B31</f>
        <v>5.8508449095178374</v>
      </c>
      <c r="AM39" s="96">
        <f>'Op Cost-25'!C32/'Ridership-25'!C31</f>
        <v>16.391256274523233</v>
      </c>
      <c r="AN39" s="96">
        <f>'Op Cost-25'!D32/'Ridership-25'!D31</f>
        <v>14.009865406529656</v>
      </c>
      <c r="AO39" s="96">
        <f>'Op Cost-25'!E32/'Ridership-25'!E31</f>
        <v>21.706744404614373</v>
      </c>
      <c r="AP39" s="100">
        <f t="shared" si="14"/>
        <v>1.4225629168992857</v>
      </c>
      <c r="AQ39" s="98">
        <f t="shared" si="15"/>
        <v>3.2242462340139211E-3</v>
      </c>
      <c r="AR39" s="99">
        <f t="shared" si="16"/>
        <v>3.5017390864717354E-3</v>
      </c>
      <c r="AT39" s="101">
        <f t="shared" si="29"/>
        <v>0</v>
      </c>
      <c r="AU39" s="102">
        <f t="shared" si="17"/>
        <v>0</v>
      </c>
      <c r="AV39" s="102">
        <f t="shared" si="18"/>
        <v>0</v>
      </c>
      <c r="AW39" s="102">
        <f t="shared" si="19"/>
        <v>0</v>
      </c>
      <c r="AX39" s="103">
        <f t="shared" si="20"/>
        <v>0</v>
      </c>
      <c r="AY39" s="293">
        <f t="shared" si="30"/>
        <v>-1</v>
      </c>
      <c r="AZ39" s="105">
        <f t="shared" si="21"/>
        <v>0</v>
      </c>
      <c r="BA39" s="106">
        <f t="shared" si="21"/>
        <v>0</v>
      </c>
      <c r="BB39" s="106">
        <f t="shared" si="21"/>
        <v>0</v>
      </c>
      <c r="BC39" s="106">
        <f t="shared" si="21"/>
        <v>0</v>
      </c>
      <c r="BD39" s="106">
        <f t="shared" si="21"/>
        <v>0</v>
      </c>
      <c r="BE39" s="107">
        <f t="shared" si="31"/>
        <v>560679.66331133246</v>
      </c>
      <c r="BG39" s="108">
        <f>'Op Cost-25'!E32</f>
        <v>2609867</v>
      </c>
      <c r="BH39" s="109">
        <f t="shared" si="22"/>
        <v>0.21483074168581481</v>
      </c>
      <c r="BI39" s="110">
        <f t="shared" si="23"/>
        <v>560679.66331133246</v>
      </c>
      <c r="BJ39" s="111">
        <f t="shared" si="24"/>
        <v>0</v>
      </c>
      <c r="BK39" s="1">
        <f t="shared" si="32"/>
        <v>0.67247774629036483</v>
      </c>
      <c r="BL39" s="294">
        <f t="shared" si="33"/>
        <v>0.42792730598826173</v>
      </c>
      <c r="BM39" s="294">
        <f t="shared" si="34"/>
        <v>0.51677869617554073</v>
      </c>
      <c r="BN39" s="295">
        <f t="shared" si="35"/>
        <v>0.87260249149882829</v>
      </c>
      <c r="BO39" s="114">
        <f t="shared" si="25"/>
        <v>560679.66331133246</v>
      </c>
      <c r="BP39" s="296">
        <f t="shared" si="36"/>
        <v>0.67247774629036483</v>
      </c>
      <c r="BQ39" s="116">
        <f t="shared" si="37"/>
        <v>3.0844490572800613E-3</v>
      </c>
      <c r="BR39" s="297">
        <f t="shared" si="38"/>
        <v>3.0844490572800613E-3</v>
      </c>
      <c r="BS39" s="117">
        <f t="shared" si="39"/>
        <v>3.2119988302057446E-3</v>
      </c>
      <c r="BT39" s="298">
        <f t="shared" si="40"/>
        <v>588428.32865969965</v>
      </c>
      <c r="BU39" s="119">
        <f t="shared" si="41"/>
        <v>782960.1</v>
      </c>
      <c r="BV39" s="119">
        <f t="shared" si="42"/>
        <v>588428.32865969965</v>
      </c>
      <c r="BW39" s="119">
        <f t="shared" si="43"/>
        <v>0</v>
      </c>
      <c r="BX39" s="120">
        <f t="shared" si="44"/>
        <v>3.0844490572800613E-3</v>
      </c>
      <c r="BY39" s="121">
        <f t="shared" si="45"/>
        <v>5.6403866424858473E-3</v>
      </c>
      <c r="BZ39" s="299">
        <f t="shared" si="46"/>
        <v>592907.50581809005</v>
      </c>
      <c r="CA39" s="109">
        <f t="shared" si="26"/>
        <v>5.0945329592492379E-3</v>
      </c>
      <c r="CB39" s="123">
        <f t="shared" si="57"/>
        <v>44011.999276904651</v>
      </c>
      <c r="CC39" s="111">
        <f t="shared" si="56"/>
        <v>604692</v>
      </c>
      <c r="CE39" s="124">
        <f t="shared" si="28"/>
        <v>0</v>
      </c>
      <c r="CF39" s="17"/>
      <c r="CG39" s="108">
        <f t="shared" si="47"/>
        <v>2609867</v>
      </c>
      <c r="CH39" s="125">
        <f t="shared" si="48"/>
        <v>0.23169456527861382</v>
      </c>
      <c r="CI39" s="110">
        <f t="shared" si="49"/>
        <v>588428.32865969965</v>
      </c>
      <c r="CJ39" s="300">
        <f t="shared" si="50"/>
        <v>0</v>
      </c>
      <c r="CL39" s="127">
        <f t="shared" si="51"/>
        <v>588428.32865969965</v>
      </c>
      <c r="CM39" s="128">
        <f t="shared" si="52"/>
        <v>6.8424537224265761E-3</v>
      </c>
      <c r="CN39" s="129">
        <f t="shared" si="53"/>
        <v>5433.7697685436315</v>
      </c>
      <c r="CO39" s="130">
        <f t="shared" si="55"/>
        <v>593862</v>
      </c>
      <c r="CQ39" s="131">
        <f t="shared" si="54"/>
        <v>0.22717920331499269</v>
      </c>
      <c r="CR39" s="301"/>
    </row>
    <row r="40" spans="1:96">
      <c r="A40" s="133" t="s">
        <v>115</v>
      </c>
      <c r="B40" s="90" t="s">
        <v>118</v>
      </c>
      <c r="C40" s="208">
        <f>'Op Cost-25'!E33</f>
        <v>12745096</v>
      </c>
      <c r="D40" s="92">
        <f>'Ridership-25'!$E32</f>
        <v>1287135</v>
      </c>
      <c r="E40" s="92">
        <f>'Revenue Hours-25'!$E32</f>
        <v>141516</v>
      </c>
      <c r="F40" s="92">
        <f>'Revenue Miles-25'!$E32</f>
        <v>2266478</v>
      </c>
      <c r="G40" s="134">
        <f t="shared" si="58"/>
        <v>2.7939433984583342E-2</v>
      </c>
      <c r="H40" s="94">
        <f t="shared" si="59"/>
        <v>2.7939433984583349E-2</v>
      </c>
      <c r="J40" s="95">
        <f>'Ridership-25'!B32/'Revenue Hours-25'!B32</f>
        <v>13.061303342191943</v>
      </c>
      <c r="K40" s="207">
        <f>'Ridership-25'!C32/'Revenue Hours-25'!I32</f>
        <v>7.5369057433360815</v>
      </c>
      <c r="L40" s="207">
        <f>'Ridership-25'!D32/'Revenue Hours-25'!J32</f>
        <v>7.2816302952503209</v>
      </c>
      <c r="M40" s="207">
        <f>'Ridership-25'!E32/'Revenue Hours-25'!K32</f>
        <v>9.0953319765962863</v>
      </c>
      <c r="N40" s="97">
        <f t="shared" si="2"/>
        <v>0.97259602799562239</v>
      </c>
      <c r="O40" s="98">
        <f t="shared" si="3"/>
        <v>2.7173782517851672E-2</v>
      </c>
      <c r="P40" s="99">
        <f t="shared" si="4"/>
        <v>2.5544193042026785E-2</v>
      </c>
      <c r="Q40" s="95">
        <f>'Ridership-25'!B32/'Revenue Miles-25'!B32</f>
        <v>0.76270122520155903</v>
      </c>
      <c r="R40" s="207">
        <f>'Ridership-25'!C32/'Revenue Miles-25'!I32</f>
        <v>0.4322966250764449</v>
      </c>
      <c r="S40" s="207">
        <f>'Ridership-25'!D32/'Revenue Miles-25'!J32</f>
        <v>0.43926607650153893</v>
      </c>
      <c r="T40" s="207">
        <f>'Ridership-25'!E32/'Revenue Miles-25'!K32</f>
        <v>0.56790094587284767</v>
      </c>
      <c r="U40" s="97">
        <f t="shared" si="5"/>
        <v>0.99166885616900835</v>
      </c>
      <c r="V40" s="98">
        <f t="shared" si="6"/>
        <v>2.770666654150129E-2</v>
      </c>
      <c r="W40" s="99">
        <f t="shared" si="7"/>
        <v>2.6085168386577866E-2</v>
      </c>
      <c r="X40" s="95">
        <f>'Op Cost-25'!B33/'Revenue Hours-25'!B32</f>
        <v>69.193957147306961</v>
      </c>
      <c r="Y40" s="96">
        <f>'Op Cost-25'!C33/'Revenue Hours-25'!C32</f>
        <v>71.568899422918378</v>
      </c>
      <c r="Z40" s="96">
        <f>'Op Cost-25'!D33/'Revenue Hours-25'!D32</f>
        <v>68.191964056482675</v>
      </c>
      <c r="AA40" s="96">
        <f>'Op Cost-25'!E33/'Revenue Hours-25'!E32</f>
        <v>90.06116622855366</v>
      </c>
      <c r="AB40" s="97">
        <f t="shared" si="8"/>
        <v>1.0722259277819035</v>
      </c>
      <c r="AC40" s="98">
        <f t="shared" si="9"/>
        <v>2.6057413144617018E-2</v>
      </c>
      <c r="AD40" s="99">
        <f t="shared" si="10"/>
        <v>2.7801053288997232E-2</v>
      </c>
      <c r="AE40" s="95">
        <f>'Op Cost-25'!B33/'Revenue Miles-25'!B32</f>
        <v>4.0405091674364728</v>
      </c>
      <c r="AF40" s="96">
        <f>'Op Cost-25'!C33/'Revenue Miles-25'!C32</f>
        <v>4.104999416812201</v>
      </c>
      <c r="AG40" s="96">
        <f>'Op Cost-25'!D33/'Revenue Miles-25'!D32</f>
        <v>4.1136964231161048</v>
      </c>
      <c r="AH40" s="96">
        <f>'Op Cost-25'!E33/'Revenue Miles-25'!E32</f>
        <v>5.6233045279945362</v>
      </c>
      <c r="AI40" s="97">
        <f t="shared" si="11"/>
        <v>1.1036725581218729</v>
      </c>
      <c r="AJ40" s="98">
        <f t="shared" si="12"/>
        <v>2.5314966634785298E-2</v>
      </c>
      <c r="AK40" s="99">
        <f t="shared" si="13"/>
        <v>2.6941808273899779E-2</v>
      </c>
      <c r="AL40" s="95">
        <f>'Op Cost-25'!B33/'Ridership-25'!B32</f>
        <v>5.2976303615726961</v>
      </c>
      <c r="AM40" s="96">
        <f>'Op Cost-25'!C33/'Ridership-25'!C32</f>
        <v>9.4957933481120662</v>
      </c>
      <c r="AN40" s="96">
        <f>'Op Cost-25'!D33/'Ridership-25'!D32</f>
        <v>9.3649308316247648</v>
      </c>
      <c r="AO40" s="96">
        <f>'Op Cost-25'!E33/'Ridership-25'!E32</f>
        <v>9.9019108329740089</v>
      </c>
      <c r="AP40" s="97">
        <f t="shared" si="14"/>
        <v>1.1267330999760947</v>
      </c>
      <c r="AQ40" s="98">
        <f t="shared" si="15"/>
        <v>2.4796852054116563E-2</v>
      </c>
      <c r="AR40" s="99">
        <f t="shared" si="16"/>
        <v>2.6930978516258693E-2</v>
      </c>
      <c r="AT40" s="101">
        <f t="shared" si="29"/>
        <v>0</v>
      </c>
      <c r="AU40" s="102">
        <f t="shared" si="17"/>
        <v>0</v>
      </c>
      <c r="AV40" s="102">
        <f t="shared" si="18"/>
        <v>0</v>
      </c>
      <c r="AW40" s="102">
        <f t="shared" si="19"/>
        <v>0</v>
      </c>
      <c r="AX40" s="103">
        <f t="shared" si="20"/>
        <v>0</v>
      </c>
      <c r="AY40" s="293">
        <f t="shared" si="30"/>
        <v>-1</v>
      </c>
      <c r="AZ40" s="105">
        <f t="shared" si="21"/>
        <v>0</v>
      </c>
      <c r="BA40" s="106">
        <f t="shared" si="21"/>
        <v>0</v>
      </c>
      <c r="BB40" s="106">
        <f t="shared" si="21"/>
        <v>0</v>
      </c>
      <c r="BC40" s="106">
        <f t="shared" si="21"/>
        <v>0</v>
      </c>
      <c r="BD40" s="106">
        <f t="shared" si="21"/>
        <v>0</v>
      </c>
      <c r="BE40" s="107">
        <f t="shared" si="31"/>
        <v>3415330.3925652057</v>
      </c>
      <c r="BG40" s="108">
        <f>'Op Cost-25'!E33</f>
        <v>12745096</v>
      </c>
      <c r="BH40" s="109">
        <f t="shared" si="22"/>
        <v>0.26797211983065533</v>
      </c>
      <c r="BI40" s="110">
        <f t="shared" si="23"/>
        <v>3415330.3925652057</v>
      </c>
      <c r="BJ40" s="111">
        <f t="shared" si="24"/>
        <v>0</v>
      </c>
      <c r="BK40" s="1">
        <f t="shared" si="32"/>
        <v>1.1786952030311353</v>
      </c>
      <c r="BL40" s="294">
        <f t="shared" si="33"/>
        <v>0.91582257909679743</v>
      </c>
      <c r="BM40" s="294">
        <f t="shared" si="34"/>
        <v>0.7837664747007741</v>
      </c>
      <c r="BN40" s="295">
        <f t="shared" si="35"/>
        <v>1.5075958791634847</v>
      </c>
      <c r="BO40" s="114">
        <f t="shared" si="25"/>
        <v>3415330.3925652057</v>
      </c>
      <c r="BP40" s="296">
        <f t="shared" si="36"/>
        <v>1.1786952030311353</v>
      </c>
      <c r="BQ40" s="116">
        <f t="shared" si="37"/>
        <v>3.2932076813033472E-2</v>
      </c>
      <c r="BR40" s="297">
        <f t="shared" si="38"/>
        <v>3.2932076813033472E-2</v>
      </c>
      <c r="BS40" s="302">
        <f t="shared" si="39"/>
        <v>3.4293901515425433E-2</v>
      </c>
      <c r="BT40" s="298">
        <f t="shared" si="40"/>
        <v>3711597.6227062726</v>
      </c>
      <c r="BU40" s="119">
        <f t="shared" si="41"/>
        <v>3823528.8</v>
      </c>
      <c r="BV40" s="119">
        <f t="shared" si="42"/>
        <v>3711597.6227062726</v>
      </c>
      <c r="BW40" s="119">
        <f t="shared" si="43"/>
        <v>0</v>
      </c>
      <c r="BX40" s="120">
        <f t="shared" si="44"/>
        <v>3.2932076813033472E-2</v>
      </c>
      <c r="BY40" s="121">
        <f t="shared" si="45"/>
        <v>6.0221337008999017E-2</v>
      </c>
      <c r="BZ40" s="299">
        <f t="shared" si="46"/>
        <v>3759420.9465803183</v>
      </c>
      <c r="CA40" s="109">
        <f t="shared" si="26"/>
        <v>3.1032895234488881E-2</v>
      </c>
      <c r="CB40" s="123">
        <f t="shared" si="57"/>
        <v>268095.18626057886</v>
      </c>
      <c r="CC40" s="111">
        <f t="shared" si="56"/>
        <v>3683426</v>
      </c>
      <c r="CE40" s="124">
        <f t="shared" si="28"/>
        <v>0</v>
      </c>
      <c r="CF40" s="17"/>
      <c r="CG40" s="108">
        <f t="shared" si="47"/>
        <v>12745096</v>
      </c>
      <c r="CH40" s="125">
        <f t="shared" si="48"/>
        <v>0.2890073170104015</v>
      </c>
      <c r="CI40" s="110">
        <f t="shared" si="49"/>
        <v>3711597.6227062726</v>
      </c>
      <c r="CJ40" s="300">
        <f t="shared" si="50"/>
        <v>0</v>
      </c>
      <c r="CL40" s="127">
        <f t="shared" si="51"/>
        <v>3711597.6227062726</v>
      </c>
      <c r="CM40" s="128">
        <f t="shared" si="52"/>
        <v>4.3159776191406742E-2</v>
      </c>
      <c r="CN40" s="129">
        <f t="shared" si="53"/>
        <v>34274.296414650205</v>
      </c>
      <c r="CO40" s="130">
        <f t="shared" si="55"/>
        <v>3745872</v>
      </c>
      <c r="CQ40" s="131">
        <f t="shared" si="54"/>
        <v>0.29496999838842469</v>
      </c>
      <c r="CR40" s="301"/>
    </row>
    <row r="41" spans="1:96">
      <c r="A41" s="133" t="s">
        <v>115</v>
      </c>
      <c r="B41" s="90" t="s">
        <v>119</v>
      </c>
      <c r="C41" s="208">
        <f>'Op Cost-25'!E34</f>
        <v>736481</v>
      </c>
      <c r="D41" s="92">
        <f>'Ridership-25'!$E33</f>
        <v>27254</v>
      </c>
      <c r="E41" s="92">
        <f>'Revenue Hours-25'!$E33</f>
        <v>18878</v>
      </c>
      <c r="F41" s="92">
        <f>'Revenue Miles-25'!$E33</f>
        <v>227896</v>
      </c>
      <c r="G41" s="134">
        <f t="shared" si="58"/>
        <v>1.8537294180871076E-3</v>
      </c>
      <c r="H41" s="94">
        <f t="shared" si="59"/>
        <v>1.853729418087108E-3</v>
      </c>
      <c r="J41" s="95">
        <f>'Ridership-25'!B33/'Revenue Hours-25'!B33</f>
        <v>3.4694402420574888</v>
      </c>
      <c r="K41" s="207">
        <f>'Ridership-25'!C33/'Revenue Hours-25'!I33</f>
        <v>2.0660778541053322</v>
      </c>
      <c r="L41" s="207">
        <f>'Ridership-25'!D33/'Revenue Hours-25'!J33</f>
        <v>1.5442640125720273</v>
      </c>
      <c r="M41" s="207">
        <f>'Ridership-25'!E33/'Revenue Hours-25'!K33</f>
        <v>1.4436910689691704</v>
      </c>
      <c r="N41" s="97">
        <f t="shared" si="2"/>
        <v>0.84040025493262005</v>
      </c>
      <c r="O41" s="98">
        <f t="shared" si="3"/>
        <v>1.5578746755365029E-3</v>
      </c>
      <c r="P41" s="99">
        <f t="shared" si="4"/>
        <v>1.464450207513304E-3</v>
      </c>
      <c r="Q41" s="95">
        <f>'Ridership-25'!B33/'Revenue Miles-25'!B33</f>
        <v>0.3128535569419939</v>
      </c>
      <c r="R41" s="207">
        <f>'Ridership-25'!C33/'Revenue Miles-25'!I33</f>
        <v>0.17929853281414856</v>
      </c>
      <c r="S41" s="207">
        <f>'Ridership-25'!D33/'Revenue Miles-25'!J33</f>
        <v>0.13392938268912755</v>
      </c>
      <c r="T41" s="207">
        <f>'Ridership-25'!E33/'Revenue Miles-25'!K33</f>
        <v>0.11958963737845332</v>
      </c>
      <c r="U41" s="97">
        <f t="shared" si="5"/>
        <v>0.8130013884664985</v>
      </c>
      <c r="V41" s="98">
        <f t="shared" si="6"/>
        <v>1.5070845907460132E-3</v>
      </c>
      <c r="W41" s="99">
        <f t="shared" si="7"/>
        <v>1.4188843419160879E-3</v>
      </c>
      <c r="X41" s="95">
        <f>'Op Cost-25'!B34/'Revenue Hours-25'!B33</f>
        <v>37.011396873424104</v>
      </c>
      <c r="Y41" s="96">
        <f>'Op Cost-25'!C34/'Revenue Hours-25'!C33</f>
        <v>43.551303020390364</v>
      </c>
      <c r="Z41" s="96">
        <f>'Op Cost-25'!D34/'Revenue Hours-25'!D33</f>
        <v>41.282399161864852</v>
      </c>
      <c r="AA41" s="96">
        <f>'Op Cost-25'!E34/'Revenue Hours-25'!E33</f>
        <v>39.012660239432144</v>
      </c>
      <c r="AB41" s="97">
        <f t="shared" si="8"/>
        <v>0.97493531099601194</v>
      </c>
      <c r="AC41" s="98">
        <f t="shared" si="9"/>
        <v>1.9013870942814698E-3</v>
      </c>
      <c r="AD41" s="99">
        <f t="shared" si="10"/>
        <v>2.0286190205358419E-3</v>
      </c>
      <c r="AE41" s="95">
        <f>'Op Cost-25'!B34/'Revenue Miles-25'!B33</f>
        <v>3.3374683958746383</v>
      </c>
      <c r="AF41" s="96">
        <f>'Op Cost-25'!C34/'Revenue Miles-25'!C33</f>
        <v>3.7794726458078038</v>
      </c>
      <c r="AG41" s="96">
        <f>'Op Cost-25'!D34/'Revenue Miles-25'!D33</f>
        <v>3.5802985698449907</v>
      </c>
      <c r="AH41" s="96">
        <f>'Op Cost-25'!E34/'Revenue Miles-25'!E33</f>
        <v>3.2316539123108785</v>
      </c>
      <c r="AI41" s="97">
        <f t="shared" si="11"/>
        <v>0.95024092814342698</v>
      </c>
      <c r="AJ41" s="98">
        <f t="shared" si="12"/>
        <v>1.9507993848559119E-3</v>
      </c>
      <c r="AK41" s="99">
        <f t="shared" si="13"/>
        <v>2.076165604556222E-3</v>
      </c>
      <c r="AL41" s="95">
        <f>'Op Cost-25'!B34/'Ridership-25'!B33</f>
        <v>10.667829474265615</v>
      </c>
      <c r="AM41" s="96">
        <f>'Op Cost-25'!C34/'Ridership-25'!C33</f>
        <v>21.079216803884314</v>
      </c>
      <c r="AN41" s="96">
        <f>'Op Cost-25'!D34/'Ridership-25'!D33</f>
        <v>26.732734056987788</v>
      </c>
      <c r="AO41" s="96">
        <f>'Op Cost-25'!E34/'Ridership-25'!E33</f>
        <v>27.022859029867174</v>
      </c>
      <c r="AP41" s="100">
        <f t="shared" si="14"/>
        <v>1.2534142474100449</v>
      </c>
      <c r="AQ41" s="98">
        <f t="shared" si="15"/>
        <v>1.4789439500288962E-3</v>
      </c>
      <c r="AR41" s="99">
        <f t="shared" si="16"/>
        <v>1.6062283897188003E-3</v>
      </c>
      <c r="AT41" s="101">
        <f t="shared" si="29"/>
        <v>0</v>
      </c>
      <c r="AU41" s="102">
        <f t="shared" si="17"/>
        <v>0</v>
      </c>
      <c r="AV41" s="102">
        <f t="shared" si="18"/>
        <v>0</v>
      </c>
      <c r="AW41" s="102">
        <f t="shared" si="19"/>
        <v>0</v>
      </c>
      <c r="AX41" s="103">
        <f t="shared" si="20"/>
        <v>0</v>
      </c>
      <c r="AY41" s="293">
        <f t="shared" si="30"/>
        <v>-1</v>
      </c>
      <c r="AZ41" s="105">
        <f t="shared" si="21"/>
        <v>0</v>
      </c>
      <c r="BA41" s="106">
        <f t="shared" si="21"/>
        <v>0</v>
      </c>
      <c r="BB41" s="106">
        <f t="shared" si="21"/>
        <v>0</v>
      </c>
      <c r="BC41" s="106">
        <f t="shared" si="21"/>
        <v>0</v>
      </c>
      <c r="BD41" s="106">
        <f t="shared" si="21"/>
        <v>0</v>
      </c>
      <c r="BE41" s="107">
        <f t="shared" si="31"/>
        <v>226600.81176585535</v>
      </c>
      <c r="BG41" s="108">
        <f>'Op Cost-25'!E34</f>
        <v>736481</v>
      </c>
      <c r="BH41" s="109">
        <f t="shared" si="22"/>
        <v>0.30768045851265052</v>
      </c>
      <c r="BI41" s="110">
        <f t="shared" si="23"/>
        <v>220944.3</v>
      </c>
      <c r="BJ41" s="111">
        <f t="shared" si="24"/>
        <v>5656.5117658553645</v>
      </c>
      <c r="BK41" s="1">
        <f t="shared" si="32"/>
        <v>0.41105430731097203</v>
      </c>
      <c r="BL41" s="294">
        <f t="shared" si="33"/>
        <v>0.20154909579238067</v>
      </c>
      <c r="BM41" s="294">
        <f t="shared" si="34"/>
        <v>0.24702525006042009</v>
      </c>
      <c r="BN41" s="295">
        <f t="shared" si="35"/>
        <v>0.59782144169554374</v>
      </c>
      <c r="BO41" s="114">
        <f t="shared" si="25"/>
        <v>0</v>
      </c>
      <c r="BP41" s="296">
        <f t="shared" si="36"/>
        <v>0.41105430731097203</v>
      </c>
      <c r="BQ41" s="116">
        <f t="shared" si="37"/>
        <v>7.6198346189376752E-4</v>
      </c>
      <c r="BR41" s="297">
        <f t="shared" si="38"/>
        <v>0</v>
      </c>
      <c r="BS41" s="117">
        <f t="shared" si="39"/>
        <v>0</v>
      </c>
      <c r="BT41" s="298">
        <f t="shared" si="40"/>
        <v>220944.3</v>
      </c>
      <c r="BU41" s="119">
        <f t="shared" si="41"/>
        <v>220944.3</v>
      </c>
      <c r="BV41" s="119">
        <f t="shared" si="42"/>
        <v>220944.3</v>
      </c>
      <c r="BW41" s="119">
        <f t="shared" si="43"/>
        <v>0</v>
      </c>
      <c r="BX41" s="120">
        <f t="shared" si="44"/>
        <v>0</v>
      </c>
      <c r="BY41" s="121">
        <f t="shared" si="45"/>
        <v>0</v>
      </c>
      <c r="BZ41" s="299">
        <f t="shared" si="46"/>
        <v>220944.3</v>
      </c>
      <c r="CA41" s="109">
        <f t="shared" si="26"/>
        <v>0</v>
      </c>
      <c r="CB41" s="123">
        <f t="shared" si="57"/>
        <v>0</v>
      </c>
      <c r="CC41" s="111">
        <f t="shared" si="56"/>
        <v>220944</v>
      </c>
      <c r="CE41" s="124">
        <f t="shared" si="28"/>
        <v>0</v>
      </c>
      <c r="CF41" s="17"/>
      <c r="CG41" s="108">
        <f t="shared" si="47"/>
        <v>736481</v>
      </c>
      <c r="CH41" s="125">
        <f t="shared" si="48"/>
        <v>0.29999959265751597</v>
      </c>
      <c r="CI41" s="110">
        <f t="shared" si="49"/>
        <v>220944.3</v>
      </c>
      <c r="CJ41" s="300">
        <f t="shared" si="50"/>
        <v>0</v>
      </c>
      <c r="CL41" s="127">
        <f t="shared" si="51"/>
        <v>0</v>
      </c>
      <c r="CM41" s="128">
        <f t="shared" si="52"/>
        <v>0</v>
      </c>
      <c r="CN41" s="129">
        <f t="shared" si="53"/>
        <v>0</v>
      </c>
      <c r="CO41" s="130">
        <f t="shared" si="55"/>
        <v>220944</v>
      </c>
      <c r="CQ41" s="131">
        <f t="shared" si="54"/>
        <v>0.3</v>
      </c>
      <c r="CR41" s="301"/>
    </row>
    <row r="42" spans="1:96">
      <c r="A42" s="133" t="s">
        <v>120</v>
      </c>
      <c r="B42" s="90" t="s">
        <v>121</v>
      </c>
      <c r="C42" s="208">
        <f>'Op Cost-25'!E35</f>
        <v>3047407</v>
      </c>
      <c r="D42" s="92">
        <f>'Ridership-25'!$E34</f>
        <v>196967</v>
      </c>
      <c r="E42" s="92">
        <f>'Revenue Hours-25'!$E34</f>
        <v>37781</v>
      </c>
      <c r="F42" s="92">
        <f>'Revenue Miles-25'!$E34</f>
        <v>740596</v>
      </c>
      <c r="G42" s="134">
        <f t="shared" si="58"/>
        <v>6.4636896001761292E-3</v>
      </c>
      <c r="H42" s="94">
        <f t="shared" si="59"/>
        <v>6.4636896001761309E-3</v>
      </c>
      <c r="J42" s="95">
        <f>'Ridership-25'!B34/'Revenue Hours-25'!B34</f>
        <v>8.9718507404266425</v>
      </c>
      <c r="K42" s="207">
        <f>'Ridership-25'!C34/'Revenue Hours-25'!I34</f>
        <v>4.4820247253569612</v>
      </c>
      <c r="L42" s="207">
        <f>'Ridership-25'!D34/'Revenue Hours-25'!J34</f>
        <v>4.4056907707718551</v>
      </c>
      <c r="M42" s="207">
        <f>'Ridership-25'!E34/'Revenue Hours-25'!K34</f>
        <v>5.2133876816389186</v>
      </c>
      <c r="N42" s="97">
        <f t="shared" si="2"/>
        <v>0.90835246138830117</v>
      </c>
      <c r="O42" s="98">
        <f t="shared" si="3"/>
        <v>5.8713083579699527E-3</v>
      </c>
      <c r="P42" s="99">
        <f t="shared" si="4"/>
        <v>5.5192108057361038E-3</v>
      </c>
      <c r="Q42" s="95">
        <f>'Ridership-25'!B34/'Revenue Miles-25'!B34</f>
        <v>0.47298136165339449</v>
      </c>
      <c r="R42" s="207">
        <f>'Ridership-25'!C34/'Revenue Miles-25'!I34</f>
        <v>0.24753017027607868</v>
      </c>
      <c r="S42" s="207">
        <f>'Ridership-25'!D34/'Revenue Miles-25'!J34</f>
        <v>0.22914428374898088</v>
      </c>
      <c r="T42" s="207">
        <f>'Ridership-25'!E34/'Revenue Miles-25'!K34</f>
        <v>0.26595741807949275</v>
      </c>
      <c r="U42" s="97">
        <f t="shared" si="5"/>
        <v>0.90311901263706085</v>
      </c>
      <c r="V42" s="98">
        <f t="shared" si="6"/>
        <v>5.8374809697035058E-3</v>
      </c>
      <c r="W42" s="99">
        <f t="shared" si="7"/>
        <v>5.4958496656418391E-3</v>
      </c>
      <c r="X42" s="95">
        <f>'Op Cost-25'!B35/'Revenue Hours-25'!B34</f>
        <v>69.175941026811927</v>
      </c>
      <c r="Y42" s="96">
        <f>'Op Cost-25'!C35/'Revenue Hours-25'!C34</f>
        <v>68.510851019247468</v>
      </c>
      <c r="Z42" s="96">
        <f>'Op Cost-25'!D35/'Revenue Hours-25'!D34</f>
        <v>68.297046322116032</v>
      </c>
      <c r="AA42" s="96">
        <f>'Op Cost-25'!E35/'Revenue Hours-25'!E34</f>
        <v>80.659776077922771</v>
      </c>
      <c r="AB42" s="97">
        <f t="shared" si="8"/>
        <v>1.0248673110642346</v>
      </c>
      <c r="AC42" s="98">
        <f t="shared" si="9"/>
        <v>6.3068550732330005E-3</v>
      </c>
      <c r="AD42" s="99">
        <f t="shared" si="10"/>
        <v>6.7288802999677126E-3</v>
      </c>
      <c r="AE42" s="95">
        <f>'Op Cost-25'!B35/'Revenue Miles-25'!B34</f>
        <v>3.6468429677599077</v>
      </c>
      <c r="AF42" s="96">
        <f>'Op Cost-25'!C35/'Revenue Miles-25'!C34</f>
        <v>3.7836700281038187</v>
      </c>
      <c r="AG42" s="96">
        <f>'Op Cost-25'!D35/'Revenue Miles-25'!D34</f>
        <v>3.5521961426517614</v>
      </c>
      <c r="AH42" s="96">
        <f>'Op Cost-25'!E35/'Revenue Miles-25'!E34</f>
        <v>4.1148034826005002</v>
      </c>
      <c r="AI42" s="97">
        <f t="shared" si="11"/>
        <v>1.0132979492896574</v>
      </c>
      <c r="AJ42" s="98">
        <f t="shared" si="12"/>
        <v>6.3788637929320883E-3</v>
      </c>
      <c r="AK42" s="99">
        <f t="shared" si="13"/>
        <v>6.7887952527793264E-3</v>
      </c>
      <c r="AL42" s="95">
        <f>'Op Cost-25'!B35/'Ridership-25'!B34</f>
        <v>7.7103312380252964</v>
      </c>
      <c r="AM42" s="96">
        <f>'Op Cost-25'!C35/'Ridership-25'!C34</f>
        <v>15.285692341599267</v>
      </c>
      <c r="AN42" s="96">
        <f>'Op Cost-25'!D35/'Ridership-25'!D34</f>
        <v>15.502006353966314</v>
      </c>
      <c r="AO42" s="96">
        <f>'Op Cost-25'!E35/'Ridership-25'!E34</f>
        <v>15.471662765844025</v>
      </c>
      <c r="AP42" s="100">
        <f t="shared" si="14"/>
        <v>1.1399698582123643</v>
      </c>
      <c r="AQ42" s="98">
        <f t="shared" si="15"/>
        <v>5.6700530751857955E-3</v>
      </c>
      <c r="AR42" s="99">
        <f t="shared" si="16"/>
        <v>6.1580428524000983E-3</v>
      </c>
      <c r="AT42" s="101">
        <f t="shared" si="29"/>
        <v>0</v>
      </c>
      <c r="AU42" s="102">
        <f t="shared" si="17"/>
        <v>0</v>
      </c>
      <c r="AV42" s="102">
        <f t="shared" si="18"/>
        <v>0</v>
      </c>
      <c r="AW42" s="102">
        <f t="shared" si="19"/>
        <v>0</v>
      </c>
      <c r="AX42" s="103">
        <f t="shared" si="20"/>
        <v>0</v>
      </c>
      <c r="AY42" s="293">
        <f t="shared" si="30"/>
        <v>-1</v>
      </c>
      <c r="AZ42" s="105">
        <f t="shared" si="21"/>
        <v>0</v>
      </c>
      <c r="BA42" s="106">
        <f t="shared" si="21"/>
        <v>0</v>
      </c>
      <c r="BB42" s="106">
        <f t="shared" si="21"/>
        <v>0</v>
      </c>
      <c r="BC42" s="106">
        <f t="shared" si="21"/>
        <v>0</v>
      </c>
      <c r="BD42" s="106">
        <f t="shared" si="21"/>
        <v>0</v>
      </c>
      <c r="BE42" s="107">
        <f t="shared" si="31"/>
        <v>790124.65147899056</v>
      </c>
      <c r="BG42" s="108">
        <f>'Op Cost-25'!E35</f>
        <v>3047407</v>
      </c>
      <c r="BH42" s="109">
        <f t="shared" si="22"/>
        <v>0.25927769132216033</v>
      </c>
      <c r="BI42" s="110">
        <f t="shared" si="23"/>
        <v>790124.65147899056</v>
      </c>
      <c r="BJ42" s="111">
        <f t="shared" si="24"/>
        <v>0</v>
      </c>
      <c r="BK42" s="1">
        <f t="shared" si="32"/>
        <v>0.70532316431876785</v>
      </c>
      <c r="BL42" s="294">
        <f t="shared" si="33"/>
        <v>0.54134413899325173</v>
      </c>
      <c r="BM42" s="294">
        <f t="shared" si="34"/>
        <v>0.41013985407461001</v>
      </c>
      <c r="BN42" s="295">
        <f t="shared" si="35"/>
        <v>0.93490433210360468</v>
      </c>
      <c r="BO42" s="114">
        <f t="shared" si="25"/>
        <v>790124.65147899056</v>
      </c>
      <c r="BP42" s="296">
        <f t="shared" si="36"/>
        <v>0.70532316431876785</v>
      </c>
      <c r="BQ42" s="116">
        <f t="shared" si="37"/>
        <v>4.5589900019705398E-3</v>
      </c>
      <c r="BR42" s="297">
        <f t="shared" si="38"/>
        <v>4.5589900019705398E-3</v>
      </c>
      <c r="BS42" s="117">
        <f t="shared" si="39"/>
        <v>4.7475157739068031E-3</v>
      </c>
      <c r="BT42" s="298">
        <f t="shared" si="40"/>
        <v>831138.74687883095</v>
      </c>
      <c r="BU42" s="119">
        <f t="shared" si="41"/>
        <v>914222.1</v>
      </c>
      <c r="BV42" s="119">
        <f t="shared" si="42"/>
        <v>831138.74687883095</v>
      </c>
      <c r="BW42" s="119">
        <f t="shared" si="43"/>
        <v>0</v>
      </c>
      <c r="BX42" s="120">
        <f t="shared" si="44"/>
        <v>4.5589900019705398E-3</v>
      </c>
      <c r="BY42" s="121">
        <f t="shared" si="45"/>
        <v>8.3368101832152711E-3</v>
      </c>
      <c r="BZ42" s="299">
        <f t="shared" si="46"/>
        <v>837759.22382720502</v>
      </c>
      <c r="CA42" s="109">
        <f t="shared" si="26"/>
        <v>7.1793509596938419E-3</v>
      </c>
      <c r="CB42" s="123">
        <f t="shared" si="57"/>
        <v>62022.876635438341</v>
      </c>
      <c r="CC42" s="111">
        <f t="shared" si="56"/>
        <v>852148</v>
      </c>
      <c r="CE42" s="124">
        <f t="shared" si="28"/>
        <v>0</v>
      </c>
      <c r="CF42" s="17"/>
      <c r="CG42" s="108">
        <f t="shared" si="47"/>
        <v>3047407</v>
      </c>
      <c r="CH42" s="125">
        <f t="shared" si="48"/>
        <v>0.27963051866718164</v>
      </c>
      <c r="CI42" s="110">
        <f t="shared" si="49"/>
        <v>831138.74687883095</v>
      </c>
      <c r="CJ42" s="300">
        <f t="shared" si="50"/>
        <v>0</v>
      </c>
      <c r="CL42" s="127">
        <f t="shared" si="51"/>
        <v>831138.74687883095</v>
      </c>
      <c r="CM42" s="128">
        <f t="shared" si="52"/>
        <v>9.664776720365793E-3</v>
      </c>
      <c r="CN42" s="129">
        <f t="shared" si="53"/>
        <v>7675.049579176959</v>
      </c>
      <c r="CO42" s="130">
        <f t="shared" si="55"/>
        <v>838814</v>
      </c>
      <c r="CQ42" s="131">
        <f t="shared" si="54"/>
        <v>0.27490887296222821</v>
      </c>
      <c r="CR42" s="301"/>
    </row>
    <row r="43" spans="1:96">
      <c r="A43" s="133" t="s">
        <v>120</v>
      </c>
      <c r="B43" s="90" t="s">
        <v>122</v>
      </c>
      <c r="C43" s="208">
        <f>'Op Cost-25'!E36</f>
        <v>6578658</v>
      </c>
      <c r="D43" s="92">
        <f>'Ridership-25'!$E35</f>
        <v>1522746</v>
      </c>
      <c r="E43" s="92">
        <f>'Revenue Hours-25'!$E35</f>
        <v>72014</v>
      </c>
      <c r="F43" s="92">
        <f>'Revenue Miles-25'!$E35</f>
        <v>723645</v>
      </c>
      <c r="G43" s="134">
        <f t="shared" si="58"/>
        <v>1.9675579427727338E-2</v>
      </c>
      <c r="H43" s="94">
        <f t="shared" si="59"/>
        <v>1.9675579427727342E-2</v>
      </c>
      <c r="J43" s="95">
        <f>'Ridership-25'!B35/'Revenue Hours-25'!B35</f>
        <v>28.025032050011234</v>
      </c>
      <c r="K43" s="207">
        <f>'Ridership-25'!C35/'Revenue Hours-25'!I35</f>
        <v>6.5232631919715116</v>
      </c>
      <c r="L43" s="207">
        <f>'Ridership-25'!D35/'Revenue Hours-25'!J35</f>
        <v>18.24961092626382</v>
      </c>
      <c r="M43" s="207">
        <f>'Ridership-25'!E35/'Revenue Hours-25'!K35</f>
        <v>21.145138445302301</v>
      </c>
      <c r="N43" s="97">
        <f t="shared" si="2"/>
        <v>1.1978340749715837</v>
      </c>
      <c r="O43" s="98">
        <f t="shared" si="3"/>
        <v>2.3568079483341702E-2</v>
      </c>
      <c r="P43" s="99">
        <f t="shared" si="4"/>
        <v>2.2154721064570695E-2</v>
      </c>
      <c r="Q43" s="95">
        <f>'Ridership-25'!B35/'Revenue Miles-25'!B35</f>
        <v>2.8699282943585609</v>
      </c>
      <c r="R43" s="207">
        <f>'Ridership-25'!C35/'Revenue Miles-25'!I35</f>
        <v>0.66929775146545356</v>
      </c>
      <c r="S43" s="207">
        <f>'Ridership-25'!D35/'Revenue Miles-25'!J35</f>
        <v>1.8049204125068334</v>
      </c>
      <c r="T43" s="207">
        <f>'Ridership-25'!E35/'Revenue Miles-25'!K35</f>
        <v>2.1042721223804488</v>
      </c>
      <c r="U43" s="97">
        <f t="shared" si="5"/>
        <v>1.1884918056903948</v>
      </c>
      <c r="V43" s="98">
        <f t="shared" si="6"/>
        <v>2.3384264922064454E-2</v>
      </c>
      <c r="W43" s="99">
        <f t="shared" si="7"/>
        <v>2.2015729939028079E-2</v>
      </c>
      <c r="X43" s="95">
        <f>'Op Cost-25'!B36/'Revenue Hours-25'!B35</f>
        <v>65.071448396177786</v>
      </c>
      <c r="Y43" s="96">
        <f>'Op Cost-25'!C36/'Revenue Hours-25'!C35</f>
        <v>76.682473292327614</v>
      </c>
      <c r="Z43" s="96">
        <f>'Op Cost-25'!D36/'Revenue Hours-25'!D35</f>
        <v>79.970349898035849</v>
      </c>
      <c r="AA43" s="96">
        <f>'Op Cost-25'!E36/'Revenue Hours-25'!E35</f>
        <v>91.352487016413477</v>
      </c>
      <c r="AB43" s="97">
        <f t="shared" si="8"/>
        <v>1.0776531680080332</v>
      </c>
      <c r="AC43" s="98">
        <f t="shared" si="9"/>
        <v>1.8257803170658587E-2</v>
      </c>
      <c r="AD43" s="99">
        <f t="shared" si="10"/>
        <v>1.9479529916129067E-2</v>
      </c>
      <c r="AE43" s="95">
        <f>'Op Cost-25'!B36/'Revenue Miles-25'!B35</f>
        <v>6.6636994588917435</v>
      </c>
      <c r="AF43" s="96">
        <f>'Op Cost-25'!C36/'Revenue Miles-25'!C35</f>
        <v>7.8677504557122129</v>
      </c>
      <c r="AG43" s="96">
        <f>'Op Cost-25'!D36/'Revenue Miles-25'!D35</f>
        <v>7.9092161202490328</v>
      </c>
      <c r="AH43" s="96">
        <f>'Op Cost-25'!E36/'Revenue Miles-25'!E35</f>
        <v>9.0910018033704372</v>
      </c>
      <c r="AI43" s="97">
        <f t="shared" si="11"/>
        <v>1.0712438771767705</v>
      </c>
      <c r="AJ43" s="98">
        <f t="shared" si="12"/>
        <v>1.8367040266854744E-2</v>
      </c>
      <c r="AK43" s="99">
        <f t="shared" si="13"/>
        <v>1.9547380194791016E-2</v>
      </c>
      <c r="AL43" s="95">
        <f>'Op Cost-25'!B36/'Ridership-25'!B35</f>
        <v>2.3219045130816078</v>
      </c>
      <c r="AM43" s="96">
        <f>'Op Cost-25'!C36/'Ridership-25'!C35</f>
        <v>11.755232164586637</v>
      </c>
      <c r="AN43" s="96">
        <f>'Op Cost-25'!D36/'Ridership-25'!D35</f>
        <v>4.3820304016973317</v>
      </c>
      <c r="AO43" s="96">
        <f>'Op Cost-25'!E36/'Ridership-25'!E35</f>
        <v>4.3202595836731801</v>
      </c>
      <c r="AP43" s="100">
        <f t="shared" si="14"/>
        <v>1.2919205262644085</v>
      </c>
      <c r="AQ43" s="98">
        <f t="shared" si="15"/>
        <v>1.5229713459712056E-2</v>
      </c>
      <c r="AR43" s="99">
        <f t="shared" si="16"/>
        <v>1.6540449775526708E-2</v>
      </c>
      <c r="AT43" s="101">
        <f t="shared" si="29"/>
        <v>0</v>
      </c>
      <c r="AU43" s="102">
        <f t="shared" si="17"/>
        <v>0</v>
      </c>
      <c r="AV43" s="102">
        <f t="shared" si="18"/>
        <v>0</v>
      </c>
      <c r="AW43" s="102">
        <f t="shared" si="19"/>
        <v>0</v>
      </c>
      <c r="AX43" s="103">
        <f t="shared" si="20"/>
        <v>0</v>
      </c>
      <c r="AY43" s="293">
        <f t="shared" si="30"/>
        <v>-1</v>
      </c>
      <c r="AZ43" s="105">
        <f t="shared" si="21"/>
        <v>0</v>
      </c>
      <c r="BA43" s="106">
        <f t="shared" si="21"/>
        <v>0</v>
      </c>
      <c r="BB43" s="106">
        <f t="shared" si="21"/>
        <v>0</v>
      </c>
      <c r="BC43" s="106">
        <f t="shared" si="21"/>
        <v>0</v>
      </c>
      <c r="BD43" s="106">
        <f t="shared" si="21"/>
        <v>0</v>
      </c>
      <c r="BE43" s="107">
        <f t="shared" si="31"/>
        <v>2405152.6758891148</v>
      </c>
      <c r="BG43" s="108">
        <f>'Op Cost-25'!E36</f>
        <v>6578658</v>
      </c>
      <c r="BH43" s="109">
        <f t="shared" si="22"/>
        <v>0.36559928725419605</v>
      </c>
      <c r="BI43" s="110">
        <f t="shared" si="23"/>
        <v>1973597.4</v>
      </c>
      <c r="BJ43" s="111">
        <f t="shared" si="24"/>
        <v>431555.27588911494</v>
      </c>
      <c r="BK43" s="1">
        <f t="shared" si="32"/>
        <v>2.2215307862567388</v>
      </c>
      <c r="BL43" s="294">
        <f t="shared" si="33"/>
        <v>1.6507338757935501</v>
      </c>
      <c r="BM43" s="294">
        <f t="shared" si="34"/>
        <v>2.3687597687819699</v>
      </c>
      <c r="BN43" s="295">
        <f t="shared" si="35"/>
        <v>2.4333147502257177</v>
      </c>
      <c r="BO43" s="114">
        <f t="shared" si="25"/>
        <v>0</v>
      </c>
      <c r="BP43" s="296">
        <f t="shared" si="36"/>
        <v>2.2215307862567388</v>
      </c>
      <c r="BQ43" s="116">
        <f t="shared" si="37"/>
        <v>4.3709905436136037E-2</v>
      </c>
      <c r="BR43" s="297">
        <f t="shared" si="38"/>
        <v>0</v>
      </c>
      <c r="BS43" s="117">
        <f t="shared" si="39"/>
        <v>0</v>
      </c>
      <c r="BT43" s="298">
        <f t="shared" si="40"/>
        <v>1973597.4</v>
      </c>
      <c r="BU43" s="119">
        <f t="shared" si="41"/>
        <v>1973597.4</v>
      </c>
      <c r="BV43" s="119">
        <f t="shared" si="42"/>
        <v>1973597.4</v>
      </c>
      <c r="BW43" s="119">
        <f t="shared" si="43"/>
        <v>0</v>
      </c>
      <c r="BX43" s="120">
        <f t="shared" si="44"/>
        <v>0</v>
      </c>
      <c r="BY43" s="121">
        <f t="shared" si="45"/>
        <v>0</v>
      </c>
      <c r="BZ43" s="299">
        <f t="shared" si="46"/>
        <v>1973597.4</v>
      </c>
      <c r="CA43" s="109">
        <f t="shared" si="26"/>
        <v>0</v>
      </c>
      <c r="CB43" s="123">
        <f t="shared" si="57"/>
        <v>0</v>
      </c>
      <c r="CC43" s="111">
        <f t="shared" si="56"/>
        <v>1973597</v>
      </c>
      <c r="CE43" s="124">
        <f t="shared" si="28"/>
        <v>0</v>
      </c>
      <c r="CF43" s="17"/>
      <c r="CG43" s="108">
        <f t="shared" si="47"/>
        <v>6578658</v>
      </c>
      <c r="CH43" s="125">
        <f t="shared" si="48"/>
        <v>0.29999993919732565</v>
      </c>
      <c r="CI43" s="110">
        <f t="shared" si="49"/>
        <v>1973597.4</v>
      </c>
      <c r="CJ43" s="300">
        <f t="shared" si="50"/>
        <v>0</v>
      </c>
      <c r="CL43" s="127">
        <f t="shared" si="51"/>
        <v>0</v>
      </c>
      <c r="CM43" s="128">
        <f t="shared" si="52"/>
        <v>0</v>
      </c>
      <c r="CN43" s="129">
        <f t="shared" si="53"/>
        <v>0</v>
      </c>
      <c r="CO43" s="130">
        <f t="shared" si="55"/>
        <v>1973597</v>
      </c>
      <c r="CQ43" s="131">
        <f t="shared" si="54"/>
        <v>0.3</v>
      </c>
      <c r="CR43" s="301"/>
    </row>
    <row r="44" spans="1:96">
      <c r="A44" s="133" t="s">
        <v>120</v>
      </c>
      <c r="B44" s="90" t="s">
        <v>123</v>
      </c>
      <c r="C44" s="208">
        <f>'Op Cost-25'!E37</f>
        <v>1923269</v>
      </c>
      <c r="D44" s="92">
        <f>'Ridership-25'!$E36</f>
        <v>180625</v>
      </c>
      <c r="E44" s="92">
        <f>'Revenue Hours-25'!$E36</f>
        <v>20219</v>
      </c>
      <c r="F44" s="92">
        <f>'Revenue Miles-25'!$E36</f>
        <v>226791</v>
      </c>
      <c r="G44" s="93">
        <f t="shared" si="58"/>
        <v>3.8048347026038176E-3</v>
      </c>
      <c r="H44" s="94">
        <f t="shared" si="59"/>
        <v>3.8048347026038184E-3</v>
      </c>
      <c r="J44" s="95">
        <f>'Ridership-25'!B36/'Revenue Hours-25'!B36</f>
        <v>7.608599966141866</v>
      </c>
      <c r="K44" s="207">
        <f>'Ridership-25'!C36/'Revenue Hours-25'!I36</f>
        <v>5.1692512721104915</v>
      </c>
      <c r="L44" s="207">
        <f>'Ridership-25'!D36/'Revenue Hours-25'!J36</f>
        <v>7.7540727902946278</v>
      </c>
      <c r="M44" s="207">
        <f>'Ridership-25'!E36/'Revenue Hours-25'!K36</f>
        <v>8.9334289529650324</v>
      </c>
      <c r="N44" s="97">
        <f t="shared" si="2"/>
        <v>1.1500971386548942</v>
      </c>
      <c r="O44" s="98">
        <f t="shared" si="3"/>
        <v>4.3759295045194971E-3</v>
      </c>
      <c r="P44" s="99">
        <f t="shared" si="4"/>
        <v>4.1135085970572423E-3</v>
      </c>
      <c r="Q44" s="95">
        <f>'Ridership-25'!B36/'Revenue Miles-25'!B36</f>
        <v>0.70818473562300743</v>
      </c>
      <c r="R44" s="207">
        <f>'Ridership-25'!C36/'Revenue Miles-25'!I36</f>
        <v>0.48672727894958989</v>
      </c>
      <c r="S44" s="207">
        <f>'Ridership-25'!D36/'Revenue Miles-25'!J36</f>
        <v>0.72460145651246777</v>
      </c>
      <c r="T44" s="207">
        <f>'Ridership-25'!E36/'Revenue Miles-25'!K36</f>
        <v>0.79643813026090104</v>
      </c>
      <c r="U44" s="97">
        <f t="shared" si="5"/>
        <v>1.1400155949855248</v>
      </c>
      <c r="V44" s="98">
        <f t="shared" si="6"/>
        <v>4.3375708973104644E-3</v>
      </c>
      <c r="W44" s="99">
        <f t="shared" si="7"/>
        <v>4.0837199623268818E-3</v>
      </c>
      <c r="X44" s="95">
        <f>'Op Cost-25'!B37/'Revenue Hours-25'!B36</f>
        <v>63.818012527509737</v>
      </c>
      <c r="Y44" s="96">
        <f>'Op Cost-25'!C37/'Revenue Hours-25'!C36</f>
        <v>76.918100314998782</v>
      </c>
      <c r="Z44" s="96">
        <f>'Op Cost-25'!D37/'Revenue Hours-25'!D36</f>
        <v>82.248006932409012</v>
      </c>
      <c r="AA44" s="96">
        <f>'Op Cost-25'!E37/'Revenue Hours-25'!E36</f>
        <v>95.121865571986746</v>
      </c>
      <c r="AB44" s="97">
        <f t="shared" si="8"/>
        <v>1.0988498860626592</v>
      </c>
      <c r="AC44" s="98">
        <f t="shared" si="9"/>
        <v>3.4625609474621694E-3</v>
      </c>
      <c r="AD44" s="99">
        <f t="shared" si="10"/>
        <v>3.6942593220034448E-3</v>
      </c>
      <c r="AE44" s="95">
        <f>'Op Cost-25'!B37/'Revenue Miles-25'!B36</f>
        <v>5.9399814066841392</v>
      </c>
      <c r="AF44" s="96">
        <f>'Op Cost-25'!C37/'Revenue Miles-25'!C36</f>
        <v>7.2424681443287211</v>
      </c>
      <c r="AG44" s="96">
        <f>'Op Cost-25'!D37/'Revenue Miles-25'!D36</f>
        <v>7.6858996852680619</v>
      </c>
      <c r="AH44" s="96">
        <f>'Op Cost-25'!E37/'Revenue Miles-25'!E36</f>
        <v>8.480358568020776</v>
      </c>
      <c r="AI44" s="97">
        <f t="shared" si="11"/>
        <v>1.0842189748815474</v>
      </c>
      <c r="AJ44" s="98">
        <f t="shared" si="12"/>
        <v>3.5092862150097512E-3</v>
      </c>
      <c r="AK44" s="99">
        <f t="shared" si="13"/>
        <v>3.7348070707356089E-3</v>
      </c>
      <c r="AL44" s="95">
        <f>'Op Cost-25'!B37/'Ridership-25'!B36</f>
        <v>8.3876156995372018</v>
      </c>
      <c r="AM44" s="96">
        <f>'Op Cost-25'!C37/'Ridership-25'!C36</f>
        <v>14.879930625541988</v>
      </c>
      <c r="AN44" s="96">
        <f>'Op Cost-25'!D37/'Ridership-25'!D36</f>
        <v>10.607071813325586</v>
      </c>
      <c r="AO44" s="96">
        <f>'Op Cost-25'!E37/'Ridership-25'!E36</f>
        <v>10.647856055363322</v>
      </c>
      <c r="AP44" s="100">
        <f t="shared" si="14"/>
        <v>0.98408901154710049</v>
      </c>
      <c r="AQ44" s="98">
        <f t="shared" si="15"/>
        <v>3.8663521876158161E-3</v>
      </c>
      <c r="AR44" s="99">
        <f t="shared" si="16"/>
        <v>4.1991075106521617E-3</v>
      </c>
      <c r="AT44" s="101">
        <f t="shared" si="29"/>
        <v>0</v>
      </c>
      <c r="AU44" s="102">
        <f t="shared" si="17"/>
        <v>0</v>
      </c>
      <c r="AV44" s="102">
        <f t="shared" si="18"/>
        <v>0</v>
      </c>
      <c r="AW44" s="102">
        <f t="shared" si="19"/>
        <v>0</v>
      </c>
      <c r="AX44" s="103">
        <f t="shared" si="20"/>
        <v>0</v>
      </c>
      <c r="AY44" s="293">
        <f t="shared" si="30"/>
        <v>-1</v>
      </c>
      <c r="AZ44" s="105">
        <f t="shared" si="21"/>
        <v>0</v>
      </c>
      <c r="BA44" s="106">
        <f t="shared" si="21"/>
        <v>0</v>
      </c>
      <c r="BB44" s="106">
        <f t="shared" si="21"/>
        <v>0</v>
      </c>
      <c r="BC44" s="106">
        <f t="shared" si="21"/>
        <v>0</v>
      </c>
      <c r="BD44" s="106">
        <f t="shared" si="21"/>
        <v>0</v>
      </c>
      <c r="BE44" s="107">
        <f t="shared" si="31"/>
        <v>465104.89817581762</v>
      </c>
      <c r="BG44" s="108">
        <f>'Op Cost-25'!E37</f>
        <v>1923269</v>
      </c>
      <c r="BH44" s="109">
        <f t="shared" si="22"/>
        <v>0.24183039303176915</v>
      </c>
      <c r="BI44" s="110">
        <f t="shared" si="23"/>
        <v>465104.89817581762</v>
      </c>
      <c r="BJ44" s="111">
        <f t="shared" si="24"/>
        <v>0</v>
      </c>
      <c r="BK44" s="1">
        <f t="shared" si="32"/>
        <v>1.0692351141952825</v>
      </c>
      <c r="BL44" s="294">
        <f t="shared" si="33"/>
        <v>0.81479983148073609</v>
      </c>
      <c r="BM44" s="294">
        <f t="shared" si="34"/>
        <v>1.0767090349490063</v>
      </c>
      <c r="BN44" s="295">
        <f t="shared" si="35"/>
        <v>1.1927157951756937</v>
      </c>
      <c r="BO44" s="114">
        <f t="shared" si="25"/>
        <v>465104.89817581762</v>
      </c>
      <c r="BP44" s="296">
        <f t="shared" si="36"/>
        <v>1.0692351141952825</v>
      </c>
      <c r="BQ44" s="116">
        <f t="shared" si="37"/>
        <v>4.0682628677327672E-3</v>
      </c>
      <c r="BR44" s="297">
        <f t="shared" si="38"/>
        <v>4.0682628677327672E-3</v>
      </c>
      <c r="BS44" s="117">
        <f t="shared" si="39"/>
        <v>4.2364958310091606E-3</v>
      </c>
      <c r="BT44" s="298">
        <f t="shared" si="40"/>
        <v>501704.25928358483</v>
      </c>
      <c r="BU44" s="119">
        <f t="shared" si="41"/>
        <v>576980.69999999995</v>
      </c>
      <c r="BV44" s="119">
        <f t="shared" si="42"/>
        <v>501704.25928358483</v>
      </c>
      <c r="BW44" s="119">
        <f t="shared" si="43"/>
        <v>0</v>
      </c>
      <c r="BX44" s="120">
        <f t="shared" si="44"/>
        <v>4.0682628677327672E-3</v>
      </c>
      <c r="BY44" s="121">
        <f t="shared" si="45"/>
        <v>7.4394405973804249E-3</v>
      </c>
      <c r="BZ44" s="299">
        <f t="shared" si="46"/>
        <v>507612.11179567844</v>
      </c>
      <c r="CA44" s="109">
        <f t="shared" si="26"/>
        <v>4.2261069703704223E-3</v>
      </c>
      <c r="CB44" s="123">
        <f t="shared" si="57"/>
        <v>36509.611069721053</v>
      </c>
      <c r="CC44" s="111">
        <f t="shared" si="56"/>
        <v>501615</v>
      </c>
      <c r="CE44" s="124">
        <f t="shared" si="28"/>
        <v>0</v>
      </c>
      <c r="CF44" s="17"/>
      <c r="CG44" s="108">
        <f t="shared" si="47"/>
        <v>1923269</v>
      </c>
      <c r="CH44" s="125">
        <f t="shared" si="48"/>
        <v>0.26081374992265771</v>
      </c>
      <c r="CI44" s="110">
        <f t="shared" si="49"/>
        <v>501704.25928358483</v>
      </c>
      <c r="CJ44" s="300">
        <f t="shared" si="50"/>
        <v>0</v>
      </c>
      <c r="CL44" s="127">
        <f t="shared" si="51"/>
        <v>501704.25928358483</v>
      </c>
      <c r="CM44" s="128">
        <f t="shared" si="52"/>
        <v>5.8339954235574268E-3</v>
      </c>
      <c r="CN44" s="129">
        <f t="shared" si="53"/>
        <v>4632.9269072653797</v>
      </c>
      <c r="CO44" s="130">
        <f t="shared" si="55"/>
        <v>506337</v>
      </c>
      <c r="CQ44" s="131">
        <f t="shared" si="54"/>
        <v>0.26393193661192399</v>
      </c>
      <c r="CR44" s="301"/>
    </row>
    <row r="45" spans="1:96">
      <c r="A45" s="133" t="s">
        <v>124</v>
      </c>
      <c r="B45" s="90" t="s">
        <v>125</v>
      </c>
      <c r="C45" s="208">
        <f>'Op Cost-25'!E38</f>
        <v>5000804</v>
      </c>
      <c r="D45" s="92">
        <f>'Ridership-25'!$E37</f>
        <v>129839</v>
      </c>
      <c r="E45" s="92">
        <f>'Revenue Hours-25'!$E37</f>
        <v>61652</v>
      </c>
      <c r="F45" s="92">
        <f>'Revenue Miles-25'!$E37</f>
        <v>1393044</v>
      </c>
      <c r="G45" s="134">
        <f t="shared" si="58"/>
        <v>9.5865054207297049E-3</v>
      </c>
      <c r="H45" s="94">
        <f t="shared" si="59"/>
        <v>9.5865054207297067E-3</v>
      </c>
      <c r="J45" s="95">
        <f>'Ridership-25'!B37/'Revenue Hours-25'!B37</f>
        <v>2.3373679249962795</v>
      </c>
      <c r="K45" s="207">
        <f>'Ridership-25'!C37/'Revenue Hours-25'!I37</f>
        <v>1.944317205840252</v>
      </c>
      <c r="L45" s="207">
        <f>'Ridership-25'!D37/'Revenue Hours-25'!J37</f>
        <v>2.0984220777077214</v>
      </c>
      <c r="M45" s="207">
        <f>'Ridership-25'!E37/'Revenue Hours-25'!K37</f>
        <v>2.1059981833517161</v>
      </c>
      <c r="N45" s="97">
        <f t="shared" si="2"/>
        <v>1.0987525202440334</v>
      </c>
      <c r="O45" s="98">
        <f t="shared" si="3"/>
        <v>1.0533196991359852E-2</v>
      </c>
      <c r="P45" s="99">
        <f t="shared" si="4"/>
        <v>9.9015297969737154E-3</v>
      </c>
      <c r="Q45" s="95">
        <f>'Ridership-25'!B37/'Revenue Miles-25'!B37</f>
        <v>9.8864253896849164E-2</v>
      </c>
      <c r="R45" s="207">
        <f>'Ridership-25'!C37/'Revenue Miles-25'!I37</f>
        <v>8.4847547858705061E-2</v>
      </c>
      <c r="S45" s="207">
        <f>'Ridership-25'!D37/'Revenue Miles-25'!J37</f>
        <v>9.06701755136681E-2</v>
      </c>
      <c r="T45" s="207">
        <f>'Ridership-25'!E37/'Revenue Miles-25'!K37</f>
        <v>9.3205239748349655E-2</v>
      </c>
      <c r="U45" s="97">
        <f t="shared" si="5"/>
        <v>1.1181230609285835</v>
      </c>
      <c r="V45" s="98">
        <f t="shared" si="6"/>
        <v>1.0718892784634757E-2</v>
      </c>
      <c r="W45" s="99">
        <f t="shared" si="7"/>
        <v>1.0091582933156483E-2</v>
      </c>
      <c r="X45" s="95">
        <f>'Op Cost-25'!B38/'Revenue Hours-25'!B37</f>
        <v>59.71751244274683</v>
      </c>
      <c r="Y45" s="96">
        <f>'Op Cost-25'!C38/'Revenue Hours-25'!C37</f>
        <v>69.859111079301456</v>
      </c>
      <c r="Z45" s="96">
        <f>'Op Cost-25'!D38/'Revenue Hours-25'!D37</f>
        <v>76.546396857359781</v>
      </c>
      <c r="AA45" s="96">
        <f>'Op Cost-25'!E38/'Revenue Hours-25'!E37</f>
        <v>81.113410757153048</v>
      </c>
      <c r="AB45" s="97">
        <f t="shared" si="8"/>
        <v>1.0632798059501944</v>
      </c>
      <c r="AC45" s="98">
        <f t="shared" si="9"/>
        <v>9.0159761965598276E-3</v>
      </c>
      <c r="AD45" s="99">
        <f t="shared" si="10"/>
        <v>9.619283130745877E-3</v>
      </c>
      <c r="AE45" s="95">
        <f>'Op Cost-25'!B38/'Revenue Miles-25'!B37</f>
        <v>2.5258870240710474</v>
      </c>
      <c r="AF45" s="96">
        <f>'Op Cost-25'!C38/'Revenue Miles-25'!C37</f>
        <v>3.0485633994613872</v>
      </c>
      <c r="AG45" s="96">
        <f>'Op Cost-25'!D38/'Revenue Miles-25'!D37</f>
        <v>3.3074734162048824</v>
      </c>
      <c r="AH45" s="96">
        <f>'Op Cost-25'!E38/'Revenue Miles-25'!E37</f>
        <v>3.5898392297730726</v>
      </c>
      <c r="AI45" s="97">
        <f t="shared" si="11"/>
        <v>1.082538952054394</v>
      </c>
      <c r="AJ45" s="98">
        <f t="shared" si="12"/>
        <v>8.8555754991881501E-3</v>
      </c>
      <c r="AK45" s="99">
        <f t="shared" si="13"/>
        <v>9.4246704211069943E-3</v>
      </c>
      <c r="AL45" s="95">
        <f>'Op Cost-25'!B38/'Ridership-25'!B37</f>
        <v>25.549042495242542</v>
      </c>
      <c r="AM45" s="96">
        <f>'Op Cost-25'!C38/'Ridership-25'!C37</f>
        <v>35.929893985128473</v>
      </c>
      <c r="AN45" s="96">
        <f>'Op Cost-25'!D38/'Ridership-25'!D37</f>
        <v>36.47807448774924</v>
      </c>
      <c r="AO45" s="96">
        <f>'Op Cost-25'!E38/'Ridership-25'!E37</f>
        <v>38.515422946880371</v>
      </c>
      <c r="AP45" s="100">
        <f t="shared" si="14"/>
        <v>1.0843817382136312</v>
      </c>
      <c r="AQ45" s="98">
        <f t="shared" si="15"/>
        <v>8.8405264335437335E-3</v>
      </c>
      <c r="AR45" s="99">
        <f t="shared" si="16"/>
        <v>9.601381132354609E-3</v>
      </c>
      <c r="AT45" s="101">
        <f t="shared" si="29"/>
        <v>0</v>
      </c>
      <c r="AU45" s="102">
        <f t="shared" si="17"/>
        <v>0</v>
      </c>
      <c r="AV45" s="102">
        <f t="shared" si="18"/>
        <v>0</v>
      </c>
      <c r="AW45" s="102">
        <f t="shared" si="19"/>
        <v>0</v>
      </c>
      <c r="AX45" s="103">
        <f t="shared" si="20"/>
        <v>0</v>
      </c>
      <c r="AY45" s="293">
        <f t="shared" si="30"/>
        <v>-1</v>
      </c>
      <c r="AZ45" s="105">
        <f t="shared" si="21"/>
        <v>0</v>
      </c>
      <c r="BA45" s="106">
        <f t="shared" si="21"/>
        <v>0</v>
      </c>
      <c r="BB45" s="106">
        <f t="shared" si="21"/>
        <v>0</v>
      </c>
      <c r="BC45" s="106">
        <f t="shared" si="21"/>
        <v>0</v>
      </c>
      <c r="BD45" s="106">
        <f t="shared" si="21"/>
        <v>0</v>
      </c>
      <c r="BE45" s="107">
        <f t="shared" si="31"/>
        <v>1171859.2201966371</v>
      </c>
      <c r="BG45" s="108">
        <f>'Op Cost-25'!E38</f>
        <v>5000804</v>
      </c>
      <c r="BH45" s="109">
        <f t="shared" si="22"/>
        <v>0.2343341631059</v>
      </c>
      <c r="BI45" s="110">
        <f t="shared" si="23"/>
        <v>1171859.2201966371</v>
      </c>
      <c r="BJ45" s="111">
        <f t="shared" si="24"/>
        <v>0</v>
      </c>
      <c r="BK45" s="1">
        <f t="shared" si="32"/>
        <v>0.29223902901471155</v>
      </c>
      <c r="BL45" s="294">
        <f t="shared" si="33"/>
        <v>0.23696219282710829</v>
      </c>
      <c r="BM45" s="294">
        <f t="shared" si="34"/>
        <v>0.14802411556494641</v>
      </c>
      <c r="BN45" s="295">
        <f t="shared" si="35"/>
        <v>0.39198490383339579</v>
      </c>
      <c r="BO45" s="114">
        <f t="shared" si="25"/>
        <v>1171859.2201966371</v>
      </c>
      <c r="BP45" s="296">
        <f t="shared" si="36"/>
        <v>0.29223902901471155</v>
      </c>
      <c r="BQ45" s="116">
        <f t="shared" si="37"/>
        <v>2.8015510357983181E-3</v>
      </c>
      <c r="BR45" s="297">
        <f t="shared" si="38"/>
        <v>2.8015510357983181E-3</v>
      </c>
      <c r="BS45" s="117">
        <f t="shared" si="39"/>
        <v>2.9174022597348533E-3</v>
      </c>
      <c r="BT45" s="298">
        <f t="shared" si="40"/>
        <v>1197062.8467455194</v>
      </c>
      <c r="BU45" s="119">
        <f t="shared" si="41"/>
        <v>1500241.2</v>
      </c>
      <c r="BV45" s="119">
        <f t="shared" si="42"/>
        <v>1197062.8467455194</v>
      </c>
      <c r="BW45" s="119">
        <f t="shared" si="43"/>
        <v>0</v>
      </c>
      <c r="BX45" s="120">
        <f t="shared" si="44"/>
        <v>2.8015510357983181E-3</v>
      </c>
      <c r="BY45" s="121">
        <f t="shared" si="45"/>
        <v>5.1230643616120035E-3</v>
      </c>
      <c r="BZ45" s="299">
        <f t="shared" si="46"/>
        <v>1201131.2048783908</v>
      </c>
      <c r="CA45" s="109">
        <f t="shared" si="26"/>
        <v>1.0647925743610988E-2</v>
      </c>
      <c r="CB45" s="123">
        <f t="shared" si="57"/>
        <v>91988.118219457436</v>
      </c>
      <c r="CC45" s="111">
        <f t="shared" si="56"/>
        <v>1263847</v>
      </c>
      <c r="CE45" s="124">
        <f t="shared" si="28"/>
        <v>0</v>
      </c>
      <c r="CF45" s="17"/>
      <c r="CG45" s="108">
        <f t="shared" si="47"/>
        <v>5000804</v>
      </c>
      <c r="CH45" s="125">
        <f t="shared" si="48"/>
        <v>0.25272876121519661</v>
      </c>
      <c r="CI45" s="110">
        <f t="shared" si="49"/>
        <v>1197062.8467455194</v>
      </c>
      <c r="CJ45" s="300">
        <f t="shared" si="50"/>
        <v>0</v>
      </c>
      <c r="CL45" s="127">
        <f t="shared" si="51"/>
        <v>1197062.8467455194</v>
      </c>
      <c r="CM45" s="128">
        <f t="shared" si="52"/>
        <v>1.3919872196413866E-2</v>
      </c>
      <c r="CN45" s="129">
        <f t="shared" si="53"/>
        <v>11054.13113353743</v>
      </c>
      <c r="CO45" s="130">
        <f t="shared" si="55"/>
        <v>1208117</v>
      </c>
      <c r="CQ45" s="131">
        <f t="shared" si="54"/>
        <v>0.24018761880657405</v>
      </c>
      <c r="CR45" s="301"/>
    </row>
    <row r="46" spans="1:96">
      <c r="A46" s="133" t="s">
        <v>124</v>
      </c>
      <c r="B46" s="90" t="s">
        <v>126</v>
      </c>
      <c r="C46" s="208">
        <f>'Op Cost-25'!E39</f>
        <v>716454</v>
      </c>
      <c r="D46" s="92">
        <f>'Ridership-25'!$E38</f>
        <v>28422</v>
      </c>
      <c r="E46" s="92">
        <f>'Revenue Hours-25'!$E38</f>
        <v>15538</v>
      </c>
      <c r="F46" s="92">
        <f>'Revenue Miles-25'!$E38</f>
        <v>418259</v>
      </c>
      <c r="G46" s="134">
        <f t="shared" si="58"/>
        <v>2.1879918167440186E-3</v>
      </c>
      <c r="H46" s="94">
        <f t="shared" si="59"/>
        <v>2.187991816744019E-3</v>
      </c>
      <c r="J46" s="95">
        <f>'Ridership-25'!B38/'Revenue Hours-25'!B38</f>
        <v>2.6155528221948887</v>
      </c>
      <c r="K46" s="207">
        <f>'Ridership-25'!C38/'Revenue Hours-25'!I38</f>
        <v>1.3983089137029627</v>
      </c>
      <c r="L46" s="207">
        <f>'Ridership-25'!D38/'Revenue Hours-25'!J38</f>
        <v>1.5445728965960179</v>
      </c>
      <c r="M46" s="207">
        <f>'Ridership-25'!E38/'Revenue Hours-25'!K38</f>
        <v>1.8291929463251384</v>
      </c>
      <c r="N46" s="97">
        <f t="shared" si="2"/>
        <v>0.9628227167983846</v>
      </c>
      <c r="O46" s="98">
        <f t="shared" si="3"/>
        <v>2.1066482253301096E-3</v>
      </c>
      <c r="P46" s="99">
        <f t="shared" si="4"/>
        <v>1.9803142571014373E-3</v>
      </c>
      <c r="Q46" s="95">
        <f>'Ridership-25'!B38/'Revenue Miles-25'!B38</f>
        <v>9.9669556205390739E-2</v>
      </c>
      <c r="R46" s="207">
        <f>'Ridership-25'!C38/'Revenue Miles-25'!I38</f>
        <v>5.2832581392513109E-2</v>
      </c>
      <c r="S46" s="207">
        <f>'Ridership-25'!D38/'Revenue Miles-25'!J38</f>
        <v>5.8014121779238044E-2</v>
      </c>
      <c r="T46" s="207">
        <f>'Ridership-25'!E38/'Revenue Miles-25'!K38</f>
        <v>6.7953110393320887E-2</v>
      </c>
      <c r="U46" s="97">
        <f t="shared" si="5"/>
        <v>0.95607670597072658</v>
      </c>
      <c r="V46" s="98">
        <f t="shared" si="6"/>
        <v>2.0918880088435276E-3</v>
      </c>
      <c r="W46" s="99">
        <f t="shared" si="7"/>
        <v>1.9694628682527093E-3</v>
      </c>
      <c r="X46" s="95">
        <f>'Op Cost-25'!B39/'Revenue Hours-25'!B38</f>
        <v>27.952507858411916</v>
      </c>
      <c r="Y46" s="96">
        <f>'Op Cost-25'!C39/'Revenue Hours-25'!C38</f>
        <v>37.360937197444009</v>
      </c>
      <c r="Z46" s="96">
        <f>'Op Cost-25'!D39/'Revenue Hours-25'!D38</f>
        <v>36.826011560693644</v>
      </c>
      <c r="AA46" s="96">
        <f>'Op Cost-25'!E39/'Revenue Hours-25'!E38</f>
        <v>46.109795340455655</v>
      </c>
      <c r="AB46" s="97">
        <f t="shared" si="8"/>
        <v>1.1411124095025229</v>
      </c>
      <c r="AC46" s="98">
        <f t="shared" si="9"/>
        <v>1.9174200530321912E-3</v>
      </c>
      <c r="AD46" s="99">
        <f t="shared" si="10"/>
        <v>2.0457248298552592E-3</v>
      </c>
      <c r="AE46" s="95">
        <f>'Op Cost-25'!B39/'Revenue Miles-25'!B38</f>
        <v>1.0651721614773884</v>
      </c>
      <c r="AF46" s="96">
        <f>'Op Cost-25'!C39/'Revenue Miles-25'!C38</f>
        <v>1.4116156566272406</v>
      </c>
      <c r="AG46" s="96">
        <f>'Op Cost-25'!D39/'Revenue Miles-25'!D38</f>
        <v>1.3831841307289821</v>
      </c>
      <c r="AH46" s="96">
        <f>'Op Cost-25'!E39/'Revenue Miles-25'!E38</f>
        <v>1.712943415443541</v>
      </c>
      <c r="AI46" s="97">
        <f t="shared" si="11"/>
        <v>1.1332954104973407</v>
      </c>
      <c r="AJ46" s="98">
        <f t="shared" si="12"/>
        <v>1.9306456167362668E-3</v>
      </c>
      <c r="AK46" s="99">
        <f t="shared" si="13"/>
        <v>2.0547166741859166E-3</v>
      </c>
      <c r="AL46" s="95">
        <f>'Op Cost-25'!B39/'Ridership-25'!B38</f>
        <v>10.687036262932386</v>
      </c>
      <c r="AM46" s="96">
        <f>'Op Cost-25'!C39/'Ridership-25'!C38</f>
        <v>26.718657680945348</v>
      </c>
      <c r="AN46" s="96">
        <f>'Op Cost-25'!D39/'Ridership-25'!D38</f>
        <v>23.842197180755957</v>
      </c>
      <c r="AO46" s="96">
        <f>'Op Cost-25'!E39/'Ridership-25'!E38</f>
        <v>25.207726409119697</v>
      </c>
      <c r="AP46" s="100">
        <f t="shared" si="14"/>
        <v>1.1857221120855641</v>
      </c>
      <c r="AQ46" s="98">
        <f t="shared" si="15"/>
        <v>1.8452821233936212E-3</v>
      </c>
      <c r="AR46" s="99">
        <f t="shared" si="16"/>
        <v>2.0040952421337631E-3</v>
      </c>
      <c r="AT46" s="101">
        <f t="shared" si="29"/>
        <v>0</v>
      </c>
      <c r="AU46" s="102">
        <f t="shared" si="17"/>
        <v>0</v>
      </c>
      <c r="AV46" s="102">
        <f t="shared" si="18"/>
        <v>0</v>
      </c>
      <c r="AW46" s="102">
        <f t="shared" si="19"/>
        <v>0</v>
      </c>
      <c r="AX46" s="103">
        <f t="shared" si="20"/>
        <v>0</v>
      </c>
      <c r="AY46" s="293">
        <f t="shared" si="30"/>
        <v>-1</v>
      </c>
      <c r="AZ46" s="105">
        <f t="shared" si="21"/>
        <v>0</v>
      </c>
      <c r="BA46" s="106">
        <f t="shared" si="21"/>
        <v>0</v>
      </c>
      <c r="BB46" s="106">
        <f t="shared" si="21"/>
        <v>0</v>
      </c>
      <c r="BC46" s="106">
        <f t="shared" si="21"/>
        <v>0</v>
      </c>
      <c r="BD46" s="106">
        <f t="shared" si="21"/>
        <v>0</v>
      </c>
      <c r="BE46" s="107">
        <f t="shared" si="31"/>
        <v>267461.21465929353</v>
      </c>
      <c r="BG46" s="108">
        <f>'Op Cost-25'!E39</f>
        <v>716454</v>
      </c>
      <c r="BH46" s="109">
        <f t="shared" si="22"/>
        <v>0.37331247317942745</v>
      </c>
      <c r="BI46" s="110">
        <f t="shared" si="23"/>
        <v>214936.19999999998</v>
      </c>
      <c r="BJ46" s="111">
        <f t="shared" si="24"/>
        <v>52525.014659293549</v>
      </c>
      <c r="BK46" s="1">
        <f t="shared" si="32"/>
        <v>0.35394169137450804</v>
      </c>
      <c r="BL46" s="294">
        <f t="shared" si="33"/>
        <v>0.18153327498650276</v>
      </c>
      <c r="BM46" s="294">
        <f t="shared" si="34"/>
        <v>9.7463118203615418E-2</v>
      </c>
      <c r="BN46" s="295">
        <f t="shared" si="35"/>
        <v>0.56838518615395694</v>
      </c>
      <c r="BO46" s="114">
        <f t="shared" si="25"/>
        <v>0</v>
      </c>
      <c r="BP46" s="296">
        <f t="shared" si="36"/>
        <v>0.35394169137450804</v>
      </c>
      <c r="BQ46" s="116">
        <f t="shared" si="37"/>
        <v>7.7442152433196073E-4</v>
      </c>
      <c r="BR46" s="297">
        <f t="shared" si="38"/>
        <v>0</v>
      </c>
      <c r="BS46" s="117">
        <f t="shared" si="39"/>
        <v>0</v>
      </c>
      <c r="BT46" s="298">
        <f t="shared" si="40"/>
        <v>214936.19999999998</v>
      </c>
      <c r="BU46" s="119">
        <f t="shared" si="41"/>
        <v>214936.19999999998</v>
      </c>
      <c r="BV46" s="119">
        <f t="shared" si="42"/>
        <v>214936.19999999998</v>
      </c>
      <c r="BW46" s="119">
        <f t="shared" si="43"/>
        <v>0</v>
      </c>
      <c r="BX46" s="120">
        <f t="shared" si="44"/>
        <v>0</v>
      </c>
      <c r="BY46" s="121">
        <f t="shared" si="45"/>
        <v>0</v>
      </c>
      <c r="BZ46" s="299">
        <f t="shared" si="46"/>
        <v>214936.19999999998</v>
      </c>
      <c r="CA46" s="109">
        <f t="shared" si="26"/>
        <v>0</v>
      </c>
      <c r="CB46" s="123">
        <f t="shared" si="57"/>
        <v>0</v>
      </c>
      <c r="CC46" s="111">
        <f t="shared" si="56"/>
        <v>214936</v>
      </c>
      <c r="CE46" s="124">
        <f t="shared" si="28"/>
        <v>0</v>
      </c>
      <c r="CF46" s="17"/>
      <c r="CG46" s="108">
        <f t="shared" si="47"/>
        <v>716454</v>
      </c>
      <c r="CH46" s="125">
        <f t="shared" si="48"/>
        <v>0.29999972084739562</v>
      </c>
      <c r="CI46" s="110">
        <f t="shared" si="49"/>
        <v>214936.19999999998</v>
      </c>
      <c r="CJ46" s="300">
        <f t="shared" si="50"/>
        <v>0</v>
      </c>
      <c r="CL46" s="127">
        <f t="shared" si="51"/>
        <v>0</v>
      </c>
      <c r="CM46" s="128">
        <f t="shared" si="52"/>
        <v>0</v>
      </c>
      <c r="CN46" s="129">
        <f t="shared" si="53"/>
        <v>0</v>
      </c>
      <c r="CO46" s="130">
        <f t="shared" si="55"/>
        <v>214936</v>
      </c>
      <c r="CQ46" s="131">
        <f t="shared" si="54"/>
        <v>0.3</v>
      </c>
      <c r="CR46" s="301"/>
    </row>
    <row r="47" spans="1:96">
      <c r="A47" s="133" t="s">
        <v>124</v>
      </c>
      <c r="B47" s="90" t="s">
        <v>127</v>
      </c>
      <c r="C47" s="208">
        <f>'Op Cost-25'!E40</f>
        <v>8616129</v>
      </c>
      <c r="D47" s="92">
        <f>'Ridership-25'!$E39</f>
        <v>222118</v>
      </c>
      <c r="E47" s="92">
        <f>'Revenue Hours-25'!$E39</f>
        <v>86457</v>
      </c>
      <c r="F47" s="92">
        <f>'Revenue Miles-25'!$E39</f>
        <v>1402006</v>
      </c>
      <c r="G47" s="134">
        <f t="shared" si="58"/>
        <v>1.3481523132245588E-2</v>
      </c>
      <c r="H47" s="94">
        <f t="shared" si="59"/>
        <v>1.3481523132245592E-2</v>
      </c>
      <c r="J47" s="95">
        <f>'Ridership-25'!B39/'Revenue Hours-25'!B39</f>
        <v>2.8967768637798126</v>
      </c>
      <c r="K47" s="207">
        <f>'Ridership-25'!C39/'Revenue Hours-25'!I39</f>
        <v>2.1946189886707304</v>
      </c>
      <c r="L47" s="207">
        <f>'Ridership-25'!D39/'Revenue Hours-25'!J39</f>
        <v>2.3000506032439341</v>
      </c>
      <c r="M47" s="207">
        <f>'Ridership-25'!E39/'Revenue Hours-25'!K39</f>
        <v>2.5691152827417096</v>
      </c>
      <c r="N47" s="97">
        <f t="shared" si="2"/>
        <v>1.074118069474993</v>
      </c>
      <c r="O47" s="98">
        <f t="shared" si="3"/>
        <v>1.4480747600390096E-2</v>
      </c>
      <c r="P47" s="99">
        <f t="shared" si="4"/>
        <v>1.3612349029960313E-2</v>
      </c>
      <c r="Q47" s="95">
        <f>'Ridership-25'!B39/'Revenue Miles-25'!B39</f>
        <v>0.17887553870187622</v>
      </c>
      <c r="R47" s="207">
        <f>'Ridership-25'!C39/'Revenue Miles-25'!I39</f>
        <v>0.13508021153120933</v>
      </c>
      <c r="S47" s="207">
        <f>'Ridership-25'!D39/'Revenue Miles-25'!J39</f>
        <v>0.14506873798932982</v>
      </c>
      <c r="T47" s="207">
        <f>'Ridership-25'!E39/'Revenue Miles-25'!K39</f>
        <v>0.15842870857899324</v>
      </c>
      <c r="U47" s="97">
        <f t="shared" si="5"/>
        <v>1.0715098961184502</v>
      </c>
      <c r="V47" s="98">
        <f t="shared" si="6"/>
        <v>1.4445585450950958E-2</v>
      </c>
      <c r="W47" s="99">
        <f t="shared" si="7"/>
        <v>1.3600175552202581E-2</v>
      </c>
      <c r="X47" s="95">
        <f>'Op Cost-25'!B40/'Revenue Hours-25'!B39</f>
        <v>82.421987686895335</v>
      </c>
      <c r="Y47" s="96">
        <f>'Op Cost-25'!C40/'Revenue Hours-25'!C39</f>
        <v>132.58479715436326</v>
      </c>
      <c r="Z47" s="96">
        <f>'Op Cost-25'!D40/'Revenue Hours-25'!D39</f>
        <v>102.20353157376088</v>
      </c>
      <c r="AA47" s="96">
        <f>'Op Cost-25'!E40/'Revenue Hours-25'!E39</f>
        <v>99.657968701204069</v>
      </c>
      <c r="AB47" s="97">
        <f t="shared" si="8"/>
        <v>1.0447289457201427</v>
      </c>
      <c r="AC47" s="98">
        <f t="shared" si="9"/>
        <v>1.2904326224973728E-2</v>
      </c>
      <c r="AD47" s="99">
        <f t="shared" si="10"/>
        <v>1.3767823346394269E-2</v>
      </c>
      <c r="AE47" s="95">
        <f>'Op Cost-25'!B40/'Revenue Miles-25'!B39</f>
        <v>5.0895454298593386</v>
      </c>
      <c r="AF47" s="96">
        <f>'Op Cost-25'!C40/'Revenue Miles-25'!C39</f>
        <v>8.1606796158642627</v>
      </c>
      <c r="AG47" s="96">
        <f>'Op Cost-25'!D40/'Revenue Miles-25'!D39</f>
        <v>6.4461787590877941</v>
      </c>
      <c r="AH47" s="96">
        <f>'Op Cost-25'!E40/'Revenue Miles-25'!E39</f>
        <v>6.1455721302191293</v>
      </c>
      <c r="AI47" s="97">
        <f t="shared" si="11"/>
        <v>1.0414417240324765</v>
      </c>
      <c r="AJ47" s="98">
        <f t="shared" si="12"/>
        <v>1.2945057626503527E-2</v>
      </c>
      <c r="AK47" s="99">
        <f t="shared" si="13"/>
        <v>1.3776959128542028E-2</v>
      </c>
      <c r="AL47" s="95">
        <f>'Op Cost-25'!B40/'Ridership-25'!B39</f>
        <v>28.452998474776663</v>
      </c>
      <c r="AM47" s="96">
        <f>'Op Cost-25'!C40/'Ridership-25'!C39</f>
        <v>60.413583332143318</v>
      </c>
      <c r="AN47" s="96">
        <f>'Op Cost-25'!D40/'Ridership-25'!D39</f>
        <v>44.435340435386756</v>
      </c>
      <c r="AO47" s="96">
        <f>'Op Cost-25'!E40/'Ridership-25'!E39</f>
        <v>38.790773372711804</v>
      </c>
      <c r="AP47" s="100">
        <f t="shared" si="14"/>
        <v>0.98675734644543533</v>
      </c>
      <c r="AQ47" s="98">
        <f t="shared" si="15"/>
        <v>1.3662450227312372E-2</v>
      </c>
      <c r="AR47" s="99">
        <f t="shared" si="16"/>
        <v>1.4838300956436137E-2</v>
      </c>
      <c r="AT47" s="101">
        <f t="shared" si="29"/>
        <v>0</v>
      </c>
      <c r="AU47" s="102">
        <f t="shared" si="17"/>
        <v>0</v>
      </c>
      <c r="AV47" s="102">
        <f t="shared" si="18"/>
        <v>0</v>
      </c>
      <c r="AW47" s="102">
        <f t="shared" si="19"/>
        <v>0</v>
      </c>
      <c r="AX47" s="103">
        <f t="shared" si="20"/>
        <v>0</v>
      </c>
      <c r="AY47" s="293">
        <f t="shared" si="30"/>
        <v>-1</v>
      </c>
      <c r="AZ47" s="105">
        <f t="shared" si="21"/>
        <v>0</v>
      </c>
      <c r="BA47" s="106">
        <f t="shared" si="21"/>
        <v>0</v>
      </c>
      <c r="BB47" s="106">
        <f t="shared" si="21"/>
        <v>0</v>
      </c>
      <c r="BC47" s="106">
        <f t="shared" si="21"/>
        <v>0</v>
      </c>
      <c r="BD47" s="106">
        <f t="shared" si="21"/>
        <v>0</v>
      </c>
      <c r="BE47" s="107">
        <f t="shared" si="31"/>
        <v>1647988.1345139525</v>
      </c>
      <c r="BG47" s="108">
        <f>'Op Cost-25'!E40</f>
        <v>8616129</v>
      </c>
      <c r="BH47" s="109">
        <f t="shared" si="22"/>
        <v>0.19126781116136407</v>
      </c>
      <c r="BI47" s="110">
        <f t="shared" si="23"/>
        <v>1647988.1345139525</v>
      </c>
      <c r="BJ47" s="111">
        <f t="shared" si="24"/>
        <v>0</v>
      </c>
      <c r="BK47" s="1">
        <f t="shared" si="32"/>
        <v>0.27790887349835425</v>
      </c>
      <c r="BL47" s="294">
        <f t="shared" si="33"/>
        <v>0.27089543473860611</v>
      </c>
      <c r="BM47" s="294">
        <f t="shared" si="34"/>
        <v>0.24055796903106361</v>
      </c>
      <c r="BN47" s="295">
        <f t="shared" si="35"/>
        <v>0.30009104511187368</v>
      </c>
      <c r="BO47" s="114">
        <f t="shared" si="25"/>
        <v>1647988.1345139525</v>
      </c>
      <c r="BP47" s="296">
        <f t="shared" si="36"/>
        <v>0.27790887349835425</v>
      </c>
      <c r="BQ47" s="116">
        <f t="shared" si="37"/>
        <v>3.7466349067243766E-3</v>
      </c>
      <c r="BR47" s="297">
        <f t="shared" si="38"/>
        <v>3.7466349067243766E-3</v>
      </c>
      <c r="BS47" s="117">
        <f t="shared" si="39"/>
        <v>3.901567740016018E-3</v>
      </c>
      <c r="BT47" s="298">
        <f t="shared" si="40"/>
        <v>1681694.0302115406</v>
      </c>
      <c r="BU47" s="119">
        <f t="shared" si="41"/>
        <v>2584838.6999999997</v>
      </c>
      <c r="BV47" s="119">
        <f t="shared" si="42"/>
        <v>1681694.0302115406</v>
      </c>
      <c r="BW47" s="119">
        <f t="shared" si="43"/>
        <v>0</v>
      </c>
      <c r="BX47" s="120">
        <f t="shared" si="44"/>
        <v>3.7466349067243766E-3</v>
      </c>
      <c r="BY47" s="121">
        <f t="shared" si="45"/>
        <v>6.8512947011660115E-3</v>
      </c>
      <c r="BZ47" s="299">
        <f t="shared" si="46"/>
        <v>1687134.8208303447</v>
      </c>
      <c r="CA47" s="109">
        <f t="shared" si="26"/>
        <v>1.4974200808619383E-2</v>
      </c>
      <c r="CB47" s="123">
        <f t="shared" si="57"/>
        <v>129363.08792833923</v>
      </c>
      <c r="CC47" s="111">
        <f t="shared" si="56"/>
        <v>1777351</v>
      </c>
      <c r="CE47" s="124">
        <f t="shared" si="28"/>
        <v>0</v>
      </c>
      <c r="CF47" s="17"/>
      <c r="CG47" s="108">
        <f t="shared" si="47"/>
        <v>8616129</v>
      </c>
      <c r="CH47" s="125">
        <f t="shared" si="48"/>
        <v>0.20628184652295711</v>
      </c>
      <c r="CI47" s="110">
        <f t="shared" si="49"/>
        <v>1681694.0302115406</v>
      </c>
      <c r="CJ47" s="300">
        <f t="shared" si="50"/>
        <v>0</v>
      </c>
      <c r="CL47" s="127">
        <f t="shared" si="51"/>
        <v>1681694.0302115406</v>
      </c>
      <c r="CM47" s="128">
        <f t="shared" si="52"/>
        <v>1.955533582690271E-2</v>
      </c>
      <c r="CN47" s="129">
        <f t="shared" si="53"/>
        <v>15529.398800560517</v>
      </c>
      <c r="CO47" s="130">
        <f t="shared" si="55"/>
        <v>1697223</v>
      </c>
      <c r="CQ47" s="131">
        <f t="shared" si="54"/>
        <v>0.19581123040640927</v>
      </c>
      <c r="CR47" s="301"/>
    </row>
    <row r="48" spans="1:96" ht="16.5" customHeight="1">
      <c r="A48" s="133" t="s">
        <v>124</v>
      </c>
      <c r="B48" s="90" t="s">
        <v>128</v>
      </c>
      <c r="C48" s="208">
        <f>'Op Cost-25'!E41</f>
        <v>170603</v>
      </c>
      <c r="D48" s="92">
        <f>'Ridership-25'!$E40</f>
        <v>11675</v>
      </c>
      <c r="E48" s="92">
        <f>'Revenue Hours-25'!$E40</f>
        <v>5322</v>
      </c>
      <c r="F48" s="92">
        <f>'Revenue Miles-25'!$E40</f>
        <v>60529</v>
      </c>
      <c r="G48" s="93">
        <f t="shared" si="58"/>
        <v>5.19117937920835E-4</v>
      </c>
      <c r="H48" s="94">
        <f t="shared" si="59"/>
        <v>5.1911793792083511E-4</v>
      </c>
      <c r="J48" s="95">
        <f>'Ridership-25'!B40/'Revenue Hours-25'!B40</f>
        <v>2.6243417203042716</v>
      </c>
      <c r="K48" s="207">
        <f>'Ridership-25'!C40/'Revenue Hours-25'!I40</f>
        <v>2.06749490079733</v>
      </c>
      <c r="L48" s="207">
        <f>'Ridership-25'!D40/'Revenue Hours-25'!J40</f>
        <v>2.1966604823747682</v>
      </c>
      <c r="M48" s="207">
        <f>'Ridership-25'!E40/'Revenue Hours-25'!K40</f>
        <v>2.1937241638481773</v>
      </c>
      <c r="N48" s="97">
        <f t="shared" si="2"/>
        <v>1.0644651232169628</v>
      </c>
      <c r="O48" s="98">
        <f t="shared" si="3"/>
        <v>5.5258293975303746E-4</v>
      </c>
      <c r="P48" s="99">
        <f t="shared" si="4"/>
        <v>5.194449935524907E-4</v>
      </c>
      <c r="Q48" s="95">
        <f>'Ridership-25'!B40/'Revenue Miles-25'!B40</f>
        <v>0.22349384582163678</v>
      </c>
      <c r="R48" s="207">
        <f>'Ridership-25'!C40/'Revenue Miles-25'!I40</f>
        <v>0.21433239783168659</v>
      </c>
      <c r="S48" s="207">
        <f>'Ridership-25'!D40/'Revenue Miles-25'!J40</f>
        <v>0.21260549470281917</v>
      </c>
      <c r="T48" s="207">
        <f>'Ridership-25'!E40/'Revenue Miles-25'!K40</f>
        <v>0.19288275041715541</v>
      </c>
      <c r="U48" s="97">
        <f t="shared" si="5"/>
        <v>1.1286096730909378</v>
      </c>
      <c r="V48" s="98">
        <f t="shared" si="6"/>
        <v>5.8588152621247551E-4</v>
      </c>
      <c r="W48" s="99">
        <f t="shared" si="7"/>
        <v>5.5159353951677356E-4</v>
      </c>
      <c r="X48" s="95">
        <f>'Op Cost-25'!B41/'Revenue Hours-25'!B40</f>
        <v>28.064170079968793</v>
      </c>
      <c r="Y48" s="96">
        <f>'Op Cost-25'!C41/'Revenue Hours-25'!C40</f>
        <v>27.145188206934915</v>
      </c>
      <c r="Z48" s="96">
        <f>'Op Cost-25'!D41/'Revenue Hours-25'!D40</f>
        <v>30.05751391465677</v>
      </c>
      <c r="AA48" s="96">
        <f>'Op Cost-25'!E41/'Revenue Hours-25'!E40</f>
        <v>32.056181886508831</v>
      </c>
      <c r="AB48" s="97">
        <f t="shared" si="8"/>
        <v>1.0142681961187796</v>
      </c>
      <c r="AC48" s="98">
        <f t="shared" si="9"/>
        <v>5.1181525745094142E-4</v>
      </c>
      <c r="AD48" s="99">
        <f t="shared" si="10"/>
        <v>5.4606353929092567E-4</v>
      </c>
      <c r="AE48" s="95">
        <f>'Op Cost-25'!B41/'Revenue Miles-25'!B40</f>
        <v>2.3899971762204539</v>
      </c>
      <c r="AF48" s="96">
        <f>'Op Cost-25'!C41/'Revenue Miles-25'!C40</f>
        <v>2.8140786590288722</v>
      </c>
      <c r="AG48" s="96">
        <f>'Op Cost-25'!D41/'Revenue Miles-25'!D40</f>
        <v>2.9091398814868019</v>
      </c>
      <c r="AH48" s="96">
        <f>'Op Cost-25'!E41/'Revenue Miles-25'!E40</f>
        <v>2.8185332650465065</v>
      </c>
      <c r="AI48" s="97">
        <f t="shared" si="11"/>
        <v>1.0155039326167026</v>
      </c>
      <c r="AJ48" s="98">
        <f t="shared" si="12"/>
        <v>5.1119244470397714E-4</v>
      </c>
      <c r="AK48" s="99">
        <f t="shared" si="13"/>
        <v>5.4404372855684292E-4</v>
      </c>
      <c r="AL48" s="95">
        <f>'Op Cost-25'!B41/'Ridership-25'!B40</f>
        <v>10.693794128576737</v>
      </c>
      <c r="AM48" s="96">
        <f>'Op Cost-25'!C41/'Ridership-25'!C40</f>
        <v>13.129506726457398</v>
      </c>
      <c r="AN48" s="96">
        <f>'Op Cost-25'!D41/'Ridership-25'!D40</f>
        <v>13.683277027027026</v>
      </c>
      <c r="AO48" s="96">
        <f>'Op Cost-25'!E41/'Ridership-25'!E40</f>
        <v>14.612676659528908</v>
      </c>
      <c r="AP48" s="100">
        <f t="shared" si="14"/>
        <v>1.0760456886888583</v>
      </c>
      <c r="AQ48" s="98">
        <f t="shared" si="15"/>
        <v>4.8243113036712288E-4</v>
      </c>
      <c r="AR48" s="99">
        <f t="shared" si="16"/>
        <v>5.2395128136172053E-4</v>
      </c>
      <c r="AT48" s="101">
        <f t="shared" si="29"/>
        <v>0</v>
      </c>
      <c r="AU48" s="102">
        <f t="shared" si="17"/>
        <v>0</v>
      </c>
      <c r="AV48" s="102">
        <f t="shared" si="18"/>
        <v>0</v>
      </c>
      <c r="AW48" s="102">
        <f t="shared" si="19"/>
        <v>0</v>
      </c>
      <c r="AX48" s="103">
        <f t="shared" si="20"/>
        <v>0</v>
      </c>
      <c r="AY48" s="293">
        <f t="shared" si="30"/>
        <v>-1</v>
      </c>
      <c r="AZ48" s="105">
        <f t="shared" si="21"/>
        <v>0</v>
      </c>
      <c r="BA48" s="106">
        <f t="shared" si="21"/>
        <v>0</v>
      </c>
      <c r="BB48" s="106">
        <f t="shared" si="21"/>
        <v>0</v>
      </c>
      <c r="BC48" s="106">
        <f t="shared" si="21"/>
        <v>0</v>
      </c>
      <c r="BD48" s="106">
        <f t="shared" si="21"/>
        <v>0</v>
      </c>
      <c r="BE48" s="107">
        <f t="shared" si="31"/>
        <v>63457.236524014908</v>
      </c>
      <c r="BG48" s="108">
        <f>'Op Cost-25'!E41</f>
        <v>170603</v>
      </c>
      <c r="BH48" s="109">
        <f t="shared" si="22"/>
        <v>0.37195850321515395</v>
      </c>
      <c r="BI48" s="110">
        <f t="shared" si="23"/>
        <v>51180.9</v>
      </c>
      <c r="BJ48" s="111">
        <f t="shared" si="24"/>
        <v>12276.336524014907</v>
      </c>
      <c r="BK48" s="1">
        <f t="shared" si="32"/>
        <v>0.67581116439806743</v>
      </c>
      <c r="BL48" s="294">
        <f t="shared" si="33"/>
        <v>0.24925961490660167</v>
      </c>
      <c r="BM48" s="294">
        <f t="shared" si="34"/>
        <v>0.34596108176564977</v>
      </c>
      <c r="BN48" s="295">
        <f t="shared" si="35"/>
        <v>1.0540119804600092</v>
      </c>
      <c r="BO48" s="114">
        <f t="shared" si="25"/>
        <v>0</v>
      </c>
      <c r="BP48" s="296">
        <f t="shared" si="36"/>
        <v>0.67581116439806743</v>
      </c>
      <c r="BQ48" s="116">
        <f t="shared" si="37"/>
        <v>3.5082569808620324E-4</v>
      </c>
      <c r="BR48" s="297">
        <f t="shared" si="38"/>
        <v>0</v>
      </c>
      <c r="BS48" s="117">
        <f t="shared" si="39"/>
        <v>0</v>
      </c>
      <c r="BT48" s="298">
        <f t="shared" si="40"/>
        <v>51180.9</v>
      </c>
      <c r="BU48" s="119">
        <f t="shared" si="41"/>
        <v>51180.9</v>
      </c>
      <c r="BV48" s="119">
        <f t="shared" si="42"/>
        <v>51180.9</v>
      </c>
      <c r="BW48" s="119">
        <f t="shared" si="43"/>
        <v>0</v>
      </c>
      <c r="BX48" s="120">
        <f t="shared" si="44"/>
        <v>0</v>
      </c>
      <c r="BY48" s="121">
        <f t="shared" si="45"/>
        <v>0</v>
      </c>
      <c r="BZ48" s="299">
        <f t="shared" si="46"/>
        <v>51180.9</v>
      </c>
      <c r="CA48" s="109">
        <f t="shared" si="26"/>
        <v>0</v>
      </c>
      <c r="CB48" s="123">
        <f t="shared" si="57"/>
        <v>0</v>
      </c>
      <c r="CC48" s="111">
        <f t="shared" si="56"/>
        <v>51181</v>
      </c>
      <c r="CE48" s="124">
        <f t="shared" si="28"/>
        <v>1</v>
      </c>
      <c r="CF48" s="17"/>
      <c r="CG48" s="108">
        <f t="shared" si="47"/>
        <v>170603</v>
      </c>
      <c r="CH48" s="125">
        <f t="shared" si="48"/>
        <v>0.30000058615616371</v>
      </c>
      <c r="CI48" s="110">
        <f t="shared" si="49"/>
        <v>51180.9</v>
      </c>
      <c r="CJ48" s="300">
        <f t="shared" si="50"/>
        <v>0</v>
      </c>
      <c r="CL48" s="127">
        <f t="shared" si="51"/>
        <v>0</v>
      </c>
      <c r="CM48" s="128">
        <f t="shared" si="52"/>
        <v>0</v>
      </c>
      <c r="CN48" s="129">
        <f t="shared" si="53"/>
        <v>0</v>
      </c>
      <c r="CO48" s="130">
        <f t="shared" si="55"/>
        <v>51181</v>
      </c>
      <c r="CQ48" s="131">
        <f t="shared" si="54"/>
        <v>0.3</v>
      </c>
      <c r="CR48" s="301"/>
    </row>
    <row r="49" spans="1:96">
      <c r="A49" s="133" t="s">
        <v>124</v>
      </c>
      <c r="B49" s="90" t="s">
        <v>129</v>
      </c>
      <c r="C49" s="208">
        <f>'Op Cost-25'!E42</f>
        <v>1347958</v>
      </c>
      <c r="D49" s="92">
        <f>'Ridership-25'!$E41</f>
        <v>61663</v>
      </c>
      <c r="E49" s="92">
        <f>'Revenue Hours-25'!$E41</f>
        <v>18247</v>
      </c>
      <c r="F49" s="92">
        <f>'Revenue Miles-25'!$E41</f>
        <v>313578</v>
      </c>
      <c r="G49" s="134">
        <f t="shared" si="58"/>
        <v>2.689118576102695E-3</v>
      </c>
      <c r="H49" s="94">
        <f t="shared" si="59"/>
        <v>2.6891185761026954E-3</v>
      </c>
      <c r="J49" s="95">
        <f>'Ridership-25'!B41/'Revenue Hours-25'!B41</f>
        <v>2.3018086155869781</v>
      </c>
      <c r="K49" s="207">
        <f>'Ridership-25'!C41/'Revenue Hours-25'!I41</f>
        <v>1.8714498597475455</v>
      </c>
      <c r="L49" s="207">
        <f>'Ridership-25'!D41/'Revenue Hours-25'!J41</f>
        <v>2.7255388346838654</v>
      </c>
      <c r="M49" s="207">
        <f>'Ridership-25'!E41/'Revenue Hours-25'!K41</f>
        <v>3.379350030141941</v>
      </c>
      <c r="N49" s="97">
        <f t="shared" si="2"/>
        <v>1.2499873812155375</v>
      </c>
      <c r="O49" s="98">
        <f t="shared" si="3"/>
        <v>3.3613642867206632E-3</v>
      </c>
      <c r="P49" s="99">
        <f t="shared" si="4"/>
        <v>3.1597860242003417E-3</v>
      </c>
      <c r="Q49" s="95">
        <f>'Ridership-25'!B41/'Revenue Miles-25'!B41</f>
        <v>0.15794010138539991</v>
      </c>
      <c r="R49" s="207">
        <f>'Ridership-25'!C41/'Revenue Miles-25'!I41</f>
        <v>0.12054951539089166</v>
      </c>
      <c r="S49" s="207">
        <f>'Ridership-25'!D41/'Revenue Miles-25'!J41</f>
        <v>0.1590504069225078</v>
      </c>
      <c r="T49" s="207">
        <f>'Ridership-25'!E41/'Revenue Miles-25'!K41</f>
        <v>0.19664325941233121</v>
      </c>
      <c r="U49" s="97">
        <f t="shared" si="5"/>
        <v>1.1819101496945379</v>
      </c>
      <c r="V49" s="98">
        <f t="shared" si="6"/>
        <v>3.1782965388278991E-3</v>
      </c>
      <c r="W49" s="99">
        <f t="shared" si="7"/>
        <v>2.9922906919755015E-3</v>
      </c>
      <c r="X49" s="95">
        <f>'Op Cost-25'!B42/'Revenue Hours-25'!B41</f>
        <v>30.822514523731229</v>
      </c>
      <c r="Y49" s="96">
        <f>'Op Cost-25'!C42/'Revenue Hours-25'!C41</f>
        <v>53.352691093969142</v>
      </c>
      <c r="Z49" s="96">
        <f>'Op Cost-25'!D42/'Revenue Hours-25'!D41</f>
        <v>79.509949837384923</v>
      </c>
      <c r="AA49" s="96">
        <f>'Op Cost-25'!E42/'Revenue Hours-25'!E41</f>
        <v>73.872855811914292</v>
      </c>
      <c r="AB49" s="97">
        <f t="shared" si="8"/>
        <v>1.3009553130389218</v>
      </c>
      <c r="AC49" s="98">
        <f t="shared" si="9"/>
        <v>2.0670337782941533E-3</v>
      </c>
      <c r="AD49" s="99">
        <f t="shared" si="10"/>
        <v>2.2053500054507293E-3</v>
      </c>
      <c r="AE49" s="95">
        <f>'Op Cost-25'!B42/'Revenue Miles-25'!B41</f>
        <v>2.1149069631011295</v>
      </c>
      <c r="AF49" s="96">
        <f>'Op Cost-25'!C42/'Revenue Miles-25'!C41</f>
        <v>3.4367156686984583</v>
      </c>
      <c r="AG49" s="96">
        <f>'Op Cost-25'!D42/'Revenue Miles-25'!D41</f>
        <v>4.639849454756007</v>
      </c>
      <c r="AH49" s="96">
        <f>'Op Cost-25'!E42/'Revenue Miles-25'!E41</f>
        <v>4.2986370217298404</v>
      </c>
      <c r="AI49" s="97">
        <f t="shared" si="11"/>
        <v>1.2285075855666157</v>
      </c>
      <c r="AJ49" s="98">
        <f t="shared" si="12"/>
        <v>2.1889311939921096E-3</v>
      </c>
      <c r="AK49" s="99">
        <f t="shared" si="13"/>
        <v>2.3296007221379499E-3</v>
      </c>
      <c r="AL49" s="95">
        <f>'Op Cost-25'!B42/'Ridership-25'!B41</f>
        <v>13.390563539910664</v>
      </c>
      <c r="AM49" s="96">
        <f>'Op Cost-25'!C42/'Ridership-25'!C41</f>
        <v>28.508747277453804</v>
      </c>
      <c r="AN49" s="96">
        <f>'Op Cost-25'!D42/'Ridership-25'!D41</f>
        <v>29.17219480624545</v>
      </c>
      <c r="AO49" s="96">
        <f>'Op Cost-25'!E42/'Ridership-25'!E41</f>
        <v>21.860078166809917</v>
      </c>
      <c r="AP49" s="100">
        <f t="shared" si="14"/>
        <v>1.0579537896315043</v>
      </c>
      <c r="AQ49" s="98">
        <f t="shared" si="15"/>
        <v>2.5418109963378853E-3</v>
      </c>
      <c r="AR49" s="99">
        <f t="shared" si="16"/>
        <v>2.7605704621446749E-3</v>
      </c>
      <c r="AT49" s="101">
        <f t="shared" si="29"/>
        <v>0</v>
      </c>
      <c r="AU49" s="102">
        <f t="shared" si="17"/>
        <v>0</v>
      </c>
      <c r="AV49" s="102">
        <f t="shared" si="18"/>
        <v>0</v>
      </c>
      <c r="AW49" s="102">
        <f t="shared" si="19"/>
        <v>0</v>
      </c>
      <c r="AX49" s="103">
        <f t="shared" si="20"/>
        <v>0</v>
      </c>
      <c r="AY49" s="293">
        <f t="shared" si="30"/>
        <v>-1</v>
      </c>
      <c r="AZ49" s="105">
        <f t="shared" si="21"/>
        <v>0</v>
      </c>
      <c r="BA49" s="106">
        <f t="shared" si="21"/>
        <v>0</v>
      </c>
      <c r="BB49" s="106">
        <f t="shared" si="21"/>
        <v>0</v>
      </c>
      <c r="BC49" s="106">
        <f t="shared" si="21"/>
        <v>0</v>
      </c>
      <c r="BD49" s="106">
        <f t="shared" si="21"/>
        <v>0</v>
      </c>
      <c r="BE49" s="107">
        <f t="shared" si="31"/>
        <v>328719.20051218488</v>
      </c>
      <c r="BG49" s="108">
        <f>'Op Cost-25'!E42</f>
        <v>1347958</v>
      </c>
      <c r="BH49" s="109">
        <f t="shared" si="22"/>
        <v>0.24386457182804278</v>
      </c>
      <c r="BI49" s="110">
        <f t="shared" si="23"/>
        <v>328719.20051218488</v>
      </c>
      <c r="BJ49" s="111">
        <f t="shared" si="24"/>
        <v>0</v>
      </c>
      <c r="BK49" s="1">
        <f t="shared" si="32"/>
        <v>0.40817108588155515</v>
      </c>
      <c r="BL49" s="294">
        <f t="shared" si="33"/>
        <v>0.29646343459311009</v>
      </c>
      <c r="BM49" s="294">
        <f t="shared" si="34"/>
        <v>0.25541815926155326</v>
      </c>
      <c r="BN49" s="295">
        <f t="shared" si="35"/>
        <v>0.54040137483577866</v>
      </c>
      <c r="BO49" s="114">
        <f t="shared" si="25"/>
        <v>328719.20051218488</v>
      </c>
      <c r="BP49" s="296">
        <f>BL49*$BO$8+BM49*$BP$8+BN49*$BQ$8</f>
        <v>0.40817108588155515</v>
      </c>
      <c r="BQ49" s="116">
        <f t="shared" si="37"/>
        <v>1.0976204492720986E-3</v>
      </c>
      <c r="BR49" s="297">
        <f t="shared" si="38"/>
        <v>1.0976204492720986E-3</v>
      </c>
      <c r="BS49" s="117">
        <f t="shared" si="39"/>
        <v>1.143009832096498E-3</v>
      </c>
      <c r="BT49" s="298">
        <f t="shared" si="40"/>
        <v>338593.7362755455</v>
      </c>
      <c r="BU49" s="119">
        <f t="shared" si="41"/>
        <v>404387.39999999997</v>
      </c>
      <c r="BV49" s="119">
        <f t="shared" si="42"/>
        <v>338593.7362755455</v>
      </c>
      <c r="BW49" s="119">
        <f t="shared" si="43"/>
        <v>0</v>
      </c>
      <c r="BX49" s="120">
        <f t="shared" si="44"/>
        <v>1.0976204492720986E-3</v>
      </c>
      <c r="BY49" s="121">
        <f t="shared" si="45"/>
        <v>2.0071667923908039E-3</v>
      </c>
      <c r="BZ49" s="299">
        <f t="shared" si="46"/>
        <v>340187.67942508718</v>
      </c>
      <c r="CA49" s="109">
        <f t="shared" si="26"/>
        <v>2.98685847005205E-3</v>
      </c>
      <c r="CB49" s="123">
        <f t="shared" si="57"/>
        <v>25803.6632357993</v>
      </c>
      <c r="CC49" s="111">
        <f t="shared" si="56"/>
        <v>354523</v>
      </c>
      <c r="CE49" s="124">
        <f t="shared" si="28"/>
        <v>0</v>
      </c>
      <c r="CF49" s="17"/>
      <c r="CG49" s="108">
        <f t="shared" si="47"/>
        <v>1347958</v>
      </c>
      <c r="CH49" s="125">
        <f t="shared" si="48"/>
        <v>0.26300745275446269</v>
      </c>
      <c r="CI49" s="110">
        <f t="shared" si="49"/>
        <v>338593.7362755455</v>
      </c>
      <c r="CJ49" s="300">
        <f t="shared" si="50"/>
        <v>0</v>
      </c>
      <c r="CL49" s="127">
        <f t="shared" si="51"/>
        <v>338593.7362755455</v>
      </c>
      <c r="CM49" s="128">
        <f t="shared" si="52"/>
        <v>3.9372882954939944E-3</v>
      </c>
      <c r="CN49" s="129">
        <f t="shared" si="53"/>
        <v>3126.7026388464587</v>
      </c>
      <c r="CO49" s="130">
        <f t="shared" si="55"/>
        <v>341720</v>
      </c>
      <c r="CQ49" s="131">
        <f t="shared" si="54"/>
        <v>0.25237261058956373</v>
      </c>
      <c r="CR49" s="301"/>
    </row>
    <row r="50" spans="1:96">
      <c r="A50" s="133" t="s">
        <v>124</v>
      </c>
      <c r="B50" s="90" t="s">
        <v>130</v>
      </c>
      <c r="C50" s="208">
        <f>'Op Cost-25'!E43</f>
        <v>4658904</v>
      </c>
      <c r="D50" s="92">
        <f>'Ridership-25'!$E42</f>
        <v>187266</v>
      </c>
      <c r="E50" s="92">
        <f>'Revenue Hours-25'!$E42</f>
        <v>63759</v>
      </c>
      <c r="F50" s="92">
        <f>'Revenue Miles-25'!$E42</f>
        <v>994681</v>
      </c>
      <c r="G50" s="134">
        <f t="shared" si="58"/>
        <v>8.9154329886672202E-3</v>
      </c>
      <c r="H50" s="94">
        <f t="shared" si="59"/>
        <v>8.9154329886672219E-3</v>
      </c>
      <c r="J50" s="95">
        <f>'Ridership-25'!B42/'Revenue Hours-25'!B42</f>
        <v>4.6066913646259025</v>
      </c>
      <c r="K50" s="207">
        <f>'Ridership-25'!C42/'Revenue Hours-25'!I42</f>
        <v>2.6052602436323364</v>
      </c>
      <c r="L50" s="207">
        <f>'Ridership-25'!D42/'Revenue Hours-25'!J42</f>
        <v>2.7993357457988401</v>
      </c>
      <c r="M50" s="207">
        <f>'Ridership-25'!E42/'Revenue Hours-25'!K42</f>
        <v>2.9370912341787041</v>
      </c>
      <c r="N50" s="97">
        <f t="shared" si="2"/>
        <v>0.93744466278837724</v>
      </c>
      <c r="O50" s="98">
        <f t="shared" si="3"/>
        <v>8.3577250716735177E-3</v>
      </c>
      <c r="P50" s="99">
        <f t="shared" si="4"/>
        <v>7.856519146083674E-3</v>
      </c>
      <c r="Q50" s="95">
        <f>'Ridership-25'!B42/'Revenue Miles-25'!B42</f>
        <v>0.25866990351642838</v>
      </c>
      <c r="R50" s="207">
        <f>'Ridership-25'!C42/'Revenue Miles-25'!I42</f>
        <v>0.16890249812434263</v>
      </c>
      <c r="S50" s="207">
        <f>'Ridership-25'!D42/'Revenue Miles-25'!J42</f>
        <v>0.1810610173694088</v>
      </c>
      <c r="T50" s="207">
        <f>'Ridership-25'!E42/'Revenue Miles-25'!K42</f>
        <v>0.18826739427012279</v>
      </c>
      <c r="U50" s="97">
        <f t="shared" si="5"/>
        <v>0.99109648571081632</v>
      </c>
      <c r="V50" s="98">
        <f t="shared" si="6"/>
        <v>8.8360543036583635E-3</v>
      </c>
      <c r="W50" s="99">
        <f t="shared" si="7"/>
        <v>8.3189352294917151E-3</v>
      </c>
      <c r="X50" s="95">
        <f>'Op Cost-25'!B43/'Revenue Hours-25'!B42</f>
        <v>60.089370965893899</v>
      </c>
      <c r="Y50" s="96">
        <f>'Op Cost-25'!C43/'Revenue Hours-25'!C42</f>
        <v>61.375230712440015</v>
      </c>
      <c r="Z50" s="96">
        <f>'Op Cost-25'!D43/'Revenue Hours-25'!D42</f>
        <v>66.464250896412693</v>
      </c>
      <c r="AA50" s="96">
        <f>'Op Cost-25'!E43/'Revenue Hours-25'!E42</f>
        <v>73.070531219122003</v>
      </c>
      <c r="AB50" s="97">
        <f t="shared" si="8"/>
        <v>1.0327254943983701</v>
      </c>
      <c r="AC50" s="98">
        <f t="shared" si="9"/>
        <v>8.6329165272142731E-3</v>
      </c>
      <c r="AD50" s="99">
        <f t="shared" si="10"/>
        <v>9.2105909009670573E-3</v>
      </c>
      <c r="AE50" s="95">
        <f>'Op Cost-25'!B43/'Revenue Miles-25'!B42</f>
        <v>3.3740727476265127</v>
      </c>
      <c r="AF50" s="96">
        <f>'Op Cost-25'!C43/'Revenue Miles-25'!C42</f>
        <v>3.9790381078535897</v>
      </c>
      <c r="AG50" s="96">
        <f>'Op Cost-25'!D43/'Revenue Miles-25'!D42</f>
        <v>4.2989073047277451</v>
      </c>
      <c r="AH50" s="96">
        <f>'Op Cost-25'!E43/'Revenue Miles-25'!E42</f>
        <v>4.6838172238134641</v>
      </c>
      <c r="AI50" s="97">
        <f t="shared" si="11"/>
        <v>1.0750496667822353</v>
      </c>
      <c r="AJ50" s="98">
        <f t="shared" si="12"/>
        <v>8.2930428836393046E-3</v>
      </c>
      <c r="AK50" s="99">
        <f t="shared" si="13"/>
        <v>8.8259871957020279E-3</v>
      </c>
      <c r="AL50" s="95">
        <f>'Op Cost-25'!B43/'Ridership-25'!B42</f>
        <v>13.043932447333294</v>
      </c>
      <c r="AM50" s="96">
        <f>'Op Cost-25'!C43/'Ridership-25'!C42</f>
        <v>23.558195716704567</v>
      </c>
      <c r="AN50" s="96">
        <f>'Op Cost-25'!D43/'Ridership-25'!D42</f>
        <v>23.742865069386646</v>
      </c>
      <c r="AO50" s="96">
        <f>'Op Cost-25'!E43/'Ridership-25'!E42</f>
        <v>24.878536413443978</v>
      </c>
      <c r="AP50" s="100">
        <f t="shared" si="14"/>
        <v>1.133836263732076</v>
      </c>
      <c r="AQ50" s="98">
        <f t="shared" si="15"/>
        <v>7.863069187187266E-3</v>
      </c>
      <c r="AR50" s="99">
        <f t="shared" si="16"/>
        <v>8.5397996039921261E-3</v>
      </c>
      <c r="AT50" s="101">
        <f t="shared" si="29"/>
        <v>0</v>
      </c>
      <c r="AU50" s="102">
        <f t="shared" si="17"/>
        <v>0</v>
      </c>
      <c r="AV50" s="102">
        <f t="shared" si="18"/>
        <v>0</v>
      </c>
      <c r="AW50" s="102">
        <f t="shared" si="19"/>
        <v>0</v>
      </c>
      <c r="AX50" s="103">
        <f t="shared" si="20"/>
        <v>0</v>
      </c>
      <c r="AY50" s="293">
        <f t="shared" si="30"/>
        <v>-1</v>
      </c>
      <c r="AZ50" s="105">
        <f t="shared" si="21"/>
        <v>0</v>
      </c>
      <c r="BA50" s="106">
        <f t="shared" si="21"/>
        <v>0</v>
      </c>
      <c r="BB50" s="106">
        <f t="shared" si="21"/>
        <v>0</v>
      </c>
      <c r="BC50" s="106">
        <f t="shared" si="21"/>
        <v>0</v>
      </c>
      <c r="BD50" s="106">
        <f t="shared" si="21"/>
        <v>0</v>
      </c>
      <c r="BE50" s="107">
        <f>$AZ$6*H50</f>
        <v>1089826.9902631203</v>
      </c>
      <c r="BG50" s="108">
        <f>'Op Cost-25'!E43</f>
        <v>4658904</v>
      </c>
      <c r="BH50" s="109">
        <f t="shared" si="22"/>
        <v>0.23392347003997513</v>
      </c>
      <c r="BI50" s="110">
        <f t="shared" si="23"/>
        <v>1089826.9902631203</v>
      </c>
      <c r="BJ50" s="111">
        <f t="shared" si="24"/>
        <v>0</v>
      </c>
      <c r="BK50" s="1">
        <f t="shared" si="32"/>
        <v>0.45494233322711047</v>
      </c>
      <c r="BL50" s="294">
        <f t="shared" si="33"/>
        <v>0.32063867111369942</v>
      </c>
      <c r="BM50" s="294">
        <f t="shared" si="34"/>
        <v>0.29619619516585804</v>
      </c>
      <c r="BN50" s="295">
        <f t="shared" si="35"/>
        <v>0.60146723331444218</v>
      </c>
      <c r="BO50" s="114">
        <f t="shared" si="25"/>
        <v>1089826.9902631203</v>
      </c>
      <c r="BP50" s="296">
        <f t="shared" si="36"/>
        <v>0.45494233322711047</v>
      </c>
      <c r="BQ50" s="116">
        <f t="shared" si="37"/>
        <v>4.0560078855942164E-3</v>
      </c>
      <c r="BR50" s="297">
        <f t="shared" si="38"/>
        <v>4.0560078855942164E-3</v>
      </c>
      <c r="BS50" s="117">
        <f t="shared" si="39"/>
        <v>4.2237340743510919E-3</v>
      </c>
      <c r="BT50" s="298">
        <f t="shared" si="40"/>
        <v>1126316.1017308715</v>
      </c>
      <c r="BU50" s="119">
        <f t="shared" si="41"/>
        <v>1397671.2</v>
      </c>
      <c r="BV50" s="119">
        <f t="shared" si="42"/>
        <v>1126316.1017308715</v>
      </c>
      <c r="BW50" s="119">
        <f t="shared" si="43"/>
        <v>0</v>
      </c>
      <c r="BX50" s="120">
        <f t="shared" si="44"/>
        <v>4.0560078855942164E-3</v>
      </c>
      <c r="BY50" s="121">
        <f t="shared" si="45"/>
        <v>7.4170304890354552E-3</v>
      </c>
      <c r="BZ50" s="299">
        <f t="shared" si="46"/>
        <v>1132206.1577953494</v>
      </c>
      <c r="CA50" s="109">
        <f t="shared" si="26"/>
        <v>9.9025520008773332E-3</v>
      </c>
      <c r="CB50" s="123">
        <f t="shared" si="57"/>
        <v>85548.786314329918</v>
      </c>
      <c r="CC50" s="111">
        <f t="shared" si="56"/>
        <v>1175376</v>
      </c>
      <c r="CE50" s="124">
        <f t="shared" si="28"/>
        <v>0</v>
      </c>
      <c r="CF50" s="17"/>
      <c r="CG50" s="108">
        <f t="shared" si="47"/>
        <v>4658904</v>
      </c>
      <c r="CH50" s="125">
        <f t="shared" si="48"/>
        <v>0.25228594536397403</v>
      </c>
      <c r="CI50" s="110">
        <f t="shared" si="49"/>
        <v>1126316.1017308715</v>
      </c>
      <c r="CJ50" s="300">
        <f t="shared" si="50"/>
        <v>0</v>
      </c>
      <c r="CL50" s="127">
        <f t="shared" si="51"/>
        <v>1126316.1017308715</v>
      </c>
      <c r="CM50" s="128">
        <f t="shared" si="52"/>
        <v>1.3097203903271583E-2</v>
      </c>
      <c r="CN50" s="129">
        <f t="shared" si="53"/>
        <v>10400.828929071715</v>
      </c>
      <c r="CO50" s="130">
        <f t="shared" si="55"/>
        <v>1136717</v>
      </c>
      <c r="CQ50" s="131">
        <f t="shared" si="54"/>
        <v>0.24301985140611385</v>
      </c>
      <c r="CR50" s="301"/>
    </row>
    <row r="51" spans="1:96" s="171" customFormat="1" ht="15" thickBot="1">
      <c r="A51" s="165"/>
      <c r="B51" s="166" t="s">
        <v>131</v>
      </c>
      <c r="C51" s="167">
        <f>SUM(C11:C50)-C34</f>
        <v>535846200</v>
      </c>
      <c r="D51" s="168">
        <f>SUM(D11:D50)-D34</f>
        <v>47351081</v>
      </c>
      <c r="E51" s="168">
        <f>SUM(E11:E50)-E34</f>
        <v>4481273</v>
      </c>
      <c r="F51" s="168">
        <f>SUM(F11:F50)-F34</f>
        <v>63382684</v>
      </c>
      <c r="G51" s="169">
        <f>SUM(G11:G50)</f>
        <v>0.99999999999999978</v>
      </c>
      <c r="H51" s="170">
        <f>SUM(H11:H50)</f>
        <v>1</v>
      </c>
      <c r="J51" s="172">
        <f>'Ridership-25'!B43/'Revenue Hours-25'!B43</f>
        <v>13.526760546299428</v>
      </c>
      <c r="K51" s="173">
        <f>'Ridership-25'!C43/'Revenue Hours-25'!C43</f>
        <v>6.9491805201049877</v>
      </c>
      <c r="L51" s="173">
        <f>'Ridership-25'!D43/'Revenue Hours-25'!D43</f>
        <v>8.9536027544539518</v>
      </c>
      <c r="M51" s="173">
        <f>'Ridership-25'!E43/'Revenue Hours-25'!E43</f>
        <v>10.705045615153841</v>
      </c>
      <c r="N51" s="174"/>
      <c r="O51" s="175">
        <f>SUM(O11:O50)</f>
        <v>1.0637949092047572</v>
      </c>
      <c r="P51" s="176">
        <f>SUM(P11:P50)</f>
        <v>1</v>
      </c>
      <c r="Q51" s="172">
        <f>'Ridership-25'!B43/'Revenue Miles-25'!B43</f>
        <v>0.94516480852199081</v>
      </c>
      <c r="R51" s="173">
        <f>'Ridership-25'!C43/'Revenue Miles-25'!C43</f>
        <v>0.49283534368231213</v>
      </c>
      <c r="S51" s="173">
        <f>'Ridership-25'!D43/'Revenue Miles-25'!D43</f>
        <v>0.61981636789595917</v>
      </c>
      <c r="T51" s="173">
        <f>'Ridership-25'!E43/'Revenue Miles-25'!E43</f>
        <v>0.74193378363769658</v>
      </c>
      <c r="U51" s="174"/>
      <c r="V51" s="175">
        <f>SUM(V11:V50)</f>
        <v>1.0621616901563788</v>
      </c>
      <c r="W51" s="176">
        <f>SUM(W11:W50)</f>
        <v>1</v>
      </c>
      <c r="X51" s="177">
        <f>'Op Cost-25'!B44/'Revenue Hours-25'!B43</f>
        <v>103.16343259700481</v>
      </c>
      <c r="Y51" s="178">
        <f>'Op Cost-25'!C44/'Revenue Hours-25'!C43</f>
        <v>125.95961510933006</v>
      </c>
      <c r="Z51" s="178">
        <f>'Op Cost-25'!D44/'Revenue Hours-25'!D43</f>
        <v>126.23027057650225</v>
      </c>
      <c r="AA51" s="178">
        <f>'Op Cost-25'!E44/'Revenue Hours-25'!E43</f>
        <v>117.50453980589081</v>
      </c>
      <c r="AB51" s="174"/>
      <c r="AC51" s="175">
        <f>SUM(AC11:AC50)</f>
        <v>0.93728150778120733</v>
      </c>
      <c r="AD51" s="176">
        <f>SUM(AD11:AD50)</f>
        <v>0.99999999999999978</v>
      </c>
      <c r="AE51" s="177">
        <f>'Op Cost-25'!B44/'Revenue Miles-25'!B43</f>
        <v>7.2084107413060252</v>
      </c>
      <c r="AF51" s="178">
        <f>'Op Cost-25'!C44/'Revenue Miles-25'!C43</f>
        <v>8.9330461372962819</v>
      </c>
      <c r="AG51" s="178">
        <f>'Op Cost-25'!D44/'Revenue Miles-25'!D43</f>
        <v>8.7383358378650051</v>
      </c>
      <c r="AH51" s="178">
        <f>'Op Cost-25'!E44/'Revenue Miles-25'!E43</f>
        <v>8.1438782184524161</v>
      </c>
      <c r="AI51" s="174"/>
      <c r="AJ51" s="175">
        <f>SUM(AJ11:AJ50)</f>
        <v>0.93961646439706481</v>
      </c>
      <c r="AK51" s="176">
        <f>SUM(AK11:AK50)</f>
        <v>0.99999999999999989</v>
      </c>
      <c r="AL51" s="177">
        <f>'Op Cost-25'!B44/'Ridership-25'!B43</f>
        <v>7.6266177880429513</v>
      </c>
      <c r="AM51" s="178">
        <f>'Op Cost-25'!C44/'Ridership-25'!C43</f>
        <v>18.125822857085176</v>
      </c>
      <c r="AN51" s="178">
        <f>'Op Cost-25'!D44/'Ridership-25'!D43</f>
        <v>14.098265696868143</v>
      </c>
      <c r="AO51" s="178">
        <f>'Op Cost-25'!E44/'Ridership-25'!E43</f>
        <v>10.97655666591031</v>
      </c>
      <c r="AP51" s="179"/>
      <c r="AQ51" s="175">
        <f>SUM(AQ11:AQ50)</f>
        <v>0.920755702922056</v>
      </c>
      <c r="AR51" s="176">
        <f>SUM(AR11:AR50)</f>
        <v>1.0000000000000002</v>
      </c>
      <c r="AT51" s="180">
        <f>SUM(AT11:AT50)</f>
        <v>0</v>
      </c>
      <c r="AU51" s="181">
        <f>SUM(AU11:AU50)</f>
        <v>0</v>
      </c>
      <c r="AV51" s="181">
        <f>SUM(AV11:AV50)</f>
        <v>0</v>
      </c>
      <c r="AW51" s="181">
        <f>SUM(AW11:AW50)</f>
        <v>0</v>
      </c>
      <c r="AX51" s="182">
        <f>SUM(AX11:AX50)</f>
        <v>0</v>
      </c>
      <c r="AZ51" s="183">
        <f t="shared" si="21"/>
        <v>0</v>
      </c>
      <c r="BA51" s="184">
        <f t="shared" si="21"/>
        <v>0</v>
      </c>
      <c r="BB51" s="184">
        <f t="shared" si="21"/>
        <v>0</v>
      </c>
      <c r="BC51" s="184">
        <f t="shared" si="21"/>
        <v>0</v>
      </c>
      <c r="BD51" s="184">
        <f t="shared" si="21"/>
        <v>0</v>
      </c>
      <c r="BE51" s="185">
        <f t="shared" ref="BE51" si="60">SUM(AZ51:BD51)</f>
        <v>0</v>
      </c>
      <c r="BG51" s="186">
        <f>'Op Cost-25'!E44</f>
        <v>535846200</v>
      </c>
      <c r="BH51" s="187"/>
      <c r="BI51" s="188">
        <f>SUM(BI11:BI50)</f>
        <v>120035146.41273499</v>
      </c>
      <c r="BJ51" s="189">
        <f>SUM(BJ11:BJ50)</f>
        <v>2205354.0372650386</v>
      </c>
      <c r="BK51" s="1"/>
      <c r="BO51" s="190">
        <f t="shared" ref="BO51:BT51" si="61">SUM(BO11:BO50)</f>
        <v>110055164.58449955</v>
      </c>
      <c r="BP51" s="192">
        <f t="shared" si="61"/>
        <v>36.290430018872812</v>
      </c>
      <c r="BQ51" s="305">
        <f t="shared" si="61"/>
        <v>1.1946438463094453</v>
      </c>
      <c r="BR51" s="305">
        <f t="shared" si="61"/>
        <v>0.96028959546118109</v>
      </c>
      <c r="BS51" s="191">
        <f t="shared" si="61"/>
        <v>0.99999999999999989</v>
      </c>
      <c r="BT51" s="192">
        <f t="shared" si="61"/>
        <v>128674211.00000001</v>
      </c>
      <c r="BU51" s="192"/>
      <c r="BV51" s="192">
        <f t="shared" ref="BV51:CC51" si="62">SUM(BV11:BV50)</f>
        <v>127880085.09298304</v>
      </c>
      <c r="BW51" s="192">
        <f t="shared" si="62"/>
        <v>794125.90701696766</v>
      </c>
      <c r="BX51" s="306">
        <f t="shared" si="62"/>
        <v>0.5468506421256033</v>
      </c>
      <c r="BY51" s="192">
        <f t="shared" si="62"/>
        <v>1.0000000000000002</v>
      </c>
      <c r="BZ51" s="192">
        <f t="shared" si="62"/>
        <v>128674211.00000003</v>
      </c>
      <c r="CA51" s="307">
        <f t="shared" si="62"/>
        <v>1</v>
      </c>
      <c r="CB51" s="194">
        <f t="shared" si="62"/>
        <v>8639064.5872650389</v>
      </c>
      <c r="CC51" s="189">
        <f t="shared" si="62"/>
        <v>128674211</v>
      </c>
      <c r="CE51" s="195">
        <f>SUM(CE11:CE50)</f>
        <v>2</v>
      </c>
      <c r="CG51" s="196">
        <f>SUM(CG11:CG50)</f>
        <v>535846200</v>
      </c>
      <c r="CH51" s="197"/>
      <c r="CI51" s="198">
        <f>SUM(CI11:CI50)</f>
        <v>127880085.09298304</v>
      </c>
      <c r="CJ51" s="308">
        <f>SUM(CJ11:CJ50)</f>
        <v>794125.90701696766</v>
      </c>
      <c r="CK51" s="1"/>
      <c r="CL51" s="200">
        <f>SUM(CL11:CL50)</f>
        <v>85996683.723426357</v>
      </c>
      <c r="CM51" s="201">
        <f t="shared" si="52"/>
        <v>1</v>
      </c>
      <c r="CN51" s="202">
        <f t="shared" si="53"/>
        <v>794125.90701696766</v>
      </c>
      <c r="CO51" s="203">
        <f>SUM(CO11:CO50)</f>
        <v>128674211</v>
      </c>
      <c r="CP51" s="1"/>
      <c r="CQ51" s="131">
        <f t="shared" si="54"/>
        <v>0.24013273024983667</v>
      </c>
      <c r="CR51" s="309"/>
    </row>
    <row r="53" spans="1:96">
      <c r="CR53" s="301"/>
    </row>
    <row r="58" spans="1:96">
      <c r="B58" s="1">
        <v>1</v>
      </c>
      <c r="C58" s="1">
        <f>B58+1</f>
        <v>2</v>
      </c>
      <c r="D58" s="1">
        <f t="shared" ref="D58:BO58" si="63">C58+1</f>
        <v>3</v>
      </c>
      <c r="E58" s="1">
        <f t="shared" si="63"/>
        <v>4</v>
      </c>
      <c r="F58" s="1">
        <f t="shared" si="63"/>
        <v>5</v>
      </c>
      <c r="G58" s="1">
        <f t="shared" si="63"/>
        <v>6</v>
      </c>
      <c r="H58" s="1">
        <f t="shared" si="63"/>
        <v>7</v>
      </c>
      <c r="I58" s="1">
        <f t="shared" si="63"/>
        <v>8</v>
      </c>
      <c r="J58" s="1">
        <f t="shared" si="63"/>
        <v>9</v>
      </c>
      <c r="K58" s="1">
        <f t="shared" si="63"/>
        <v>10</v>
      </c>
      <c r="L58" s="1">
        <f t="shared" si="63"/>
        <v>11</v>
      </c>
      <c r="M58" s="1">
        <f t="shared" si="63"/>
        <v>12</v>
      </c>
      <c r="N58" s="1">
        <f t="shared" si="63"/>
        <v>13</v>
      </c>
      <c r="O58" s="1">
        <f t="shared" si="63"/>
        <v>14</v>
      </c>
      <c r="P58" s="1">
        <f t="shared" si="63"/>
        <v>15</v>
      </c>
      <c r="Q58" s="1">
        <f t="shared" si="63"/>
        <v>16</v>
      </c>
      <c r="R58" s="1">
        <f t="shared" si="63"/>
        <v>17</v>
      </c>
      <c r="S58" s="1">
        <f t="shared" si="63"/>
        <v>18</v>
      </c>
      <c r="T58" s="1">
        <f t="shared" si="63"/>
        <v>19</v>
      </c>
      <c r="U58" s="1">
        <f t="shared" si="63"/>
        <v>20</v>
      </c>
      <c r="V58" s="1">
        <f t="shared" si="63"/>
        <v>21</v>
      </c>
      <c r="W58" s="1">
        <f t="shared" si="63"/>
        <v>22</v>
      </c>
      <c r="X58" s="1">
        <f t="shared" si="63"/>
        <v>23</v>
      </c>
      <c r="Y58" s="1">
        <f t="shared" si="63"/>
        <v>24</v>
      </c>
      <c r="Z58" s="1">
        <f t="shared" si="63"/>
        <v>25</v>
      </c>
      <c r="AA58" s="1">
        <f t="shared" si="63"/>
        <v>26</v>
      </c>
      <c r="AB58" s="1">
        <f t="shared" si="63"/>
        <v>27</v>
      </c>
      <c r="AC58" s="1">
        <f t="shared" si="63"/>
        <v>28</v>
      </c>
      <c r="AD58" s="1">
        <f t="shared" si="63"/>
        <v>29</v>
      </c>
      <c r="AE58" s="1">
        <f t="shared" si="63"/>
        <v>30</v>
      </c>
      <c r="AF58" s="1">
        <f t="shared" si="63"/>
        <v>31</v>
      </c>
      <c r="AG58" s="1">
        <f t="shared" si="63"/>
        <v>32</v>
      </c>
      <c r="AH58" s="1">
        <f t="shared" si="63"/>
        <v>33</v>
      </c>
      <c r="AI58" s="1">
        <f t="shared" si="63"/>
        <v>34</v>
      </c>
      <c r="AJ58" s="1">
        <f t="shared" si="63"/>
        <v>35</v>
      </c>
      <c r="AK58" s="1">
        <f t="shared" si="63"/>
        <v>36</v>
      </c>
      <c r="AL58" s="1">
        <f t="shared" si="63"/>
        <v>37</v>
      </c>
      <c r="AM58" s="1">
        <f t="shared" si="63"/>
        <v>38</v>
      </c>
      <c r="AN58" s="1">
        <f t="shared" si="63"/>
        <v>39</v>
      </c>
      <c r="AO58" s="1">
        <f t="shared" si="63"/>
        <v>40</v>
      </c>
      <c r="AP58" s="1">
        <f t="shared" si="63"/>
        <v>41</v>
      </c>
      <c r="AQ58" s="1">
        <f t="shared" si="63"/>
        <v>42</v>
      </c>
      <c r="AR58" s="1">
        <f t="shared" si="63"/>
        <v>43</v>
      </c>
      <c r="AS58" s="1">
        <f t="shared" si="63"/>
        <v>44</v>
      </c>
      <c r="AT58" s="1">
        <f t="shared" si="63"/>
        <v>45</v>
      </c>
      <c r="AU58" s="1">
        <f t="shared" si="63"/>
        <v>46</v>
      </c>
      <c r="AV58" s="1">
        <f t="shared" si="63"/>
        <v>47</v>
      </c>
      <c r="AW58" s="1">
        <f t="shared" si="63"/>
        <v>48</v>
      </c>
      <c r="AX58" s="1">
        <f t="shared" si="63"/>
        <v>49</v>
      </c>
      <c r="AY58" s="1">
        <f t="shared" si="63"/>
        <v>50</v>
      </c>
      <c r="AZ58" s="1">
        <f t="shared" si="63"/>
        <v>51</v>
      </c>
      <c r="BA58" s="1">
        <f t="shared" si="63"/>
        <v>52</v>
      </c>
      <c r="BB58" s="1">
        <f t="shared" si="63"/>
        <v>53</v>
      </c>
      <c r="BC58" s="1">
        <f t="shared" si="63"/>
        <v>54</v>
      </c>
      <c r="BD58" s="1">
        <f t="shared" si="63"/>
        <v>55</v>
      </c>
      <c r="BE58" s="1">
        <f t="shared" si="63"/>
        <v>56</v>
      </c>
      <c r="BF58" s="1">
        <f t="shared" si="63"/>
        <v>57</v>
      </c>
      <c r="BG58" s="1">
        <f t="shared" si="63"/>
        <v>58</v>
      </c>
      <c r="BH58" s="1">
        <f t="shared" si="63"/>
        <v>59</v>
      </c>
      <c r="BI58" s="1">
        <f t="shared" si="63"/>
        <v>60</v>
      </c>
      <c r="BJ58" s="1">
        <f t="shared" si="63"/>
        <v>61</v>
      </c>
      <c r="BK58" s="1">
        <f t="shared" si="63"/>
        <v>62</v>
      </c>
      <c r="BL58" s="1">
        <f t="shared" si="63"/>
        <v>63</v>
      </c>
      <c r="BM58" s="1">
        <f t="shared" si="63"/>
        <v>64</v>
      </c>
      <c r="BN58" s="1">
        <f t="shared" si="63"/>
        <v>65</v>
      </c>
      <c r="BO58" s="1">
        <f t="shared" si="63"/>
        <v>66</v>
      </c>
      <c r="BP58" s="1">
        <f t="shared" ref="BP58:BQ58" si="64">BO58+1</f>
        <v>67</v>
      </c>
      <c r="BQ58" s="1">
        <f t="shared" si="64"/>
        <v>68</v>
      </c>
      <c r="CA58" s="1">
        <f>BO58+1</f>
        <v>67</v>
      </c>
      <c r="CB58" s="1">
        <f t="shared" ref="CB58:CO58" si="65">CA58+1</f>
        <v>68</v>
      </c>
      <c r="CC58" s="1">
        <f t="shared" si="65"/>
        <v>69</v>
      </c>
      <c r="CD58" s="1">
        <f t="shared" si="65"/>
        <v>70</v>
      </c>
      <c r="CE58" s="1">
        <f t="shared" si="65"/>
        <v>71</v>
      </c>
      <c r="CF58" s="1">
        <f t="shared" si="65"/>
        <v>72</v>
      </c>
      <c r="CG58" s="1">
        <f t="shared" si="65"/>
        <v>73</v>
      </c>
      <c r="CH58" s="1">
        <f t="shared" si="65"/>
        <v>74</v>
      </c>
      <c r="CI58" s="1">
        <f t="shared" si="65"/>
        <v>75</v>
      </c>
      <c r="CJ58" s="1">
        <f t="shared" si="65"/>
        <v>76</v>
      </c>
      <c r="CK58" s="1">
        <f t="shared" si="65"/>
        <v>77</v>
      </c>
      <c r="CL58" s="1">
        <f t="shared" si="65"/>
        <v>78</v>
      </c>
      <c r="CM58" s="1">
        <f t="shared" si="65"/>
        <v>79</v>
      </c>
      <c r="CN58" s="1">
        <f t="shared" si="65"/>
        <v>80</v>
      </c>
      <c r="CO58" s="1">
        <f t="shared" si="65"/>
        <v>81</v>
      </c>
    </row>
  </sheetData>
  <autoFilter ref="A10:CQ10" xr:uid="{00000000-0001-0000-0F00-000000000000}"/>
  <mergeCells count="1">
    <mergeCell ref="CL3:CO3"/>
  </mergeCells>
  <conditionalFormatting sqref="BK11:BK50">
    <cfRule type="cellIs" dxfId="14" priority="2" operator="greaterThan">
      <formula>0.93</formula>
    </cfRule>
  </conditionalFormatting>
  <conditionalFormatting sqref="BS11:BS50">
    <cfRule type="cellIs" dxfId="13" priority="1" operator="between">
      <formula>3</formula>
      <formula>30</formula>
    </cfRule>
  </conditionalFormatting>
  <conditionalFormatting sqref="CE51">
    <cfRule type="cellIs" dxfId="12" priority="3" operator="notEqual">
      <formula>0</formula>
    </cfRule>
  </conditionalFormatting>
  <printOptions horizontalCentered="1"/>
  <pageMargins left="0.25" right="0.25" top="0.75" bottom="0.75" header="0.3" footer="0.3"/>
  <pageSetup paperSize="17" scale="18" orientation="landscape" r:id="rId1"/>
  <headerFooter alignWithMargins="0">
    <oddFooter>&amp;L&amp;F&amp;R&amp;D</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3130A-BE8B-42CC-9107-9F0E09D51DB8}">
  <sheetPr>
    <tabColor rgb="FF7030A0"/>
  </sheetPr>
  <dimension ref="A1:AE128"/>
  <sheetViews>
    <sheetView showGridLines="0" zoomScale="80" zoomScaleNormal="80" workbookViewId="0"/>
  </sheetViews>
  <sheetFormatPr defaultColWidth="8.7109375" defaultRowHeight="12.75"/>
  <cols>
    <col min="1" max="1" width="20" style="572" customWidth="1"/>
    <col min="2" max="2" width="26.28515625" style="572" customWidth="1"/>
    <col min="3" max="3" width="32.85546875" style="572" hidden="1" customWidth="1"/>
    <col min="4" max="4" width="22.28515625" style="572" customWidth="1"/>
    <col min="5" max="5" width="19.7109375" style="572" hidden="1" customWidth="1"/>
    <col min="6" max="6" width="23.5703125" style="572" customWidth="1"/>
    <col min="7" max="7" width="15.42578125" style="572" customWidth="1"/>
    <col min="8" max="8" width="13.7109375" style="572" customWidth="1"/>
    <col min="9" max="9" width="8.7109375" style="572"/>
    <col min="10" max="10" width="0" style="572" hidden="1" customWidth="1"/>
    <col min="11" max="11" width="20.140625" style="572" customWidth="1"/>
    <col min="12" max="12" width="8.5703125" style="572" customWidth="1"/>
    <col min="13" max="15" width="18" style="572" customWidth="1"/>
    <col min="16" max="16" width="1.28515625" style="572" customWidth="1"/>
    <col min="17" max="17" width="20.42578125" style="572" customWidth="1"/>
    <col min="18" max="18" width="16.85546875" style="572" customWidth="1"/>
    <col min="19" max="19" width="18.140625" style="572" customWidth="1"/>
    <col min="20" max="20" width="14.7109375" style="572" customWidth="1"/>
    <col min="21" max="21" width="8.7109375" style="572"/>
    <col min="22" max="22" width="15.85546875" style="572" customWidth="1"/>
    <col min="23" max="23" width="8.7109375" style="572"/>
    <col min="24" max="24" width="11.85546875" style="572" customWidth="1"/>
    <col min="25" max="25" width="8.7109375" style="572"/>
    <col min="26" max="26" width="11.42578125" style="572" customWidth="1"/>
    <col min="27" max="16384" width="8.7109375" style="572"/>
  </cols>
  <sheetData>
    <row r="1" spans="1:6" ht="18.75" thickBot="1">
      <c r="A1" s="1138" t="s">
        <v>427</v>
      </c>
    </row>
    <row r="2" spans="1:6">
      <c r="B2" s="612" t="s">
        <v>222</v>
      </c>
      <c r="C2" s="613"/>
      <c r="D2" s="614" t="s">
        <v>223</v>
      </c>
      <c r="E2" s="615" t="s">
        <v>224</v>
      </c>
      <c r="F2" s="616" t="s">
        <v>225</v>
      </c>
    </row>
    <row r="3" spans="1:6">
      <c r="B3" s="617"/>
      <c r="C3" s="618"/>
      <c r="D3" s="619"/>
      <c r="E3" s="620" t="s">
        <v>226</v>
      </c>
      <c r="F3" s="621"/>
    </row>
    <row r="4" spans="1:6">
      <c r="B4" s="622"/>
      <c r="C4" s="623"/>
      <c r="D4" s="623"/>
      <c r="E4" s="624" t="s">
        <v>227</v>
      </c>
      <c r="F4" s="625" t="s">
        <v>228</v>
      </c>
    </row>
    <row r="5" spans="1:6">
      <c r="B5" s="622"/>
      <c r="C5" s="623"/>
      <c r="D5" s="623"/>
      <c r="E5" s="624" t="s">
        <v>229</v>
      </c>
      <c r="F5" s="625" t="s">
        <v>230</v>
      </c>
    </row>
    <row r="6" spans="1:6">
      <c r="B6" s="626"/>
      <c r="C6" s="627"/>
      <c r="D6" s="627"/>
      <c r="E6" s="628" t="s">
        <v>231</v>
      </c>
      <c r="F6" s="629" t="s">
        <v>232</v>
      </c>
    </row>
    <row r="7" spans="1:6">
      <c r="B7" s="622"/>
      <c r="C7" s="630"/>
      <c r="D7" s="630"/>
      <c r="E7" s="628" t="s">
        <v>233</v>
      </c>
      <c r="F7" s="629" t="s">
        <v>232</v>
      </c>
    </row>
    <row r="8" spans="1:6">
      <c r="B8" s="631" t="s">
        <v>234</v>
      </c>
      <c r="C8" s="632" t="s">
        <v>235</v>
      </c>
      <c r="D8" s="633">
        <v>0.5</v>
      </c>
      <c r="E8" s="634" t="s">
        <v>236</v>
      </c>
      <c r="F8" s="635">
        <v>0.35</v>
      </c>
    </row>
    <row r="9" spans="1:6">
      <c r="B9" s="636"/>
      <c r="C9" s="637" t="s">
        <v>133</v>
      </c>
      <c r="D9" s="638">
        <v>0.3</v>
      </c>
      <c r="E9" s="634" t="s">
        <v>236</v>
      </c>
      <c r="F9" s="639">
        <v>0.35</v>
      </c>
    </row>
    <row r="10" spans="1:6">
      <c r="B10" s="636"/>
      <c r="C10" s="640" t="s">
        <v>136</v>
      </c>
      <c r="D10" s="638">
        <v>0.1</v>
      </c>
      <c r="E10" s="634" t="s">
        <v>236</v>
      </c>
      <c r="F10" s="639">
        <v>0.15</v>
      </c>
    </row>
    <row r="11" spans="1:6" ht="13.5" thickBot="1">
      <c r="B11" s="641"/>
      <c r="C11" s="642" t="s">
        <v>137</v>
      </c>
      <c r="D11" s="643">
        <v>0.1</v>
      </c>
      <c r="E11" s="634" t="s">
        <v>236</v>
      </c>
      <c r="F11" s="644">
        <v>0.15</v>
      </c>
    </row>
    <row r="12" spans="1:6">
      <c r="B12" s="645" t="s">
        <v>237</v>
      </c>
      <c r="C12" s="646" t="s">
        <v>238</v>
      </c>
      <c r="D12" s="647">
        <v>0.2</v>
      </c>
      <c r="E12" s="634" t="s">
        <v>236</v>
      </c>
      <c r="F12" s="648">
        <v>0</v>
      </c>
    </row>
    <row r="13" spans="1:6">
      <c r="B13" s="631" t="s">
        <v>239</v>
      </c>
      <c r="C13" s="649" t="s">
        <v>240</v>
      </c>
      <c r="D13" s="650">
        <v>0.2</v>
      </c>
      <c r="E13" s="634" t="s">
        <v>236</v>
      </c>
      <c r="F13" s="639">
        <v>0</v>
      </c>
    </row>
    <row r="14" spans="1:6">
      <c r="B14" s="631" t="s">
        <v>241</v>
      </c>
      <c r="C14" s="649" t="s">
        <v>242</v>
      </c>
      <c r="D14" s="650">
        <v>0.2</v>
      </c>
      <c r="E14" s="634" t="s">
        <v>236</v>
      </c>
      <c r="F14" s="639">
        <v>0</v>
      </c>
    </row>
    <row r="15" spans="1:6">
      <c r="B15" s="636"/>
      <c r="C15" s="649" t="s">
        <v>243</v>
      </c>
      <c r="D15" s="650">
        <v>0.2</v>
      </c>
      <c r="E15" s="634" t="s">
        <v>236</v>
      </c>
      <c r="F15" s="639">
        <v>0</v>
      </c>
    </row>
    <row r="16" spans="1:6" ht="13.5" thickBot="1">
      <c r="B16" s="641"/>
      <c r="C16" s="651" t="s">
        <v>244</v>
      </c>
      <c r="D16" s="652">
        <v>0.2</v>
      </c>
      <c r="E16" s="634" t="s">
        <v>236</v>
      </c>
      <c r="F16" s="644">
        <v>0</v>
      </c>
    </row>
    <row r="17" spans="2:19" ht="24.75" thickBot="1">
      <c r="B17" s="653" t="s">
        <v>245</v>
      </c>
      <c r="C17" s="654"/>
      <c r="D17" s="655" t="s">
        <v>246</v>
      </c>
      <c r="E17" s="634" t="s">
        <v>236</v>
      </c>
      <c r="F17" s="656" t="s">
        <v>247</v>
      </c>
    </row>
    <row r="18" spans="2:19">
      <c r="B18" s="657" t="s">
        <v>248</v>
      </c>
      <c r="C18" s="646" t="s">
        <v>249</v>
      </c>
      <c r="D18" s="658" t="s">
        <v>155</v>
      </c>
      <c r="E18" s="634" t="s">
        <v>236</v>
      </c>
      <c r="F18" s="659" t="s">
        <v>250</v>
      </c>
    </row>
    <row r="19" spans="2:19">
      <c r="B19" s="660" t="s">
        <v>251</v>
      </c>
      <c r="C19" s="649" t="s">
        <v>252</v>
      </c>
      <c r="D19" s="661" t="s">
        <v>155</v>
      </c>
      <c r="E19" s="634" t="s">
        <v>236</v>
      </c>
      <c r="F19" s="662" t="s">
        <v>253</v>
      </c>
    </row>
    <row r="20" spans="2:19">
      <c r="B20" s="660" t="s">
        <v>254</v>
      </c>
      <c r="C20" s="649" t="s">
        <v>240</v>
      </c>
      <c r="D20" s="663" t="s">
        <v>155</v>
      </c>
      <c r="E20" s="634" t="s">
        <v>236</v>
      </c>
      <c r="F20" s="662">
        <v>0.25</v>
      </c>
    </row>
    <row r="21" spans="2:19">
      <c r="B21" s="660"/>
      <c r="C21" s="649" t="s">
        <v>238</v>
      </c>
      <c r="D21" s="663" t="s">
        <v>155</v>
      </c>
      <c r="E21" s="634" t="s">
        <v>236</v>
      </c>
      <c r="F21" s="662">
        <v>0.25</v>
      </c>
    </row>
    <row r="22" spans="2:19" ht="13.5" thickBot="1">
      <c r="B22" s="664"/>
      <c r="C22" s="665" t="s">
        <v>166</v>
      </c>
      <c r="D22" s="663" t="s">
        <v>155</v>
      </c>
      <c r="E22" s="634" t="s">
        <v>236</v>
      </c>
      <c r="F22" s="666">
        <v>0.5</v>
      </c>
    </row>
    <row r="23" spans="2:19">
      <c r="B23" s="657" t="s">
        <v>255</v>
      </c>
      <c r="C23" s="646" t="s">
        <v>256</v>
      </c>
      <c r="D23" s="647">
        <v>0.3</v>
      </c>
      <c r="E23" s="634" t="s">
        <v>236</v>
      </c>
      <c r="F23" s="667">
        <v>0.3</v>
      </c>
    </row>
    <row r="24" spans="2:19" ht="13.5" thickBot="1">
      <c r="B24" s="668"/>
      <c r="C24" s="651" t="s">
        <v>257</v>
      </c>
      <c r="D24" s="652">
        <v>0.3</v>
      </c>
      <c r="E24" s="634" t="s">
        <v>236</v>
      </c>
      <c r="F24" s="669">
        <v>0.3</v>
      </c>
    </row>
    <row r="26" spans="2:19" ht="37.5" customHeight="1">
      <c r="B26" s="670" t="s">
        <v>29</v>
      </c>
      <c r="C26" s="671"/>
      <c r="D26" s="672" t="s">
        <v>258</v>
      </c>
      <c r="E26" s="673"/>
      <c r="F26" s="672" t="s">
        <v>259</v>
      </c>
      <c r="G26" s="673" t="s">
        <v>260</v>
      </c>
      <c r="H26" s="673" t="s">
        <v>204</v>
      </c>
      <c r="M26" s="674" t="s">
        <v>261</v>
      </c>
      <c r="N26" s="674"/>
      <c r="O26" s="674"/>
      <c r="Q26" s="674" t="s">
        <v>262</v>
      </c>
      <c r="R26" s="674"/>
      <c r="S26" s="674"/>
    </row>
    <row r="27" spans="2:19" ht="15" thickBot="1">
      <c r="B27" s="605" t="s">
        <v>207</v>
      </c>
      <c r="C27" s="675"/>
      <c r="D27" s="588"/>
      <c r="E27" s="588"/>
      <c r="M27" s="572">
        <v>2024</v>
      </c>
      <c r="N27" s="572">
        <v>2025</v>
      </c>
      <c r="O27" s="572">
        <v>2026</v>
      </c>
      <c r="Q27" s="572">
        <v>2024</v>
      </c>
      <c r="R27" s="572">
        <v>2025</v>
      </c>
      <c r="S27" s="572">
        <v>2026</v>
      </c>
    </row>
    <row r="28" spans="2:19" ht="15">
      <c r="B28" s="676" t="s">
        <v>82</v>
      </c>
      <c r="C28" s="677"/>
      <c r="D28" s="678">
        <f>AVERAGE(M28:O28)</f>
        <v>2257448.1399023193</v>
      </c>
      <c r="E28" s="679" t="s">
        <v>236</v>
      </c>
      <c r="F28" s="680">
        <f>AVERAGE(Q28:S28)</f>
        <v>2302545.0132369325</v>
      </c>
      <c r="G28" s="681">
        <f t="shared" ref="G28:G37" si="0">F28-D28</f>
        <v>45096.873334613163</v>
      </c>
      <c r="H28" s="682">
        <f t="shared" ref="H28:H37" si="1">G28/D28</f>
        <v>1.9976925510485712E-2</v>
      </c>
      <c r="M28" s="683">
        <f>SUMIF($A$42:$A$80, $B28,  M$42:M$80)</f>
        <v>2393545</v>
      </c>
      <c r="N28" s="683">
        <f t="shared" ref="N28:O28" si="2">SUMIF($A$42:$A$80, $B28,  N$42:N$80)</f>
        <v>2293801</v>
      </c>
      <c r="O28" s="683">
        <f t="shared" si="2"/>
        <v>2084998.4197069572</v>
      </c>
      <c r="Q28" s="683">
        <f>SUMIF($A$42:$A$80, $B28,  Q$42:Q$80)</f>
        <v>2390535.8185383161</v>
      </c>
      <c r="R28" s="683">
        <f t="shared" ref="R28:S28" si="3">SUMIF($A$42:$A$80, $B28,  R$42:R$80)</f>
        <v>2310509.6305614091</v>
      </c>
      <c r="S28" s="683">
        <f t="shared" si="3"/>
        <v>2206589.5906110718</v>
      </c>
    </row>
    <row r="29" spans="2:19" ht="15">
      <c r="B29" s="685" t="s">
        <v>88</v>
      </c>
      <c r="C29" s="686"/>
      <c r="D29" s="687">
        <f t="shared" ref="D29:D37" si="4">AVERAGE(M29:O29)</f>
        <v>2971811.8341092449</v>
      </c>
      <c r="E29" s="679" t="s">
        <v>236</v>
      </c>
      <c r="F29" s="688">
        <f t="shared" ref="F29:F37" si="5">AVERAGE(Q29:S29)</f>
        <v>2955605.5237816013</v>
      </c>
      <c r="G29" s="689">
        <f t="shared" si="0"/>
        <v>-16206.310327643529</v>
      </c>
      <c r="H29" s="690">
        <f t="shared" si="1"/>
        <v>-5.4533433582954699E-3</v>
      </c>
      <c r="M29" s="683">
        <f t="shared" ref="M29:S37" si="6">SUMIF($A$42:$A$80, $B29,  M$42:M$80)</f>
        <v>2759211</v>
      </c>
      <c r="N29" s="683">
        <f t="shared" si="6"/>
        <v>2600883</v>
      </c>
      <c r="O29" s="683">
        <f t="shared" si="6"/>
        <v>3555341.5023277341</v>
      </c>
      <c r="Q29" s="683">
        <f t="shared" si="6"/>
        <v>2759210.6999999997</v>
      </c>
      <c r="R29" s="683">
        <f t="shared" si="6"/>
        <v>2750081.8829921298</v>
      </c>
      <c r="S29" s="683">
        <f t="shared" si="6"/>
        <v>3357523.9883526759</v>
      </c>
    </row>
    <row r="30" spans="2:19" ht="15">
      <c r="B30" s="685" t="s">
        <v>90</v>
      </c>
      <c r="C30" s="686"/>
      <c r="D30" s="687">
        <f t="shared" si="4"/>
        <v>1071485.0448851464</v>
      </c>
      <c r="E30" s="679" t="s">
        <v>236</v>
      </c>
      <c r="F30" s="688">
        <f t="shared" si="5"/>
        <v>991727.64516962832</v>
      </c>
      <c r="G30" s="689">
        <f t="shared" si="0"/>
        <v>-79757.399715518113</v>
      </c>
      <c r="H30" s="690">
        <f t="shared" si="1"/>
        <v>-7.4436316303478967E-2</v>
      </c>
      <c r="M30" s="683">
        <f t="shared" si="6"/>
        <v>1083494</v>
      </c>
      <c r="N30" s="683">
        <f t="shared" si="6"/>
        <v>1053666</v>
      </c>
      <c r="O30" s="683">
        <f t="shared" si="6"/>
        <v>1077295.1346554393</v>
      </c>
      <c r="Q30" s="683">
        <f t="shared" si="6"/>
        <v>1021327.0925876829</v>
      </c>
      <c r="R30" s="683">
        <f t="shared" si="6"/>
        <v>969664.9212815027</v>
      </c>
      <c r="S30" s="683">
        <f t="shared" si="6"/>
        <v>984190.92163969937</v>
      </c>
    </row>
    <row r="31" spans="2:19" ht="15">
      <c r="B31" s="685" t="s">
        <v>263</v>
      </c>
      <c r="C31" s="686"/>
      <c r="D31" s="687">
        <f t="shared" si="4"/>
        <v>28692230.700066816</v>
      </c>
      <c r="E31" s="679" t="s">
        <v>236</v>
      </c>
      <c r="F31" s="688">
        <f t="shared" si="5"/>
        <v>29276880.127124388</v>
      </c>
      <c r="G31" s="689">
        <f t="shared" si="0"/>
        <v>584649.42705757171</v>
      </c>
      <c r="H31" s="690">
        <f t="shared" si="1"/>
        <v>2.0376576264466262E-2</v>
      </c>
      <c r="M31" s="683">
        <f t="shared" si="6"/>
        <v>29989399</v>
      </c>
      <c r="N31" s="683">
        <f t="shared" si="6"/>
        <v>28188865</v>
      </c>
      <c r="O31" s="683">
        <f t="shared" si="6"/>
        <v>27898428.100200444</v>
      </c>
      <c r="Q31" s="683">
        <f t="shared" si="6"/>
        <v>30483257.5740286</v>
      </c>
      <c r="R31" s="683">
        <f t="shared" si="6"/>
        <v>28902775.752657101</v>
      </c>
      <c r="S31" s="683">
        <f t="shared" si="6"/>
        <v>28444607.054687466</v>
      </c>
    </row>
    <row r="32" spans="2:19" ht="15">
      <c r="B32" s="685" t="s">
        <v>99</v>
      </c>
      <c r="C32" s="686"/>
      <c r="D32" s="687">
        <f t="shared" si="4"/>
        <v>2772386.367524276</v>
      </c>
      <c r="E32" s="679" t="s">
        <v>236</v>
      </c>
      <c r="F32" s="688">
        <f t="shared" si="5"/>
        <v>3028554.3050672058</v>
      </c>
      <c r="G32" s="689">
        <f t="shared" si="0"/>
        <v>256167.93754292978</v>
      </c>
      <c r="H32" s="690">
        <f t="shared" si="1"/>
        <v>9.2399796992107625E-2</v>
      </c>
      <c r="M32" s="683">
        <f t="shared" si="6"/>
        <v>2955096</v>
      </c>
      <c r="N32" s="683">
        <f t="shared" si="6"/>
        <v>2698977</v>
      </c>
      <c r="O32" s="683">
        <f t="shared" si="6"/>
        <v>2663086.1025728276</v>
      </c>
      <c r="Q32" s="683">
        <f t="shared" si="6"/>
        <v>3229371.7141590426</v>
      </c>
      <c r="R32" s="683">
        <f t="shared" si="6"/>
        <v>2975974.1772576077</v>
      </c>
      <c r="S32" s="683">
        <f t="shared" si="6"/>
        <v>2880317.0237849671</v>
      </c>
    </row>
    <row r="33" spans="1:31" ht="15">
      <c r="B33" s="685" t="s">
        <v>206</v>
      </c>
      <c r="C33" s="686"/>
      <c r="D33" s="687">
        <f t="shared" si="4"/>
        <v>56728251.939407773</v>
      </c>
      <c r="E33" s="679" t="s">
        <v>236</v>
      </c>
      <c r="F33" s="688">
        <f t="shared" si="5"/>
        <v>54932327.820781887</v>
      </c>
      <c r="G33" s="689">
        <f t="shared" si="0"/>
        <v>-1795924.1186258867</v>
      </c>
      <c r="H33" s="690">
        <f t="shared" si="1"/>
        <v>-3.1658372278845083E-2</v>
      </c>
      <c r="M33" s="683">
        <f t="shared" si="6"/>
        <v>60497894</v>
      </c>
      <c r="N33" s="683">
        <f t="shared" si="6"/>
        <v>54594353</v>
      </c>
      <c r="O33" s="683">
        <f t="shared" si="6"/>
        <v>55092508.818223327</v>
      </c>
      <c r="Q33" s="683">
        <f t="shared" si="6"/>
        <v>60085860.261911452</v>
      </c>
      <c r="R33" s="683">
        <f t="shared" si="6"/>
        <v>52881406.479438901</v>
      </c>
      <c r="S33" s="683">
        <f t="shared" si="6"/>
        <v>51829716.720995307</v>
      </c>
    </row>
    <row r="34" spans="1:31" ht="15">
      <c r="B34" s="685" t="s">
        <v>112</v>
      </c>
      <c r="C34" s="686"/>
      <c r="D34" s="687">
        <f t="shared" si="4"/>
        <v>20052090.808745552</v>
      </c>
      <c r="E34" s="679" t="s">
        <v>236</v>
      </c>
      <c r="F34" s="688">
        <f t="shared" si="5"/>
        <v>20781993.808721017</v>
      </c>
      <c r="G34" s="689">
        <f t="shared" si="0"/>
        <v>729902.99997546524</v>
      </c>
      <c r="H34" s="690">
        <f t="shared" si="1"/>
        <v>3.6400343831333747E-2</v>
      </c>
      <c r="M34" s="683">
        <f t="shared" si="6"/>
        <v>18734413</v>
      </c>
      <c r="N34" s="683">
        <f t="shared" si="6"/>
        <v>21605869</v>
      </c>
      <c r="O34" s="683">
        <f t="shared" si="6"/>
        <v>19815990.426236656</v>
      </c>
      <c r="Q34" s="683">
        <f t="shared" si="6"/>
        <v>18734413.199999999</v>
      </c>
      <c r="R34" s="683">
        <f t="shared" si="6"/>
        <v>21908228.92442992</v>
      </c>
      <c r="S34" s="683">
        <f t="shared" si="6"/>
        <v>21703339.301733125</v>
      </c>
    </row>
    <row r="35" spans="1:31" ht="15">
      <c r="B35" s="685" t="s">
        <v>115</v>
      </c>
      <c r="C35" s="686"/>
      <c r="D35" s="687">
        <f t="shared" si="4"/>
        <v>7455196.5558467098</v>
      </c>
      <c r="E35" s="679" t="s">
        <v>236</v>
      </c>
      <c r="F35" s="688">
        <f t="shared" si="5"/>
        <v>7767250.6118149497</v>
      </c>
      <c r="G35" s="689">
        <f t="shared" si="0"/>
        <v>312054.0559682399</v>
      </c>
      <c r="H35" s="690">
        <f t="shared" si="1"/>
        <v>4.1857254014786863E-2</v>
      </c>
      <c r="M35" s="683">
        <f t="shared" si="6"/>
        <v>6925251</v>
      </c>
      <c r="N35" s="683">
        <f t="shared" si="6"/>
        <v>7750547</v>
      </c>
      <c r="O35" s="683">
        <f t="shared" si="6"/>
        <v>7689791.6675401302</v>
      </c>
      <c r="Q35" s="683">
        <f t="shared" si="6"/>
        <v>6951590.3999999994</v>
      </c>
      <c r="R35" s="683">
        <f t="shared" si="6"/>
        <v>8160322.5251064673</v>
      </c>
      <c r="S35" s="683">
        <f t="shared" si="6"/>
        <v>8189838.9103383832</v>
      </c>
    </row>
    <row r="36" spans="1:31" ht="15">
      <c r="B36" s="685" t="s">
        <v>120</v>
      </c>
      <c r="C36" s="686"/>
      <c r="D36" s="687">
        <f t="shared" si="4"/>
        <v>3142870.4044961301</v>
      </c>
      <c r="E36" s="679" t="s">
        <v>236</v>
      </c>
      <c r="F36" s="688">
        <f t="shared" si="5"/>
        <v>3232911.6544858101</v>
      </c>
      <c r="G36" s="689">
        <f t="shared" si="0"/>
        <v>90041.249989680015</v>
      </c>
      <c r="H36" s="690">
        <f t="shared" si="1"/>
        <v>2.8649367743852478E-2</v>
      </c>
      <c r="M36" s="683">
        <f t="shared" si="6"/>
        <v>2909109</v>
      </c>
      <c r="N36" s="683">
        <f t="shared" si="6"/>
        <v>3156958</v>
      </c>
      <c r="O36" s="683">
        <f t="shared" si="6"/>
        <v>3362544.2134883902</v>
      </c>
      <c r="Q36" s="683">
        <f t="shared" si="6"/>
        <v>2988767.1105974042</v>
      </c>
      <c r="R36" s="683">
        <f t="shared" si="6"/>
        <v>3236714.6824751543</v>
      </c>
      <c r="S36" s="683">
        <f t="shared" si="6"/>
        <v>3473253.1703848708</v>
      </c>
    </row>
    <row r="37" spans="1:31" ht="15.75" thickBot="1">
      <c r="B37" s="691" t="s">
        <v>124</v>
      </c>
      <c r="C37" s="692"/>
      <c r="D37" s="693">
        <f t="shared" si="4"/>
        <v>4404643.8716827054</v>
      </c>
      <c r="E37" s="679" t="s">
        <v>236</v>
      </c>
      <c r="F37" s="694">
        <f t="shared" si="5"/>
        <v>4278619.4898165548</v>
      </c>
      <c r="G37" s="695">
        <f t="shared" si="0"/>
        <v>-126024.38186615054</v>
      </c>
      <c r="H37" s="696">
        <f t="shared" si="1"/>
        <v>-2.8611707447305033E-2</v>
      </c>
      <c r="M37" s="683">
        <f t="shared" si="6"/>
        <v>5018756</v>
      </c>
      <c r="N37" s="683">
        <f t="shared" si="6"/>
        <v>4730291</v>
      </c>
      <c r="O37" s="683">
        <f t="shared" si="6"/>
        <v>3464884.6150481161</v>
      </c>
      <c r="Q37" s="683">
        <f t="shared" si="6"/>
        <v>4621834.1281774295</v>
      </c>
      <c r="R37" s="683">
        <f t="shared" si="6"/>
        <v>4578532.0237998124</v>
      </c>
      <c r="S37" s="683">
        <f t="shared" si="6"/>
        <v>3635492.3174724225</v>
      </c>
    </row>
    <row r="38" spans="1:31" ht="15">
      <c r="D38" s="588">
        <f>SUM(D28:D37)</f>
        <v>129548415.66666666</v>
      </c>
      <c r="F38" s="683">
        <f>SUM(F28:F37)</f>
        <v>129548415.99999999</v>
      </c>
      <c r="M38" s="697">
        <f>SUM(M28:M37)</f>
        <v>133266168</v>
      </c>
      <c r="N38" s="697">
        <f>SUM(N28:N37)</f>
        <v>128674210</v>
      </c>
      <c r="O38" s="697">
        <f>SUM(O28:O37)</f>
        <v>126704869.00000001</v>
      </c>
      <c r="Q38" s="698">
        <f>SUM(Q28:Q37)</f>
        <v>133266167.99999994</v>
      </c>
      <c r="R38" s="698">
        <f t="shared" ref="R38:S38" si="7">SUM(R28:R37)</f>
        <v>128674211</v>
      </c>
      <c r="S38" s="698">
        <f t="shared" si="7"/>
        <v>126704868.99999999</v>
      </c>
    </row>
    <row r="39" spans="1:31">
      <c r="T39" s="699" t="s">
        <v>264</v>
      </c>
      <c r="U39" s="700"/>
      <c r="V39" s="700"/>
      <c r="W39" s="700"/>
      <c r="X39" s="700"/>
      <c r="Y39" s="700"/>
      <c r="Z39" s="604" t="s">
        <v>265</v>
      </c>
    </row>
    <row r="40" spans="1:31" ht="50.45" customHeight="1">
      <c r="A40" s="701" t="s">
        <v>29</v>
      </c>
      <c r="B40" s="702" t="s">
        <v>171</v>
      </c>
      <c r="C40" s="671" t="s">
        <v>171</v>
      </c>
      <c r="D40" s="672" t="s">
        <v>258</v>
      </c>
      <c r="E40" s="673"/>
      <c r="F40" s="672" t="s">
        <v>259</v>
      </c>
      <c r="G40" s="673" t="s">
        <v>260</v>
      </c>
      <c r="H40" s="672" t="s">
        <v>204</v>
      </c>
      <c r="M40" s="674" t="s">
        <v>261</v>
      </c>
      <c r="N40" s="674"/>
      <c r="O40" s="674"/>
      <c r="Q40" s="674" t="s">
        <v>262</v>
      </c>
      <c r="R40" s="674"/>
      <c r="S40" s="674"/>
      <c r="T40" s="703">
        <v>2024</v>
      </c>
      <c r="U40" s="703"/>
      <c r="V40" s="703">
        <v>2025</v>
      </c>
      <c r="W40" s="703"/>
      <c r="X40" s="703">
        <v>2026</v>
      </c>
      <c r="Y40" s="703"/>
      <c r="Z40" s="703">
        <v>2024</v>
      </c>
      <c r="AA40" s="703"/>
      <c r="AB40" s="703">
        <v>2025</v>
      </c>
      <c r="AC40" s="703"/>
      <c r="AD40" s="703">
        <v>2026</v>
      </c>
      <c r="AE40" s="703"/>
    </row>
    <row r="41" spans="1:31" ht="0.6" customHeight="1">
      <c r="A41" s="704"/>
      <c r="B41" s="705"/>
      <c r="M41" s="584">
        <v>2024</v>
      </c>
      <c r="N41" s="584">
        <v>2025</v>
      </c>
      <c r="O41" s="584">
        <v>2026</v>
      </c>
      <c r="Q41" s="584">
        <v>2024</v>
      </c>
      <c r="R41" s="584">
        <v>2025</v>
      </c>
      <c r="S41" s="584">
        <v>2026</v>
      </c>
    </row>
    <row r="42" spans="1:31" ht="15">
      <c r="A42" s="584" t="s">
        <v>82</v>
      </c>
      <c r="B42" s="585" t="s">
        <v>83</v>
      </c>
      <c r="C42" s="584"/>
      <c r="D42" s="609">
        <f>AVERAGE(M42:O42)</f>
        <v>625122.73690211866</v>
      </c>
      <c r="E42" s="706" t="s">
        <v>236</v>
      </c>
      <c r="F42" s="609">
        <f>AVERAGE(Q42:S42)</f>
        <v>653355.37711795652</v>
      </c>
      <c r="G42" s="689">
        <f t="shared" ref="G42:G80" si="8">F42-D42</f>
        <v>28232.640215837862</v>
      </c>
      <c r="H42" s="707">
        <f t="shared" ref="H42:H80" si="9">G42/D42</f>
        <v>4.5163355208848392E-2</v>
      </c>
      <c r="K42" s="572" t="s">
        <v>396</v>
      </c>
      <c r="M42" s="683">
        <f>VLOOKUP($B42,'Comparisons-24'!$B$35:$P$74, 2, FALSE)</f>
        <v>679385</v>
      </c>
      <c r="N42" s="683">
        <f>VLOOKUP($B42,'Comparisons-25'!$B$35:$AB$74, 2, FALSE)</f>
        <v>641176</v>
      </c>
      <c r="O42" s="683">
        <f>VLOOKUP($B42,'Comparisons-26'!$B$35:$BR$72, 2, FALSE)</f>
        <v>554807.21070635587</v>
      </c>
      <c r="Q42" s="683">
        <f>VLOOKUP($B42,'Comparisons-24'!$B$35:$P$74, 13, FALSE)</f>
        <v>682168.81132677174</v>
      </c>
      <c r="R42" s="683">
        <f>VLOOKUP($B42,'Comparisons-25'!$B$35:$AB$74, 25, FALSE)</f>
        <v>673452.9504600591</v>
      </c>
      <c r="S42" s="683">
        <f>VLOOKUP($B42,'Comparisons-26'!$B$35:$BR$72, 61, FALSE)</f>
        <v>604444.36956703861</v>
      </c>
      <c r="T42" s="689">
        <f t="shared" ref="T42" si="10">Q42-M42</f>
        <v>2783.8113267717417</v>
      </c>
      <c r="U42" s="708">
        <f t="shared" ref="U42" si="11">T42/M42</f>
        <v>4.0975460552878581E-3</v>
      </c>
      <c r="V42" s="689">
        <f t="shared" ref="V42" si="12">R42-N42</f>
        <v>32276.950460059103</v>
      </c>
      <c r="W42" s="708">
        <f t="shared" ref="W42" si="13">V42/N42</f>
        <v>5.0340234912191195E-2</v>
      </c>
      <c r="X42" s="689">
        <f t="shared" ref="X42" si="14">S42-O42</f>
        <v>49637.158860682743</v>
      </c>
      <c r="Y42" s="708">
        <f t="shared" ref="Y42" si="15">X42/O42</f>
        <v>8.9467400392087407E-2</v>
      </c>
    </row>
    <row r="43" spans="1:31" ht="15">
      <c r="A43" s="584" t="s">
        <v>82</v>
      </c>
      <c r="B43" s="585" t="s">
        <v>84</v>
      </c>
      <c r="C43" s="584"/>
      <c r="D43" s="609">
        <f t="shared" ref="D43:D80" si="16">AVERAGE(M43:O43)</f>
        <v>121343.8</v>
      </c>
      <c r="E43" s="706" t="s">
        <v>236</v>
      </c>
      <c r="F43" s="609">
        <f t="shared" ref="F43:F80" si="17">AVERAGE(Q43:S43)</f>
        <v>122089.58518981929</v>
      </c>
      <c r="G43" s="689">
        <f t="shared" si="8"/>
        <v>745.78518981928937</v>
      </c>
      <c r="H43" s="707">
        <f t="shared" si="9"/>
        <v>6.1460510534472245E-3</v>
      </c>
      <c r="I43" s="709"/>
      <c r="K43" s="572" t="s">
        <v>84</v>
      </c>
      <c r="M43" s="683">
        <f>VLOOKUP($B43,'Comparisons-24'!$B$35:$P$74, 2, FALSE)</f>
        <v>135923</v>
      </c>
      <c r="N43" s="683">
        <f>VLOOKUP($B43,'Comparisons-25'!$B$35:$AB$74, 2, FALSE)</f>
        <v>119644</v>
      </c>
      <c r="O43" s="683">
        <f>VLOOKUP($B43,'Comparisons-26'!$B$35:$BR$72, 2, FALSE)</f>
        <v>108464.4</v>
      </c>
      <c r="Q43" s="683">
        <f>VLOOKUP($B43,'Comparisons-24'!$B$35:$P$74, 13, FALSE)</f>
        <v>138160.15556945791</v>
      </c>
      <c r="R43" s="683">
        <f>VLOOKUP($B43,'Comparisons-25'!$B$35:$AB$74, 25, FALSE)</f>
        <v>119644.2</v>
      </c>
      <c r="S43" s="683">
        <f>VLOOKUP($B43,'Comparisons-26'!$B$35:$BR$72, 61, FALSE)</f>
        <v>108464.4</v>
      </c>
    </row>
    <row r="44" spans="1:31" ht="15">
      <c r="A44" s="584" t="s">
        <v>82</v>
      </c>
      <c r="B44" s="585" t="s">
        <v>85</v>
      </c>
      <c r="C44" s="584"/>
      <c r="D44" s="609">
        <f t="shared" si="16"/>
        <v>742893.1932213885</v>
      </c>
      <c r="E44" s="706" t="s">
        <v>236</v>
      </c>
      <c r="F44" s="609">
        <f t="shared" si="17"/>
        <v>742471.56661249639</v>
      </c>
      <c r="G44" s="689">
        <f t="shared" si="8"/>
        <v>-421.62660889211111</v>
      </c>
      <c r="H44" s="707">
        <f t="shared" si="9"/>
        <v>-5.6754673853427382E-4</v>
      </c>
      <c r="I44" s="709"/>
      <c r="K44" s="572" t="s">
        <v>397</v>
      </c>
      <c r="M44" s="683">
        <f>VLOOKUP($B44,'Comparisons-24'!$B$35:$P$74, 2, FALSE)</f>
        <v>787517</v>
      </c>
      <c r="N44" s="683">
        <f>VLOOKUP($B44,'Comparisons-25'!$B$35:$AB$74, 2, FALSE)</f>
        <v>760150</v>
      </c>
      <c r="O44" s="683">
        <f>VLOOKUP($B44,'Comparisons-26'!$B$35:$BR$72, 2, FALSE)</f>
        <v>681012.57966416562</v>
      </c>
      <c r="Q44" s="683">
        <f>VLOOKUP($B44,'Comparisons-24'!$B$35:$P$74, 13, FALSE)</f>
        <v>777326.95164208661</v>
      </c>
      <c r="R44" s="683">
        <f>VLOOKUP($B44,'Comparisons-25'!$B$35:$AB$74, 25, FALSE)</f>
        <v>733881.79903173714</v>
      </c>
      <c r="S44" s="683">
        <f>VLOOKUP($B44,'Comparisons-26'!$B$35:$BR$72, 61, FALSE)</f>
        <v>716205.94916366553</v>
      </c>
    </row>
    <row r="45" spans="1:31" ht="15">
      <c r="A45" s="584" t="s">
        <v>82</v>
      </c>
      <c r="B45" s="585" t="s">
        <v>86</v>
      </c>
      <c r="C45" s="584"/>
      <c r="D45" s="609">
        <f t="shared" si="16"/>
        <v>642599.53505679057</v>
      </c>
      <c r="E45" s="706" t="s">
        <v>236</v>
      </c>
      <c r="F45" s="609">
        <f t="shared" si="17"/>
        <v>647500</v>
      </c>
      <c r="G45" s="689">
        <f t="shared" si="8"/>
        <v>4900.4649432094302</v>
      </c>
      <c r="H45" s="707">
        <f t="shared" si="9"/>
        <v>7.6260013832352763E-3</v>
      </c>
      <c r="K45" s="572" t="s">
        <v>398</v>
      </c>
      <c r="M45" s="683">
        <f>VLOOKUP($B45,'Comparisons-24'!$B$35:$P$74, 2, FALSE)</f>
        <v>650062</v>
      </c>
      <c r="N45" s="683">
        <f>VLOOKUP($B45,'Comparisons-25'!$B$35:$AB$74, 2, FALSE)</f>
        <v>645662</v>
      </c>
      <c r="O45" s="683">
        <f>VLOOKUP($B45,'Comparisons-26'!$B$35:$BR$72, 2, FALSE)</f>
        <v>632074.60517037171</v>
      </c>
      <c r="Q45" s="683">
        <f>VLOOKUP($B45,'Comparisons-24'!$B$35:$P$74, 13, FALSE)</f>
        <v>650061.9</v>
      </c>
      <c r="R45" s="683">
        <f>VLOOKUP($B45,'Comparisons-25'!$B$35:$AB$74, 25, FALSE)</f>
        <v>645662.4</v>
      </c>
      <c r="S45" s="683">
        <f>VLOOKUP($B45,'Comparisons-26'!$B$35:$BR$72, 61, FALSE)</f>
        <v>646775.69999999995</v>
      </c>
      <c r="T45" s="689">
        <f t="shared" ref="T45:T46" si="18">Q45-M45</f>
        <v>-9.9999999976716936E-2</v>
      </c>
      <c r="U45" s="708">
        <f t="shared" ref="U45:U46" si="19">T45/M45</f>
        <v>-1.5383148065371755E-7</v>
      </c>
      <c r="V45" s="689">
        <f t="shared" ref="V45:V46" si="20">R45-N45</f>
        <v>0.40000000002328306</v>
      </c>
      <c r="W45" s="708">
        <f t="shared" ref="W45:W46" si="21">V45/N45</f>
        <v>6.195191911918048E-7</v>
      </c>
      <c r="X45" s="689">
        <f t="shared" ref="X45:X46" si="22">S45-O45</f>
        <v>14701.094829628244</v>
      </c>
      <c r="Y45" s="708">
        <f t="shared" ref="Y45:Y46" si="23">X45/O45</f>
        <v>2.3258480422047104E-2</v>
      </c>
    </row>
    <row r="46" spans="1:31" ht="15">
      <c r="A46" s="584" t="s">
        <v>82</v>
      </c>
      <c r="B46" s="585" t="s">
        <v>87</v>
      </c>
      <c r="C46" s="584"/>
      <c r="D46" s="609">
        <f t="shared" si="16"/>
        <v>125488.87472202133</v>
      </c>
      <c r="E46" s="706" t="s">
        <v>236</v>
      </c>
      <c r="F46" s="609">
        <f t="shared" si="17"/>
        <v>137128.4843166603</v>
      </c>
      <c r="G46" s="689">
        <f t="shared" si="8"/>
        <v>11639.609594638969</v>
      </c>
      <c r="H46" s="707">
        <f t="shared" si="9"/>
        <v>9.2754115617202204E-2</v>
      </c>
      <c r="K46" s="572" t="s">
        <v>399</v>
      </c>
      <c r="M46" s="683">
        <f>VLOOKUP($B46,'Comparisons-24'!$B$35:$P$74, 2, FALSE)</f>
        <v>140658</v>
      </c>
      <c r="N46" s="683">
        <f>VLOOKUP($B46,'Comparisons-25'!$B$35:$AB$74, 2, FALSE)</f>
        <v>127169</v>
      </c>
      <c r="O46" s="683">
        <f>VLOOKUP($B46,'Comparisons-26'!$B$35:$BR$72, 2, FALSE)</f>
        <v>108639.62416606396</v>
      </c>
      <c r="Q46" s="683">
        <f>VLOOKUP($B46,'Comparisons-24'!$B$35:$P$74, 13, FALSE)</f>
        <v>142818</v>
      </c>
      <c r="R46" s="683">
        <f>VLOOKUP($B46,'Comparisons-25'!$B$35:$AB$74, 25, FALSE)</f>
        <v>137868.281069613</v>
      </c>
      <c r="S46" s="683">
        <f>VLOOKUP($B46,'Comparisons-26'!$B$35:$BR$72, 61, FALSE)</f>
        <v>130699.17188036787</v>
      </c>
      <c r="T46" s="689">
        <f t="shared" si="18"/>
        <v>2160</v>
      </c>
      <c r="U46" s="708">
        <f t="shared" si="19"/>
        <v>1.535639636565286E-2</v>
      </c>
      <c r="V46" s="689">
        <f t="shared" si="20"/>
        <v>10699.281069613004</v>
      </c>
      <c r="W46" s="708">
        <f t="shared" si="21"/>
        <v>8.4134349327375416E-2</v>
      </c>
      <c r="X46" s="689">
        <f t="shared" si="22"/>
        <v>22059.547714303902</v>
      </c>
      <c r="Y46" s="708">
        <f t="shared" si="23"/>
        <v>0.2030525039426149</v>
      </c>
    </row>
    <row r="47" spans="1:31" ht="15">
      <c r="A47" s="584" t="s">
        <v>88</v>
      </c>
      <c r="B47" s="585" t="s">
        <v>89</v>
      </c>
      <c r="C47" s="584"/>
      <c r="D47" s="609">
        <f t="shared" si="16"/>
        <v>2971811.8341092449</v>
      </c>
      <c r="E47" s="706" t="s">
        <v>236</v>
      </c>
      <c r="F47" s="609">
        <f t="shared" si="17"/>
        <v>2955605.5237816013</v>
      </c>
      <c r="G47" s="689">
        <f t="shared" si="8"/>
        <v>-16206.310327643529</v>
      </c>
      <c r="H47" s="707">
        <f t="shared" si="9"/>
        <v>-5.4533433582954699E-3</v>
      </c>
      <c r="I47" s="572" t="s">
        <v>266</v>
      </c>
      <c r="K47" s="572" t="s">
        <v>400</v>
      </c>
      <c r="M47" s="683">
        <f>VLOOKUP($B47,'Comparisons-24'!$B$35:$P$74, 2, FALSE)</f>
        <v>2759211</v>
      </c>
      <c r="N47" s="683">
        <f>VLOOKUP($B47,'Comparisons-25'!$B$35:$AB$74, 2, FALSE)</f>
        <v>2600883</v>
      </c>
      <c r="O47" s="683">
        <f>VLOOKUP($B47,'Comparisons-26'!$B$35:$BR$72, 2, FALSE)</f>
        <v>3555341.5023277341</v>
      </c>
      <c r="Q47" s="683">
        <f>VLOOKUP($B47,'Comparisons-24'!$B$35:$P$74, 13, FALSE)</f>
        <v>2759210.6999999997</v>
      </c>
      <c r="R47" s="683">
        <f>VLOOKUP($B47,'Comparisons-25'!$B$35:$AB$74, 25, FALSE)</f>
        <v>2750081.8829921298</v>
      </c>
      <c r="S47" s="683">
        <f>VLOOKUP($B47,'Comparisons-26'!$B$35:$BR$72, 61, FALSE)</f>
        <v>3357523.9883526759</v>
      </c>
    </row>
    <row r="48" spans="1:31" ht="15">
      <c r="A48" s="584" t="s">
        <v>90</v>
      </c>
      <c r="B48" s="585" t="s">
        <v>91</v>
      </c>
      <c r="C48" s="584"/>
      <c r="D48" s="609">
        <f t="shared" si="16"/>
        <v>1071485.0448851464</v>
      </c>
      <c r="E48" s="706" t="s">
        <v>236</v>
      </c>
      <c r="F48" s="609">
        <f t="shared" si="17"/>
        <v>991727.64516962832</v>
      </c>
      <c r="G48" s="689">
        <f t="shared" si="8"/>
        <v>-79757.399715518113</v>
      </c>
      <c r="H48" s="707">
        <f t="shared" si="9"/>
        <v>-7.4436316303478967E-2</v>
      </c>
      <c r="I48" s="709"/>
      <c r="K48" s="572" t="s">
        <v>401</v>
      </c>
      <c r="M48" s="683">
        <f>VLOOKUP($B48,'Comparisons-24'!$B$35:$P$74, 2, FALSE)</f>
        <v>1083494</v>
      </c>
      <c r="N48" s="683">
        <f>VLOOKUP($B48,'Comparisons-25'!$B$35:$AB$74, 2, FALSE)</f>
        <v>1053666</v>
      </c>
      <c r="O48" s="683">
        <f>VLOOKUP($B48,'Comparisons-26'!$B$35:$BR$72, 2, FALSE)</f>
        <v>1077295.1346554393</v>
      </c>
      <c r="Q48" s="683">
        <f>VLOOKUP($B48,'Comparisons-24'!$B$35:$P$74, 13, FALSE)</f>
        <v>1021327.0925876829</v>
      </c>
      <c r="R48" s="683">
        <f>VLOOKUP($B48,'Comparisons-25'!$B$35:$AB$74, 25, FALSE)</f>
        <v>969664.9212815027</v>
      </c>
      <c r="S48" s="683">
        <f>VLOOKUP($B48,'Comparisons-26'!$B$35:$BR$72, 61, FALSE)</f>
        <v>984190.92163969937</v>
      </c>
    </row>
    <row r="49" spans="1:25" ht="15">
      <c r="A49" s="685" t="s">
        <v>263</v>
      </c>
      <c r="B49" s="585" t="s">
        <v>93</v>
      </c>
      <c r="C49" s="584"/>
      <c r="D49" s="609">
        <f t="shared" si="16"/>
        <v>430650.67377976741</v>
      </c>
      <c r="E49" s="706" t="s">
        <v>236</v>
      </c>
      <c r="F49" s="609">
        <f t="shared" si="17"/>
        <v>468026.6646545371</v>
      </c>
      <c r="G49" s="689">
        <f t="shared" si="8"/>
        <v>37375.99087476969</v>
      </c>
      <c r="H49" s="707">
        <f t="shared" si="9"/>
        <v>8.6789579467565367E-2</v>
      </c>
      <c r="I49" s="709"/>
      <c r="K49" s="572" t="s">
        <v>93</v>
      </c>
      <c r="M49" s="683">
        <f>VLOOKUP($B49,'Comparisons-24'!$B$35:$P$74, 2, FALSE)</f>
        <v>484752</v>
      </c>
      <c r="N49" s="683">
        <f>VLOOKUP($B49,'Comparisons-25'!$B$35:$AB$74, 2, FALSE)</f>
        <v>434023</v>
      </c>
      <c r="O49" s="683">
        <f>VLOOKUP($B49,'Comparisons-26'!$B$35:$BR$72, 2, FALSE)</f>
        <v>373177.02133930218</v>
      </c>
      <c r="Q49" s="683">
        <f>VLOOKUP($B49,'Comparisons-24'!$B$35:$P$74, 13, FALSE)</f>
        <v>490423.36029795307</v>
      </c>
      <c r="R49" s="683">
        <f>VLOOKUP($B49,'Comparisons-25'!$B$35:$AB$74, 25, FALSE)</f>
        <v>462385.14455377223</v>
      </c>
      <c r="S49" s="683">
        <f>VLOOKUP($B49,'Comparisons-26'!$B$35:$BR$72, 61, FALSE)</f>
        <v>451271.48911188589</v>
      </c>
    </row>
    <row r="50" spans="1:25" ht="15">
      <c r="A50" s="685" t="s">
        <v>263</v>
      </c>
      <c r="B50" s="585" t="s">
        <v>94</v>
      </c>
      <c r="C50" s="584"/>
      <c r="D50" s="609">
        <f t="shared" si="16"/>
        <v>54768.189319748861</v>
      </c>
      <c r="E50" s="706" t="s">
        <v>236</v>
      </c>
      <c r="F50" s="609">
        <f t="shared" si="17"/>
        <v>53338.662688261938</v>
      </c>
      <c r="G50" s="689">
        <f t="shared" si="8"/>
        <v>-1429.5266314869223</v>
      </c>
      <c r="H50" s="707">
        <f t="shared" si="9"/>
        <v>-2.6101403921554318E-2</v>
      </c>
      <c r="K50" s="572" t="s">
        <v>402</v>
      </c>
      <c r="M50" s="683">
        <f>VLOOKUP($B50,'Comparisons-24'!$B$35:$P$74, 2, FALSE)</f>
        <v>50261</v>
      </c>
      <c r="N50" s="683">
        <f>VLOOKUP($B50,'Comparisons-25'!$B$35:$AB$74, 2, FALSE)</f>
        <v>57885</v>
      </c>
      <c r="O50" s="683">
        <f>VLOOKUP($B50,'Comparisons-26'!$B$35:$BR$72, 2, FALSE)</f>
        <v>56158.567959246582</v>
      </c>
      <c r="Q50" s="683">
        <f>VLOOKUP($B50,'Comparisons-24'!$B$35:$P$74, 13, FALSE)</f>
        <v>50261.4</v>
      </c>
      <c r="R50" s="683">
        <f>VLOOKUP($B50,'Comparisons-25'!$B$35:$AB$74, 25, FALSE)</f>
        <v>56425.237378606478</v>
      </c>
      <c r="S50" s="683">
        <f>VLOOKUP($B50,'Comparisons-26'!$B$35:$BR$72, 61, FALSE)</f>
        <v>53329.350686179321</v>
      </c>
      <c r="T50" s="689">
        <f t="shared" ref="T50" si="24">Q50-M50</f>
        <v>0.40000000000145519</v>
      </c>
      <c r="U50" s="708">
        <f t="shared" ref="U50" si="25">T50/M50</f>
        <v>7.9584568552447264E-6</v>
      </c>
      <c r="V50" s="689">
        <f t="shared" ref="V50" si="26">R50-N50</f>
        <v>-1459.7626213935218</v>
      </c>
      <c r="W50" s="708">
        <f t="shared" ref="W50" si="27">V50/N50</f>
        <v>-2.5218322905649508E-2</v>
      </c>
      <c r="X50" s="689">
        <f t="shared" ref="X50" si="28">S50-O50</f>
        <v>-2829.217273067261</v>
      </c>
      <c r="Y50" s="708">
        <f t="shared" ref="Y50" si="29">X50/O50</f>
        <v>-5.0379085077817173E-2</v>
      </c>
    </row>
    <row r="51" spans="1:25" ht="15">
      <c r="A51" s="685" t="s">
        <v>263</v>
      </c>
      <c r="B51" s="585" t="s">
        <v>95</v>
      </c>
      <c r="C51" s="584"/>
      <c r="D51" s="609">
        <f t="shared" si="16"/>
        <v>25537379.304951597</v>
      </c>
      <c r="E51" s="706" t="s">
        <v>236</v>
      </c>
      <c r="F51" s="609">
        <f t="shared" si="17"/>
        <v>26045101.785768759</v>
      </c>
      <c r="G51" s="689">
        <f t="shared" si="8"/>
        <v>507722.4808171615</v>
      </c>
      <c r="H51" s="707">
        <f t="shared" si="9"/>
        <v>1.9881542062490182E-2</v>
      </c>
      <c r="I51" s="572" t="s">
        <v>266</v>
      </c>
      <c r="K51" s="572" t="s">
        <v>403</v>
      </c>
      <c r="M51" s="683">
        <f>VLOOKUP($B51,'Comparisons-24'!$B$35:$P$74, 2, FALSE)</f>
        <v>26837084</v>
      </c>
      <c r="N51" s="683">
        <f>VLOOKUP($B51,'Comparisons-25'!$B$35:$AB$74, 2, FALSE)</f>
        <v>24937766</v>
      </c>
      <c r="O51" s="683">
        <f>VLOOKUP($B51,'Comparisons-26'!$B$35:$BR$72, 2, FALSE)</f>
        <v>24837287.914854791</v>
      </c>
      <c r="Q51" s="683">
        <f>VLOOKUP($B51,'Comparisons-24'!$B$35:$P$74, 13, FALSE)</f>
        <v>27326294.797366373</v>
      </c>
      <c r="R51" s="683">
        <f>VLOOKUP($B51,'Comparisons-25'!$B$35:$AB$74, 25, FALSE)</f>
        <v>25625678.545050491</v>
      </c>
      <c r="S51" s="683">
        <f>VLOOKUP($B51,'Comparisons-26'!$B$35:$BR$72, 61, FALSE)</f>
        <v>25183332.0148894</v>
      </c>
    </row>
    <row r="52" spans="1:25" ht="15">
      <c r="A52" s="685" t="s">
        <v>263</v>
      </c>
      <c r="B52" s="585" t="s">
        <v>96</v>
      </c>
      <c r="C52" s="584"/>
      <c r="D52" s="609">
        <f t="shared" si="16"/>
        <v>371186.63436863339</v>
      </c>
      <c r="E52" s="706" t="s">
        <v>236</v>
      </c>
      <c r="F52" s="609">
        <f t="shared" si="17"/>
        <v>379553.60000000003</v>
      </c>
      <c r="G52" s="689">
        <f t="shared" si="8"/>
        <v>8366.9656313666492</v>
      </c>
      <c r="H52" s="707">
        <f t="shared" si="9"/>
        <v>2.2541128523117123E-2</v>
      </c>
      <c r="K52" s="572" t="s">
        <v>96</v>
      </c>
      <c r="M52" s="683">
        <f>VLOOKUP($B52,'Comparisons-24'!$B$35:$P$74, 2, FALSE)</f>
        <v>360295</v>
      </c>
      <c r="N52" s="683">
        <f>VLOOKUP($B52,'Comparisons-25'!$B$35:$AB$74, 2, FALSE)</f>
        <v>374043</v>
      </c>
      <c r="O52" s="683">
        <f>VLOOKUP($B52,'Comparisons-26'!$B$35:$BR$72, 2, FALSE)</f>
        <v>379221.9031059001</v>
      </c>
      <c r="Q52" s="683">
        <f>VLOOKUP($B52,'Comparisons-24'!$B$35:$P$74, 13, FALSE)</f>
        <v>360295.2</v>
      </c>
      <c r="R52" s="683">
        <f>VLOOKUP($B52,'Comparisons-25'!$B$35:$AB$74, 25, FALSE)</f>
        <v>374042.7</v>
      </c>
      <c r="S52" s="683">
        <f>VLOOKUP($B52,'Comparisons-26'!$B$35:$BR$72, 61, FALSE)</f>
        <v>404322.89999999997</v>
      </c>
      <c r="T52" s="689">
        <f t="shared" ref="T52:T53" si="30">Q52-M52</f>
        <v>0.20000000001164153</v>
      </c>
      <c r="U52" s="708">
        <f t="shared" ref="U52:U53" si="31">T52/M52</f>
        <v>5.5510068141839756E-7</v>
      </c>
      <c r="V52" s="689">
        <f t="shared" ref="V52:V53" si="32">R52-N52</f>
        <v>-0.29999999998835847</v>
      </c>
      <c r="W52" s="708">
        <f t="shared" ref="W52:W53" si="33">V52/N52</f>
        <v>-8.0204682346243205E-7</v>
      </c>
      <c r="X52" s="689">
        <f t="shared" ref="X52:X53" si="34">S52-O52</f>
        <v>25100.996894099866</v>
      </c>
      <c r="Y52" s="708">
        <f t="shared" ref="Y52:Y53" si="35">X52/O52</f>
        <v>6.619078879283577E-2</v>
      </c>
    </row>
    <row r="53" spans="1:25" ht="15">
      <c r="A53" s="685" t="s">
        <v>263</v>
      </c>
      <c r="B53" s="585" t="s">
        <v>97</v>
      </c>
      <c r="C53" s="584"/>
      <c r="D53" s="609">
        <f t="shared" si="16"/>
        <v>17018.733333333334</v>
      </c>
      <c r="E53" s="706" t="s">
        <v>236</v>
      </c>
      <c r="F53" s="609">
        <f t="shared" si="17"/>
        <v>16375.914012835789</v>
      </c>
      <c r="G53" s="689">
        <f t="shared" si="8"/>
        <v>-642.81932049754505</v>
      </c>
      <c r="H53" s="707">
        <f t="shared" si="9"/>
        <v>-3.7771278737795511E-2</v>
      </c>
      <c r="K53" s="572" t="s">
        <v>404</v>
      </c>
      <c r="M53" s="683">
        <f>VLOOKUP($B53,'Comparisons-24'!$B$35:$P$74, 2, FALSE)</f>
        <v>17722</v>
      </c>
      <c r="N53" s="683">
        <f>VLOOKUP($B53,'Comparisons-25'!$B$35:$AB$74, 2, FALSE)</f>
        <v>11946</v>
      </c>
      <c r="O53" s="683">
        <f>VLOOKUP($B53,'Comparisons-26'!$B$35:$BR$72, 2, FALSE)</f>
        <v>21388.2</v>
      </c>
      <c r="Q53" s="683">
        <f>VLOOKUP($B53,'Comparisons-24'!$B$35:$P$74, 13, FALSE)</f>
        <v>16697.616364274076</v>
      </c>
      <c r="R53" s="683">
        <f>VLOOKUP($B53,'Comparisons-25'!$B$35:$AB$74, 25, FALSE)</f>
        <v>11041.925674233287</v>
      </c>
      <c r="S53" s="683">
        <f>VLOOKUP($B53,'Comparisons-26'!$B$35:$BR$72, 61, FALSE)</f>
        <v>21388.2</v>
      </c>
      <c r="T53" s="689">
        <f t="shared" si="30"/>
        <v>-1024.3836357259243</v>
      </c>
      <c r="U53" s="708">
        <f t="shared" si="31"/>
        <v>-5.7802936221979698E-2</v>
      </c>
      <c r="V53" s="689">
        <f t="shared" si="32"/>
        <v>-904.07432576671272</v>
      </c>
      <c r="W53" s="708">
        <f t="shared" si="33"/>
        <v>-7.5680087541161289E-2</v>
      </c>
      <c r="X53" s="689">
        <f t="shared" si="34"/>
        <v>0</v>
      </c>
      <c r="Y53" s="708">
        <f t="shared" si="35"/>
        <v>0</v>
      </c>
    </row>
    <row r="54" spans="1:25" ht="15">
      <c r="A54" s="685" t="s">
        <v>263</v>
      </c>
      <c r="B54" s="585" t="s">
        <v>98</v>
      </c>
      <c r="C54" s="584"/>
      <c r="D54" s="609">
        <f t="shared" si="16"/>
        <v>2281227.164313735</v>
      </c>
      <c r="E54" s="706" t="s">
        <v>236</v>
      </c>
      <c r="F54" s="609">
        <f t="shared" si="17"/>
        <v>2314483.5</v>
      </c>
      <c r="G54" s="689">
        <f t="shared" si="8"/>
        <v>33256.335686265025</v>
      </c>
      <c r="H54" s="707">
        <f t="shared" si="9"/>
        <v>1.4578265683711327E-2</v>
      </c>
      <c r="I54" s="572" t="s">
        <v>266</v>
      </c>
      <c r="K54" s="572" t="s">
        <v>405</v>
      </c>
      <c r="M54" s="683">
        <f>VLOOKUP($B54,'Comparisons-24'!$B$35:$P$74, 2, FALSE)</f>
        <v>2239285</v>
      </c>
      <c r="N54" s="683">
        <f>VLOOKUP($B54,'Comparisons-25'!$B$35:$AB$74, 2, FALSE)</f>
        <v>2373202</v>
      </c>
      <c r="O54" s="683">
        <f>VLOOKUP($B54,'Comparisons-26'!$B$35:$BR$72, 2, FALSE)</f>
        <v>2231194.4929412054</v>
      </c>
      <c r="Q54" s="683">
        <f>VLOOKUP($B54,'Comparisons-24'!$B$35:$P$74, 13, FALSE)</f>
        <v>2239285.1999999997</v>
      </c>
      <c r="R54" s="683">
        <f>VLOOKUP($B54,'Comparisons-25'!$B$35:$AB$74, 25, FALSE)</f>
        <v>2373202.1999999997</v>
      </c>
      <c r="S54" s="683">
        <f>VLOOKUP($B54,'Comparisons-26'!$B$35:$BR$72, 61, FALSE)</f>
        <v>2330963.1</v>
      </c>
    </row>
    <row r="55" spans="1:25" ht="15">
      <c r="A55" s="584" t="s">
        <v>99</v>
      </c>
      <c r="B55" s="585" t="s">
        <v>100</v>
      </c>
      <c r="C55" s="584"/>
      <c r="D55" s="609">
        <f t="shared" si="16"/>
        <v>832018.76885929203</v>
      </c>
      <c r="E55" s="706" t="s">
        <v>236</v>
      </c>
      <c r="F55" s="609">
        <f t="shared" si="17"/>
        <v>860800.16932349291</v>
      </c>
      <c r="G55" s="689">
        <f t="shared" si="8"/>
        <v>28781.40046420088</v>
      </c>
      <c r="H55" s="707">
        <f t="shared" si="9"/>
        <v>3.4592249047050383E-2</v>
      </c>
      <c r="K55" s="572" t="s">
        <v>406</v>
      </c>
      <c r="M55" s="683">
        <f>VLOOKUP($B55,'Comparisons-24'!$B$35:$P$74, 2, FALSE)</f>
        <v>950704</v>
      </c>
      <c r="N55" s="683">
        <f>VLOOKUP($B55,'Comparisons-25'!$B$35:$AB$74, 2, FALSE)</f>
        <v>786477</v>
      </c>
      <c r="O55" s="683">
        <f>VLOOKUP($B55,'Comparisons-26'!$B$35:$BR$72, 2, FALSE)</f>
        <v>758875.30657787633</v>
      </c>
      <c r="Q55" s="683">
        <f>VLOOKUP($B55,'Comparisons-24'!$B$35:$P$74, 13, FALSE)</f>
        <v>950703.89999999991</v>
      </c>
      <c r="R55" s="683">
        <f>VLOOKUP($B55,'Comparisons-25'!$B$35:$AB$74, 25, FALSE)</f>
        <v>799658.30842543277</v>
      </c>
      <c r="S55" s="683">
        <f>VLOOKUP($B55,'Comparisons-26'!$B$35:$BR$72, 61, FALSE)</f>
        <v>832038.29954504629</v>
      </c>
      <c r="T55" s="689">
        <f t="shared" ref="T55:T56" si="36">Q55-M55</f>
        <v>-0.10000000009313226</v>
      </c>
      <c r="U55" s="708">
        <f t="shared" ref="U55:U56" si="37">T55/M55</f>
        <v>-1.0518521021593709E-7</v>
      </c>
      <c r="V55" s="689">
        <f t="shared" ref="V55:V56" si="38">R55-N55</f>
        <v>13181.30842543277</v>
      </c>
      <c r="W55" s="708">
        <f t="shared" ref="W55:W56" si="39">V55/N55</f>
        <v>1.6759941391080439E-2</v>
      </c>
      <c r="X55" s="689">
        <f t="shared" ref="X55:X56" si="40">S55-O55</f>
        <v>73162.992967169965</v>
      </c>
      <c r="Y55" s="708">
        <f t="shared" ref="Y55:Y56" si="41">X55/O55</f>
        <v>9.6409768947544383E-2</v>
      </c>
    </row>
    <row r="56" spans="1:25" ht="15">
      <c r="A56" s="584" t="s">
        <v>99</v>
      </c>
      <c r="B56" s="585" t="s">
        <v>101</v>
      </c>
      <c r="C56" s="584"/>
      <c r="D56" s="609">
        <f t="shared" si="16"/>
        <v>196263.86435138655</v>
      </c>
      <c r="E56" s="706" t="s">
        <v>236</v>
      </c>
      <c r="F56" s="609">
        <f t="shared" si="17"/>
        <v>200739.19999999998</v>
      </c>
      <c r="G56" s="689">
        <f t="shared" si="8"/>
        <v>4475.3356486134289</v>
      </c>
      <c r="H56" s="707">
        <f t="shared" si="9"/>
        <v>2.2802647157710527E-2</v>
      </c>
      <c r="K56" s="572" t="s">
        <v>101</v>
      </c>
      <c r="M56" s="683">
        <f>VLOOKUP($B56,'Comparisons-24'!$B$35:$P$74, 2, FALSE)</f>
        <v>181796</v>
      </c>
      <c r="N56" s="683">
        <f>VLOOKUP($B56,'Comparisons-25'!$B$35:$AB$74, 2, FALSE)</f>
        <v>210911</v>
      </c>
      <c r="O56" s="683">
        <f>VLOOKUP($B56,'Comparisons-26'!$B$35:$BR$72, 2, FALSE)</f>
        <v>196084.59305415963</v>
      </c>
      <c r="Q56" s="683">
        <f>VLOOKUP($B56,'Comparisons-24'!$B$35:$P$74, 13, FALSE)</f>
        <v>181796.4</v>
      </c>
      <c r="R56" s="683">
        <f>VLOOKUP($B56,'Comparisons-25'!$B$35:$AB$74, 25, FALSE)</f>
        <v>210911.4</v>
      </c>
      <c r="S56" s="683">
        <f>VLOOKUP($B56,'Comparisons-26'!$B$35:$BR$72, 61, FALSE)</f>
        <v>209509.8</v>
      </c>
      <c r="T56" s="689">
        <f t="shared" si="36"/>
        <v>0.39999999999417923</v>
      </c>
      <c r="U56" s="708">
        <f t="shared" si="37"/>
        <v>2.2002684327167773E-6</v>
      </c>
      <c r="V56" s="689">
        <f t="shared" si="38"/>
        <v>0.39999999999417923</v>
      </c>
      <c r="W56" s="708">
        <f t="shared" si="39"/>
        <v>1.8965345572027027E-6</v>
      </c>
      <c r="X56" s="689">
        <f t="shared" si="40"/>
        <v>13425.206945840357</v>
      </c>
      <c r="Y56" s="708">
        <f t="shared" si="41"/>
        <v>6.8466403896058486E-2</v>
      </c>
    </row>
    <row r="57" spans="1:25" ht="15">
      <c r="A57" s="584" t="s">
        <v>99</v>
      </c>
      <c r="B57" s="585" t="s">
        <v>102</v>
      </c>
      <c r="C57" s="584"/>
      <c r="D57" s="609">
        <f t="shared" si="16"/>
        <v>1703062.0409783174</v>
      </c>
      <c r="E57" s="706" t="s">
        <v>236</v>
      </c>
      <c r="F57" s="609">
        <f t="shared" si="17"/>
        <v>1921935.2357437129</v>
      </c>
      <c r="G57" s="689">
        <f t="shared" si="8"/>
        <v>218873.19476539548</v>
      </c>
      <c r="H57" s="707">
        <f t="shared" si="9"/>
        <v>0.1285174523880907</v>
      </c>
      <c r="I57" s="709"/>
      <c r="K57" s="572" t="s">
        <v>407</v>
      </c>
      <c r="M57" s="683">
        <f>VLOOKUP($B57,'Comparisons-24'!$B$35:$P$74, 2, FALSE)</f>
        <v>1790245</v>
      </c>
      <c r="N57" s="683">
        <f>VLOOKUP($B57,'Comparisons-25'!$B$35:$AB$74, 2, FALSE)</f>
        <v>1652305</v>
      </c>
      <c r="O57" s="683">
        <f>VLOOKUP($B57,'Comparisons-26'!$B$35:$BR$72, 2, FALSE)</f>
        <v>1666636.1229349524</v>
      </c>
      <c r="Q57" s="683">
        <f>VLOOKUP($B57,'Comparisons-24'!$B$35:$P$74, 13, FALSE)</f>
        <v>2064520.6141590429</v>
      </c>
      <c r="R57" s="683">
        <f>VLOOKUP($B57,'Comparisons-25'!$B$35:$AB$74, 25, FALSE)</f>
        <v>1912229.168832175</v>
      </c>
      <c r="S57" s="683">
        <f>VLOOKUP($B57,'Comparisons-26'!$B$35:$BR$72, 61, FALSE)</f>
        <v>1789055.9242399209</v>
      </c>
    </row>
    <row r="58" spans="1:25" ht="15">
      <c r="A58" s="584" t="s">
        <v>99</v>
      </c>
      <c r="B58" s="585" t="s">
        <v>103</v>
      </c>
      <c r="C58" s="584"/>
      <c r="D58" s="609">
        <f t="shared" si="16"/>
        <v>41041.693335279859</v>
      </c>
      <c r="E58" s="706" t="s">
        <v>236</v>
      </c>
      <c r="F58" s="609">
        <f t="shared" si="17"/>
        <v>45079.69999999999</v>
      </c>
      <c r="G58" s="689">
        <f t="shared" si="8"/>
        <v>4038.0066647201311</v>
      </c>
      <c r="H58" s="707">
        <f t="shared" si="9"/>
        <v>9.8387915716163191E-2</v>
      </c>
      <c r="K58" s="572" t="s">
        <v>103</v>
      </c>
      <c r="M58" s="683">
        <f>VLOOKUP($B58,'Comparisons-24'!$B$35:$P$74, 2, FALSE)</f>
        <v>32351</v>
      </c>
      <c r="N58" s="683">
        <f>VLOOKUP($B58,'Comparisons-25'!$B$35:$AB$74, 2, FALSE)</f>
        <v>49284</v>
      </c>
      <c r="O58" s="683">
        <f>VLOOKUP($B58,'Comparisons-26'!$B$35:$BR$72, 2, FALSE)</f>
        <v>41490.080005839591</v>
      </c>
      <c r="Q58" s="683">
        <f>VLOOKUP($B58,'Comparisons-24'!$B$35:$P$74, 13, FALSE)</f>
        <v>32350.799999999999</v>
      </c>
      <c r="R58" s="683">
        <f>VLOOKUP($B58,'Comparisons-25'!$B$35:$AB$74, 25, FALSE)</f>
        <v>53175.299999999996</v>
      </c>
      <c r="S58" s="683">
        <f>VLOOKUP($B58,'Comparisons-26'!$B$35:$BR$72, 61, FALSE)</f>
        <v>49713</v>
      </c>
      <c r="T58" s="689">
        <f>Q58-M58</f>
        <v>-0.2000000000007276</v>
      </c>
      <c r="U58" s="708">
        <f>T58/M58</f>
        <v>-6.1821891131874624E-6</v>
      </c>
      <c r="V58" s="689">
        <f>R58-N58</f>
        <v>3891.2999999999956</v>
      </c>
      <c r="W58" s="708">
        <f>V58/N58</f>
        <v>7.8956659362064682E-2</v>
      </c>
      <c r="X58" s="689">
        <f>S58-O58</f>
        <v>8222.9199941604093</v>
      </c>
      <c r="Y58" s="708">
        <f>X58/O58</f>
        <v>0.19819002501328176</v>
      </c>
    </row>
    <row r="59" spans="1:25" ht="15">
      <c r="A59" s="584" t="s">
        <v>206</v>
      </c>
      <c r="B59" s="585" t="s">
        <v>105</v>
      </c>
      <c r="C59" s="584"/>
      <c r="D59" s="609">
        <f t="shared" si="16"/>
        <v>3666511.5935658314</v>
      </c>
      <c r="E59" s="706" t="s">
        <v>236</v>
      </c>
      <c r="F59" s="609">
        <f t="shared" si="17"/>
        <v>3580871.8445331356</v>
      </c>
      <c r="G59" s="689">
        <f t="shared" si="8"/>
        <v>-85639.749032695778</v>
      </c>
      <c r="H59" s="707">
        <f t="shared" si="9"/>
        <v>-2.3357283032455285E-2</v>
      </c>
      <c r="I59" s="572" t="s">
        <v>266</v>
      </c>
      <c r="K59" s="572" t="s">
        <v>408</v>
      </c>
      <c r="M59" s="683">
        <f>VLOOKUP($B59,'Comparisons-24'!$B$35:$P$74, 2, FALSE)</f>
        <v>3156033</v>
      </c>
      <c r="N59" s="683">
        <f>VLOOKUP($B59,'Comparisons-25'!$B$35:$AB$74, 2, FALSE)</f>
        <v>3226579</v>
      </c>
      <c r="O59" s="683">
        <f>VLOOKUP($B59,'Comparisons-26'!$B$35:$BR$72, 2, FALSE)</f>
        <v>4616922.7806974938</v>
      </c>
      <c r="Q59" s="683">
        <f>VLOOKUP($B59,'Comparisons-24'!$B$35:$P$74, 13, FALSE)</f>
        <v>3158256.3022046098</v>
      </c>
      <c r="R59" s="683">
        <f>VLOOKUP($B59,'Comparisons-25'!$B$35:$AB$74, 25, FALSE)</f>
        <v>3347570.432322117</v>
      </c>
      <c r="S59" s="683">
        <f>VLOOKUP($B59,'Comparisons-26'!$B$35:$BR$72, 61, FALSE)</f>
        <v>4236788.7990726791</v>
      </c>
    </row>
    <row r="60" spans="1:25" ht="15">
      <c r="A60" s="584" t="s">
        <v>206</v>
      </c>
      <c r="B60" s="585" t="s">
        <v>106</v>
      </c>
      <c r="C60" s="584"/>
      <c r="D60" s="609">
        <f t="shared" si="16"/>
        <v>6007985.0073328475</v>
      </c>
      <c r="E60" s="706" t="s">
        <v>236</v>
      </c>
      <c r="F60" s="609">
        <f t="shared" si="17"/>
        <v>6308168.3715907866</v>
      </c>
      <c r="G60" s="689">
        <f t="shared" si="8"/>
        <v>300183.36425793916</v>
      </c>
      <c r="H60" s="707">
        <f t="shared" si="9"/>
        <v>4.9964066803023024E-2</v>
      </c>
      <c r="I60" s="572" t="s">
        <v>266</v>
      </c>
      <c r="K60" s="572" t="s">
        <v>409</v>
      </c>
      <c r="M60" s="683">
        <f>VLOOKUP($B60,'Comparisons-24'!$B$35:$P$74, 2, FALSE)</f>
        <v>6545690</v>
      </c>
      <c r="N60" s="683">
        <f>VLOOKUP($B60,'Comparisons-25'!$B$35:$AB$74, 2, FALSE)</f>
        <v>5574618</v>
      </c>
      <c r="O60" s="683">
        <f>VLOOKUP($B60,'Comparisons-26'!$B$35:$BR$72, 2, FALSE)</f>
        <v>5903647.0219985424</v>
      </c>
      <c r="Q60" s="683">
        <f>VLOOKUP($B60,'Comparisons-24'!$B$35:$P$74, 13, FALSE)</f>
        <v>7075081.69740305</v>
      </c>
      <c r="R60" s="683">
        <f>VLOOKUP($B60,'Comparisons-25'!$B$35:$AB$74, 25, FALSE)</f>
        <v>5882121.6186835831</v>
      </c>
      <c r="S60" s="683">
        <f>VLOOKUP($B60,'Comparisons-26'!$B$35:$BR$72, 61, FALSE)</f>
        <v>5967301.7986857267</v>
      </c>
    </row>
    <row r="61" spans="1:25" ht="15">
      <c r="A61" s="584" t="s">
        <v>206</v>
      </c>
      <c r="B61" s="585" t="s">
        <v>107</v>
      </c>
      <c r="C61" s="584"/>
      <c r="D61" s="609">
        <f t="shared" si="16"/>
        <v>9299604.085831793</v>
      </c>
      <c r="E61" s="706" t="s">
        <v>236</v>
      </c>
      <c r="F61" s="609">
        <f t="shared" si="17"/>
        <v>9245879.2878358979</v>
      </c>
      <c r="G61" s="689">
        <f t="shared" si="8"/>
        <v>-53724.797995895147</v>
      </c>
      <c r="H61" s="707">
        <f t="shared" si="9"/>
        <v>-5.7771059391384608E-3</v>
      </c>
      <c r="I61" s="572" t="s">
        <v>266</v>
      </c>
      <c r="K61" s="572" t="s">
        <v>410</v>
      </c>
      <c r="M61" s="683">
        <f>VLOOKUP($B61,'Comparisons-24'!$B$35:$P$74, 2, FALSE)</f>
        <v>8180859</v>
      </c>
      <c r="N61" s="683">
        <f>VLOOKUP($B61,'Comparisons-25'!$B$35:$AB$74, 2, FALSE)</f>
        <v>9437848</v>
      </c>
      <c r="O61" s="683">
        <f>VLOOKUP($B61,'Comparisons-26'!$B$35:$BR$72, 2, FALSE)</f>
        <v>10280105.257495381</v>
      </c>
      <c r="Q61" s="683">
        <f>VLOOKUP($B61,'Comparisons-24'!$B$35:$P$74, 13, FALSE)</f>
        <v>8180859.2999999998</v>
      </c>
      <c r="R61" s="683">
        <f>VLOOKUP($B61,'Comparisons-25'!$B$35:$AB$74, 25, FALSE)</f>
        <v>9608533.7999999989</v>
      </c>
      <c r="S61" s="683">
        <f>VLOOKUP($B61,'Comparisons-26'!$B$35:$BR$72, 61, FALSE)</f>
        <v>9948244.763507694</v>
      </c>
    </row>
    <row r="62" spans="1:25" ht="15">
      <c r="A62" s="584" t="s">
        <v>206</v>
      </c>
      <c r="B62" s="585" t="s">
        <v>108</v>
      </c>
      <c r="C62" s="584"/>
      <c r="D62" s="609">
        <f t="shared" si="16"/>
        <v>1591498.2</v>
      </c>
      <c r="E62" s="706" t="s">
        <v>236</v>
      </c>
      <c r="F62" s="609">
        <f t="shared" si="17"/>
        <v>1620218.1616704559</v>
      </c>
      <c r="G62" s="689">
        <f t="shared" si="8"/>
        <v>28719.961670455988</v>
      </c>
      <c r="H62" s="707">
        <f t="shared" si="9"/>
        <v>1.8045865003464025E-2</v>
      </c>
      <c r="I62" s="572" t="s">
        <v>266</v>
      </c>
      <c r="K62" s="572" t="s">
        <v>411</v>
      </c>
      <c r="M62" s="683">
        <f>VLOOKUP($B62,'Comparisons-24'!$B$35:$P$74, 2, FALSE)</f>
        <v>1539916</v>
      </c>
      <c r="N62" s="683">
        <f>VLOOKUP($B62,'Comparisons-25'!$B$35:$AB$74, 2, FALSE)</f>
        <v>1598498</v>
      </c>
      <c r="O62" s="683">
        <f>VLOOKUP($B62,'Comparisons-26'!$B$35:$BR$72, 2, FALSE)</f>
        <v>1636080.5999999999</v>
      </c>
      <c r="Q62" s="683">
        <f>VLOOKUP($B62,'Comparisons-24'!$B$35:$P$74, 13, FALSE)</f>
        <v>1626076.3850113684</v>
      </c>
      <c r="R62" s="683">
        <f>VLOOKUP($B62,'Comparisons-25'!$B$35:$AB$74, 25, FALSE)</f>
        <v>1598497.5</v>
      </c>
      <c r="S62" s="683">
        <f>VLOOKUP($B62,'Comparisons-26'!$B$35:$BR$72, 61, FALSE)</f>
        <v>1636080.5999999999</v>
      </c>
    </row>
    <row r="63" spans="1:25" ht="15">
      <c r="A63" s="584" t="s">
        <v>206</v>
      </c>
      <c r="B63" s="585" t="s">
        <v>109</v>
      </c>
      <c r="C63" s="584"/>
      <c r="D63" s="609">
        <f t="shared" si="16"/>
        <v>25729693.491986766</v>
      </c>
      <c r="E63" s="706" t="s">
        <v>236</v>
      </c>
      <c r="F63" s="609">
        <f t="shared" si="17"/>
        <v>24112895.982328665</v>
      </c>
      <c r="G63" s="689">
        <f t="shared" si="8"/>
        <v>-1616797.5096581019</v>
      </c>
      <c r="H63" s="707">
        <f t="shared" si="9"/>
        <v>-6.283780683829894E-2</v>
      </c>
      <c r="I63" s="572" t="s">
        <v>266</v>
      </c>
      <c r="K63" s="572" t="s">
        <v>412</v>
      </c>
      <c r="M63" s="683">
        <f>VLOOKUP($B63,'Comparisons-24'!$B$35:$P$74, 2, FALSE)</f>
        <v>26403560</v>
      </c>
      <c r="N63" s="683">
        <f>VLOOKUP($B63,'Comparisons-25'!$B$35:$AB$74, 2, FALSE)</f>
        <v>26810560</v>
      </c>
      <c r="O63" s="683">
        <f>VLOOKUP($B63,'Comparisons-26'!$B$35:$BR$72, 2, FALSE)</f>
        <v>23974960.475960296</v>
      </c>
      <c r="Q63" s="683">
        <f>VLOOKUP($B63,'Comparisons-24'!$B$35:$P$74, 13, FALSE)</f>
        <v>24770211.250363905</v>
      </c>
      <c r="R63" s="683">
        <f>VLOOKUP($B63,'Comparisons-25'!$B$35:$AB$74, 25, FALSE)</f>
        <v>25001162.799620394</v>
      </c>
      <c r="S63" s="683">
        <f>VLOOKUP($B63,'Comparisons-26'!$B$35:$BR$72, 61, FALSE)</f>
        <v>22567313.897001695</v>
      </c>
    </row>
    <row r="64" spans="1:25" ht="15" hidden="1">
      <c r="A64" s="584" t="s">
        <v>206</v>
      </c>
      <c r="B64" s="585" t="s">
        <v>110</v>
      </c>
      <c r="C64" s="584"/>
      <c r="D64" s="609">
        <f t="shared" si="16"/>
        <v>2245850</v>
      </c>
      <c r="E64" s="706" t="s">
        <v>236</v>
      </c>
      <c r="F64" s="609">
        <f t="shared" si="17"/>
        <v>2625842.9822219783</v>
      </c>
      <c r="G64" s="689">
        <f t="shared" si="8"/>
        <v>379992.98222197825</v>
      </c>
      <c r="H64" s="707">
        <f t="shared" si="9"/>
        <v>0.16919784590332312</v>
      </c>
      <c r="K64" s="572" t="e">
        <v>#N/A</v>
      </c>
      <c r="M64" s="683">
        <f>VLOOKUP($B64,'Comparisons-24'!$B$35:$P$74, 2, FALSE)</f>
        <v>6737550</v>
      </c>
      <c r="N64" s="683">
        <v>0</v>
      </c>
      <c r="O64" s="683">
        <v>0</v>
      </c>
      <c r="Q64" s="683">
        <f>VLOOKUP($B64,'Comparisons-24'!$B$35:$P$74, 13, FALSE)</f>
        <v>7877528.9466659352</v>
      </c>
      <c r="R64" s="683">
        <f>VLOOKUP($B64,'Comparisons-25'!$B$35:$AB$74, 25, FALSE)</f>
        <v>0</v>
      </c>
      <c r="S64" s="683">
        <v>0</v>
      </c>
    </row>
    <row r="65" spans="1:31" ht="15">
      <c r="A65" s="584" t="s">
        <v>206</v>
      </c>
      <c r="B65" s="585" t="s">
        <v>111</v>
      </c>
      <c r="C65" s="584"/>
      <c r="D65" s="609">
        <f t="shared" si="16"/>
        <v>8187109.5606905362</v>
      </c>
      <c r="E65" s="706" t="s">
        <v>236</v>
      </c>
      <c r="F65" s="609">
        <f t="shared" si="17"/>
        <v>7438451.1906009652</v>
      </c>
      <c r="G65" s="689">
        <f t="shared" si="8"/>
        <v>-748658.37008957099</v>
      </c>
      <c r="H65" s="707">
        <f t="shared" si="9"/>
        <v>-9.1443550930864287E-2</v>
      </c>
      <c r="I65" s="572" t="s">
        <v>266</v>
      </c>
      <c r="K65" s="572" t="s">
        <v>111</v>
      </c>
      <c r="M65" s="683">
        <f>VLOOKUP($B65,'Comparisons-24'!$B$35:$P$74, 2, FALSE)</f>
        <v>7934286</v>
      </c>
      <c r="N65" s="683">
        <f>VLOOKUP($B65,'Comparisons-25'!$B$35:$AB$74, 2, FALSE)</f>
        <v>7946250</v>
      </c>
      <c r="O65" s="683">
        <f>VLOOKUP($B65,'Comparisons-26'!$B$35:$BR$72, 2, FALSE)</f>
        <v>8680792.6820716076</v>
      </c>
      <c r="Q65" s="683">
        <f>VLOOKUP($B65,'Comparisons-24'!$B$35:$P$74, 13, FALSE)</f>
        <v>7397846.3802625854</v>
      </c>
      <c r="R65" s="683">
        <f>VLOOKUP($B65,'Comparisons-25'!$B$35:$AB$74, 25, FALSE)</f>
        <v>7443520.328812805</v>
      </c>
      <c r="S65" s="683">
        <f>VLOOKUP($B65,'Comparisons-26'!$B$35:$BR$72, 61, FALSE)</f>
        <v>7473986.8627275042</v>
      </c>
    </row>
    <row r="66" spans="1:31" ht="15">
      <c r="A66" s="584" t="s">
        <v>112</v>
      </c>
      <c r="B66" s="585" t="s">
        <v>113</v>
      </c>
      <c r="C66" s="584"/>
      <c r="D66" s="609">
        <f t="shared" si="16"/>
        <v>1198958.8926709832</v>
      </c>
      <c r="E66" s="706" t="s">
        <v>236</v>
      </c>
      <c r="F66" s="609">
        <f t="shared" si="17"/>
        <v>1180832.1770593463</v>
      </c>
      <c r="G66" s="689">
        <f t="shared" si="8"/>
        <v>-18126.715611636871</v>
      </c>
      <c r="H66" s="707">
        <f t="shared" si="9"/>
        <v>-1.5118713178943977E-2</v>
      </c>
      <c r="I66" s="709"/>
      <c r="K66" s="572" t="s">
        <v>413</v>
      </c>
      <c r="M66" s="683">
        <f>VLOOKUP($B66,'Comparisons-24'!$B$35:$P$74, 2, FALSE)</f>
        <v>1224167</v>
      </c>
      <c r="N66" s="683">
        <f>VLOOKUP($B66,'Comparisons-25'!$B$35:$AB$74, 2, FALSE)</f>
        <v>1335726</v>
      </c>
      <c r="O66" s="683">
        <f>VLOOKUP($B66,'Comparisons-26'!$B$35:$BR$72, 2, FALSE)</f>
        <v>1036983.6780129499</v>
      </c>
      <c r="Q66" s="683">
        <f>VLOOKUP($B66,'Comparisons-24'!$B$35:$P$74, 13, FALSE)</f>
        <v>1224166.8</v>
      </c>
      <c r="R66" s="683">
        <f>VLOOKUP($B66,'Comparisons-25'!$B$35:$AB$74, 25, FALSE)</f>
        <v>1267340.3244299218</v>
      </c>
      <c r="S66" s="683">
        <f>VLOOKUP($B66,'Comparisons-26'!$B$35:$BR$72, 61, FALSE)</f>
        <v>1050989.4067481174</v>
      </c>
      <c r="Z66" s="689">
        <f>Q66-M66</f>
        <v>-0.19999999995343387</v>
      </c>
      <c r="AA66" s="708">
        <f>Z66/M66</f>
        <v>-1.6337640203782153E-7</v>
      </c>
      <c r="AB66" s="689">
        <f>R66-N66</f>
        <v>-68385.675570078194</v>
      </c>
      <c r="AC66" s="708">
        <f>AB66/N66</f>
        <v>-5.1197382973812142E-2</v>
      </c>
      <c r="AD66" s="689">
        <f>S66-O66</f>
        <v>14005.728735167533</v>
      </c>
      <c r="AE66" s="708">
        <f>AD66/O66</f>
        <v>1.3506219077628171E-2</v>
      </c>
    </row>
    <row r="67" spans="1:31" ht="15">
      <c r="A67" s="584" t="s">
        <v>112</v>
      </c>
      <c r="B67" s="585" t="s">
        <v>114</v>
      </c>
      <c r="C67" s="584"/>
      <c r="D67" s="609">
        <f t="shared" si="16"/>
        <v>18853131.91607457</v>
      </c>
      <c r="E67" s="706" t="s">
        <v>236</v>
      </c>
      <c r="F67" s="609">
        <f t="shared" si="17"/>
        <v>19601161.631661668</v>
      </c>
      <c r="G67" s="689">
        <f t="shared" si="8"/>
        <v>748029.71558709815</v>
      </c>
      <c r="H67" s="707">
        <f t="shared" si="9"/>
        <v>3.9676681779822087E-2</v>
      </c>
      <c r="I67" s="572" t="s">
        <v>266</v>
      </c>
      <c r="K67" s="572" t="s">
        <v>414</v>
      </c>
      <c r="M67" s="683">
        <f>VLOOKUP($B67,'Comparisons-24'!$B$35:$P$74, 2, FALSE)</f>
        <v>17510246</v>
      </c>
      <c r="N67" s="683">
        <f>VLOOKUP($B67,'Comparisons-25'!$B$35:$AB$74, 2, FALSE)</f>
        <v>20270143</v>
      </c>
      <c r="O67" s="683">
        <f>VLOOKUP($B67,'Comparisons-26'!$B$35:$BR$72, 2, FALSE)</f>
        <v>18779006.748223707</v>
      </c>
      <c r="Q67" s="683">
        <f>VLOOKUP($B67,'Comparisons-24'!$B$35:$P$74, 13, FALSE)</f>
        <v>17510246.399999999</v>
      </c>
      <c r="R67" s="683">
        <f>VLOOKUP($B67,'Comparisons-25'!$B$35:$AB$74, 25, FALSE)</f>
        <v>20640888.599999998</v>
      </c>
      <c r="S67" s="683">
        <f>VLOOKUP($B67,'Comparisons-26'!$B$35:$BR$72, 61, FALSE)</f>
        <v>20652349.894985009</v>
      </c>
    </row>
    <row r="68" spans="1:31" ht="15">
      <c r="A68" s="584" t="s">
        <v>115</v>
      </c>
      <c r="B68" s="585" t="s">
        <v>116</v>
      </c>
      <c r="C68" s="584"/>
      <c r="D68" s="609">
        <f t="shared" si="16"/>
        <v>3483121.4</v>
      </c>
      <c r="E68" s="706" t="s">
        <v>236</v>
      </c>
      <c r="F68" s="609">
        <f t="shared" si="17"/>
        <v>3483121.2999999993</v>
      </c>
      <c r="G68" s="689">
        <f t="shared" si="8"/>
        <v>-0.10000000055879354</v>
      </c>
      <c r="H68" s="707">
        <f t="shared" si="9"/>
        <v>-2.8709880901306956E-8</v>
      </c>
      <c r="I68" s="572" t="s">
        <v>266</v>
      </c>
      <c r="K68" s="572" t="s">
        <v>116</v>
      </c>
      <c r="M68" s="683">
        <f>VLOOKUP($B68,'Comparisons-24'!$B$35:$P$74, 2, FALSE)</f>
        <v>3000449</v>
      </c>
      <c r="N68" s="683">
        <f>VLOOKUP($B68,'Comparisons-25'!$B$35:$AB$74, 2, FALSE)</f>
        <v>3606217</v>
      </c>
      <c r="O68" s="683">
        <f>VLOOKUP($B68,'Comparisons-26'!$B$35:$BR$72, 2, FALSE)</f>
        <v>3842698.1999999997</v>
      </c>
      <c r="Q68" s="683">
        <f>VLOOKUP($B68,'Comparisons-24'!$B$35:$P$74, 13, FALSE)</f>
        <v>3000448.5</v>
      </c>
      <c r="R68" s="683">
        <f>VLOOKUP($B68,'Comparisons-25'!$B$35:$AB$74, 25, FALSE)</f>
        <v>3606217.1999999997</v>
      </c>
      <c r="S68" s="683">
        <f>VLOOKUP($B68,'Comparisons-26'!$B$35:$BR$72, 61, FALSE)</f>
        <v>3842698.1999999997</v>
      </c>
    </row>
    <row r="69" spans="1:31" ht="15">
      <c r="A69" s="584" t="s">
        <v>115</v>
      </c>
      <c r="B69" s="585" t="s">
        <v>117</v>
      </c>
      <c r="C69" s="584"/>
      <c r="D69" s="609">
        <f t="shared" si="16"/>
        <v>501123.76901444077</v>
      </c>
      <c r="E69" s="706" t="s">
        <v>236</v>
      </c>
      <c r="F69" s="609">
        <f t="shared" si="17"/>
        <v>556824.27751083614</v>
      </c>
      <c r="G69" s="689">
        <f t="shared" si="8"/>
        <v>55700.50849639537</v>
      </c>
      <c r="H69" s="707">
        <f t="shared" si="9"/>
        <v>0.11115120044283962</v>
      </c>
      <c r="I69" s="709"/>
      <c r="K69" s="572" t="s">
        <v>117</v>
      </c>
      <c r="M69" s="683">
        <f>VLOOKUP($B69,'Comparisons-24'!$B$35:$P$74, 2, FALSE)</f>
        <v>526130</v>
      </c>
      <c r="N69" s="683">
        <f>VLOOKUP($B69,'Comparisons-25'!$B$35:$AB$74, 2, FALSE)</f>
        <v>506115</v>
      </c>
      <c r="O69" s="683">
        <f>VLOOKUP($B69,'Comparisons-26'!$B$35:$BR$72, 2, FALSE)</f>
        <v>471126.30704332248</v>
      </c>
      <c r="Q69" s="683">
        <f>VLOOKUP($B69,'Comparisons-24'!$B$35:$P$74, 13, FALSE)</f>
        <v>527425.19999999995</v>
      </c>
      <c r="R69" s="683">
        <f>VLOOKUP($B69,'Comparisons-25'!$B$35:$AB$74, 25, FALSE)</f>
        <v>588017.36768881278</v>
      </c>
      <c r="S69" s="683">
        <f>VLOOKUP($B69,'Comparisons-26'!$B$35:$BR$72, 61, FALSE)</f>
        <v>555030.26484369556</v>
      </c>
    </row>
    <row r="70" spans="1:31" ht="15">
      <c r="A70" s="584" t="s">
        <v>115</v>
      </c>
      <c r="B70" s="585" t="s">
        <v>118</v>
      </c>
      <c r="C70" s="584"/>
      <c r="D70" s="609">
        <f t="shared" si="16"/>
        <v>3271539.9085863479</v>
      </c>
      <c r="E70" s="706" t="s">
        <v>236</v>
      </c>
      <c r="F70" s="609">
        <f t="shared" si="17"/>
        <v>3502448.2869010433</v>
      </c>
      <c r="G70" s="689">
        <f t="shared" si="8"/>
        <v>230908.37831469532</v>
      </c>
      <c r="H70" s="707">
        <f t="shared" si="9"/>
        <v>7.0580944988218777E-2</v>
      </c>
      <c r="I70" s="572" t="s">
        <v>266</v>
      </c>
      <c r="K70" s="572" t="s">
        <v>415</v>
      </c>
      <c r="M70" s="683">
        <f>VLOOKUP($B70,'Comparisons-24'!$B$35:$P$74, 2, FALSE)</f>
        <v>3187292</v>
      </c>
      <c r="N70" s="683">
        <f>VLOOKUP($B70,'Comparisons-25'!$B$35:$AB$74, 2, FALSE)</f>
        <v>3433985</v>
      </c>
      <c r="O70" s="683">
        <f>VLOOKUP($B70,'Comparisons-26'!$B$35:$BR$72, 2, FALSE)</f>
        <v>3193342.7257590448</v>
      </c>
      <c r="Q70" s="683">
        <f>VLOOKUP($B70,'Comparisons-24'!$B$35:$P$74, 13, FALSE)</f>
        <v>3187292.4</v>
      </c>
      <c r="R70" s="683">
        <f>VLOOKUP($B70,'Comparisons-25'!$B$35:$AB$74, 25, FALSE)</f>
        <v>3745143.657417655</v>
      </c>
      <c r="S70" s="683">
        <f>VLOOKUP($B70,'Comparisons-26'!$B$35:$BR$72, 61, FALSE)</f>
        <v>3574908.8032854749</v>
      </c>
    </row>
    <row r="71" spans="1:31" ht="15">
      <c r="A71" s="584" t="s">
        <v>115</v>
      </c>
      <c r="B71" s="585" t="s">
        <v>119</v>
      </c>
      <c r="C71" s="584"/>
      <c r="D71" s="609">
        <f t="shared" si="16"/>
        <v>199411.47824592108</v>
      </c>
      <c r="E71" s="706" t="s">
        <v>236</v>
      </c>
      <c r="F71" s="609">
        <f t="shared" si="17"/>
        <v>224856.74740307106</v>
      </c>
      <c r="G71" s="689">
        <f t="shared" si="8"/>
        <v>25445.269157149974</v>
      </c>
      <c r="H71" s="707">
        <f t="shared" si="9"/>
        <v>0.12760182804407075</v>
      </c>
      <c r="K71" s="572" t="s">
        <v>119</v>
      </c>
      <c r="M71" s="683">
        <f>VLOOKUP($B71,'Comparisons-24'!$B$35:$P$74, 2, FALSE)</f>
        <v>211380</v>
      </c>
      <c r="N71" s="683">
        <f>VLOOKUP($B71,'Comparisons-25'!$B$35:$AB$74, 2, FALSE)</f>
        <v>204230</v>
      </c>
      <c r="O71" s="683">
        <f>VLOOKUP($B71,'Comparisons-26'!$B$35:$BR$72, 2, FALSE)</f>
        <v>182624.43473776325</v>
      </c>
      <c r="Q71" s="683">
        <f>VLOOKUP($B71,'Comparisons-24'!$B$35:$P$74, 13, FALSE)</f>
        <v>236424.3</v>
      </c>
      <c r="R71" s="683">
        <f>VLOOKUP($B71,'Comparisons-25'!$B$35:$AB$74, 25, FALSE)</f>
        <v>220944.3</v>
      </c>
      <c r="S71" s="683">
        <f>VLOOKUP($B71,'Comparisons-26'!$B$35:$BR$72, 61, FALSE)</f>
        <v>217201.64220921326</v>
      </c>
    </row>
    <row r="72" spans="1:31" ht="15">
      <c r="A72" s="584" t="s">
        <v>120</v>
      </c>
      <c r="B72" s="585" t="s">
        <v>121</v>
      </c>
      <c r="C72" s="584"/>
      <c r="D72" s="609">
        <f t="shared" si="16"/>
        <v>657710.18017678906</v>
      </c>
      <c r="E72" s="706" t="s">
        <v>236</v>
      </c>
      <c r="F72" s="609">
        <f t="shared" si="17"/>
        <v>745223.11356687185</v>
      </c>
      <c r="G72" s="689">
        <f t="shared" si="8"/>
        <v>87512.933390082791</v>
      </c>
      <c r="H72" s="707">
        <f t="shared" si="9"/>
        <v>0.13305698471408756</v>
      </c>
      <c r="I72" s="709"/>
      <c r="K72" s="572" t="s">
        <v>416</v>
      </c>
      <c r="M72" s="683">
        <f>VLOOKUP($B72,'Comparisons-24'!$B$35:$P$74, 2, FALSE)</f>
        <v>693794</v>
      </c>
      <c r="N72" s="683">
        <f>VLOOKUP($B72,'Comparisons-25'!$B$35:$AB$74, 2, FALSE)</f>
        <v>661136</v>
      </c>
      <c r="O72" s="683">
        <f>VLOOKUP($B72,'Comparisons-26'!$B$35:$BR$72, 2, FALSE)</f>
        <v>618200.54053036741</v>
      </c>
      <c r="Q72" s="683">
        <f>VLOOKUP($B72,'Comparisons-24'!$B$35:$P$74, 13, FALSE)</f>
        <v>773452.21059740416</v>
      </c>
      <c r="R72" s="683">
        <f>VLOOKUP($B72,'Comparisons-25'!$B$35:$AB$74, 25, FALSE)</f>
        <v>753347.56852768874</v>
      </c>
      <c r="S72" s="683">
        <f>VLOOKUP($B72,'Comparisons-26'!$B$35:$BR$72, 61, FALSE)</f>
        <v>708869.56157552265</v>
      </c>
    </row>
    <row r="73" spans="1:31" ht="15">
      <c r="A73" s="584" t="s">
        <v>120</v>
      </c>
      <c r="B73" s="585" t="s">
        <v>122</v>
      </c>
      <c r="C73" s="584"/>
      <c r="D73" s="609">
        <f t="shared" si="16"/>
        <v>1997492.8666666665</v>
      </c>
      <c r="E73" s="706" t="s">
        <v>236</v>
      </c>
      <c r="F73" s="609">
        <f t="shared" si="17"/>
        <v>1997493</v>
      </c>
      <c r="G73" s="689">
        <f t="shared" si="8"/>
        <v>0.13333333353511989</v>
      </c>
      <c r="H73" s="707">
        <f t="shared" si="9"/>
        <v>6.6750342772247821E-8</v>
      </c>
      <c r="I73" s="709"/>
      <c r="K73" s="572" t="s">
        <v>267</v>
      </c>
      <c r="M73" s="683">
        <f>VLOOKUP($B73,'Comparisons-24'!$B$35:$P$74, 2, FALSE)</f>
        <v>1788201</v>
      </c>
      <c r="N73" s="683">
        <f>VLOOKUP($B73,'Comparisons-25'!$B$35:$AB$74, 2, FALSE)</f>
        <v>1973597</v>
      </c>
      <c r="O73" s="683">
        <f>VLOOKUP($B73,'Comparisons-26'!$B$35:$BR$72, 2, FALSE)</f>
        <v>2230680.6</v>
      </c>
      <c r="Q73" s="683">
        <f>VLOOKUP($B73,'Comparisons-24'!$B$35:$P$74, 13, FALSE)</f>
        <v>1788201</v>
      </c>
      <c r="R73" s="683">
        <f>VLOOKUP($B73,'Comparisons-25'!$B$35:$AB$74, 25, FALSE)</f>
        <v>1973597.4</v>
      </c>
      <c r="S73" s="683">
        <f>VLOOKUP($B73,'Comparisons-26'!$B$35:$BR$72, 61, FALSE)</f>
        <v>2230680.6</v>
      </c>
    </row>
    <row r="74" spans="1:31" ht="15">
      <c r="A74" s="584" t="s">
        <v>120</v>
      </c>
      <c r="B74" s="585" t="s">
        <v>123</v>
      </c>
      <c r="C74" s="584"/>
      <c r="D74" s="609">
        <f t="shared" si="16"/>
        <v>487667.35765267425</v>
      </c>
      <c r="E74" s="706" t="s">
        <v>236</v>
      </c>
      <c r="F74" s="609">
        <f t="shared" si="17"/>
        <v>490195.54091893788</v>
      </c>
      <c r="G74" s="689">
        <f t="shared" si="8"/>
        <v>2528.1832662636298</v>
      </c>
      <c r="H74" s="707">
        <f t="shared" si="9"/>
        <v>5.1842372194700979E-3</v>
      </c>
      <c r="I74" s="709"/>
      <c r="K74" s="572" t="s">
        <v>123</v>
      </c>
      <c r="M74" s="683">
        <f>VLOOKUP($B74,'Comparisons-24'!$B$35:$P$74, 2, FALSE)</f>
        <v>427114</v>
      </c>
      <c r="N74" s="683">
        <f>VLOOKUP($B74,'Comparisons-25'!$B$35:$AB$74, 2, FALSE)</f>
        <v>522225</v>
      </c>
      <c r="O74" s="683">
        <f>VLOOKUP($B74,'Comparisons-26'!$B$35:$BR$72, 2, FALSE)</f>
        <v>513663.07295802294</v>
      </c>
      <c r="Q74" s="683">
        <f>VLOOKUP($B74,'Comparisons-24'!$B$35:$P$74, 13, FALSE)</f>
        <v>427113.89999999997</v>
      </c>
      <c r="R74" s="683">
        <f>VLOOKUP($B74,'Comparisons-25'!$B$35:$AB$74, 25, FALSE)</f>
        <v>509769.71394746541</v>
      </c>
      <c r="S74" s="683">
        <f>VLOOKUP($B74,'Comparisons-26'!$B$35:$BR$72, 61, FALSE)</f>
        <v>533703.00880934822</v>
      </c>
    </row>
    <row r="75" spans="1:31" ht="15">
      <c r="A75" s="584" t="s">
        <v>124</v>
      </c>
      <c r="B75" s="585" t="s">
        <v>125</v>
      </c>
      <c r="C75" s="584"/>
      <c r="D75" s="609">
        <f t="shared" si="16"/>
        <v>1190937.3236635181</v>
      </c>
      <c r="E75" s="706" t="s">
        <v>236</v>
      </c>
      <c r="F75" s="609">
        <f t="shared" si="17"/>
        <v>1186282.0634601032</v>
      </c>
      <c r="G75" s="689">
        <f t="shared" si="8"/>
        <v>-4655.2602034148294</v>
      </c>
      <c r="H75" s="707">
        <f t="shared" si="9"/>
        <v>-3.9089044493915825E-3</v>
      </c>
      <c r="K75" s="572" t="s">
        <v>125</v>
      </c>
      <c r="M75" s="683">
        <f>VLOOKUP($B75,'Comparisons-24'!$B$35:$P$74, 2, FALSE)</f>
        <v>1391292</v>
      </c>
      <c r="N75" s="683">
        <f>VLOOKUP($B75,'Comparisons-25'!$B$35:$AB$74, 2, FALSE)</f>
        <v>1179698</v>
      </c>
      <c r="O75" s="683">
        <f>VLOOKUP($B75,'Comparisons-26'!$B$35:$BR$72, 2, FALSE)</f>
        <v>1001821.9709905545</v>
      </c>
      <c r="Q75" s="683">
        <f>VLOOKUP($B75,'Comparisons-24'!$B$35:$P$74, 13, FALSE)</f>
        <v>1270462.1263519444</v>
      </c>
      <c r="R75" s="683">
        <f>VLOOKUP($B75,'Comparisons-25'!$B$35:$AB$74, 25, FALSE)</f>
        <v>1167067.9874098042</v>
      </c>
      <c r="S75" s="683">
        <f>VLOOKUP($B75,'Comparisons-26'!$B$35:$BR$72, 61, FALSE)</f>
        <v>1121316.0766185613</v>
      </c>
      <c r="T75" s="689">
        <f>Q75-M75</f>
        <v>-120829.8736480556</v>
      </c>
      <c r="U75" s="708">
        <f>T75/M75</f>
        <v>-8.6847242453816739E-2</v>
      </c>
      <c r="V75" s="689">
        <f>R75-N75</f>
        <v>-12630.012590195751</v>
      </c>
      <c r="W75" s="708">
        <f>V75/N75</f>
        <v>-1.0706140546305708E-2</v>
      </c>
      <c r="X75" s="689">
        <f>S75-O75</f>
        <v>119494.10562800674</v>
      </c>
      <c r="Y75" s="708">
        <f>X75/O75</f>
        <v>0.11927678678264221</v>
      </c>
    </row>
    <row r="76" spans="1:31" ht="15">
      <c r="A76" s="584" t="s">
        <v>124</v>
      </c>
      <c r="B76" s="585" t="s">
        <v>126</v>
      </c>
      <c r="C76" s="584"/>
      <c r="D76" s="609">
        <f t="shared" si="16"/>
        <v>189467.63333333333</v>
      </c>
      <c r="E76" s="706" t="s">
        <v>236</v>
      </c>
      <c r="F76" s="609">
        <f t="shared" si="17"/>
        <v>189467.80000000002</v>
      </c>
      <c r="G76" s="689">
        <f t="shared" si="8"/>
        <v>0.16666666668606922</v>
      </c>
      <c r="H76" s="707">
        <f t="shared" si="9"/>
        <v>8.796577217642761E-7</v>
      </c>
      <c r="K76" s="572" t="s">
        <v>126</v>
      </c>
      <c r="M76" s="683">
        <f>VLOOKUP($B76,'Comparisons-24'!$B$35:$P$74, 2, FALSE)</f>
        <v>172014</v>
      </c>
      <c r="N76" s="683">
        <f>VLOOKUP($B76,'Comparisons-25'!$B$35:$AB$74, 2, FALSE)</f>
        <v>214936</v>
      </c>
      <c r="O76" s="683">
        <f>VLOOKUP($B76,'Comparisons-26'!$B$35:$BR$72, 2, FALSE)</f>
        <v>181452.9</v>
      </c>
      <c r="Q76" s="683">
        <f>VLOOKUP($B76,'Comparisons-24'!$B$35:$P$74, 13, FALSE)</f>
        <v>172014.3</v>
      </c>
      <c r="R76" s="683">
        <f>VLOOKUP($B76,'Comparisons-25'!$B$35:$AB$74, 25, FALSE)</f>
        <v>214936.19999999998</v>
      </c>
      <c r="S76" s="683">
        <f>VLOOKUP($B76,'Comparisons-26'!$B$35:$BR$72, 61, FALSE)</f>
        <v>181452.9</v>
      </c>
      <c r="T76" s="689">
        <f>Q76-M76</f>
        <v>0.29999999998835847</v>
      </c>
      <c r="U76" s="708">
        <f>T76/M76</f>
        <v>1.744044089366903E-6</v>
      </c>
      <c r="V76" s="689">
        <f>R76-N76</f>
        <v>0.1999999999825377</v>
      </c>
      <c r="W76" s="708">
        <f>V76/N76</f>
        <v>9.3050954694670832E-7</v>
      </c>
      <c r="X76" s="689">
        <f>S76-O76</f>
        <v>0</v>
      </c>
      <c r="Y76" s="708">
        <f>X76/O76</f>
        <v>0</v>
      </c>
    </row>
    <row r="77" spans="1:31" ht="15">
      <c r="A77" s="584" t="s">
        <v>124</v>
      </c>
      <c r="B77" s="585" t="s">
        <v>127</v>
      </c>
      <c r="C77" s="584"/>
      <c r="D77" s="609">
        <f t="shared" si="16"/>
        <v>1563531.1897689884</v>
      </c>
      <c r="E77" s="706" t="s">
        <v>236</v>
      </c>
      <c r="F77" s="609">
        <f t="shared" si="17"/>
        <v>1400498.5549354877</v>
      </c>
      <c r="G77" s="689">
        <f t="shared" si="8"/>
        <v>-163032.63483350072</v>
      </c>
      <c r="H77" s="707">
        <f t="shared" si="9"/>
        <v>-0.10427207074621184</v>
      </c>
      <c r="I77" s="709"/>
      <c r="K77" s="572" t="s">
        <v>127</v>
      </c>
      <c r="M77" s="683">
        <f>VLOOKUP($B77,'Comparisons-24'!$B$35:$P$74, 2, FALSE)</f>
        <v>1854386</v>
      </c>
      <c r="N77" s="683">
        <f>VLOOKUP($B77,'Comparisons-25'!$B$35:$AB$74, 2, FALSE)</f>
        <v>1873883</v>
      </c>
      <c r="O77" s="683">
        <f>VLOOKUP($B77,'Comparisons-26'!$B$35:$BR$72, 2, FALSE)</f>
        <v>962324.56930696522</v>
      </c>
      <c r="Q77" s="683">
        <f>VLOOKUP($B77,'Comparisons-24'!$B$35:$P$74, 13, FALSE)</f>
        <v>1611835.0217557601</v>
      </c>
      <c r="R77" s="683">
        <f>VLOOKUP($B77,'Comparisons-25'!$B$35:$AB$74, 25, FALSE)</f>
        <v>1690752.4334685521</v>
      </c>
      <c r="S77" s="683">
        <f>VLOOKUP($B77,'Comparisons-26'!$B$35:$BR$72, 61, FALSE)</f>
        <v>898908.20958215103</v>
      </c>
    </row>
    <row r="78" spans="1:31" ht="15">
      <c r="A78" s="584" t="s">
        <v>124</v>
      </c>
      <c r="B78" s="585" t="s">
        <v>128</v>
      </c>
      <c r="C78" s="584"/>
      <c r="D78" s="609">
        <f t="shared" si="16"/>
        <v>53872.552240582278</v>
      </c>
      <c r="E78" s="706" t="s">
        <v>236</v>
      </c>
      <c r="F78" s="609">
        <f t="shared" si="17"/>
        <v>60191.551372275688</v>
      </c>
      <c r="G78" s="689">
        <f t="shared" si="8"/>
        <v>6318.9991316934102</v>
      </c>
      <c r="H78" s="707">
        <f t="shared" si="9"/>
        <v>0.11729533628691344</v>
      </c>
      <c r="K78" s="572" t="s">
        <v>128</v>
      </c>
      <c r="M78" s="683">
        <f>VLOOKUP($B78,'Comparisons-24'!$B$35:$P$74, 2, FALSE)</f>
        <v>48603</v>
      </c>
      <c r="N78" s="683">
        <f>VLOOKUP($B78,'Comparisons-25'!$B$35:$AB$74, 2, FALSE)</f>
        <v>51181</v>
      </c>
      <c r="O78" s="683">
        <f>VLOOKUP($B78,'Comparisons-26'!$B$35:$BR$72, 2, FALSE)</f>
        <v>61833.656721746825</v>
      </c>
      <c r="Q78" s="683">
        <f>VLOOKUP($B78,'Comparisons-24'!$B$35:$P$74, 13, FALSE)</f>
        <v>48603</v>
      </c>
      <c r="R78" s="683">
        <f>VLOOKUP($B78,'Comparisons-25'!$B$35:$AB$74, 25, FALSE)</f>
        <v>51180.9</v>
      </c>
      <c r="S78" s="683">
        <f>VLOOKUP($B78,'Comparisons-26'!$B$35:$BR$72, 61, FALSE)</f>
        <v>80790.754116827055</v>
      </c>
      <c r="T78" s="689">
        <f>Q78-M78</f>
        <v>0</v>
      </c>
      <c r="U78" s="708">
        <f>T78/M78</f>
        <v>0</v>
      </c>
      <c r="V78" s="689">
        <f>R78-N78</f>
        <v>-9.9999999998544808E-2</v>
      </c>
      <c r="W78" s="708">
        <f>V78/N78</f>
        <v>-1.9538500615178447E-6</v>
      </c>
      <c r="X78" s="689">
        <f>S78-O78</f>
        <v>18957.097395080229</v>
      </c>
      <c r="Y78" s="708">
        <f>X78/O78</f>
        <v>0.30658218193996989</v>
      </c>
    </row>
    <row r="79" spans="1:31" ht="15">
      <c r="A79" s="584" t="s">
        <v>124</v>
      </c>
      <c r="B79" s="585" t="s">
        <v>129</v>
      </c>
      <c r="C79" s="584"/>
      <c r="D79" s="609">
        <f t="shared" si="16"/>
        <v>324336.18210457283</v>
      </c>
      <c r="E79" s="706" t="s">
        <v>236</v>
      </c>
      <c r="F79" s="609">
        <f t="shared" si="17"/>
        <v>329195.08014242235</v>
      </c>
      <c r="G79" s="689">
        <f t="shared" si="8"/>
        <v>4858.898037849518</v>
      </c>
      <c r="H79" s="707">
        <f t="shared" si="9"/>
        <v>1.4981054553706581E-2</v>
      </c>
      <c r="K79" s="572" t="s">
        <v>129</v>
      </c>
      <c r="M79" s="683">
        <f>VLOOKUP($B79,'Comparisons-24'!$B$35:$P$74, 2, FALSE)</f>
        <v>358161</v>
      </c>
      <c r="N79" s="683">
        <f>VLOOKUP($B79,'Comparisons-25'!$B$35:$AB$74, 2, FALSE)</f>
        <v>324509</v>
      </c>
      <c r="O79" s="683">
        <f>VLOOKUP($B79,'Comparisons-26'!$B$35:$BR$72, 2, FALSE)</f>
        <v>290338.54631371854</v>
      </c>
      <c r="Q79" s="683">
        <f>VLOOKUP($B79,'Comparisons-24'!$B$35:$P$74, 13, FALSE)</f>
        <v>353068.90835706651</v>
      </c>
      <c r="R79" s="683">
        <f>VLOOKUP($B79,'Comparisons-25'!$B$35:$AB$74, 25, FALSE)</f>
        <v>330677.55605254276</v>
      </c>
      <c r="S79" s="683">
        <f>VLOOKUP($B79,'Comparisons-26'!$B$35:$BR$72, 61, FALSE)</f>
        <v>303838.77601765771</v>
      </c>
      <c r="T79" s="689">
        <f>Q79-M79</f>
        <v>-5092.0916429334902</v>
      </c>
      <c r="U79" s="708">
        <f>T79/M79</f>
        <v>-1.4217325847687185E-2</v>
      </c>
      <c r="V79" s="689">
        <f>R79-N79</f>
        <v>6168.5560525427572</v>
      </c>
      <c r="W79" s="708">
        <f>V79/N79</f>
        <v>1.9008890516265364E-2</v>
      </c>
      <c r="X79" s="689">
        <f>S79-O79</f>
        <v>13500.229703939171</v>
      </c>
      <c r="Y79" s="708">
        <f>X79/O79</f>
        <v>4.6498234131653368E-2</v>
      </c>
    </row>
    <row r="80" spans="1:31" ht="15.75" thickBot="1">
      <c r="A80" s="597" t="s">
        <v>124</v>
      </c>
      <c r="B80" s="598" t="s">
        <v>130</v>
      </c>
      <c r="C80" s="597"/>
      <c r="D80" s="710">
        <f t="shared" si="16"/>
        <v>1082498.9905717103</v>
      </c>
      <c r="E80" s="711" t="s">
        <v>236</v>
      </c>
      <c r="F80" s="710">
        <f t="shared" si="17"/>
        <v>1112984.4399062658</v>
      </c>
      <c r="G80" s="712">
        <f t="shared" si="8"/>
        <v>30485.449334555538</v>
      </c>
      <c r="H80" s="713">
        <f t="shared" si="9"/>
        <v>2.816210416829578E-2</v>
      </c>
      <c r="K80" s="572" t="s">
        <v>130</v>
      </c>
      <c r="M80" s="683">
        <f>VLOOKUP($B80,'Comparisons-24'!$B$35:$P$74, 2, FALSE)</f>
        <v>1194300</v>
      </c>
      <c r="N80" s="683">
        <f>VLOOKUP($B80,'Comparisons-25'!$B$35:$AB$74, 2, FALSE)</f>
        <v>1086084</v>
      </c>
      <c r="O80" s="683">
        <f>VLOOKUP($B80,'Comparisons-26'!$B$35:$BR$72, 2, FALSE)</f>
        <v>967112.97171513084</v>
      </c>
      <c r="Q80" s="683">
        <f>VLOOKUP($B80,'Comparisons-24'!$B$35:$P$74, 13, FALSE)</f>
        <v>1165850.7717126587</v>
      </c>
      <c r="R80" s="683">
        <f>VLOOKUP($B80,'Comparisons-25'!$B$35:$AB$74, 25, FALSE)</f>
        <v>1123916.9468689137</v>
      </c>
      <c r="S80" s="683">
        <f>VLOOKUP($B80,'Comparisons-26'!$B$35:$BR$72, 61, FALSE)</f>
        <v>1049185.6011372253</v>
      </c>
      <c r="T80" s="689">
        <f>Q80-M80</f>
        <v>-28449.228287341306</v>
      </c>
      <c r="U80" s="708">
        <f>T80/M80</f>
        <v>-2.3820839225773511E-2</v>
      </c>
      <c r="V80" s="689">
        <f>R80-N80</f>
        <v>37832.946868913714</v>
      </c>
      <c r="W80" s="708">
        <f>V80/N80</f>
        <v>3.4834273287253761E-2</v>
      </c>
      <c r="X80" s="689">
        <f>S80-O80</f>
        <v>82072.62942209444</v>
      </c>
      <c r="Y80" s="708">
        <f>X80/O80</f>
        <v>8.4863539030546109E-2</v>
      </c>
    </row>
    <row r="81" spans="1:25" ht="15.75" thickTop="1">
      <c r="A81" s="714"/>
      <c r="B81" s="714"/>
      <c r="C81" s="714"/>
      <c r="D81" s="715">
        <f>SUM(D42:D80)</f>
        <v>129548415.6666667</v>
      </c>
      <c r="E81" s="714"/>
      <c r="F81" s="715">
        <f>SUM(F42:F80)</f>
        <v>129548415.99999997</v>
      </c>
      <c r="G81" s="716">
        <f>MIN(G42:G80)</f>
        <v>-1616797.5096581019</v>
      </c>
      <c r="H81" s="717">
        <f>MIN(H42:H80)</f>
        <v>-0.10427207074621184</v>
      </c>
      <c r="M81" s="697">
        <f>SUM(M42:M80)</f>
        <v>133266168</v>
      </c>
      <c r="N81" s="697">
        <f>SUM(N42:N80)</f>
        <v>128674210</v>
      </c>
      <c r="O81" s="697">
        <f>SUM(O42:O80)</f>
        <v>126704869.00000003</v>
      </c>
      <c r="Q81" s="697">
        <f>SUM(Q42:Q80)</f>
        <v>133266167.99999991</v>
      </c>
      <c r="R81" s="697">
        <f>SUM(R42:R80)</f>
        <v>128674210.99999999</v>
      </c>
      <c r="S81" s="697">
        <f>SUM(S42:S80)</f>
        <v>126704868.99999999</v>
      </c>
    </row>
    <row r="83" spans="1:25" ht="15">
      <c r="B83" s="718" t="s">
        <v>268</v>
      </c>
      <c r="D83" s="588">
        <f>SUMIF($I$42:$I$80, "Urban", D42:D80)</f>
        <v>110880613.46744327</v>
      </c>
      <c r="F83" s="588">
        <f>SUMIF($I$42:$I$80, "Urban", F42:F80)</f>
        <v>110208406.86667296</v>
      </c>
      <c r="G83" s="689">
        <f t="shared" ref="G83:G84" si="42">F83-D83</f>
        <v>-672206.60077030957</v>
      </c>
      <c r="H83" s="708">
        <f>G83/D83</f>
        <v>-6.0624358014368549E-3</v>
      </c>
      <c r="M83" s="588">
        <f>SUMIF($I$42:$I$80, "Urban", M42:M80)</f>
        <v>109293911</v>
      </c>
      <c r="N83" s="588">
        <f>SUMIF($I$42:$I$80, "Urban", N42:N80)</f>
        <v>111816549</v>
      </c>
      <c r="O83" s="588">
        <f>SUMIF($I$42:$I$80, "Urban", O42:O80)</f>
        <v>111531380.4023298</v>
      </c>
      <c r="Q83" s="588">
        <f>SUMIF($I$42:$I$80, "Urban", Q42:Q80)</f>
        <v>108231109.31261188</v>
      </c>
      <c r="R83" s="588">
        <f>SUMIF($I$42:$I$80, "Urban", R42:R80)</f>
        <v>111622618.56489918</v>
      </c>
      <c r="S83" s="588">
        <f>SUMIF($I$42:$I$80, "Urban", S42:S80)</f>
        <v>110771492.72250786</v>
      </c>
      <c r="T83" s="689">
        <f>Q83-M83</f>
        <v>-1062801.6873881221</v>
      </c>
      <c r="U83" s="708">
        <f>T83/M83</f>
        <v>-9.7242534159851061E-3</v>
      </c>
      <c r="V83" s="689">
        <f>R83-N83</f>
        <v>-193930.43510082364</v>
      </c>
      <c r="W83" s="708">
        <f>V83/N83</f>
        <v>-1.734362550402299E-3</v>
      </c>
      <c r="X83" s="689">
        <f>S83-O83</f>
        <v>-759887.67982193828</v>
      </c>
      <c r="Y83" s="708">
        <f>X83/O83</f>
        <v>-6.8132186392814058E-3</v>
      </c>
    </row>
    <row r="84" spans="1:25" ht="15">
      <c r="B84" s="718" t="s">
        <v>269</v>
      </c>
      <c r="D84" s="588">
        <f>D81-D83</f>
        <v>18667802.199223429</v>
      </c>
      <c r="F84" s="588">
        <f>F81-F83</f>
        <v>19340009.133327007</v>
      </c>
      <c r="G84" s="689">
        <f t="shared" si="42"/>
        <v>672206.93410357833</v>
      </c>
      <c r="H84" s="708">
        <f>G84/D84</f>
        <v>3.6008895258786373E-2</v>
      </c>
      <c r="M84" s="588">
        <f>M81-M83</f>
        <v>23972257</v>
      </c>
      <c r="N84" s="588">
        <f>N81-N83</f>
        <v>16857661</v>
      </c>
      <c r="O84" s="588">
        <f>O81-O83</f>
        <v>15173488.597670227</v>
      </c>
      <c r="Q84" s="588">
        <f>Q81-Q83</f>
        <v>25035058.687388033</v>
      </c>
      <c r="R84" s="588">
        <f>R81-R83</f>
        <v>17051592.435100809</v>
      </c>
      <c r="S84" s="588">
        <f>S81-S83</f>
        <v>15933376.277492121</v>
      </c>
      <c r="T84" s="689">
        <f>Q84-M84</f>
        <v>1062801.6873880327</v>
      </c>
      <c r="U84" s="708">
        <f t="shared" ref="U84" si="43">T84/M84</f>
        <v>4.4334652652356962E-2</v>
      </c>
      <c r="V84" s="689">
        <f t="shared" ref="V84" si="44">R84-N84</f>
        <v>193931.43510080874</v>
      </c>
      <c r="W84" s="708">
        <f t="shared" ref="W84" si="45">V84/N84</f>
        <v>1.1504053563588017E-2</v>
      </c>
      <c r="X84" s="689">
        <f t="shared" ref="X84" si="46">S84-O84</f>
        <v>759887.67982189357</v>
      </c>
      <c r="Y84" s="708">
        <f t="shared" ref="Y84" si="47">X84/O84</f>
        <v>5.0079958536270196E-2</v>
      </c>
    </row>
    <row r="88" spans="1:25" ht="15">
      <c r="R88" s="719">
        <f t="shared" ref="R88:S103" si="48">(R42-Q42)/Q42</f>
        <v>-1.2776692106109168E-2</v>
      </c>
      <c r="S88" s="719">
        <f t="shared" si="48"/>
        <v>-0.10246978774965398</v>
      </c>
    </row>
    <row r="89" spans="1:25" ht="15">
      <c r="B89" s="572" t="s">
        <v>171</v>
      </c>
      <c r="R89" s="719">
        <f t="shared" si="48"/>
        <v>-0.13401805674827358</v>
      </c>
      <c r="S89" s="719">
        <f t="shared" si="48"/>
        <v>-9.3442055695136111E-2</v>
      </c>
    </row>
    <row r="90" spans="1:25" ht="15">
      <c r="B90" s="572" t="s">
        <v>97</v>
      </c>
      <c r="D90" s="720">
        <v>17018.733333333334</v>
      </c>
      <c r="F90" s="721">
        <f t="shared" ref="F90:F127" si="49">VLOOKUP(B90, $B$42:$H$80, 5, FALSE)</f>
        <v>16375.914012835789</v>
      </c>
      <c r="G90" s="722">
        <f t="shared" ref="G90:G127" si="50">VLOOKUP(B90,$B$42:$H$80, 7, FALSE)</f>
        <v>-3.7771278737795511E-2</v>
      </c>
      <c r="H90" s="572" t="s">
        <v>404</v>
      </c>
      <c r="I90" s="722" t="str">
        <f>H90&amp; " [" &amp;TEXT(G90, "0%;[Red]-0%") &amp;"]"</f>
        <v>PONY Express [-4%]</v>
      </c>
      <c r="R90" s="719">
        <f t="shared" si="48"/>
        <v>-5.5890449338688836E-2</v>
      </c>
      <c r="S90" s="719">
        <f t="shared" si="48"/>
        <v>-2.4085417967024975E-2</v>
      </c>
    </row>
    <row r="91" spans="1:25" ht="15">
      <c r="B91" s="572" t="s">
        <v>103</v>
      </c>
      <c r="D91" s="720">
        <v>41041.693335279859</v>
      </c>
      <c r="F91" s="721">
        <f t="shared" si="49"/>
        <v>45079.69999999999</v>
      </c>
      <c r="G91" s="722">
        <f t="shared" si="50"/>
        <v>9.8387915716163191E-2</v>
      </c>
      <c r="H91" s="572" t="s">
        <v>103</v>
      </c>
      <c r="I91" s="722" t="str">
        <f t="shared" ref="I91:I127" si="51">H91&amp; " [" &amp;TEXT(G91, "0%;[Red]-0%") &amp;"]"</f>
        <v>Town of Altavista [10%]</v>
      </c>
      <c r="R91" s="719">
        <f t="shared" si="48"/>
        <v>-6.7678170340393735E-3</v>
      </c>
      <c r="S91" s="719">
        <f t="shared" si="48"/>
        <v>1.7242757205622166E-3</v>
      </c>
    </row>
    <row r="92" spans="1:25" ht="15">
      <c r="B92" s="572" t="s">
        <v>128</v>
      </c>
      <c r="D92" s="720">
        <v>53872.552240582278</v>
      </c>
      <c r="F92" s="721">
        <f t="shared" si="49"/>
        <v>60191.551372275688</v>
      </c>
      <c r="G92" s="722">
        <f t="shared" si="50"/>
        <v>0.11729533628691344</v>
      </c>
      <c r="H92" s="572" t="s">
        <v>128</v>
      </c>
      <c r="I92" s="722" t="str">
        <f t="shared" si="51"/>
        <v>Lake Area [12%]</v>
      </c>
      <c r="R92" s="719">
        <f t="shared" si="48"/>
        <v>-3.4657528675566082E-2</v>
      </c>
      <c r="S92" s="719">
        <f t="shared" si="48"/>
        <v>-5.1999699522077031E-2</v>
      </c>
    </row>
    <row r="93" spans="1:25" ht="15">
      <c r="B93" s="572" t="s">
        <v>94</v>
      </c>
      <c r="D93" s="720">
        <v>54768.189319748861</v>
      </c>
      <c r="F93" s="721">
        <f t="shared" si="49"/>
        <v>53338.662688261938</v>
      </c>
      <c r="G93" s="722">
        <f t="shared" si="50"/>
        <v>-2.6101403921554318E-2</v>
      </c>
      <c r="H93" s="572" t="s">
        <v>402</v>
      </c>
      <c r="I93" s="722" t="str">
        <f t="shared" si="51"/>
        <v>Greensville Co. [-3%]</v>
      </c>
      <c r="R93" s="719">
        <f t="shared" si="48"/>
        <v>-3.3084885499574022E-3</v>
      </c>
      <c r="S93" s="719">
        <f t="shared" si="48"/>
        <v>0.22088146142748308</v>
      </c>
    </row>
    <row r="94" spans="1:25" ht="15">
      <c r="B94" s="572" t="s">
        <v>84</v>
      </c>
      <c r="D94" s="720">
        <v>121343.8</v>
      </c>
      <c r="F94" s="721">
        <f t="shared" si="49"/>
        <v>122089.58518981929</v>
      </c>
      <c r="G94" s="722">
        <f t="shared" si="50"/>
        <v>6.1460510534472245E-3</v>
      </c>
      <c r="H94" s="572" t="s">
        <v>84</v>
      </c>
      <c r="I94" s="722" t="str">
        <f t="shared" si="51"/>
        <v>City of Bristol Virginia [1%]</v>
      </c>
      <c r="R94" s="719">
        <f t="shared" si="48"/>
        <v>-5.0583374984488519E-2</v>
      </c>
      <c r="S94" s="719">
        <f t="shared" si="48"/>
        <v>1.4980432971628188E-2</v>
      </c>
    </row>
    <row r="95" spans="1:25" ht="15">
      <c r="B95" s="572" t="s">
        <v>87</v>
      </c>
      <c r="D95" s="720">
        <v>125488.87472202133</v>
      </c>
      <c r="F95" s="721">
        <f t="shared" si="49"/>
        <v>137128.4843166603</v>
      </c>
      <c r="G95" s="722">
        <f t="shared" si="50"/>
        <v>9.2754115617202204E-2</v>
      </c>
      <c r="H95" s="572" t="s">
        <v>399</v>
      </c>
      <c r="I95" s="722" t="str">
        <f t="shared" si="51"/>
        <v>Bluefield-Graham  [9%]</v>
      </c>
      <c r="R95" s="719">
        <f t="shared" si="48"/>
        <v>-5.7171452287971006E-2</v>
      </c>
      <c r="S95" s="719">
        <f t="shared" si="48"/>
        <v>-2.4035494160634514E-2</v>
      </c>
    </row>
    <row r="96" spans="1:25" ht="15">
      <c r="B96" s="572" t="s">
        <v>126</v>
      </c>
      <c r="D96" s="720">
        <v>189467.63333333333</v>
      </c>
      <c r="F96" s="721">
        <f t="shared" si="49"/>
        <v>189467.80000000002</v>
      </c>
      <c r="G96" s="722">
        <f t="shared" si="50"/>
        <v>8.796577217642761E-7</v>
      </c>
      <c r="H96" s="572" t="s">
        <v>126</v>
      </c>
      <c r="I96" s="722" t="str">
        <f t="shared" si="51"/>
        <v>Blackstone Area Bus [0%]</v>
      </c>
      <c r="R96" s="719">
        <f t="shared" si="48"/>
        <v>0.12263560861031481</v>
      </c>
      <c r="S96" s="719">
        <f t="shared" si="48"/>
        <v>-5.4867056591257804E-2</v>
      </c>
    </row>
    <row r="97" spans="2:19" ht="15">
      <c r="B97" s="572" t="s">
        <v>101</v>
      </c>
      <c r="D97" s="720">
        <v>196263.86435138655</v>
      </c>
      <c r="F97" s="721">
        <f t="shared" si="49"/>
        <v>200739.19999999998</v>
      </c>
      <c r="G97" s="722">
        <f t="shared" si="50"/>
        <v>2.2802647157710527E-2</v>
      </c>
      <c r="H97" s="572" t="s">
        <v>101</v>
      </c>
      <c r="I97" s="722" t="str">
        <f t="shared" si="51"/>
        <v>Farmville Area Bus [2%]</v>
      </c>
      <c r="R97" s="719">
        <f t="shared" si="48"/>
        <v>-6.2233693405070886E-2</v>
      </c>
      <c r="S97" s="719">
        <f t="shared" si="48"/>
        <v>-1.7261846525680698E-2</v>
      </c>
    </row>
    <row r="98" spans="2:19" ht="15">
      <c r="B98" s="572" t="s">
        <v>119</v>
      </c>
      <c r="D98" s="720">
        <v>199411.47824592108</v>
      </c>
      <c r="F98" s="721">
        <f t="shared" si="49"/>
        <v>224856.74740307106</v>
      </c>
      <c r="G98" s="722">
        <f t="shared" si="50"/>
        <v>0.12760182804407075</v>
      </c>
      <c r="H98" s="572" t="s">
        <v>119</v>
      </c>
      <c r="I98" s="722" t="str">
        <f t="shared" si="51"/>
        <v>Pulaski Area Transit [13%]</v>
      </c>
      <c r="R98" s="719">
        <f t="shared" si="48"/>
        <v>3.8156211906236887E-2</v>
      </c>
      <c r="S98" s="719">
        <f t="shared" si="48"/>
        <v>8.095385901128388E-2</v>
      </c>
    </row>
    <row r="99" spans="2:19" ht="15">
      <c r="B99" s="572" t="s">
        <v>129</v>
      </c>
      <c r="D99" s="720">
        <v>324336.18210457283</v>
      </c>
      <c r="F99" s="721">
        <f t="shared" si="49"/>
        <v>329195.08014242235</v>
      </c>
      <c r="G99" s="722">
        <f t="shared" si="50"/>
        <v>1.4981054553706581E-2</v>
      </c>
      <c r="H99" s="572" t="s">
        <v>129</v>
      </c>
      <c r="I99" s="722" t="str">
        <f t="shared" si="51"/>
        <v>RADAR [1%]</v>
      </c>
      <c r="R99" s="719">
        <f t="shared" si="48"/>
        <v>-0.33871245851243797</v>
      </c>
      <c r="S99" s="719">
        <f t="shared" si="48"/>
        <v>0.93699909155430194</v>
      </c>
    </row>
    <row r="100" spans="2:19" ht="15">
      <c r="B100" s="572" t="s">
        <v>96</v>
      </c>
      <c r="D100" s="720">
        <v>371186.63436863339</v>
      </c>
      <c r="F100" s="721">
        <f t="shared" si="49"/>
        <v>379553.60000000003</v>
      </c>
      <c r="G100" s="722">
        <f t="shared" si="50"/>
        <v>2.2541128523117123E-2</v>
      </c>
      <c r="H100" s="572" t="s">
        <v>96</v>
      </c>
      <c r="I100" s="722" t="str">
        <f t="shared" si="51"/>
        <v>STAR Transit [2%]</v>
      </c>
      <c r="R100" s="719">
        <f t="shared" si="48"/>
        <v>5.9803458710842201E-2</v>
      </c>
      <c r="S100" s="719">
        <f t="shared" si="48"/>
        <v>-1.779835700472536E-2</v>
      </c>
    </row>
    <row r="101" spans="2:19" ht="15">
      <c r="B101" s="572" t="s">
        <v>93</v>
      </c>
      <c r="D101" s="720">
        <v>430650.67377976741</v>
      </c>
      <c r="F101" s="721">
        <f t="shared" si="49"/>
        <v>468026.6646545371</v>
      </c>
      <c r="G101" s="722">
        <f t="shared" si="50"/>
        <v>8.6789579467565367E-2</v>
      </c>
      <c r="H101" s="572" t="s">
        <v>93</v>
      </c>
      <c r="I101" s="722" t="str">
        <f t="shared" si="51"/>
        <v>City of Suffolk [9%]</v>
      </c>
      <c r="R101" s="719">
        <f t="shared" si="48"/>
        <v>-0.15887763958322582</v>
      </c>
      <c r="S101" s="719">
        <f t="shared" si="48"/>
        <v>4.0492283739752978E-2</v>
      </c>
    </row>
    <row r="102" spans="2:19" ht="15">
      <c r="B102" s="572" t="s">
        <v>123</v>
      </c>
      <c r="D102" s="720">
        <v>487667.35765267425</v>
      </c>
      <c r="F102" s="721">
        <f t="shared" si="49"/>
        <v>490195.54091893788</v>
      </c>
      <c r="G102" s="722">
        <f t="shared" si="50"/>
        <v>5.1842372194700979E-3</v>
      </c>
      <c r="H102" s="572" t="s">
        <v>123</v>
      </c>
      <c r="I102" s="722" t="str">
        <f t="shared" si="51"/>
        <v>City of Winchester [1%]</v>
      </c>
      <c r="R102" s="719">
        <f t="shared" si="48"/>
        <v>0.1601516861720034</v>
      </c>
      <c r="S102" s="719">
        <f t="shared" si="48"/>
        <v>-6.6454444852198881E-3</v>
      </c>
    </row>
    <row r="103" spans="2:19" ht="15">
      <c r="B103" s="572" t="s">
        <v>117</v>
      </c>
      <c r="D103" s="720">
        <v>501123.76901444077</v>
      </c>
      <c r="F103" s="721">
        <f t="shared" si="49"/>
        <v>556824.27751083614</v>
      </c>
      <c r="G103" s="722">
        <f t="shared" si="50"/>
        <v>0.11115120044283962</v>
      </c>
      <c r="H103" s="572" t="s">
        <v>117</v>
      </c>
      <c r="I103" s="722" t="str">
        <f t="shared" si="51"/>
        <v>City of Radford [11%]</v>
      </c>
      <c r="R103" s="719">
        <f t="shared" si="48"/>
        <v>-7.3766008574780939E-2</v>
      </c>
      <c r="S103" s="719">
        <f t="shared" si="48"/>
        <v>-6.4413432552897235E-2</v>
      </c>
    </row>
    <row r="104" spans="2:19" ht="15">
      <c r="B104" s="572" t="s">
        <v>83</v>
      </c>
      <c r="D104" s="720">
        <v>625122.73690211866</v>
      </c>
      <c r="F104" s="721">
        <f t="shared" si="49"/>
        <v>653355.37711795652</v>
      </c>
      <c r="G104" s="722">
        <f t="shared" si="50"/>
        <v>4.5163355208848392E-2</v>
      </c>
      <c r="H104" s="572" t="s">
        <v>396</v>
      </c>
      <c r="I104" s="722" t="str">
        <f t="shared" si="51"/>
        <v>AASC/ 4 County [5%]</v>
      </c>
      <c r="R104" s="719">
        <f t="shared" ref="R104:S109" si="52">(R58-Q58)/Q58</f>
        <v>0.64370896546607803</v>
      </c>
      <c r="S104" s="719">
        <f t="shared" si="52"/>
        <v>-6.5111057201369726E-2</v>
      </c>
    </row>
    <row r="105" spans="2:19" ht="15">
      <c r="B105" s="572" t="s">
        <v>86</v>
      </c>
      <c r="D105" s="720">
        <v>642599.53505679057</v>
      </c>
      <c r="F105" s="721">
        <f t="shared" si="49"/>
        <v>647500</v>
      </c>
      <c r="G105" s="722">
        <f t="shared" si="50"/>
        <v>7.6260013832352763E-3</v>
      </c>
      <c r="H105" s="572" t="s">
        <v>398</v>
      </c>
      <c r="I105" s="722" t="str">
        <f t="shared" si="51"/>
        <v>MEOC [1%]</v>
      </c>
      <c r="R105" s="719">
        <f t="shared" si="52"/>
        <v>5.9942611366074726E-2</v>
      </c>
      <c r="S105" s="719">
        <f t="shared" si="52"/>
        <v>0.26563096571913974</v>
      </c>
    </row>
    <row r="106" spans="2:19" ht="15">
      <c r="B106" s="572" t="s">
        <v>121</v>
      </c>
      <c r="D106" s="720">
        <v>657710.18017678906</v>
      </c>
      <c r="F106" s="721">
        <f t="shared" si="49"/>
        <v>745223.11356687185</v>
      </c>
      <c r="G106" s="722">
        <f t="shared" si="50"/>
        <v>0.13305698471408756</v>
      </c>
      <c r="H106" s="572" t="s">
        <v>416</v>
      </c>
      <c r="I106" s="722" t="str">
        <f t="shared" si="51"/>
        <v>CSPDC [13%]</v>
      </c>
      <c r="R106" s="719">
        <f t="shared" si="52"/>
        <v>-0.1686143184971772</v>
      </c>
      <c r="S106" s="719">
        <f t="shared" si="52"/>
        <v>1.4481200071005486E-2</v>
      </c>
    </row>
    <row r="107" spans="2:19" ht="15">
      <c r="B107" s="572" t="s">
        <v>85</v>
      </c>
      <c r="D107" s="720">
        <v>742893.1932213885</v>
      </c>
      <c r="F107" s="721">
        <f t="shared" si="49"/>
        <v>742471.56661249639</v>
      </c>
      <c r="G107" s="723">
        <f t="shared" si="50"/>
        <v>-5.6754673853427382E-4</v>
      </c>
      <c r="H107" s="572" t="s">
        <v>397</v>
      </c>
      <c r="I107" s="722" t="str">
        <f t="shared" si="51"/>
        <v>District Three [-0%]</v>
      </c>
      <c r="R107" s="719">
        <f t="shared" si="52"/>
        <v>0.17451400245937479</v>
      </c>
      <c r="S107" s="719">
        <f t="shared" si="52"/>
        <v>3.5355130197668158E-2</v>
      </c>
    </row>
    <row r="108" spans="2:19" ht="15">
      <c r="B108" s="724" t="s">
        <v>100</v>
      </c>
      <c r="C108" s="724"/>
      <c r="D108" s="725">
        <v>832018.76885929203</v>
      </c>
      <c r="E108" s="724"/>
      <c r="F108" s="726">
        <f t="shared" si="49"/>
        <v>860800.16932349291</v>
      </c>
      <c r="G108" s="727">
        <f t="shared" si="50"/>
        <v>3.4592249047050383E-2</v>
      </c>
      <c r="H108" s="572" t="s">
        <v>406</v>
      </c>
      <c r="I108" s="722" t="str">
        <f t="shared" si="51"/>
        <v>DTS [3%]</v>
      </c>
      <c r="R108" s="719">
        <f t="shared" si="52"/>
        <v>-1.6960387141453762E-2</v>
      </c>
      <c r="S108" s="719">
        <f t="shared" si="52"/>
        <v>2.3511516283259662E-2</v>
      </c>
    </row>
    <row r="109" spans="2:19" ht="15">
      <c r="B109" s="572" t="s">
        <v>91</v>
      </c>
      <c r="D109" s="720">
        <v>1071485.0448851464</v>
      </c>
      <c r="F109" s="721">
        <f t="shared" si="49"/>
        <v>991727.64516962832</v>
      </c>
      <c r="G109" s="723">
        <f t="shared" si="50"/>
        <v>-7.4436316303478967E-2</v>
      </c>
      <c r="H109" s="572" t="s">
        <v>401</v>
      </c>
      <c r="I109" s="722" t="str">
        <f t="shared" si="51"/>
        <v>FXBGO! [-7%]</v>
      </c>
      <c r="R109" s="719">
        <f t="shared" si="52"/>
        <v>9.3237617928307211E-3</v>
      </c>
      <c r="S109" s="719">
        <f t="shared" si="52"/>
        <v>-9.7349428189622167E-2</v>
      </c>
    </row>
    <row r="110" spans="2:19" ht="15">
      <c r="B110" s="572" t="s">
        <v>130</v>
      </c>
      <c r="D110" s="683">
        <v>1082498.9905717103</v>
      </c>
      <c r="F110" s="728">
        <f t="shared" si="49"/>
        <v>1112984.4399062658</v>
      </c>
      <c r="G110" s="722">
        <f t="shared" si="50"/>
        <v>2.816210416829578E-2</v>
      </c>
      <c r="H110" s="572" t="s">
        <v>130</v>
      </c>
      <c r="I110" s="722" t="str">
        <f t="shared" si="51"/>
        <v>VRT [3%]</v>
      </c>
      <c r="R110" s="719"/>
      <c r="S110" s="719"/>
    </row>
    <row r="111" spans="2:19" ht="15">
      <c r="B111" s="572" t="s">
        <v>125</v>
      </c>
      <c r="D111" s="683">
        <v>1190937.3236635181</v>
      </c>
      <c r="F111" s="728">
        <f t="shared" si="49"/>
        <v>1186282.0634601032</v>
      </c>
      <c r="G111" s="722">
        <f t="shared" si="50"/>
        <v>-3.9089044493915825E-3</v>
      </c>
      <c r="H111" s="572" t="s">
        <v>125</v>
      </c>
      <c r="I111" s="722" t="str">
        <f t="shared" si="51"/>
        <v>Bay Aging [-0%]</v>
      </c>
      <c r="R111" s="719">
        <f t="shared" ref="R111:S126" si="53">(R65-Q65)/Q65</f>
        <v>6.1739520128557277E-3</v>
      </c>
      <c r="S111" s="719">
        <f t="shared" si="53"/>
        <v>4.0930275687926336E-3</v>
      </c>
    </row>
    <row r="112" spans="2:19" ht="15">
      <c r="B112" s="572" t="s">
        <v>113</v>
      </c>
      <c r="D112" s="683">
        <v>1198958.8926709832</v>
      </c>
      <c r="F112" s="728">
        <f t="shared" si="49"/>
        <v>1180832.1770593463</v>
      </c>
      <c r="G112" s="722">
        <f t="shared" si="50"/>
        <v>-1.5118713178943977E-2</v>
      </c>
      <c r="H112" s="572" t="s">
        <v>413</v>
      </c>
      <c r="I112" s="722" t="str">
        <f t="shared" si="51"/>
        <v>PAT (Petersburg) [-2%]</v>
      </c>
      <c r="R112" s="719">
        <f t="shared" si="53"/>
        <v>3.5267681193381292E-2</v>
      </c>
      <c r="S112" s="719">
        <f t="shared" si="53"/>
        <v>-0.1707125651344866</v>
      </c>
    </row>
    <row r="113" spans="2:19" ht="15">
      <c r="B113" s="572" t="s">
        <v>127</v>
      </c>
      <c r="D113" s="683">
        <v>1563531.1897689884</v>
      </c>
      <c r="F113" s="728">
        <f t="shared" si="49"/>
        <v>1400498.5549354877</v>
      </c>
      <c r="G113" s="722">
        <f t="shared" si="50"/>
        <v>-0.10427207074621184</v>
      </c>
      <c r="H113" s="572" t="s">
        <v>127</v>
      </c>
      <c r="I113" s="722" t="str">
        <f t="shared" si="51"/>
        <v>JAUNT [-10%]</v>
      </c>
      <c r="R113" s="719">
        <f t="shared" si="53"/>
        <v>0.17878915741585449</v>
      </c>
      <c r="S113" s="719">
        <f t="shared" si="53"/>
        <v>5.5527139393655859E-4</v>
      </c>
    </row>
    <row r="114" spans="2:19" ht="15">
      <c r="B114" s="572" t="s">
        <v>108</v>
      </c>
      <c r="D114" s="683">
        <v>1591498.2</v>
      </c>
      <c r="F114" s="728">
        <f t="shared" si="49"/>
        <v>1620218.1616704559</v>
      </c>
      <c r="G114" s="722">
        <f t="shared" si="50"/>
        <v>1.8045865003464025E-2</v>
      </c>
      <c r="H114" s="572" t="s">
        <v>411</v>
      </c>
      <c r="I114" s="722" t="str">
        <f t="shared" si="51"/>
        <v>City of Fairfax - CUE [2%]</v>
      </c>
      <c r="R114" s="719">
        <f t="shared" si="53"/>
        <v>0.2018927170388026</v>
      </c>
      <c r="S114" s="719">
        <f t="shared" si="53"/>
        <v>6.5575917057907662E-2</v>
      </c>
    </row>
    <row r="115" spans="2:19" ht="15">
      <c r="B115" s="572" t="s">
        <v>102</v>
      </c>
      <c r="D115" s="683">
        <v>1703062.0409783174</v>
      </c>
      <c r="F115" s="728">
        <f t="shared" si="49"/>
        <v>1921935.2357437129</v>
      </c>
      <c r="G115" s="722">
        <f t="shared" si="50"/>
        <v>0.1285174523880907</v>
      </c>
      <c r="H115" s="572" t="s">
        <v>407</v>
      </c>
      <c r="I115" s="722" t="str">
        <f t="shared" si="51"/>
        <v>GLTC (Lynchburg) [13%]</v>
      </c>
      <c r="R115" s="719">
        <f t="shared" si="53"/>
        <v>0.11488295911688109</v>
      </c>
      <c r="S115" s="719">
        <f t="shared" si="53"/>
        <v>-5.6098858057155997E-2</v>
      </c>
    </row>
    <row r="116" spans="2:19" ht="15">
      <c r="B116" s="572" t="s">
        <v>122</v>
      </c>
      <c r="D116" s="683">
        <v>1997492.8666666665</v>
      </c>
      <c r="F116" s="728">
        <f t="shared" si="49"/>
        <v>1997493</v>
      </c>
      <c r="G116" s="722">
        <f t="shared" si="50"/>
        <v>6.6750342772247821E-8</v>
      </c>
      <c r="H116" s="572" t="s">
        <v>267</v>
      </c>
      <c r="I116" s="722" t="str">
        <f t="shared" si="51"/>
        <v>HDPT (Harrisonburg) [0%]</v>
      </c>
      <c r="R116" s="719">
        <f t="shared" si="53"/>
        <v>0.17502355837125427</v>
      </c>
      <c r="S116" s="719">
        <f t="shared" si="53"/>
        <v>-4.5454826224092068E-2</v>
      </c>
    </row>
    <row r="117" spans="2:19" ht="15">
      <c r="B117" s="572" t="s">
        <v>98</v>
      </c>
      <c r="D117" s="683">
        <v>2281227.164313735</v>
      </c>
      <c r="F117" s="728">
        <f t="shared" si="49"/>
        <v>2314483.5</v>
      </c>
      <c r="G117" s="722">
        <f t="shared" si="50"/>
        <v>1.4578265683711327E-2</v>
      </c>
      <c r="H117" s="572" t="s">
        <v>405</v>
      </c>
      <c r="I117" s="722" t="str">
        <f t="shared" si="51"/>
        <v>WATA [1%]</v>
      </c>
      <c r="R117" s="719">
        <f t="shared" si="53"/>
        <v>-6.5475503152594719E-2</v>
      </c>
      <c r="S117" s="719">
        <f t="shared" si="53"/>
        <v>-1.6939372460781893E-2</v>
      </c>
    </row>
    <row r="118" spans="2:19" ht="15">
      <c r="B118" s="572" t="s">
        <v>89</v>
      </c>
      <c r="D118" s="683">
        <v>2971811.8341092449</v>
      </c>
      <c r="F118" s="728">
        <f t="shared" si="49"/>
        <v>2955605.5237816013</v>
      </c>
      <c r="G118" s="722">
        <f t="shared" si="50"/>
        <v>-5.4533433582954699E-3</v>
      </c>
      <c r="H118" s="572" t="s">
        <v>400</v>
      </c>
      <c r="I118" s="722" t="str">
        <f t="shared" si="51"/>
        <v>CAT [-1%]</v>
      </c>
      <c r="R118" s="719">
        <f t="shared" si="53"/>
        <v>-2.5993386267765487E-2</v>
      </c>
      <c r="S118" s="719">
        <f t="shared" si="53"/>
        <v>-5.9040486503583019E-2</v>
      </c>
    </row>
    <row r="119" spans="2:19" ht="15">
      <c r="B119" s="572" t="s">
        <v>118</v>
      </c>
      <c r="D119" s="683">
        <v>3271539.9085863479</v>
      </c>
      <c r="F119" s="728">
        <f t="shared" si="49"/>
        <v>3502448.2869010433</v>
      </c>
      <c r="G119" s="722">
        <f t="shared" si="50"/>
        <v>7.0580944988218777E-2</v>
      </c>
      <c r="H119" s="572" t="s">
        <v>415</v>
      </c>
      <c r="I119" s="722" t="str">
        <f t="shared" si="51"/>
        <v>GRTC (Valley Metro) [7%]</v>
      </c>
      <c r="R119" s="719">
        <f t="shared" si="53"/>
        <v>0.10367760671199709</v>
      </c>
      <c r="S119" s="719">
        <f t="shared" si="53"/>
        <v>0.13026121740938665</v>
      </c>
    </row>
    <row r="120" spans="2:19" ht="15">
      <c r="B120" s="572" t="s">
        <v>116</v>
      </c>
      <c r="D120" s="683">
        <v>3483121.4</v>
      </c>
      <c r="F120" s="728">
        <f t="shared" si="49"/>
        <v>3483121.2999999993</v>
      </c>
      <c r="G120" s="722">
        <f t="shared" si="50"/>
        <v>-2.8709880901306956E-8</v>
      </c>
      <c r="H120" s="572" t="s">
        <v>116</v>
      </c>
      <c r="I120" s="722" t="str">
        <f t="shared" si="51"/>
        <v>Blacksburg Transit [-0%]</v>
      </c>
      <c r="R120" s="719">
        <f t="shared" si="53"/>
        <v>0.19352171387413394</v>
      </c>
      <c r="S120" s="719">
        <f t="shared" si="53"/>
        <v>4.694922865572447E-2</v>
      </c>
    </row>
    <row r="121" spans="2:19" ht="15">
      <c r="B121" s="572" t="s">
        <v>105</v>
      </c>
      <c r="D121" s="683">
        <v>3666511.5935658314</v>
      </c>
      <c r="F121" s="728">
        <f t="shared" si="49"/>
        <v>3580871.8445331356</v>
      </c>
      <c r="G121" s="722">
        <f t="shared" si="50"/>
        <v>-2.3357283032455285E-2</v>
      </c>
      <c r="H121" s="572" t="s">
        <v>408</v>
      </c>
      <c r="I121" s="722" t="str">
        <f t="shared" si="51"/>
        <v>Loudoun Co. [-2%]</v>
      </c>
      <c r="R121" s="719">
        <f t="shared" si="53"/>
        <v>-8.1383094228105968E-2</v>
      </c>
      <c r="S121" s="719">
        <f t="shared" si="53"/>
        <v>-3.9202438319626047E-2</v>
      </c>
    </row>
    <row r="122" spans="2:19" ht="15">
      <c r="B122" s="572" t="s">
        <v>106</v>
      </c>
      <c r="D122" s="683">
        <v>6007985.0073328475</v>
      </c>
      <c r="F122" s="728">
        <f t="shared" si="49"/>
        <v>6308168.3715907866</v>
      </c>
      <c r="G122" s="722">
        <f t="shared" si="50"/>
        <v>4.9964066803023024E-2</v>
      </c>
      <c r="H122" s="572" t="s">
        <v>409</v>
      </c>
      <c r="I122" s="722" t="str">
        <f t="shared" si="51"/>
        <v>Arlington Co. - ART [5%]</v>
      </c>
      <c r="R122" s="719">
        <f t="shared" si="53"/>
        <v>0.24952518482475003</v>
      </c>
      <c r="S122" s="719">
        <f t="shared" si="53"/>
        <v>-0.1557825066228955</v>
      </c>
    </row>
    <row r="123" spans="2:19" ht="15">
      <c r="B123" s="572" t="s">
        <v>111</v>
      </c>
      <c r="D123" s="683">
        <v>8187109.5606905362</v>
      </c>
      <c r="F123" s="728">
        <f t="shared" si="49"/>
        <v>7438451.1906009652</v>
      </c>
      <c r="G123" s="722">
        <f t="shared" si="50"/>
        <v>-9.1443550930864287E-2</v>
      </c>
      <c r="H123" s="572" t="s">
        <v>111</v>
      </c>
      <c r="I123" s="722" t="str">
        <f t="shared" si="51"/>
        <v>PRTC [-9%]</v>
      </c>
      <c r="R123" s="719">
        <f t="shared" si="53"/>
        <v>4.8961221618592107E-2</v>
      </c>
      <c r="S123" s="719">
        <f t="shared" si="53"/>
        <v>-0.46833836120048933</v>
      </c>
    </row>
    <row r="124" spans="2:19" ht="15">
      <c r="B124" s="572" t="s">
        <v>107</v>
      </c>
      <c r="D124" s="683">
        <v>9299604.085831793</v>
      </c>
      <c r="F124" s="728">
        <f t="shared" si="49"/>
        <v>9245879.2878358979</v>
      </c>
      <c r="G124" s="722">
        <f t="shared" si="50"/>
        <v>-5.7771059391384608E-3</v>
      </c>
      <c r="H124" s="572" t="s">
        <v>410</v>
      </c>
      <c r="I124" s="722" t="str">
        <f t="shared" si="51"/>
        <v>Alexandria - DASH [-1%]</v>
      </c>
      <c r="R124" s="719">
        <f t="shared" si="53"/>
        <v>5.303993580643173E-2</v>
      </c>
      <c r="S124" s="719">
        <f t="shared" si="53"/>
        <v>0.57853328325267928</v>
      </c>
    </row>
    <row r="125" spans="2:19" ht="15">
      <c r="B125" s="572" t="s">
        <v>114</v>
      </c>
      <c r="D125" s="683">
        <v>18853131.91607457</v>
      </c>
      <c r="F125" s="728">
        <f t="shared" si="49"/>
        <v>19601161.631661668</v>
      </c>
      <c r="G125" s="722">
        <f t="shared" si="50"/>
        <v>3.9676681779822087E-2</v>
      </c>
      <c r="H125" s="572" t="s">
        <v>414</v>
      </c>
      <c r="I125" s="722" t="str">
        <f t="shared" si="51"/>
        <v>GRTC (Richmond) [4%]</v>
      </c>
      <c r="R125" s="719">
        <f t="shared" si="53"/>
        <v>-6.3419213004955038E-2</v>
      </c>
      <c r="S125" s="719">
        <f t="shared" si="53"/>
        <v>-8.116299260001944E-2</v>
      </c>
    </row>
    <row r="126" spans="2:19" ht="15">
      <c r="B126" s="572" t="s">
        <v>95</v>
      </c>
      <c r="D126" s="683">
        <v>25537379.304951597</v>
      </c>
      <c r="F126" s="728">
        <f t="shared" si="49"/>
        <v>26045101.785768759</v>
      </c>
      <c r="G126" s="722">
        <f t="shared" si="50"/>
        <v>1.9881542062490182E-2</v>
      </c>
      <c r="H126" s="572" t="s">
        <v>403</v>
      </c>
      <c r="I126" s="722" t="str">
        <f t="shared" si="51"/>
        <v>HRT [2%]</v>
      </c>
      <c r="R126" s="719">
        <f t="shared" si="53"/>
        <v>-3.5968432548312619E-2</v>
      </c>
      <c r="S126" s="719">
        <f t="shared" si="53"/>
        <v>-6.649187552503788E-2</v>
      </c>
    </row>
    <row r="127" spans="2:19" ht="12" customHeight="1">
      <c r="B127" s="572" t="s">
        <v>109</v>
      </c>
      <c r="D127" s="683">
        <v>25729693.491986766</v>
      </c>
      <c r="F127" s="728">
        <f t="shared" si="49"/>
        <v>24112895.982328665</v>
      </c>
      <c r="G127" s="722">
        <f t="shared" si="50"/>
        <v>-6.283780683829894E-2</v>
      </c>
      <c r="H127" s="572" t="s">
        <v>412</v>
      </c>
      <c r="I127" s="722" t="str">
        <f t="shared" si="51"/>
        <v>Fairfax Connector [-6%]</v>
      </c>
      <c r="R127" s="719">
        <f t="shared" ref="R127:S127" si="54">(R81-Q81)/Q81</f>
        <v>-3.4457034886753314E-2</v>
      </c>
      <c r="S127" s="719">
        <f t="shared" si="54"/>
        <v>-1.5304869442719958E-2</v>
      </c>
    </row>
    <row r="128" spans="2:19" s="604" customFormat="1">
      <c r="B128" s="604" t="s">
        <v>270</v>
      </c>
      <c r="D128" s="603">
        <f>MEDIAN(D90:D127)</f>
        <v>951751.90687221917</v>
      </c>
    </row>
  </sheetData>
  <conditionalFormatting sqref="C28:C37">
    <cfRule type="cellIs" dxfId="790" priority="79" operator="lessThan">
      <formula>-200000</formula>
    </cfRule>
    <cfRule type="cellIs" dxfId="789" priority="80" operator="greaterThan">
      <formula>200000</formula>
    </cfRule>
  </conditionalFormatting>
  <conditionalFormatting sqref="E8:E24">
    <cfRule type="cellIs" dxfId="788" priority="81" operator="equal">
      <formula>"S5"</formula>
    </cfRule>
    <cfRule type="cellIs" dxfId="787" priority="92" operator="equal">
      <formula>"S1"</formula>
    </cfRule>
    <cfRule type="cellIs" dxfId="786" priority="91" operator="equal">
      <formula>"S2"</formula>
    </cfRule>
    <cfRule type="cellIs" dxfId="785" priority="90" operator="equal">
      <formula>"S3"</formula>
    </cfRule>
    <cfRule type="cellIs" dxfId="784" priority="89" operator="equal">
      <formula>"S4"</formula>
    </cfRule>
    <cfRule type="cellIs" dxfId="783" priority="82" operator="equal">
      <formula>"S6"</formula>
    </cfRule>
  </conditionalFormatting>
  <conditionalFormatting sqref="E28:E37">
    <cfRule type="cellIs" dxfId="782" priority="71" operator="equal">
      <formula>"S5"</formula>
    </cfRule>
    <cfRule type="cellIs" dxfId="781" priority="74" operator="equal">
      <formula>"S3"</formula>
    </cfRule>
    <cfRule type="cellIs" dxfId="780" priority="75" operator="equal">
      <formula>"S2"</formula>
    </cfRule>
    <cfRule type="cellIs" dxfId="779" priority="76" operator="equal">
      <formula>"S1"</formula>
    </cfRule>
    <cfRule type="cellIs" dxfId="778" priority="73" operator="equal">
      <formula>"S4"</formula>
    </cfRule>
    <cfRule type="cellIs" dxfId="777" priority="72" operator="equal">
      <formula>"S6"</formula>
    </cfRule>
  </conditionalFormatting>
  <conditionalFormatting sqref="E42:E80">
    <cfRule type="cellIs" dxfId="776" priority="69" operator="equal">
      <formula>"S2"</formula>
    </cfRule>
    <cfRule type="cellIs" dxfId="775" priority="68" operator="equal">
      <formula>"S3"</formula>
    </cfRule>
    <cfRule type="cellIs" dxfId="774" priority="67" operator="equal">
      <formula>"S4"</formula>
    </cfRule>
    <cfRule type="cellIs" dxfId="773" priority="66" operator="equal">
      <formula>"S6"</formula>
    </cfRule>
    <cfRule type="cellIs" dxfId="772" priority="65" operator="equal">
      <formula>"S5"</formula>
    </cfRule>
    <cfRule type="cellIs" dxfId="771" priority="70" operator="equal">
      <formula>"S1"</formula>
    </cfRule>
  </conditionalFormatting>
  <conditionalFormatting sqref="F3:F7">
    <cfRule type="cellIs" dxfId="770" priority="86" operator="equal">
      <formula>"S3"</formula>
    </cfRule>
    <cfRule type="cellIs" dxfId="769" priority="85" operator="equal">
      <formula>"S4"</formula>
    </cfRule>
    <cfRule type="expression" dxfId="768" priority="84">
      <formula>#REF!=Y3</formula>
    </cfRule>
    <cfRule type="cellIs" dxfId="767" priority="88" operator="equal">
      <formula>"S1"</formula>
    </cfRule>
    <cfRule type="cellIs" dxfId="766" priority="87" operator="equal">
      <formula>"S2"</formula>
    </cfRule>
  </conditionalFormatting>
  <conditionalFormatting sqref="F8:F24">
    <cfRule type="cellIs" dxfId="765" priority="83" operator="notEqual">
      <formula>$D8</formula>
    </cfRule>
  </conditionalFormatting>
  <conditionalFormatting sqref="G28:G37">
    <cfRule type="cellIs" dxfId="764" priority="78" operator="greaterThan">
      <formula>200000</formula>
    </cfRule>
    <cfRule type="cellIs" dxfId="763" priority="77" operator="lessThan">
      <formula>-200000</formula>
    </cfRule>
  </conditionalFormatting>
  <conditionalFormatting sqref="G42:G80">
    <cfRule type="cellIs" dxfId="762" priority="63" operator="lessThan">
      <formula>-200000</formula>
    </cfRule>
    <cfRule type="cellIs" dxfId="761" priority="64" operator="greaterThan">
      <formula>200000</formula>
    </cfRule>
  </conditionalFormatting>
  <conditionalFormatting sqref="G83:G84">
    <cfRule type="cellIs" dxfId="760" priority="62" operator="greaterThan">
      <formula>200000</formula>
    </cfRule>
    <cfRule type="cellIs" dxfId="759" priority="61" operator="lessThan">
      <formula>-200000</formula>
    </cfRule>
  </conditionalFormatting>
  <conditionalFormatting sqref="T42">
    <cfRule type="cellIs" dxfId="758" priority="11" operator="lessThan">
      <formula>-200000</formula>
    </cfRule>
    <cfRule type="cellIs" dxfId="757" priority="12" operator="greaterThan">
      <formula>200000</formula>
    </cfRule>
  </conditionalFormatting>
  <conditionalFormatting sqref="T45:T46">
    <cfRule type="cellIs" dxfId="756" priority="18" operator="greaterThan">
      <formula>200000</formula>
    </cfRule>
    <cfRule type="cellIs" dxfId="755" priority="17" operator="lessThan">
      <formula>-200000</formula>
    </cfRule>
  </conditionalFormatting>
  <conditionalFormatting sqref="T50">
    <cfRule type="cellIs" dxfId="754" priority="23" operator="lessThan">
      <formula>-200000</formula>
    </cfRule>
    <cfRule type="cellIs" dxfId="753" priority="24" operator="greaterThan">
      <formula>200000</formula>
    </cfRule>
  </conditionalFormatting>
  <conditionalFormatting sqref="T52:T53">
    <cfRule type="cellIs" dxfId="752" priority="29" operator="lessThan">
      <formula>-200000</formula>
    </cfRule>
    <cfRule type="cellIs" dxfId="751" priority="30" operator="greaterThan">
      <formula>200000</formula>
    </cfRule>
  </conditionalFormatting>
  <conditionalFormatting sqref="T55:T56">
    <cfRule type="cellIs" dxfId="750" priority="35" operator="lessThan">
      <formula>-200000</formula>
    </cfRule>
    <cfRule type="cellIs" dxfId="749" priority="36" operator="greaterThan">
      <formula>200000</formula>
    </cfRule>
  </conditionalFormatting>
  <conditionalFormatting sqref="T58">
    <cfRule type="cellIs" dxfId="748" priority="41" operator="lessThan">
      <formula>-200000</formula>
    </cfRule>
    <cfRule type="cellIs" dxfId="747" priority="42" operator="greaterThan">
      <formula>200000</formula>
    </cfRule>
  </conditionalFormatting>
  <conditionalFormatting sqref="T75:T76">
    <cfRule type="cellIs" dxfId="746" priority="53" operator="lessThan">
      <formula>-200000</formula>
    </cfRule>
    <cfRule type="cellIs" dxfId="745" priority="54" operator="greaterThan">
      <formula>200000</formula>
    </cfRule>
  </conditionalFormatting>
  <conditionalFormatting sqref="T78:T80">
    <cfRule type="cellIs" dxfId="744" priority="47" operator="lessThan">
      <formula>-200000</formula>
    </cfRule>
    <cfRule type="cellIs" dxfId="743" priority="48" operator="greaterThan">
      <formula>200000</formula>
    </cfRule>
  </conditionalFormatting>
  <conditionalFormatting sqref="T83:T84">
    <cfRule type="cellIs" dxfId="742" priority="59" operator="lessThan">
      <formula>-200000</formula>
    </cfRule>
    <cfRule type="cellIs" dxfId="741" priority="60" operator="greaterThan">
      <formula>200000</formula>
    </cfRule>
  </conditionalFormatting>
  <conditionalFormatting sqref="V42">
    <cfRule type="cellIs" dxfId="740" priority="9" operator="lessThan">
      <formula>-200000</formula>
    </cfRule>
    <cfRule type="cellIs" dxfId="739" priority="10" operator="greaterThan">
      <formula>200000</formula>
    </cfRule>
  </conditionalFormatting>
  <conditionalFormatting sqref="V45:V46">
    <cfRule type="cellIs" dxfId="738" priority="15" operator="lessThan">
      <formula>-200000</formula>
    </cfRule>
    <cfRule type="cellIs" dxfId="737" priority="16" operator="greaterThan">
      <formula>200000</formula>
    </cfRule>
  </conditionalFormatting>
  <conditionalFormatting sqref="V50">
    <cfRule type="cellIs" dxfId="736" priority="21" operator="lessThan">
      <formula>-200000</formula>
    </cfRule>
    <cfRule type="cellIs" dxfId="735" priority="22" operator="greaterThan">
      <formula>200000</formula>
    </cfRule>
  </conditionalFormatting>
  <conditionalFormatting sqref="V52:V53">
    <cfRule type="cellIs" dxfId="734" priority="28" operator="greaterThan">
      <formula>200000</formula>
    </cfRule>
    <cfRule type="cellIs" dxfId="733" priority="27" operator="lessThan">
      <formula>-200000</formula>
    </cfRule>
  </conditionalFormatting>
  <conditionalFormatting sqref="V55:V56">
    <cfRule type="cellIs" dxfId="732" priority="34" operator="greaterThan">
      <formula>200000</formula>
    </cfRule>
    <cfRule type="cellIs" dxfId="731" priority="33" operator="lessThan">
      <formula>-200000</formula>
    </cfRule>
  </conditionalFormatting>
  <conditionalFormatting sqref="V58">
    <cfRule type="cellIs" dxfId="730" priority="40" operator="greaterThan">
      <formula>200000</formula>
    </cfRule>
    <cfRule type="cellIs" dxfId="729" priority="39" operator="lessThan">
      <formula>-200000</formula>
    </cfRule>
  </conditionalFormatting>
  <conditionalFormatting sqref="V75:V76">
    <cfRule type="cellIs" dxfId="728" priority="51" operator="lessThan">
      <formula>-200000</formula>
    </cfRule>
    <cfRule type="cellIs" dxfId="727" priority="52" operator="greaterThan">
      <formula>200000</formula>
    </cfRule>
  </conditionalFormatting>
  <conditionalFormatting sqref="V78:V80">
    <cfRule type="cellIs" dxfId="726" priority="46" operator="greaterThan">
      <formula>200000</formula>
    </cfRule>
    <cfRule type="cellIs" dxfId="725" priority="45" operator="lessThan">
      <formula>-200000</formula>
    </cfRule>
  </conditionalFormatting>
  <conditionalFormatting sqref="V83:V84">
    <cfRule type="cellIs" dxfId="724" priority="57" operator="lessThan">
      <formula>-200000</formula>
    </cfRule>
    <cfRule type="cellIs" dxfId="723" priority="58" operator="greaterThan">
      <formula>200000</formula>
    </cfRule>
  </conditionalFormatting>
  <conditionalFormatting sqref="X42">
    <cfRule type="cellIs" dxfId="722" priority="7" operator="lessThan">
      <formula>-200000</formula>
    </cfRule>
    <cfRule type="cellIs" dxfId="721" priority="8" operator="greaterThan">
      <formula>200000</formula>
    </cfRule>
  </conditionalFormatting>
  <conditionalFormatting sqref="X45:X46">
    <cfRule type="cellIs" dxfId="720" priority="14" operator="greaterThan">
      <formula>200000</formula>
    </cfRule>
    <cfRule type="cellIs" dxfId="719" priority="13" operator="lessThan">
      <formula>-200000</formula>
    </cfRule>
  </conditionalFormatting>
  <conditionalFormatting sqref="X50">
    <cfRule type="cellIs" dxfId="718" priority="20" operator="greaterThan">
      <formula>200000</formula>
    </cfRule>
    <cfRule type="cellIs" dxfId="717" priority="19" operator="lessThan">
      <formula>-200000</formula>
    </cfRule>
  </conditionalFormatting>
  <conditionalFormatting sqref="X52:X53">
    <cfRule type="cellIs" dxfId="716" priority="26" operator="greaterThan">
      <formula>200000</formula>
    </cfRule>
    <cfRule type="cellIs" dxfId="715" priority="25" operator="lessThan">
      <formula>-200000</formula>
    </cfRule>
  </conditionalFormatting>
  <conditionalFormatting sqref="X55:X56">
    <cfRule type="cellIs" dxfId="714" priority="32" operator="greaterThan">
      <formula>200000</formula>
    </cfRule>
    <cfRule type="cellIs" dxfId="713" priority="31" operator="lessThan">
      <formula>-200000</formula>
    </cfRule>
  </conditionalFormatting>
  <conditionalFormatting sqref="X58">
    <cfRule type="cellIs" dxfId="712" priority="37" operator="lessThan">
      <formula>-200000</formula>
    </cfRule>
    <cfRule type="cellIs" dxfId="711" priority="38" operator="greaterThan">
      <formula>200000</formula>
    </cfRule>
  </conditionalFormatting>
  <conditionalFormatting sqref="X75:X76">
    <cfRule type="cellIs" dxfId="710" priority="49" operator="lessThan">
      <formula>-200000</formula>
    </cfRule>
    <cfRule type="cellIs" dxfId="709" priority="50" operator="greaterThan">
      <formula>200000</formula>
    </cfRule>
  </conditionalFormatting>
  <conditionalFormatting sqref="X78:X80">
    <cfRule type="cellIs" dxfId="708" priority="44" operator="greaterThan">
      <formula>200000</formula>
    </cfRule>
    <cfRule type="cellIs" dxfId="707" priority="43" operator="lessThan">
      <formula>-200000</formula>
    </cfRule>
  </conditionalFormatting>
  <conditionalFormatting sqref="X83:X84">
    <cfRule type="cellIs" dxfId="706" priority="56" operator="greaterThan">
      <formula>200000</formula>
    </cfRule>
    <cfRule type="cellIs" dxfId="705" priority="55" operator="lessThan">
      <formula>-200000</formula>
    </cfRule>
  </conditionalFormatting>
  <conditionalFormatting sqref="Z66">
    <cfRule type="cellIs" dxfId="704" priority="5" operator="lessThan">
      <formula>-200000</formula>
    </cfRule>
    <cfRule type="cellIs" dxfId="703" priority="6" operator="greaterThan">
      <formula>200000</formula>
    </cfRule>
  </conditionalFormatting>
  <conditionalFormatting sqref="AB66">
    <cfRule type="cellIs" dxfId="702" priority="3" operator="lessThan">
      <formula>-200000</formula>
    </cfRule>
    <cfRule type="cellIs" dxfId="701" priority="4" operator="greaterThan">
      <formula>200000</formula>
    </cfRule>
  </conditionalFormatting>
  <conditionalFormatting sqref="AD66">
    <cfRule type="cellIs" dxfId="700" priority="1" operator="lessThan">
      <formula>-200000</formula>
    </cfRule>
    <cfRule type="cellIs" dxfId="699" priority="2" operator="greaterThan">
      <formula>200000</formula>
    </cfRule>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A6119-B2F6-4E78-B3EE-EFE466B90AD6}">
  <sheetPr>
    <tabColor theme="7" tint="0.59999389629810485"/>
    <pageSetUpPr fitToPage="1"/>
  </sheetPr>
  <dimension ref="A1:CS55"/>
  <sheetViews>
    <sheetView zoomScale="80" zoomScaleNormal="80" workbookViewId="0">
      <pane xSplit="2" topLeftCell="C1" activePane="topRight" state="frozen"/>
      <selection pane="topRight" activeCell="A2" sqref="A2"/>
    </sheetView>
  </sheetViews>
  <sheetFormatPr defaultColWidth="9.28515625" defaultRowHeight="14.25"/>
  <cols>
    <col min="1" max="1" width="13.28515625" style="10" customWidth="1"/>
    <col min="2" max="2" width="40.140625" style="1" customWidth="1"/>
    <col min="3" max="3" width="21.28515625" style="1" customWidth="1"/>
    <col min="4" max="4" width="17.42578125" style="1" customWidth="1"/>
    <col min="5" max="5" width="14.28515625" style="1" customWidth="1"/>
    <col min="6" max="6" width="13.5703125" style="1" customWidth="1"/>
    <col min="7" max="7" width="9.28515625" style="1" customWidth="1"/>
    <col min="8" max="8" width="17.42578125" style="4" customWidth="1"/>
    <col min="9" max="9" width="9.28515625" style="1" customWidth="1"/>
    <col min="10" max="10" width="8.7109375" style="1" customWidth="1"/>
    <col min="11" max="11" width="11.5703125" style="1" customWidth="1"/>
    <col min="12" max="13" width="8.7109375" style="1" customWidth="1"/>
    <col min="14" max="16" width="15.7109375" style="1" customWidth="1"/>
    <col min="17" max="20" width="8.7109375" style="1" customWidth="1"/>
    <col min="21" max="22" width="15.7109375" style="1" customWidth="1"/>
    <col min="23" max="23" width="15.7109375" style="5" customWidth="1"/>
    <col min="24" max="27" width="10.7109375" style="1" customWidth="1"/>
    <col min="28" max="29" width="15.7109375" style="1" customWidth="1"/>
    <col min="30" max="30" width="15.7109375" style="5" customWidth="1"/>
    <col min="31" max="34" width="8.7109375" style="1" customWidth="1"/>
    <col min="35" max="36" width="15.7109375" style="1" customWidth="1"/>
    <col min="37" max="37" width="15.7109375" style="5" customWidth="1"/>
    <col min="38" max="40" width="8.7109375" style="1" customWidth="1"/>
    <col min="41" max="41" width="9.28515625" style="1" customWidth="1"/>
    <col min="42" max="43" width="15.7109375" style="1" customWidth="1"/>
    <col min="44" max="44" width="15.7109375" style="5" customWidth="1"/>
    <col min="45" max="45" width="9.28515625" style="1" customWidth="1"/>
    <col min="46" max="50" width="17.7109375" style="1" customWidth="1"/>
    <col min="51" max="51" width="9.28515625" style="1" customWidth="1"/>
    <col min="52" max="52" width="20.28515625" style="1" customWidth="1"/>
    <col min="53" max="57" width="17.7109375" style="1" customWidth="1"/>
    <col min="58" max="58" width="9.28515625" style="1" customWidth="1"/>
    <col min="59" max="59" width="16.5703125" style="6" customWidth="1"/>
    <col min="60" max="60" width="18.5703125" style="1" customWidth="1"/>
    <col min="61" max="61" width="23.5703125" style="1" customWidth="1"/>
    <col min="62" max="62" width="15" style="1" customWidth="1"/>
    <col min="63" max="66" width="9.28515625" style="1" customWidth="1"/>
    <col min="67" max="77" width="21.7109375" style="1" customWidth="1"/>
    <col min="78" max="78" width="22.7109375" style="1" customWidth="1"/>
    <col min="79" max="79" width="22.7109375" style="8" customWidth="1"/>
    <col min="80" max="80" width="10" style="1" customWidth="1"/>
    <col min="81" max="81" width="23.7109375" style="1" customWidth="1"/>
    <col min="82" max="82" width="12.42578125" style="1" customWidth="1"/>
    <col min="83" max="83" width="14.85546875" style="1" customWidth="1"/>
    <col min="84" max="84" width="15.140625" style="1" customWidth="1"/>
    <col min="85" max="86" width="18.28515625" style="1" customWidth="1"/>
    <col min="87" max="87" width="9.28515625" style="1" customWidth="1"/>
    <col min="88" max="89" width="21.7109375" style="1" customWidth="1"/>
    <col min="90" max="90" width="18.42578125" style="1" customWidth="1"/>
    <col min="91" max="91" width="18.42578125" style="8" customWidth="1"/>
    <col min="92" max="92" width="9.28515625" style="1" customWidth="1"/>
    <col min="93" max="93" width="9.28515625" style="9" customWidth="1"/>
    <col min="94" max="16384" width="9.28515625" style="1"/>
  </cols>
  <sheetData>
    <row r="1" spans="1:97" ht="20.25">
      <c r="A1" s="370" t="s">
        <v>439</v>
      </c>
    </row>
    <row r="2" spans="1:97" ht="17.25">
      <c r="A2" s="1149" t="str" cm="1">
        <f t="array" aca="1" ref="A2" ca="1">"Scenario "&amp;MID(CELL("filename",A1),FIND("]",CELL("filename",A1))+1,500)</f>
        <v>Scenario S6C-24</v>
      </c>
      <c r="B2" s="11"/>
    </row>
    <row r="3" spans="1:97" ht="15" customHeight="1">
      <c r="A3" s="11"/>
      <c r="B3" s="11"/>
      <c r="C3" s="2" t="s">
        <v>0</v>
      </c>
      <c r="F3" s="3"/>
      <c r="BO3" s="7" t="s">
        <v>1</v>
      </c>
      <c r="BP3" s="7"/>
      <c r="BQ3" s="7"/>
      <c r="BR3" s="7"/>
      <c r="BS3" s="7"/>
      <c r="BT3" s="7"/>
      <c r="BU3" s="7"/>
      <c r="BV3" s="7"/>
      <c r="BW3" s="7"/>
      <c r="BX3" s="7"/>
      <c r="CJ3" s="1166" t="s">
        <v>2</v>
      </c>
      <c r="CK3" s="1166"/>
      <c r="CL3" s="1166"/>
      <c r="CM3" s="1166"/>
    </row>
    <row r="4" spans="1:97" ht="15" customHeight="1">
      <c r="A4" s="11"/>
      <c r="B4" s="11"/>
      <c r="C4" s="12">
        <v>5.592864339467718E-2</v>
      </c>
      <c r="D4" s="13"/>
      <c r="E4" s="10"/>
      <c r="F4" s="14"/>
      <c r="H4" s="15"/>
      <c r="L4" s="16"/>
      <c r="N4" s="17"/>
      <c r="O4" s="17"/>
      <c r="R4" s="16"/>
      <c r="Y4" s="16"/>
      <c r="AF4" s="16"/>
      <c r="AM4" s="16"/>
    </row>
    <row r="5" spans="1:97" ht="15" customHeight="1">
      <c r="A5" s="11"/>
      <c r="B5" s="11"/>
      <c r="C5" s="18" t="s">
        <v>3</v>
      </c>
      <c r="D5" s="19"/>
      <c r="E5" s="20"/>
      <c r="F5" s="21"/>
      <c r="H5" s="15"/>
      <c r="L5" s="16"/>
      <c r="N5" s="17"/>
      <c r="O5" s="17"/>
      <c r="R5" s="16"/>
      <c r="Y5" s="16"/>
      <c r="AF5" s="16"/>
      <c r="AM5" s="16"/>
      <c r="AT5" s="22" t="s">
        <v>4</v>
      </c>
      <c r="AU5" s="23"/>
      <c r="AV5" s="23"/>
      <c r="AW5" s="23"/>
      <c r="AX5" s="24"/>
      <c r="AZ5" s="25" t="s">
        <v>5</v>
      </c>
      <c r="BI5" s="25" t="s">
        <v>6</v>
      </c>
      <c r="BO5" s="25" t="s">
        <v>7</v>
      </c>
      <c r="BP5" s="7"/>
      <c r="BQ5" s="7"/>
      <c r="BR5" s="7"/>
      <c r="BS5" s="7"/>
      <c r="BT5" s="7"/>
      <c r="BU5" s="7"/>
      <c r="BV5" s="7"/>
      <c r="BW5" s="7"/>
      <c r="BX5" s="7"/>
      <c r="CK5" s="25" t="s">
        <v>7</v>
      </c>
    </row>
    <row r="6" spans="1:97">
      <c r="B6" s="26"/>
      <c r="C6" s="27">
        <v>0.35</v>
      </c>
      <c r="D6" s="27">
        <v>0.35</v>
      </c>
      <c r="E6" s="27">
        <v>0.15</v>
      </c>
      <c r="F6" s="27">
        <v>0.15</v>
      </c>
      <c r="H6" s="15"/>
      <c r="L6" s="16"/>
      <c r="N6" s="17"/>
      <c r="O6" s="17"/>
      <c r="R6" s="16"/>
      <c r="Y6" s="16"/>
      <c r="AF6" s="16"/>
      <c r="AM6" s="16"/>
      <c r="AT6" s="28">
        <v>0</v>
      </c>
      <c r="AU6" s="28">
        <v>0</v>
      </c>
      <c r="AV6" s="28">
        <v>0</v>
      </c>
      <c r="AW6" s="28">
        <v>0</v>
      </c>
      <c r="AX6" s="28">
        <v>0</v>
      </c>
      <c r="AY6" s="29"/>
      <c r="AZ6" s="30">
        <f>133266168*(1-AY8)</f>
        <v>126602859.59999999</v>
      </c>
      <c r="BA6" s="1" t="s">
        <v>8</v>
      </c>
      <c r="BI6" s="28">
        <v>0.3</v>
      </c>
      <c r="BO6" s="31">
        <f>$BJ$51+AZ8</f>
        <v>12638027.108992519</v>
      </c>
      <c r="BP6" s="32"/>
      <c r="BQ6" s="32"/>
      <c r="BR6" s="32"/>
      <c r="BS6" s="32"/>
      <c r="BT6" s="32"/>
      <c r="BU6" s="33">
        <v>0.3</v>
      </c>
      <c r="BV6" s="32"/>
      <c r="BW6" s="32"/>
      <c r="BX6" s="32"/>
      <c r="CK6" s="31">
        <f>CH51</f>
        <v>1684221397146292.5</v>
      </c>
    </row>
    <row r="7" spans="1:97" ht="15" customHeight="1" thickBot="1">
      <c r="A7" s="34" t="s">
        <v>9</v>
      </c>
      <c r="G7" s="35"/>
      <c r="BO7" s="16">
        <v>0.25</v>
      </c>
      <c r="BP7" s="16">
        <v>0.25</v>
      </c>
      <c r="BQ7" s="16">
        <v>0.5</v>
      </c>
    </row>
    <row r="8" spans="1:97" s="29" customFormat="1">
      <c r="A8" s="36"/>
      <c r="B8" s="37"/>
      <c r="C8" s="38" t="s">
        <v>10</v>
      </c>
      <c r="D8" s="39"/>
      <c r="E8" s="39"/>
      <c r="F8" s="39"/>
      <c r="G8" s="40"/>
      <c r="H8" s="41"/>
      <c r="J8" s="42" t="s">
        <v>11</v>
      </c>
      <c r="K8" s="43"/>
      <c r="L8" s="43"/>
      <c r="M8" s="43"/>
      <c r="N8" s="43"/>
      <c r="O8" s="43"/>
      <c r="P8" s="44"/>
      <c r="Q8" s="42" t="s">
        <v>12</v>
      </c>
      <c r="R8" s="43"/>
      <c r="S8" s="43"/>
      <c r="T8" s="43"/>
      <c r="U8" s="43"/>
      <c r="V8" s="43"/>
      <c r="W8" s="44"/>
      <c r="X8" s="42" t="s">
        <v>13</v>
      </c>
      <c r="Y8" s="43"/>
      <c r="Z8" s="43"/>
      <c r="AA8" s="43"/>
      <c r="AB8" s="43"/>
      <c r="AC8" s="43"/>
      <c r="AD8" s="44"/>
      <c r="AE8" s="42" t="s">
        <v>14</v>
      </c>
      <c r="AF8" s="43"/>
      <c r="AG8" s="43"/>
      <c r="AH8" s="43"/>
      <c r="AI8" s="43"/>
      <c r="AJ8" s="43"/>
      <c r="AK8" s="44"/>
      <c r="AL8" s="42" t="s">
        <v>15</v>
      </c>
      <c r="AM8" s="43"/>
      <c r="AN8" s="43"/>
      <c r="AO8" s="43"/>
      <c r="AP8" s="43"/>
      <c r="AQ8" s="43"/>
      <c r="AR8" s="44"/>
      <c r="AX8" s="45" t="s">
        <v>16</v>
      </c>
      <c r="AY8" s="16">
        <v>0.05</v>
      </c>
      <c r="AZ8" s="46">
        <f>133266168*AY8</f>
        <v>6663308.4000000004</v>
      </c>
      <c r="BA8" s="46"/>
      <c r="BB8" s="46"/>
      <c r="BC8" s="46"/>
      <c r="BD8" s="46"/>
      <c r="BG8" s="47"/>
      <c r="BO8" s="48" t="s">
        <v>17</v>
      </c>
      <c r="BP8" s="48"/>
      <c r="BQ8" s="48"/>
      <c r="BR8" s="48"/>
      <c r="BS8" s="48"/>
      <c r="BT8" s="48"/>
      <c r="BU8" s="48"/>
      <c r="BV8" s="48"/>
      <c r="BW8" s="48"/>
      <c r="BX8" s="48"/>
      <c r="BY8" s="48"/>
      <c r="BZ8" s="48"/>
      <c r="CA8" s="49" t="s">
        <v>18</v>
      </c>
      <c r="CB8" s="50">
        <f>AZ6-CA51</f>
        <v>-1684221437920833.5</v>
      </c>
      <c r="CJ8" s="48" t="s">
        <v>17</v>
      </c>
      <c r="CK8" s="48"/>
      <c r="CL8" s="48"/>
      <c r="CM8" s="49" t="s">
        <v>18</v>
      </c>
      <c r="CO8" s="51"/>
    </row>
    <row r="9" spans="1:97" s="29" customFormat="1" ht="15" thickBot="1">
      <c r="A9" s="52"/>
      <c r="B9" s="53" t="s">
        <v>19</v>
      </c>
      <c r="C9" s="54">
        <f>C$6</f>
        <v>0.35</v>
      </c>
      <c r="D9" s="54">
        <f>D$6</f>
        <v>0.35</v>
      </c>
      <c r="E9" s="54">
        <f>E$6</f>
        <v>0.15</v>
      </c>
      <c r="F9" s="54">
        <f>F$6</f>
        <v>0.15</v>
      </c>
      <c r="G9" s="54"/>
      <c r="H9" s="55"/>
      <c r="J9" s="56" t="s">
        <v>20</v>
      </c>
      <c r="K9" s="57"/>
      <c r="L9" s="57"/>
      <c r="M9" s="57"/>
      <c r="N9" s="57"/>
      <c r="O9" s="57"/>
      <c r="P9" s="58"/>
      <c r="Q9" s="56" t="s">
        <v>21</v>
      </c>
      <c r="R9" s="57"/>
      <c r="S9" s="57"/>
      <c r="T9" s="57"/>
      <c r="U9" s="57"/>
      <c r="V9" s="57"/>
      <c r="W9" s="58"/>
      <c r="X9" s="56" t="s">
        <v>22</v>
      </c>
      <c r="Y9" s="57"/>
      <c r="Z9" s="57"/>
      <c r="AA9" s="57"/>
      <c r="AB9" s="57"/>
      <c r="AC9" s="57"/>
      <c r="AD9" s="58"/>
      <c r="AE9" s="56" t="s">
        <v>23</v>
      </c>
      <c r="AF9" s="57"/>
      <c r="AG9" s="57"/>
      <c r="AH9" s="57"/>
      <c r="AI9" s="57"/>
      <c r="AJ9" s="57"/>
      <c r="AK9" s="58"/>
      <c r="AL9" s="56" t="s">
        <v>24</v>
      </c>
      <c r="AM9" s="57"/>
      <c r="AN9" s="57"/>
      <c r="AO9" s="57"/>
      <c r="AP9" s="57"/>
      <c r="AQ9" s="57"/>
      <c r="AR9" s="58"/>
      <c r="BG9" s="59" t="s">
        <v>25</v>
      </c>
      <c r="BO9" s="59" t="s">
        <v>26</v>
      </c>
      <c r="BP9" s="59"/>
      <c r="BQ9" s="59"/>
      <c r="BR9" s="59"/>
      <c r="BS9" s="59"/>
      <c r="BT9" s="59"/>
      <c r="BU9" s="59"/>
      <c r="BV9" s="59"/>
      <c r="BW9" s="59"/>
      <c r="BX9" s="59"/>
      <c r="CA9" s="60"/>
      <c r="CE9" s="59" t="s">
        <v>27</v>
      </c>
      <c r="CJ9" s="59" t="s">
        <v>28</v>
      </c>
      <c r="CM9" s="60"/>
      <c r="CO9" s="51"/>
    </row>
    <row r="10" spans="1:97" s="45" customFormat="1" ht="101.25" customHeight="1">
      <c r="A10" s="61" t="s">
        <v>29</v>
      </c>
      <c r="B10" s="62" t="s">
        <v>30</v>
      </c>
      <c r="C10" s="63" t="s">
        <v>31</v>
      </c>
      <c r="D10" s="64" t="s">
        <v>32</v>
      </c>
      <c r="E10" s="64" t="s">
        <v>33</v>
      </c>
      <c r="F10" s="64" t="s">
        <v>34</v>
      </c>
      <c r="G10" s="64" t="s">
        <v>35</v>
      </c>
      <c r="H10" s="65" t="s">
        <v>36</v>
      </c>
      <c r="J10" s="66">
        <v>2018</v>
      </c>
      <c r="K10" s="66">
        <v>2019</v>
      </c>
      <c r="L10" s="66">
        <v>2021</v>
      </c>
      <c r="M10" s="66">
        <v>2022</v>
      </c>
      <c r="N10" s="67" t="s">
        <v>37</v>
      </c>
      <c r="O10" s="67" t="s">
        <v>38</v>
      </c>
      <c r="P10" s="68" t="s">
        <v>39</v>
      </c>
      <c r="Q10" s="66">
        <v>2018</v>
      </c>
      <c r="R10" s="66">
        <v>2019</v>
      </c>
      <c r="S10" s="66">
        <v>2021</v>
      </c>
      <c r="T10" s="66">
        <v>2022</v>
      </c>
      <c r="U10" s="67" t="s">
        <v>40</v>
      </c>
      <c r="V10" s="67" t="s">
        <v>41</v>
      </c>
      <c r="W10" s="68" t="s">
        <v>39</v>
      </c>
      <c r="X10" s="66">
        <v>2018</v>
      </c>
      <c r="Y10" s="66">
        <v>2019</v>
      </c>
      <c r="Z10" s="66">
        <v>2021</v>
      </c>
      <c r="AA10" s="66">
        <v>2022</v>
      </c>
      <c r="AB10" s="67" t="s">
        <v>42</v>
      </c>
      <c r="AC10" s="67" t="s">
        <v>43</v>
      </c>
      <c r="AD10" s="68" t="s">
        <v>39</v>
      </c>
      <c r="AE10" s="66">
        <v>2018</v>
      </c>
      <c r="AF10" s="66">
        <v>2019</v>
      </c>
      <c r="AG10" s="66">
        <v>2021</v>
      </c>
      <c r="AH10" s="66">
        <v>2022</v>
      </c>
      <c r="AI10" s="67" t="s">
        <v>44</v>
      </c>
      <c r="AJ10" s="67" t="s">
        <v>45</v>
      </c>
      <c r="AK10" s="68" t="s">
        <v>39</v>
      </c>
      <c r="AL10" s="66">
        <v>2018</v>
      </c>
      <c r="AM10" s="66">
        <v>2019</v>
      </c>
      <c r="AN10" s="66">
        <v>2021</v>
      </c>
      <c r="AO10" s="66">
        <v>2022</v>
      </c>
      <c r="AP10" s="67" t="s">
        <v>46</v>
      </c>
      <c r="AQ10" s="67" t="s">
        <v>47</v>
      </c>
      <c r="AR10" s="68" t="s">
        <v>39</v>
      </c>
      <c r="AT10" s="69" t="s">
        <v>48</v>
      </c>
      <c r="AU10" s="70" t="s">
        <v>49</v>
      </c>
      <c r="AV10" s="70" t="s">
        <v>50</v>
      </c>
      <c r="AW10" s="70" t="s">
        <v>51</v>
      </c>
      <c r="AX10" s="71" t="s">
        <v>52</v>
      </c>
      <c r="AZ10" s="72" t="s">
        <v>53</v>
      </c>
      <c r="BA10" s="73" t="s">
        <v>54</v>
      </c>
      <c r="BB10" s="73" t="s">
        <v>55</v>
      </c>
      <c r="BC10" s="73" t="s">
        <v>56</v>
      </c>
      <c r="BD10" s="73" t="s">
        <v>57</v>
      </c>
      <c r="BE10" s="74" t="s">
        <v>58</v>
      </c>
      <c r="BG10" s="75" t="s">
        <v>59</v>
      </c>
      <c r="BH10" s="76" t="s">
        <v>60</v>
      </c>
      <c r="BI10" s="76" t="s">
        <v>61</v>
      </c>
      <c r="BJ10" s="77" t="s">
        <v>62</v>
      </c>
      <c r="BL10" s="78" t="s">
        <v>63</v>
      </c>
      <c r="BM10" s="78" t="s">
        <v>64</v>
      </c>
      <c r="BN10" s="78" t="s">
        <v>65</v>
      </c>
      <c r="BO10" s="75" t="s">
        <v>66</v>
      </c>
      <c r="BP10" s="79" t="s">
        <v>67</v>
      </c>
      <c r="BQ10" s="79" t="s">
        <v>68</v>
      </c>
      <c r="BR10" s="79" t="s">
        <v>69</v>
      </c>
      <c r="BS10" s="79" t="s">
        <v>70</v>
      </c>
      <c r="BT10" s="79" t="s">
        <v>71</v>
      </c>
      <c r="BU10" s="80" t="s">
        <v>72</v>
      </c>
      <c r="BV10" s="80" t="s">
        <v>73</v>
      </c>
      <c r="BW10" s="79" t="s">
        <v>74</v>
      </c>
      <c r="BX10" s="79" t="s">
        <v>75</v>
      </c>
      <c r="BY10" s="79" t="s">
        <v>76</v>
      </c>
      <c r="BZ10" s="76" t="s">
        <v>77</v>
      </c>
      <c r="CA10" s="81" t="s">
        <v>78</v>
      </c>
      <c r="CC10" s="82" t="s">
        <v>79</v>
      </c>
      <c r="CE10" s="83" t="s">
        <v>59</v>
      </c>
      <c r="CF10" s="84" t="s">
        <v>60</v>
      </c>
      <c r="CG10" s="84" t="s">
        <v>61</v>
      </c>
      <c r="CH10" s="85" t="s">
        <v>62</v>
      </c>
      <c r="CJ10" s="86" t="s">
        <v>66</v>
      </c>
      <c r="CK10" s="87" t="s">
        <v>80</v>
      </c>
      <c r="CL10" s="87" t="s">
        <v>77</v>
      </c>
      <c r="CM10" s="88" t="s">
        <v>78</v>
      </c>
      <c r="CO10" s="51" t="s">
        <v>81</v>
      </c>
    </row>
    <row r="11" spans="1:97">
      <c r="A11" s="89" t="s">
        <v>82</v>
      </c>
      <c r="B11" s="90" t="s">
        <v>83</v>
      </c>
      <c r="C11" s="91">
        <f>'Sizing - Reimb Expen-24'!B4</f>
        <v>2305461</v>
      </c>
      <c r="D11" s="92">
        <f>'Ridership-24'!$E3</f>
        <v>97489</v>
      </c>
      <c r="E11" s="92">
        <f>'Revenue Hours-24'!$F3</f>
        <v>30762</v>
      </c>
      <c r="F11" s="92">
        <f>'Revenue Miles-24'!$F3</f>
        <v>634178</v>
      </c>
      <c r="G11" s="93">
        <f t="shared" ref="G11:G33" si="0">IFERROR($C$9*(C11/C$51),0) + IFERROR($D$9*(D11/D$51),0) + IFERROR($E$9*(E11/E$51),0) + IFERROR($F$9*(F11/F$51),0)</f>
        <v>5.2206751275610704E-3</v>
      </c>
      <c r="H11" s="94">
        <f t="shared" ref="H11:H33" si="1">G11/(SUM($G$11:$G$50)-$G$34)*(1-$G$34)</f>
        <v>4.9286898500722444E-3</v>
      </c>
      <c r="J11" s="95">
        <f>'Ridership-24'!B3/'Revenue Hours-24'!C3</f>
        <v>4.2981751308530205</v>
      </c>
      <c r="K11" s="96">
        <f>'Ridership-24'!C3/'Revenue Hours-24'!D3</f>
        <v>4.5693508022964817</v>
      </c>
      <c r="L11" s="96">
        <f>'Ridership-24'!D3/'Revenue Hours-24'!E3</f>
        <v>3.0233116215289679</v>
      </c>
      <c r="M11" s="96">
        <f>'Ridership-24'!E3/'Revenue Hours-24'!F3</f>
        <v>3.1691372472531043</v>
      </c>
      <c r="N11" s="97">
        <f t="shared" ref="N11:N50" si="2">IF(J11=0,IF(K11=0,1,AVERAGE(1,(L11/K11)/($L$51/$K$51),(M11/L11)/($M$51/$L$51))), AVERAGE((K11/J11)/($K$51/$J$51),(L11/K11)/($L$51/$K$51),(M11/L11)/($M$51/$L$51)))</f>
        <v>1.056331491706916</v>
      </c>
      <c r="O11" s="98">
        <f t="shared" ref="O11:O50" si="3">$H11*N11</f>
        <v>5.2063303014875497E-3</v>
      </c>
      <c r="P11" s="99">
        <f t="shared" ref="P11:P50" si="4">O11/SUM($O$11:$O$50)</f>
        <v>4.9956358730186903E-3</v>
      </c>
      <c r="Q11" s="95">
        <f>'Ridership-24'!B3/'Revenue Miles-24'!C3</f>
        <v>0.20104759295799438</v>
      </c>
      <c r="R11" s="96">
        <f>'Ridership-24'!C3/'Revenue Miles-24'!D3</f>
        <v>0.21529352848722441</v>
      </c>
      <c r="S11" s="96">
        <f>'Ridership-24'!D3/'Revenue Miles-24'!E3</f>
        <v>0.1472857600940598</v>
      </c>
      <c r="T11" s="96">
        <f>'Ridership-24'!E3/'Revenue Miles-24'!F3</f>
        <v>0.15372497942218116</v>
      </c>
      <c r="U11" s="97">
        <f t="shared" ref="U11:U50" si="5">IF(Q11=0,IF(R11=0,1,AVERAGE(1,(S11/R11)/($S$51/$R$51),(T11/S11)/($T$51/$S$51))), AVERAGE((R11/Q11)/($R$51/$Q$51),(S11/R11)/($S$51/$R$51),(T11/S11)/($T$51/$S$51)))</f>
        <v>1.0746120182687253</v>
      </c>
      <c r="V11" s="98">
        <f t="shared" ref="V11:V50" si="6">$H11*U11</f>
        <v>5.2964293472067157E-3</v>
      </c>
      <c r="W11" s="99">
        <f t="shared" ref="W11:W50" si="7">V11/SUM($V$11:$V$50)</f>
        <v>5.0995686203485213E-3</v>
      </c>
      <c r="X11" s="95">
        <f>'Op Cost-24'!B4/'Revenue Hours-24'!C3</f>
        <v>46.229197906351679</v>
      </c>
      <c r="Y11" s="96">
        <f>'Op Cost-24'!C4/'Revenue Hours-24'!D3</f>
        <v>50.181245399676136</v>
      </c>
      <c r="Z11" s="96">
        <f>'Op Cost-24'!D4/'Revenue Hours-24'!E3</f>
        <v>64.628076791223862</v>
      </c>
      <c r="AA11" s="96">
        <f>'Op Cost-24'!E4/'Revenue Hours-24'!F3</f>
        <v>74.945094597230351</v>
      </c>
      <c r="AB11" s="97">
        <f t="shared" ref="AB11:AB50" si="8">IF(X11=0,IF(Y11=0,1,AVERAGE(1,(Z11/Y11)/($Z$51/$Z$51),(AA11/Z11)/($AA$51/$Z$51))), AVERAGE((Y11/X11)/($Y$51/$X$51),(Z11/Y11)/($Z$51/$Y$51),(AA11/Z11)/($AA$51/$Z$51)))</f>
        <v>1.0923828812408631</v>
      </c>
      <c r="AC11" s="98">
        <f t="shared" ref="AC11:AC50" si="9">$H11*(1/AB11)</f>
        <v>4.5118702743433981E-3</v>
      </c>
      <c r="AD11" s="99">
        <f t="shared" ref="AD11:AD50" si="10">AC11/SUM($AC$11:$AC$50)</f>
        <v>4.5370158066320538E-3</v>
      </c>
      <c r="AE11" s="95">
        <f>'Op Cost-24'!B4/'Revenue Miles-24'!C3</f>
        <v>2.1623755851023705</v>
      </c>
      <c r="AF11" s="96">
        <f>'Op Cost-24'!C4/'Revenue Miles-24'!D3</f>
        <v>2.3643834438252824</v>
      </c>
      <c r="AG11" s="96">
        <f>'Op Cost-24'!D4/'Revenue Miles-24'!E3</f>
        <v>3.148466517916789</v>
      </c>
      <c r="AH11" s="96">
        <f>'Op Cost-24'!E4/'Revenue Miles-24'!F3</f>
        <v>3.6353531658304137</v>
      </c>
      <c r="AI11" s="97">
        <f t="shared" ref="AI11:AI50" si="11">IF(AE11=0,IF(AF11=0,1,AVERAGE(1,(AG11/AF11)/($AG$51/$AF$51),(AH11/AG11)/($AH$51/$AG$51))), AVERAGE((AF11/AE11)/($AF$51/$AE$51),(AG11/AF11)/($AG$51/$AF$51),(AH11/AG11)/($AH$51/$AG$51)))</f>
        <v>1.1114980012916114</v>
      </c>
      <c r="AJ11" s="98">
        <f t="shared" ref="AJ11:AJ50" si="12">$H11*(1/AI11)</f>
        <v>4.4342768447130651E-3</v>
      </c>
      <c r="AK11" s="99">
        <f t="shared" ref="AK11:AK50" si="13">AJ11/SUM($AJ$11:$AJ$50)</f>
        <v>4.4392884314067172E-3</v>
      </c>
      <c r="AL11" s="95">
        <f>'Op Cost-24'!B4/'Ridership-24'!B3</f>
        <v>10.755540781600722</v>
      </c>
      <c r="AM11" s="96">
        <f>'Op Cost-24'!C4/'Ridership-24'!C3</f>
        <v>10.982138945089499</v>
      </c>
      <c r="AN11" s="96">
        <f>'Op Cost-24'!D4/'Ridership-24'!D3</f>
        <v>21.37658464678535</v>
      </c>
      <c r="AO11" s="96">
        <f>'Op Cost-24'!E4/'Ridership-24'!E3</f>
        <v>23.64842187323698</v>
      </c>
      <c r="AP11" s="100">
        <f t="shared" ref="AP11:AP50" si="14">IF(AL11=0,IF(AM11=0,1,AVERAGE(1,(AN11/AM11)/($AN$51/$AM$51),(AO11/AN11)/($AO$51/$AN$51))), AVERAGE((AM11/AL11)/($AM$51/$AL$51),(AN11/AM11)/($AN$51/$AM$51),(AO11/AN11)/($AO$51/$AN$51)))</f>
        <v>1.0797154331714658</v>
      </c>
      <c r="AQ11" s="98">
        <f t="shared" ref="AQ11:AQ50" si="15">$H11*(1/AP11)</f>
        <v>4.5648044833397653E-3</v>
      </c>
      <c r="AR11" s="99">
        <f t="shared" ref="AR11:AR50" si="16">AQ11/SUM($AQ$11:$AQ$50)</f>
        <v>4.8324323155224894E-3</v>
      </c>
      <c r="AT11" s="101">
        <f>P11*AT$6</f>
        <v>0</v>
      </c>
      <c r="AU11" s="102">
        <f t="shared" ref="AU11:AU50" si="17">W11*AU$6</f>
        <v>0</v>
      </c>
      <c r="AV11" s="102">
        <f t="shared" ref="AV11:AV50" si="18">AD11*AV$6</f>
        <v>0</v>
      </c>
      <c r="AW11" s="102">
        <f t="shared" ref="AW11:AW50" si="19">AK11*AW$6</f>
        <v>0</v>
      </c>
      <c r="AX11" s="103">
        <f t="shared" ref="AX11:AX50" si="20">AR11*AX$6</f>
        <v>0</v>
      </c>
      <c r="AY11" s="104">
        <f>(SUM(AT11:AX11)-H11)/H11</f>
        <v>-1</v>
      </c>
      <c r="AZ11" s="105">
        <f t="shared" ref="AZ11:BD51" si="21">AT11*$AZ$6</f>
        <v>0</v>
      </c>
      <c r="BA11" s="106">
        <f t="shared" si="21"/>
        <v>0</v>
      </c>
      <c r="BB11" s="106">
        <f t="shared" si="21"/>
        <v>0</v>
      </c>
      <c r="BC11" s="106">
        <f t="shared" si="21"/>
        <v>0</v>
      </c>
      <c r="BD11" s="106">
        <f t="shared" si="21"/>
        <v>0</v>
      </c>
      <c r="BE11" s="107">
        <f>$AZ$6*H11</f>
        <v>623986.22910064133</v>
      </c>
      <c r="BG11" s="108">
        <f>'Op Cost-24'!E4</f>
        <v>2305461</v>
      </c>
      <c r="BH11" s="109">
        <f t="shared" ref="BH11:BH50" si="22">BE11/BG11</f>
        <v>0.27065572963526224</v>
      </c>
      <c r="BI11" s="110">
        <f t="shared" ref="BI11:BI50" si="23">IF(BE11&gt;BG11*$BI$6,BG11*$BI$6,BE11)</f>
        <v>623986.22910064133</v>
      </c>
      <c r="BJ11" s="111">
        <f t="shared" ref="BJ11:BJ50" si="24">BE11-BI11</f>
        <v>0</v>
      </c>
      <c r="BK11" s="1">
        <f>BL11*$BO$7+BM11*$BP$7+BN11*$BQ$7</f>
        <v>0.44857248597549548</v>
      </c>
      <c r="BL11" s="112">
        <f>M11/$M$51</f>
        <v>0.35395106686820826</v>
      </c>
      <c r="BM11" s="112">
        <f>T11/$T$51</f>
        <v>0.24801697306577913</v>
      </c>
      <c r="BN11" s="113">
        <f>(1/AO11)/(1/$AO$51)</f>
        <v>0.59616095198399732</v>
      </c>
      <c r="BO11" s="114">
        <f t="shared" ref="BO11:BO50" si="25">IF(OR(BJ11&gt;0,BH11&gt;=0.294),0,BI11)</f>
        <v>623986.22910064133</v>
      </c>
      <c r="BP11" s="115">
        <f>(BL11*$BO$7+BM11*$BP$7+BN11*$BQ$7)*H11</f>
        <v>2.2108746586490986E-3</v>
      </c>
      <c r="BQ11" s="116">
        <f>IF(BO11=0,0,BP11)</f>
        <v>2.2108746586490986E-3</v>
      </c>
      <c r="BR11" s="117">
        <f>BQ11/$BQ$51</f>
        <v>3.6915557871325271E-3</v>
      </c>
      <c r="BS11" s="118">
        <f>$BO$6*BR11+BI11</f>
        <v>670640.21121278044</v>
      </c>
      <c r="BT11" s="119">
        <f>BG11*$BU$6</f>
        <v>691638.29999999993</v>
      </c>
      <c r="BU11" s="119">
        <f>IF(BS11&lt;=BT11,BS11,BT11)</f>
        <v>670640.21121278044</v>
      </c>
      <c r="BV11" s="119">
        <f>BS11-BU11</f>
        <v>0</v>
      </c>
      <c r="BW11" s="120">
        <f>IF(AND(BV11=0, BJ11=0),BP11,0)</f>
        <v>2.2108746586490986E-3</v>
      </c>
      <c r="BX11" s="121">
        <f>IF($BW$51=0,1,BW11/$BW$51)</f>
        <v>4.9944983669987404E-3</v>
      </c>
      <c r="BY11" s="122">
        <f>$BV$51*BX11+BU11</f>
        <v>682168.81132677174</v>
      </c>
      <c r="BZ11" s="123">
        <f>BY11*$BO$6</f>
        <v>8621267930456.9443</v>
      </c>
      <c r="CA11" s="111">
        <f>ROUND((BZ11+BI11),0)</f>
        <v>8621268554443</v>
      </c>
      <c r="CC11" s="124">
        <f t="shared" ref="CC11:CC50" si="26">IF(CA11&gt;($BI$6*BG11),1,0)</f>
        <v>1</v>
      </c>
      <c r="CD11" s="17"/>
      <c r="CE11" s="108">
        <f>BG11</f>
        <v>2305461</v>
      </c>
      <c r="CF11" s="125">
        <f>CA11/BG11</f>
        <v>3739498.7616112353</v>
      </c>
      <c r="CG11" s="110">
        <f>IF(CA11&gt;BG11*$BI$6,BG11*$BI$6,CA11)</f>
        <v>691638.29999999993</v>
      </c>
      <c r="CH11" s="126">
        <f>CA11-CG11</f>
        <v>8621267862804.7002</v>
      </c>
      <c r="CJ11" s="127">
        <f>IF(OR(CH11&gt;0,CF11&gt;=0.294),0,CG11)</f>
        <v>0</v>
      </c>
      <c r="CK11" s="128" t="e">
        <f>CJ11/$CJ$51</f>
        <v>#DIV/0!</v>
      </c>
      <c r="CL11" s="129" t="e">
        <f>CK11*$CK$6</f>
        <v>#DIV/0!</v>
      </c>
      <c r="CM11" s="130" t="e">
        <f>ROUND((CL11+CG11),0)+2</f>
        <v>#DIV/0!</v>
      </c>
      <c r="CO11" s="131" t="e">
        <f>CM11/CE11</f>
        <v>#DIV/0!</v>
      </c>
      <c r="CP11" s="1">
        <f>IF(BY11&lt;=BG11*$BU$6, 0, 1)</f>
        <v>0</v>
      </c>
      <c r="CQ11" s="132">
        <f>BY11/BG11</f>
        <v>0.29589258344720287</v>
      </c>
      <c r="CS11" s="104">
        <f>BP11/$BP$51</f>
        <v>1.7807514126111025E-3</v>
      </c>
    </row>
    <row r="12" spans="1:97">
      <c r="A12" s="133" t="s">
        <v>82</v>
      </c>
      <c r="B12" s="90" t="s">
        <v>84</v>
      </c>
      <c r="C12" s="91">
        <f>'Sizing - Reimb Expen-24'!B5</f>
        <v>453078</v>
      </c>
      <c r="D12" s="92">
        <f>'Ridership-24'!$E4</f>
        <v>35313</v>
      </c>
      <c r="E12" s="92">
        <f>'Revenue Hours-24'!$F4</f>
        <v>7303</v>
      </c>
      <c r="F12" s="92">
        <f>'Revenue Miles-24'!$F4</f>
        <v>84107</v>
      </c>
      <c r="G12" s="134">
        <f t="shared" si="0"/>
        <v>1.1166701187662106E-3</v>
      </c>
      <c r="H12" s="94">
        <f t="shared" si="1"/>
        <v>1.054216273904243E-3</v>
      </c>
      <c r="J12" s="95">
        <f>'Ridership-24'!B4/'Revenue Hours-24'!C4</f>
        <v>7.2127544097693352</v>
      </c>
      <c r="K12" s="96">
        <f>'Ridership-24'!C4/'Revenue Hours-24'!D4</f>
        <v>7.0756269072575293</v>
      </c>
      <c r="L12" s="96">
        <f>'Ridership-24'!D4/'Revenue Hours-24'!E4</f>
        <v>3.8435006435006436</v>
      </c>
      <c r="M12" s="96">
        <f>'Ridership-24'!E4/'Revenue Hours-24'!F4</f>
        <v>4.8354101054361225</v>
      </c>
      <c r="N12" s="97">
        <f t="shared" si="2"/>
        <v>1.0062847146966858</v>
      </c>
      <c r="O12" s="98">
        <f t="shared" si="3"/>
        <v>1.0608417224143344E-3</v>
      </c>
      <c r="P12" s="99">
        <f t="shared" si="4"/>
        <v>1.0179106313277495E-3</v>
      </c>
      <c r="Q12" s="95">
        <f>'Ridership-24'!B4/'Revenue Miles-24'!C4</f>
        <v>0.593228283189001</v>
      </c>
      <c r="R12" s="96">
        <f>'Ridership-24'!C4/'Revenue Miles-24'!D4</f>
        <v>0.61203433791631279</v>
      </c>
      <c r="S12" s="96">
        <f>'Ridership-24'!D4/'Revenue Miles-24'!E4</f>
        <v>0.31931227680003421</v>
      </c>
      <c r="T12" s="96">
        <f>'Ridership-24'!E4/'Revenue Miles-24'!F4</f>
        <v>0.41985803797543603</v>
      </c>
      <c r="U12" s="97">
        <f t="shared" si="5"/>
        <v>1.029481442041561</v>
      </c>
      <c r="V12" s="98">
        <f t="shared" si="6"/>
        <v>1.0852960898826214E-3</v>
      </c>
      <c r="W12" s="99">
        <f t="shared" si="7"/>
        <v>1.0449571817041658E-3</v>
      </c>
      <c r="X12" s="95">
        <f>'Op Cost-24'!B5/'Revenue Hours-24'!C4</f>
        <v>55.602306648575308</v>
      </c>
      <c r="Y12" s="96">
        <f>'Op Cost-24'!C5/'Revenue Hours-24'!D4</f>
        <v>54.185219583388616</v>
      </c>
      <c r="Z12" s="96">
        <f>'Op Cost-24'!D5/'Revenue Hours-24'!E4</f>
        <v>108.14491634491634</v>
      </c>
      <c r="AA12" s="96">
        <f>'Op Cost-24'!E5/'Revenue Hours-24'!F4</f>
        <v>62.039983568396551</v>
      </c>
      <c r="AB12" s="97">
        <f t="shared" si="8"/>
        <v>1.0544549449941367</v>
      </c>
      <c r="AC12" s="98">
        <f t="shared" si="9"/>
        <v>9.9977365453969677E-4</v>
      </c>
      <c r="AD12" s="99">
        <f t="shared" si="10"/>
        <v>1.0053455879471204E-3</v>
      </c>
      <c r="AE12" s="95">
        <f>'Op Cost-24'!B5/'Revenue Miles-24'!C4</f>
        <v>4.5731296312829208</v>
      </c>
      <c r="AF12" s="96">
        <f>'Op Cost-24'!C5/'Revenue Miles-24'!D4</f>
        <v>4.6869649046296509</v>
      </c>
      <c r="AG12" s="96">
        <f>'Op Cost-24'!D5/'Revenue Miles-24'!E4</f>
        <v>8.9845176742296253</v>
      </c>
      <c r="AH12" s="96">
        <f>'Op Cost-24'!E5/'Revenue Miles-24'!F4</f>
        <v>5.3869237994459436</v>
      </c>
      <c r="AI12" s="97">
        <f t="shared" si="11"/>
        <v>1.0572322657484516</v>
      </c>
      <c r="AJ12" s="98">
        <f t="shared" si="12"/>
        <v>9.9714727601311567E-4</v>
      </c>
      <c r="AK12" s="99">
        <f t="shared" si="13"/>
        <v>9.9827424444451536E-4</v>
      </c>
      <c r="AL12" s="95">
        <f>'Op Cost-24'!B5/'Ridership-24'!B4</f>
        <v>7.7088867150758116</v>
      </c>
      <c r="AM12" s="96">
        <f>'Op Cost-24'!C5/'Ridership-24'!C4</f>
        <v>7.6580097132892044</v>
      </c>
      <c r="AN12" s="96">
        <f>'Op Cost-24'!D5/'Ridership-24'!D4</f>
        <v>28.137088132869007</v>
      </c>
      <c r="AO12" s="96">
        <f>'Op Cost-24'!E5/'Ridership-24'!E4</f>
        <v>12.830345765015716</v>
      </c>
      <c r="AP12" s="100">
        <f t="shared" si="14"/>
        <v>1.0343360813707996</v>
      </c>
      <c r="AQ12" s="98">
        <f t="shared" si="15"/>
        <v>1.0192202446492019E-3</v>
      </c>
      <c r="AR12" s="99">
        <f t="shared" si="16"/>
        <v>1.0789756417506002E-3</v>
      </c>
      <c r="AT12" s="101">
        <f t="shared" ref="AT12:AT50" si="27">P12*AT$6</f>
        <v>0</v>
      </c>
      <c r="AU12" s="102">
        <f t="shared" si="17"/>
        <v>0</v>
      </c>
      <c r="AV12" s="102">
        <f t="shared" si="18"/>
        <v>0</v>
      </c>
      <c r="AW12" s="102">
        <f t="shared" si="19"/>
        <v>0</v>
      </c>
      <c r="AX12" s="103">
        <f t="shared" si="20"/>
        <v>0</v>
      </c>
      <c r="AY12" s="104">
        <f t="shared" ref="AY12:AY50" si="28">(SUM(AT12:AX12)-H12)/H12</f>
        <v>-1</v>
      </c>
      <c r="AZ12" s="105">
        <f t="shared" si="21"/>
        <v>0</v>
      </c>
      <c r="BA12" s="106">
        <f t="shared" si="21"/>
        <v>0</v>
      </c>
      <c r="BB12" s="106">
        <f t="shared" si="21"/>
        <v>0</v>
      </c>
      <c r="BC12" s="106">
        <f t="shared" si="21"/>
        <v>0</v>
      </c>
      <c r="BD12" s="106">
        <f t="shared" si="21"/>
        <v>0</v>
      </c>
      <c r="BE12" s="107">
        <f t="shared" ref="BE12:BE50" si="29">$AZ$6*H12</f>
        <v>133466.79491313401</v>
      </c>
      <c r="BG12" s="108">
        <f>'Op Cost-24'!E5</f>
        <v>453078</v>
      </c>
      <c r="BH12" s="109">
        <f t="shared" si="22"/>
        <v>0.29457796430886957</v>
      </c>
      <c r="BI12" s="110">
        <f t="shared" si="23"/>
        <v>133466.79491313401</v>
      </c>
      <c r="BJ12" s="111">
        <f t="shared" si="24"/>
        <v>0</v>
      </c>
      <c r="BK12" s="1">
        <f t="shared" ref="BK12:BK50" si="30">BL12*$BO$7+BM12*$BP$7+BN12*$BQ$7</f>
        <v>0.85377170706696559</v>
      </c>
      <c r="BL12" s="112">
        <f t="shared" ref="BL12:BL50" si="31">M12/$M$51</f>
        <v>0.54005189174053514</v>
      </c>
      <c r="BM12" s="112">
        <f t="shared" ref="BM12:BM50" si="32">T12/$T$51</f>
        <v>0.6773910140525885</v>
      </c>
      <c r="BN12" s="113">
        <f t="shared" ref="BN12:BN50" si="33">(1/AO12)/(1/$AO$51)</f>
        <v>1.0988219612373693</v>
      </c>
      <c r="BO12" s="114">
        <f t="shared" si="25"/>
        <v>0</v>
      </c>
      <c r="BP12" s="115">
        <f t="shared" ref="BP12:BP50" si="34">(BL12*$BO$7+BM12*$BP$7+BN12*$BQ$7)*H12</f>
        <v>9.000600277890013E-4</v>
      </c>
      <c r="BQ12" s="116">
        <f t="shared" ref="BQ12:BQ50" si="35">IF(BO12=0,0,BP12)</f>
        <v>0</v>
      </c>
      <c r="BR12" s="117">
        <f t="shared" ref="BR12:BR50" si="36">BQ12/$BQ$51</f>
        <v>0</v>
      </c>
      <c r="BS12" s="118">
        <f t="shared" ref="BS12:BS50" si="37">$BO$6*BR12+BI12</f>
        <v>133466.79491313401</v>
      </c>
      <c r="BT12" s="119">
        <f t="shared" ref="BT12:BT50" si="38">BG12*$BU$6</f>
        <v>135923.4</v>
      </c>
      <c r="BU12" s="119">
        <f t="shared" ref="BU12:BU50" si="39">IF(BS12&lt;=BT12,BS12,BT12)</f>
        <v>133466.79491313401</v>
      </c>
      <c r="BV12" s="119">
        <f>BS12-BU12</f>
        <v>0</v>
      </c>
      <c r="BW12" s="120">
        <f t="shared" ref="BW12:BW50" si="40">IF(AND(BV12=0, BJ12=0),BP12,0)</f>
        <v>9.000600277890013E-4</v>
      </c>
      <c r="BX12" s="121">
        <f t="shared" ref="BX12:BX50" si="41">IF($BW$51=0,1,BW12/$BW$51)</f>
        <v>2.0332895496390471E-3</v>
      </c>
      <c r="BY12" s="122">
        <f t="shared" ref="BY12:BY50" si="42">$BV$51*BX12+BU12</f>
        <v>138160.15556945791</v>
      </c>
      <c r="BZ12" s="123">
        <f t="shared" ref="BZ12:BZ16" si="43">BY12*$BO$6</f>
        <v>1746071791469.4329</v>
      </c>
      <c r="CA12" s="135">
        <f>ROUND((BZ12+BI12),0)</f>
        <v>1746071924936</v>
      </c>
      <c r="CC12" s="124">
        <f t="shared" si="26"/>
        <v>1</v>
      </c>
      <c r="CD12" s="17"/>
      <c r="CE12" s="108">
        <f t="shared" ref="CE12:CE50" si="44">BG12</f>
        <v>453078</v>
      </c>
      <c r="CF12" s="125">
        <f t="shared" ref="CF12:CF50" si="45">CA12/BG12</f>
        <v>3853799.8422699845</v>
      </c>
      <c r="CG12" s="110">
        <f t="shared" ref="CG12:CG50" si="46">IF(CA12&gt;BG12*$BI$6,BG12*$BI$6,CA12)</f>
        <v>135923.4</v>
      </c>
      <c r="CH12" s="126">
        <f t="shared" ref="CH12:CH51" si="47">CA12-CG12</f>
        <v>1746071789012.6001</v>
      </c>
      <c r="CJ12" s="127">
        <f t="shared" ref="CJ12:CJ50" si="48">IF(OR(CH12&gt;0,CF12&gt;=0.294),0,CG12)</f>
        <v>0</v>
      </c>
      <c r="CK12" s="128" t="e">
        <f t="shared" ref="CK12:CK51" si="49">CJ12/$CJ$51</f>
        <v>#DIV/0!</v>
      </c>
      <c r="CL12" s="129" t="e">
        <f t="shared" ref="CL12:CL51" si="50">CK12*$CK$6</f>
        <v>#DIV/0!</v>
      </c>
      <c r="CM12" s="130" t="e">
        <f t="shared" ref="CM12:CM50" si="51">ROUND((CL12+CG12),0)</f>
        <v>#DIV/0!</v>
      </c>
      <c r="CO12" s="131" t="e">
        <f t="shared" ref="CO12:CO50" si="52">CM12/CE12</f>
        <v>#DIV/0!</v>
      </c>
      <c r="CP12" s="1">
        <f t="shared" ref="CP12:CP50" si="53">IF(BY12&lt;=BG12*$BU$6, 0, 1)</f>
        <v>1</v>
      </c>
      <c r="CQ12" s="132">
        <f t="shared" ref="CQ12:CQ50" si="54">BY12/BG12</f>
        <v>0.30493680021863323</v>
      </c>
      <c r="CS12" s="104">
        <f t="shared" ref="CS12:CS50" si="55">BP12/$BP$51</f>
        <v>7.2495433409119361E-4</v>
      </c>
    </row>
    <row r="13" spans="1:97">
      <c r="A13" s="133" t="s">
        <v>82</v>
      </c>
      <c r="B13" s="90" t="s">
        <v>85</v>
      </c>
      <c r="C13" s="91">
        <f>'Sizing - Reimb Expen-24'!B6</f>
        <v>2625058</v>
      </c>
      <c r="D13" s="92">
        <f>'Ridership-24'!$E5</f>
        <v>135181</v>
      </c>
      <c r="E13" s="92">
        <f>'Revenue Hours-24'!$F5</f>
        <v>44776</v>
      </c>
      <c r="F13" s="92">
        <f>'Revenue Miles-24'!$F5</f>
        <v>440288</v>
      </c>
      <c r="G13" s="93">
        <f t="shared" si="0"/>
        <v>5.8134443520933086E-3</v>
      </c>
      <c r="H13" s="94">
        <f t="shared" si="1"/>
        <v>5.4883062960302794E-3</v>
      </c>
      <c r="J13" s="95">
        <f>'Ridership-24'!B5/'Revenue Hours-24'!C5</f>
        <v>3.509629413481179</v>
      </c>
      <c r="K13" s="96">
        <f>'Ridership-24'!C5/'Revenue Hours-24'!D5</f>
        <v>3.5903165735567972</v>
      </c>
      <c r="L13" s="96">
        <f>'Ridership-24'!D5/'Revenue Hours-24'!E5</f>
        <v>3.0037184124655352</v>
      </c>
      <c r="M13" s="96">
        <f>'Ridership-24'!E5/'Revenue Hours-24'!F5</f>
        <v>3.0190503841343577</v>
      </c>
      <c r="N13" s="97">
        <f t="shared" si="2"/>
        <v>1.1452766111970489</v>
      </c>
      <c r="O13" s="98">
        <f t="shared" si="3"/>
        <v>6.2856288359289863E-3</v>
      </c>
      <c r="P13" s="99">
        <f t="shared" si="4"/>
        <v>6.0312563896062757E-3</v>
      </c>
      <c r="Q13" s="95">
        <f>'Ridership-24'!B5/'Revenue Miles-24'!C5</f>
        <v>0.34036493443752919</v>
      </c>
      <c r="R13" s="96">
        <f>'Ridership-24'!C5/'Revenue Miles-24'!D5</f>
        <v>0.34236028901498144</v>
      </c>
      <c r="S13" s="96">
        <f>'Ridership-24'!D5/'Revenue Miles-24'!E5</f>
        <v>0.30898734605406614</v>
      </c>
      <c r="T13" s="96">
        <f>'Ridership-24'!E5/'Revenue Miles-24'!F5</f>
        <v>0.30702858129224508</v>
      </c>
      <c r="U13" s="97">
        <f t="shared" si="5"/>
        <v>1.179074556111199</v>
      </c>
      <c r="V13" s="98">
        <f t="shared" si="6"/>
        <v>6.4711223097942009E-3</v>
      </c>
      <c r="W13" s="99">
        <f t="shared" si="7"/>
        <v>6.2305999204667166E-3</v>
      </c>
      <c r="X13" s="95">
        <f>'Op Cost-24'!B6/'Revenue Hours-24'!C5</f>
        <v>41.66076118220851</v>
      </c>
      <c r="Y13" s="96">
        <f>'Op Cost-24'!C6/'Revenue Hours-24'!D5</f>
        <v>45.864958582161435</v>
      </c>
      <c r="Z13" s="96">
        <f>'Op Cost-24'!D6/'Revenue Hours-24'!E5</f>
        <v>61.145979308425872</v>
      </c>
      <c r="AA13" s="96">
        <f>'Op Cost-24'!E6/'Revenue Hours-24'!F5</f>
        <v>58.62645167053779</v>
      </c>
      <c r="AB13" s="97">
        <f t="shared" si="8"/>
        <v>1.0429873193694781</v>
      </c>
      <c r="AC13" s="98">
        <f t="shared" si="9"/>
        <v>5.2621026105553713E-3</v>
      </c>
      <c r="AD13" s="99">
        <f t="shared" si="10"/>
        <v>5.2914293338551001E-3</v>
      </c>
      <c r="AE13" s="95">
        <f>'Op Cost-24'!B6/'Revenue Miles-24'!C5</f>
        <v>4.0402733673054803</v>
      </c>
      <c r="AF13" s="96">
        <f>'Op Cost-24'!C6/'Revenue Miles-24'!D5</f>
        <v>4.3735253296321996</v>
      </c>
      <c r="AG13" s="96">
        <f>'Op Cost-24'!D6/'Revenue Miles-24'!E5</f>
        <v>6.2899817073329398</v>
      </c>
      <c r="AH13" s="96">
        <f>'Op Cost-24'!E6/'Revenue Miles-24'!F5</f>
        <v>5.9621384184897162</v>
      </c>
      <c r="AI13" s="97">
        <f t="shared" si="11"/>
        <v>1.0661071555891768</v>
      </c>
      <c r="AJ13" s="98">
        <f t="shared" si="12"/>
        <v>5.1479874863021675E-3</v>
      </c>
      <c r="AK13" s="99">
        <f t="shared" si="13"/>
        <v>5.1538057034520952E-3</v>
      </c>
      <c r="AL13" s="95">
        <f>'Op Cost-24'!B6/'Ridership-24'!B5</f>
        <v>11.87041601092734</v>
      </c>
      <c r="AM13" s="96">
        <f>'Op Cost-24'!C6/'Ridership-24'!C5</f>
        <v>12.774627986836457</v>
      </c>
      <c r="AN13" s="96">
        <f>'Op Cost-24'!D6/'Ridership-24'!D5</f>
        <v>20.356761490913378</v>
      </c>
      <c r="AO13" s="96">
        <f>'Op Cost-24'!E6/'Ridership-24'!E5</f>
        <v>19.418838446231348</v>
      </c>
      <c r="AP13" s="100">
        <f t="shared" si="14"/>
        <v>0.98287116513299766</v>
      </c>
      <c r="AQ13" s="98">
        <f t="shared" si="15"/>
        <v>5.5839529032145592E-3</v>
      </c>
      <c r="AR13" s="99">
        <f t="shared" si="16"/>
        <v>5.911331921516866E-3</v>
      </c>
      <c r="AT13" s="101">
        <f t="shared" si="27"/>
        <v>0</v>
      </c>
      <c r="AU13" s="102">
        <f t="shared" si="17"/>
        <v>0</v>
      </c>
      <c r="AV13" s="102">
        <f t="shared" si="18"/>
        <v>0</v>
      </c>
      <c r="AW13" s="102">
        <f t="shared" si="19"/>
        <v>0</v>
      </c>
      <c r="AX13" s="103">
        <f t="shared" si="20"/>
        <v>0</v>
      </c>
      <c r="AY13" s="104">
        <f t="shared" si="28"/>
        <v>-1</v>
      </c>
      <c r="AZ13" s="105">
        <f t="shared" si="21"/>
        <v>0</v>
      </c>
      <c r="BA13" s="106">
        <f t="shared" si="21"/>
        <v>0</v>
      </c>
      <c r="BB13" s="106">
        <f t="shared" si="21"/>
        <v>0</v>
      </c>
      <c r="BC13" s="106">
        <f t="shared" si="21"/>
        <v>0</v>
      </c>
      <c r="BD13" s="106">
        <f t="shared" si="21"/>
        <v>0</v>
      </c>
      <c r="BE13" s="107">
        <f t="shared" si="29"/>
        <v>694835.27143811749</v>
      </c>
      <c r="BG13" s="108">
        <f>'Op Cost-24'!E6</f>
        <v>2625058</v>
      </c>
      <c r="BH13" s="109">
        <f t="shared" si="22"/>
        <v>0.2646933025625024</v>
      </c>
      <c r="BI13" s="110">
        <f t="shared" si="23"/>
        <v>694835.27143811749</v>
      </c>
      <c r="BJ13" s="111">
        <f t="shared" si="24"/>
        <v>0</v>
      </c>
      <c r="BK13" s="1">
        <f t="shared" si="30"/>
        <v>0.5711404750769975</v>
      </c>
      <c r="BL13" s="112">
        <f t="shared" si="31"/>
        <v>0.33718833266670639</v>
      </c>
      <c r="BM13" s="112">
        <f t="shared" si="32"/>
        <v>0.49535410356214105</v>
      </c>
      <c r="BN13" s="113">
        <f t="shared" si="33"/>
        <v>0.7260097320395712</v>
      </c>
      <c r="BO13" s="114">
        <f t="shared" si="25"/>
        <v>694835.27143811749</v>
      </c>
      <c r="BP13" s="115">
        <f t="shared" si="34"/>
        <v>3.1345938652828104E-3</v>
      </c>
      <c r="BQ13" s="116">
        <f t="shared" si="35"/>
        <v>3.1345938652828104E-3</v>
      </c>
      <c r="BR13" s="117">
        <f t="shared" si="36"/>
        <v>5.2339141336783775E-3</v>
      </c>
      <c r="BS13" s="118">
        <f t="shared" si="37"/>
        <v>760981.62014568388</v>
      </c>
      <c r="BT13" s="119">
        <f t="shared" si="38"/>
        <v>787517.4</v>
      </c>
      <c r="BU13" s="119">
        <f t="shared" si="39"/>
        <v>760981.62014568388</v>
      </c>
      <c r="BV13" s="119">
        <f t="shared" ref="BV13:BV50" si="56">BS13-BU13</f>
        <v>0</v>
      </c>
      <c r="BW13" s="120">
        <f t="shared" si="40"/>
        <v>3.1345938652828104E-3</v>
      </c>
      <c r="BX13" s="121">
        <f t="shared" si="41"/>
        <v>7.0812354197072923E-3</v>
      </c>
      <c r="BY13" s="122">
        <f t="shared" si="42"/>
        <v>777326.95164208661</v>
      </c>
      <c r="BZ13" s="123">
        <f t="shared" si="43"/>
        <v>9823879087403.207</v>
      </c>
      <c r="CA13" s="111">
        <f>ROUND((BZ13+BI13),0)</f>
        <v>9823879782238</v>
      </c>
      <c r="CC13" s="124">
        <f t="shared" si="26"/>
        <v>1</v>
      </c>
      <c r="CD13" s="17"/>
      <c r="CE13" s="108">
        <f t="shared" si="44"/>
        <v>2625058</v>
      </c>
      <c r="CF13" s="125">
        <f t="shared" si="45"/>
        <v>3742347.7051699427</v>
      </c>
      <c r="CG13" s="110">
        <f t="shared" si="46"/>
        <v>787517.4</v>
      </c>
      <c r="CH13" s="126">
        <f t="shared" si="47"/>
        <v>9823878994720.5996</v>
      </c>
      <c r="CJ13" s="127">
        <f t="shared" si="48"/>
        <v>0</v>
      </c>
      <c r="CK13" s="128" t="e">
        <f t="shared" si="49"/>
        <v>#DIV/0!</v>
      </c>
      <c r="CL13" s="129" t="e">
        <f t="shared" si="50"/>
        <v>#DIV/0!</v>
      </c>
      <c r="CM13" s="130" t="e">
        <f t="shared" si="51"/>
        <v>#DIV/0!</v>
      </c>
      <c r="CO13" s="131" t="e">
        <f t="shared" si="52"/>
        <v>#DIV/0!</v>
      </c>
      <c r="CP13" s="1">
        <f t="shared" si="53"/>
        <v>0</v>
      </c>
      <c r="CQ13" s="132">
        <f t="shared" si="54"/>
        <v>0.29611801020856932</v>
      </c>
      <c r="CS13" s="104">
        <f t="shared" si="55"/>
        <v>2.5247620581870366E-3</v>
      </c>
    </row>
    <row r="14" spans="1:97">
      <c r="A14" s="133" t="s">
        <v>82</v>
      </c>
      <c r="B14" s="90" t="s">
        <v>86</v>
      </c>
      <c r="C14" s="91">
        <f>'Sizing - Reimb Expen-24'!B7</f>
        <v>2162547</v>
      </c>
      <c r="D14" s="92">
        <f>'Ridership-24'!$E6</f>
        <v>100658</v>
      </c>
      <c r="E14" s="92">
        <f>'Revenue Hours-24'!$F6</f>
        <v>40013</v>
      </c>
      <c r="F14" s="92">
        <f>'Revenue Miles-24'!$F6</f>
        <v>639628</v>
      </c>
      <c r="G14" s="93">
        <f t="shared" si="0"/>
        <v>5.4740808853634198E-3</v>
      </c>
      <c r="H14" s="94">
        <f t="shared" si="1"/>
        <v>5.1679229676123081E-3</v>
      </c>
      <c r="J14" s="95">
        <f>'Ridership-24'!B6/'Revenue Hours-24'!C6</f>
        <v>1.7480527968917374</v>
      </c>
      <c r="K14" s="96">
        <f>'Ridership-24'!C6/'Revenue Hours-24'!D6</f>
        <v>1.8670980965213595</v>
      </c>
      <c r="L14" s="96">
        <f>'Ridership-24'!D6/'Revenue Hours-24'!E6</f>
        <v>1.3455313359222201</v>
      </c>
      <c r="M14" s="96">
        <f>'Ridership-24'!E6/'Revenue Hours-24'!F6</f>
        <v>2.5156324194636741</v>
      </c>
      <c r="N14" s="97">
        <f t="shared" si="2"/>
        <v>1.3087942373646106</v>
      </c>
      <c r="O14" s="98">
        <f t="shared" si="3"/>
        <v>6.7637477991552061E-3</v>
      </c>
      <c r="P14" s="99">
        <f t="shared" si="4"/>
        <v>6.4900264072482537E-3</v>
      </c>
      <c r="Q14" s="95">
        <f>'Ridership-24'!B6/'Revenue Miles-24'!C6</f>
        <v>0.10544016540836285</v>
      </c>
      <c r="R14" s="96">
        <f>'Ridership-24'!C6/'Revenue Miles-24'!D6</f>
        <v>0.11380730389718556</v>
      </c>
      <c r="S14" s="96">
        <f>'Ridership-24'!D6/'Revenue Miles-24'!E6</f>
        <v>8.6154544217069737E-2</v>
      </c>
      <c r="T14" s="96">
        <f>'Ridership-24'!E6/'Revenue Miles-24'!F6</f>
        <v>0.15736959607772016</v>
      </c>
      <c r="U14" s="97">
        <f t="shared" si="5"/>
        <v>1.331576106473251</v>
      </c>
      <c r="V14" s="98">
        <f t="shared" si="6"/>
        <v>6.8814827437668862E-3</v>
      </c>
      <c r="W14" s="99">
        <f t="shared" si="7"/>
        <v>6.6257078422259971E-3</v>
      </c>
      <c r="X14" s="95">
        <f>'Op Cost-24'!B7/'Revenue Hours-24'!C6</f>
        <v>32.57793351368035</v>
      </c>
      <c r="Y14" s="96">
        <f>'Op Cost-24'!C7/'Revenue Hours-24'!D6</f>
        <v>28.535460118042245</v>
      </c>
      <c r="Z14" s="96">
        <f>'Op Cost-24'!D7/'Revenue Hours-24'!E6</f>
        <v>42.25856741971144</v>
      </c>
      <c r="AA14" s="96">
        <f>'Op Cost-24'!E7/'Revenue Hours-24'!F6</f>
        <v>54.154224876915002</v>
      </c>
      <c r="AB14" s="97">
        <f t="shared" si="8"/>
        <v>1.1170601959171089</v>
      </c>
      <c r="AC14" s="98">
        <f t="shared" si="9"/>
        <v>4.6263603219425719E-3</v>
      </c>
      <c r="AD14" s="99">
        <f t="shared" si="10"/>
        <v>4.6521439295777213E-3</v>
      </c>
      <c r="AE14" s="95">
        <f>'Op Cost-24'!B7/'Revenue Miles-24'!C6</f>
        <v>1.9650566072449389</v>
      </c>
      <c r="AF14" s="96">
        <f>'Op Cost-24'!C7/'Revenue Miles-24'!D6</f>
        <v>1.7393535923745185</v>
      </c>
      <c r="AG14" s="96">
        <f>'Op Cost-24'!D7/'Revenue Miles-24'!E6</f>
        <v>2.7058214982530968</v>
      </c>
      <c r="AH14" s="96">
        <f>'Op Cost-24'!E7/'Revenue Miles-24'!F6</f>
        <v>3.3877081678725758</v>
      </c>
      <c r="AI14" s="97">
        <f t="shared" si="11"/>
        <v>1.1363865749613105</v>
      </c>
      <c r="AJ14" s="98">
        <f t="shared" si="12"/>
        <v>4.5476804121768648E-3</v>
      </c>
      <c r="AK14" s="99">
        <f t="shared" si="13"/>
        <v>4.5528201667386081E-3</v>
      </c>
      <c r="AL14" s="95">
        <f>'Op Cost-24'!B7/'Ridership-24'!B6</f>
        <v>18.63669882946791</v>
      </c>
      <c r="AM14" s="96">
        <f>'Op Cost-24'!C7/'Ridership-24'!C6</f>
        <v>15.283321305510098</v>
      </c>
      <c r="AN14" s="96">
        <f>'Op Cost-24'!D7/'Ridership-24'!D6</f>
        <v>31.406602203543365</v>
      </c>
      <c r="AO14" s="96">
        <f>'Op Cost-24'!E7/'Ridership-24'!E6</f>
        <v>21.527081801744522</v>
      </c>
      <c r="AP14" s="100">
        <f t="shared" si="14"/>
        <v>0.84909631981797562</v>
      </c>
      <c r="AQ14" s="98">
        <f t="shared" si="15"/>
        <v>6.0863801278990088E-3</v>
      </c>
      <c r="AR14" s="99">
        <f t="shared" si="16"/>
        <v>6.4432157219347632E-3</v>
      </c>
      <c r="AT14" s="101">
        <f t="shared" si="27"/>
        <v>0</v>
      </c>
      <c r="AU14" s="102">
        <f t="shared" si="17"/>
        <v>0</v>
      </c>
      <c r="AV14" s="102">
        <f t="shared" si="18"/>
        <v>0</v>
      </c>
      <c r="AW14" s="102">
        <f t="shared" si="19"/>
        <v>0</v>
      </c>
      <c r="AX14" s="103">
        <f t="shared" si="20"/>
        <v>0</v>
      </c>
      <c r="AY14" s="104">
        <f t="shared" si="28"/>
        <v>-1</v>
      </c>
      <c r="AZ14" s="105">
        <f t="shared" si="21"/>
        <v>0</v>
      </c>
      <c r="BA14" s="106">
        <f t="shared" si="21"/>
        <v>0</v>
      </c>
      <c r="BB14" s="106">
        <f t="shared" si="21"/>
        <v>0</v>
      </c>
      <c r="BC14" s="106">
        <f t="shared" si="21"/>
        <v>0</v>
      </c>
      <c r="BD14" s="106">
        <f t="shared" si="21"/>
        <v>0</v>
      </c>
      <c r="BE14" s="107">
        <f t="shared" si="29"/>
        <v>654273.82589223632</v>
      </c>
      <c r="BG14" s="108">
        <f>'Op Cost-24'!E7</f>
        <v>2166873</v>
      </c>
      <c r="BH14" s="109">
        <f t="shared" si="22"/>
        <v>0.30194378068868655</v>
      </c>
      <c r="BI14" s="110">
        <f t="shared" si="23"/>
        <v>650061.9</v>
      </c>
      <c r="BJ14" s="111">
        <f t="shared" si="24"/>
        <v>4211.9258922362933</v>
      </c>
      <c r="BK14" s="1">
        <f t="shared" si="30"/>
        <v>0.4611692459687568</v>
      </c>
      <c r="BL14" s="112">
        <f t="shared" si="31"/>
        <v>0.28096314840551506</v>
      </c>
      <c r="BM14" s="112">
        <f t="shared" si="32"/>
        <v>0.25389712861557706</v>
      </c>
      <c r="BN14" s="113">
        <f t="shared" si="33"/>
        <v>0.65490835342696752</v>
      </c>
      <c r="BO14" s="114">
        <f t="shared" si="25"/>
        <v>0</v>
      </c>
      <c r="BP14" s="115">
        <f t="shared" si="34"/>
        <v>2.3832871381983881E-3</v>
      </c>
      <c r="BQ14" s="116">
        <f t="shared" si="35"/>
        <v>0</v>
      </c>
      <c r="BR14" s="117">
        <f t="shared" si="36"/>
        <v>0</v>
      </c>
      <c r="BS14" s="118">
        <f t="shared" si="37"/>
        <v>650061.9</v>
      </c>
      <c r="BT14" s="119">
        <f t="shared" si="38"/>
        <v>650061.9</v>
      </c>
      <c r="BU14" s="119">
        <f t="shared" si="39"/>
        <v>650061.9</v>
      </c>
      <c r="BV14" s="119">
        <f t="shared" si="56"/>
        <v>0</v>
      </c>
      <c r="BW14" s="120">
        <f t="shared" si="40"/>
        <v>0</v>
      </c>
      <c r="BX14" s="121">
        <f t="shared" si="41"/>
        <v>0</v>
      </c>
      <c r="BY14" s="122">
        <f t="shared" si="42"/>
        <v>650061.9</v>
      </c>
      <c r="BZ14" s="123">
        <f t="shared" si="43"/>
        <v>8215499914723.1846</v>
      </c>
      <c r="CA14" s="111">
        <f t="shared" ref="CA14:CA50" si="57">ROUND((BZ14+BI14),0)</f>
        <v>8215500564785</v>
      </c>
      <c r="CC14" s="124">
        <f t="shared" si="26"/>
        <v>1</v>
      </c>
      <c r="CD14" s="17"/>
      <c r="CE14" s="108">
        <f t="shared" si="44"/>
        <v>2166873</v>
      </c>
      <c r="CF14" s="125">
        <f t="shared" si="45"/>
        <v>3791408.4326977171</v>
      </c>
      <c r="CG14" s="110">
        <f t="shared" si="46"/>
        <v>650061.9</v>
      </c>
      <c r="CH14" s="126">
        <f t="shared" si="47"/>
        <v>8215499914723.0996</v>
      </c>
      <c r="CJ14" s="127">
        <f t="shared" si="48"/>
        <v>0</v>
      </c>
      <c r="CK14" s="128" t="e">
        <f t="shared" si="49"/>
        <v>#DIV/0!</v>
      </c>
      <c r="CL14" s="129" t="e">
        <f t="shared" si="50"/>
        <v>#DIV/0!</v>
      </c>
      <c r="CM14" s="130" t="e">
        <f t="shared" si="51"/>
        <v>#DIV/0!</v>
      </c>
      <c r="CO14" s="131" t="e">
        <f t="shared" si="52"/>
        <v>#DIV/0!</v>
      </c>
      <c r="CP14" s="1">
        <f t="shared" si="53"/>
        <v>0</v>
      </c>
      <c r="CQ14" s="132">
        <f t="shared" si="54"/>
        <v>0.3</v>
      </c>
      <c r="CS14" s="104">
        <f t="shared" si="55"/>
        <v>1.9196212328915427E-3</v>
      </c>
    </row>
    <row r="15" spans="1:97">
      <c r="A15" s="133" t="s">
        <v>82</v>
      </c>
      <c r="B15" s="90" t="s">
        <v>87</v>
      </c>
      <c r="C15" s="91">
        <f>'Sizing - Reimb Expen-24'!B8</f>
        <v>403050</v>
      </c>
      <c r="D15" s="92">
        <f>'Ridership-24'!$E7</f>
        <v>29128</v>
      </c>
      <c r="E15" s="92">
        <f>'Revenue Hours-24'!$F7</f>
        <v>7979</v>
      </c>
      <c r="F15" s="92">
        <f>'Revenue Miles-24'!$F7</f>
        <v>129480</v>
      </c>
      <c r="G15" s="93">
        <f t="shared" si="0"/>
        <v>1.1568552702909459E-3</v>
      </c>
      <c r="H15" s="94">
        <f t="shared" si="1"/>
        <v>1.0921539244195904E-3</v>
      </c>
      <c r="J15" s="95">
        <f>'Ridership-24'!B7/'Revenue Hours-24'!C7</f>
        <v>5.4228308164832351</v>
      </c>
      <c r="K15" s="96">
        <f>'Ridership-24'!C7/'Revenue Hours-24'!D7</f>
        <v>5.5566235366605055</v>
      </c>
      <c r="L15" s="96">
        <f>'Ridership-24'!D7/'Revenue Hours-24'!E7</f>
        <v>3.8071505958829901</v>
      </c>
      <c r="M15" s="96">
        <f>'Ridership-24'!E7/'Revenue Hours-24'!F7</f>
        <v>3.650582779796967</v>
      </c>
      <c r="N15" s="97">
        <f t="shared" si="2"/>
        <v>1.0356052461268719</v>
      </c>
      <c r="O15" s="98">
        <f t="shared" si="3"/>
        <v>1.131040333706979E-3</v>
      </c>
      <c r="P15" s="99">
        <f t="shared" si="4"/>
        <v>1.0852683824695531E-3</v>
      </c>
      <c r="Q15" s="95">
        <f>'Ridership-24'!B7/'Revenue Miles-24'!C7</f>
        <v>0.32596387581156344</v>
      </c>
      <c r="R15" s="96">
        <f>'Ridership-24'!C7/'Revenue Miles-24'!D7</f>
        <v>0.3373331737387037</v>
      </c>
      <c r="S15" s="96">
        <f>'Ridership-24'!D7/'Revenue Miles-24'!E7</f>
        <v>0.2437813629741542</v>
      </c>
      <c r="T15" s="96">
        <f>'Ridership-24'!E7/'Revenue Miles-24'!F7</f>
        <v>0.22496138399752857</v>
      </c>
      <c r="U15" s="97">
        <f t="shared" si="5"/>
        <v>1.0550937211571547</v>
      </c>
      <c r="V15" s="98">
        <f t="shared" si="6"/>
        <v>1.1523247481922555E-3</v>
      </c>
      <c r="W15" s="99">
        <f t="shared" si="7"/>
        <v>1.1094944803580493E-3</v>
      </c>
      <c r="X15" s="95">
        <f>'Op Cost-24'!B8/'Revenue Hours-24'!C7</f>
        <v>40.351676478116204</v>
      </c>
      <c r="Y15" s="96">
        <f>'Op Cost-24'!C8/'Revenue Hours-24'!D7</f>
        <v>38.559704251386322</v>
      </c>
      <c r="Z15" s="96">
        <f>'Op Cost-24'!D8/'Revenue Hours-24'!E7</f>
        <v>43.683519922956542</v>
      </c>
      <c r="AA15" s="96">
        <f>'Op Cost-24'!E8/'Revenue Hours-24'!F7</f>
        <v>59.664118310565236</v>
      </c>
      <c r="AB15" s="97">
        <f t="shared" si="8"/>
        <v>1.0761566622611438</v>
      </c>
      <c r="AC15" s="98">
        <f t="shared" si="9"/>
        <v>1.0148651796893903E-3</v>
      </c>
      <c r="AD15" s="99">
        <f t="shared" si="10"/>
        <v>1.0205212211074307E-3</v>
      </c>
      <c r="AE15" s="95">
        <f>'Op Cost-24'!B8/'Revenue Miles-24'!C7</f>
        <v>2.425520785254931</v>
      </c>
      <c r="AF15" s="96">
        <f>'Op Cost-24'!C8/'Revenue Miles-24'!D7</f>
        <v>2.340894128912562</v>
      </c>
      <c r="AG15" s="96">
        <f>'Op Cost-24'!D8/'Revenue Miles-24'!E7</f>
        <v>2.7971649027603269</v>
      </c>
      <c r="AH15" s="96">
        <f>'Op Cost-24'!E8/'Revenue Miles-24'!F7</f>
        <v>3.6767068273092369</v>
      </c>
      <c r="AI15" s="97">
        <f t="shared" si="11"/>
        <v>1.0869500841393458</v>
      </c>
      <c r="AJ15" s="98">
        <f t="shared" si="12"/>
        <v>1.004787561412597E-3</v>
      </c>
      <c r="AK15" s="99">
        <f t="shared" si="13"/>
        <v>1.0059231648377024E-3</v>
      </c>
      <c r="AL15" s="95">
        <f>'Op Cost-24'!B8/'Ridership-24'!B7</f>
        <v>7.4410723556898102</v>
      </c>
      <c r="AM15" s="96">
        <f>'Op Cost-24'!C8/'Ridership-24'!C7</f>
        <v>6.9394127561429961</v>
      </c>
      <c r="AN15" s="96">
        <f>'Op Cost-24'!D8/'Ridership-24'!D7</f>
        <v>11.474071966103839</v>
      </c>
      <c r="AO15" s="96">
        <f>'Op Cost-24'!E8/'Ridership-24'!E7</f>
        <v>16.343724251579236</v>
      </c>
      <c r="AP15" s="100">
        <f t="shared" si="14"/>
        <v>1.1461309032866442</v>
      </c>
      <c r="AQ15" s="98">
        <f t="shared" si="15"/>
        <v>9.5290504888030723E-4</v>
      </c>
      <c r="AR15" s="99">
        <f t="shared" si="16"/>
        <v>1.0087724827295714E-3</v>
      </c>
      <c r="AT15" s="101">
        <f t="shared" si="27"/>
        <v>0</v>
      </c>
      <c r="AU15" s="102">
        <f t="shared" si="17"/>
        <v>0</v>
      </c>
      <c r="AV15" s="102">
        <f t="shared" si="18"/>
        <v>0</v>
      </c>
      <c r="AW15" s="102">
        <f t="shared" si="19"/>
        <v>0</v>
      </c>
      <c r="AX15" s="103">
        <f t="shared" si="20"/>
        <v>0</v>
      </c>
      <c r="AY15" s="104">
        <f t="shared" si="28"/>
        <v>-1</v>
      </c>
      <c r="AZ15" s="105">
        <f t="shared" si="21"/>
        <v>0</v>
      </c>
      <c r="BA15" s="106">
        <f t="shared" si="21"/>
        <v>0</v>
      </c>
      <c r="BB15" s="106">
        <f t="shared" si="21"/>
        <v>0</v>
      </c>
      <c r="BC15" s="106">
        <f t="shared" si="21"/>
        <v>0</v>
      </c>
      <c r="BD15" s="106">
        <f t="shared" si="21"/>
        <v>0</v>
      </c>
      <c r="BE15" s="107">
        <f t="shared" si="29"/>
        <v>138269.8099548824</v>
      </c>
      <c r="BG15" s="108">
        <f>'Op Cost-24'!E8</f>
        <v>476060</v>
      </c>
      <c r="BH15" s="109">
        <f t="shared" si="22"/>
        <v>0.29044618315943871</v>
      </c>
      <c r="BI15" s="110">
        <f t="shared" si="23"/>
        <v>138269.8099548824</v>
      </c>
      <c r="BJ15" s="111">
        <f t="shared" si="24"/>
        <v>0</v>
      </c>
      <c r="BK15" s="1">
        <f t="shared" si="30"/>
        <v>0.62397283972918538</v>
      </c>
      <c r="BL15" s="112">
        <f t="shared" si="31"/>
        <v>0.40772221863215807</v>
      </c>
      <c r="BM15" s="112">
        <f t="shared" si="32"/>
        <v>0.3629484402956103</v>
      </c>
      <c r="BN15" s="113">
        <f t="shared" si="33"/>
        <v>0.8626103499944866</v>
      </c>
      <c r="BO15" s="114">
        <f t="shared" si="25"/>
        <v>138269.8099548824</v>
      </c>
      <c r="BP15" s="115">
        <f t="shared" si="34"/>
        <v>6.8147438564146587E-4</v>
      </c>
      <c r="BQ15" s="116">
        <f t="shared" si="35"/>
        <v>6.8147438564146587E-4</v>
      </c>
      <c r="BR15" s="117">
        <f t="shared" si="36"/>
        <v>1.1378757733984317E-3</v>
      </c>
      <c r="BS15" s="118">
        <f t="shared" si="37"/>
        <v>152650.31482575761</v>
      </c>
      <c r="BT15" s="119">
        <f t="shared" si="38"/>
        <v>142818</v>
      </c>
      <c r="BU15" s="119">
        <f t="shared" si="39"/>
        <v>142818</v>
      </c>
      <c r="BV15" s="119">
        <f t="shared" si="56"/>
        <v>9832.3148257576104</v>
      </c>
      <c r="BW15" s="120">
        <f t="shared" si="40"/>
        <v>0</v>
      </c>
      <c r="BX15" s="121">
        <f t="shared" si="41"/>
        <v>0</v>
      </c>
      <c r="BY15" s="122">
        <f t="shared" si="42"/>
        <v>142818</v>
      </c>
      <c r="BZ15" s="123">
        <f t="shared" si="43"/>
        <v>1804937755652.0935</v>
      </c>
      <c r="CA15" s="111">
        <f t="shared" si="57"/>
        <v>1804937893922</v>
      </c>
      <c r="CC15" s="124">
        <f t="shared" si="26"/>
        <v>1</v>
      </c>
      <c r="CD15" s="17"/>
      <c r="CE15" s="108">
        <f t="shared" si="44"/>
        <v>476060</v>
      </c>
      <c r="CF15" s="125">
        <f t="shared" si="45"/>
        <v>3791408.4231441417</v>
      </c>
      <c r="CG15" s="110">
        <f t="shared" si="46"/>
        <v>142818</v>
      </c>
      <c r="CH15" s="126">
        <f t="shared" si="47"/>
        <v>1804937751104</v>
      </c>
      <c r="CJ15" s="127">
        <f t="shared" si="48"/>
        <v>0</v>
      </c>
      <c r="CK15" s="128" t="e">
        <f t="shared" si="49"/>
        <v>#DIV/0!</v>
      </c>
      <c r="CL15" s="129" t="e">
        <f t="shared" si="50"/>
        <v>#DIV/0!</v>
      </c>
      <c r="CM15" s="130" t="e">
        <f t="shared" si="51"/>
        <v>#DIV/0!</v>
      </c>
      <c r="CO15" s="131" t="e">
        <f t="shared" si="52"/>
        <v>#DIV/0!</v>
      </c>
      <c r="CP15" s="1">
        <f t="shared" si="53"/>
        <v>0</v>
      </c>
      <c r="CQ15" s="132">
        <f t="shared" si="54"/>
        <v>0.3</v>
      </c>
      <c r="CS15" s="104">
        <f t="shared" si="55"/>
        <v>5.4889428948035686E-4</v>
      </c>
    </row>
    <row r="16" spans="1:97">
      <c r="A16" s="133" t="s">
        <v>88</v>
      </c>
      <c r="B16" s="90" t="s">
        <v>89</v>
      </c>
      <c r="C16" s="91">
        <f>'Sizing - Reimb Expen-24'!B9</f>
        <v>9117656</v>
      </c>
      <c r="D16" s="92">
        <f>'Ridership-24'!$E8</f>
        <v>1154287</v>
      </c>
      <c r="E16" s="92">
        <f>'Revenue Hours-24'!$F8</f>
        <v>58751</v>
      </c>
      <c r="F16" s="92">
        <f>'Revenue Miles-24'!$F8</f>
        <v>807792</v>
      </c>
      <c r="G16" s="93">
        <f t="shared" si="0"/>
        <v>2.1282830958868813E-2</v>
      </c>
      <c r="H16" s="94">
        <f t="shared" si="1"/>
        <v>2.0092511095741034E-2</v>
      </c>
      <c r="J16" s="95">
        <f>'Ridership-24'!B8/'Revenue Hours-24'!C8</f>
        <v>19.767837879488365</v>
      </c>
      <c r="K16" s="96">
        <f>'Ridership-24'!C8/'Revenue Hours-24'!D8</f>
        <v>17.327594346172003</v>
      </c>
      <c r="L16" s="96">
        <f>'Ridership-24'!D8/'Revenue Hours-24'!E8</f>
        <v>8.228226225879153</v>
      </c>
      <c r="M16" s="96">
        <f>'Ridership-24'!E8/'Revenue Hours-24'!F8</f>
        <v>19.647103879082909</v>
      </c>
      <c r="N16" s="97">
        <f t="shared" si="2"/>
        <v>1.2192511161277548</v>
      </c>
      <c r="O16" s="98">
        <f t="shared" si="3"/>
        <v>2.4497816579291554E-2</v>
      </c>
      <c r="P16" s="99">
        <f t="shared" si="4"/>
        <v>2.3506417039881995E-2</v>
      </c>
      <c r="Q16" s="95">
        <f>'Ridership-24'!B8/'Revenue Miles-24'!C8</f>
        <v>2.1316609992044087</v>
      </c>
      <c r="R16" s="96">
        <f>'Ridership-24'!C8/'Revenue Miles-24'!D8</f>
        <v>1.9171644901717197</v>
      </c>
      <c r="S16" s="96">
        <f>'Ridership-24'!D8/'Revenue Miles-24'!E8</f>
        <v>0.84464065708418889</v>
      </c>
      <c r="T16" s="96">
        <f>'Ridership-24'!E8/'Revenue Miles-24'!F8</f>
        <v>1.4289408659654961</v>
      </c>
      <c r="U16" s="97">
        <f t="shared" si="5"/>
        <v>1.0329293204224002</v>
      </c>
      <c r="V16" s="98">
        <f t="shared" si="6"/>
        <v>2.075414383170332E-2</v>
      </c>
      <c r="W16" s="99">
        <f t="shared" si="7"/>
        <v>1.9982741898024476E-2</v>
      </c>
      <c r="X16" s="95">
        <f>'Op Cost-24'!B9/'Revenue Hours-24'!C8</f>
        <v>77.294084219448294</v>
      </c>
      <c r="Y16" s="96">
        <f>'Op Cost-24'!C9/'Revenue Hours-24'!D8</f>
        <v>81.344653948330603</v>
      </c>
      <c r="Z16" s="96">
        <f>'Op Cost-24'!D9/'Revenue Hours-24'!E8</f>
        <v>121.31553469268006</v>
      </c>
      <c r="AA16" s="96">
        <f>'Op Cost-24'!E9/'Revenue Hours-24'!F8</f>
        <v>156.54829705026299</v>
      </c>
      <c r="AB16" s="97">
        <f t="shared" si="8"/>
        <v>1.1806154944392757</v>
      </c>
      <c r="AC16" s="98">
        <f t="shared" si="9"/>
        <v>1.7018674742434934E-2</v>
      </c>
      <c r="AD16" s="99">
        <f t="shared" si="10"/>
        <v>1.7113523133285069E-2</v>
      </c>
      <c r="AE16" s="95">
        <f>'Op Cost-24'!B9/'Revenue Miles-24'!C8</f>
        <v>8.3349927191978441</v>
      </c>
      <c r="AF16" s="96">
        <f>'Op Cost-24'!C9/'Revenue Miles-24'!D8</f>
        <v>9.0001577194989437</v>
      </c>
      <c r="AG16" s="96">
        <f>'Op Cost-24'!D9/'Revenue Miles-24'!E8</f>
        <v>12.453234770704997</v>
      </c>
      <c r="AH16" s="96">
        <f>'Op Cost-24'!E9/'Revenue Miles-24'!F8</f>
        <v>11.385813427218888</v>
      </c>
      <c r="AI16" s="97">
        <f t="shared" si="11"/>
        <v>1.0391119823445312</v>
      </c>
      <c r="AJ16" s="98">
        <f t="shared" si="12"/>
        <v>1.9336232703627027E-2</v>
      </c>
      <c r="AK16" s="99">
        <f t="shared" si="13"/>
        <v>1.9358086369944318E-2</v>
      </c>
      <c r="AL16" s="95">
        <f>'Op Cost-24'!B9/'Ridership-24'!B8</f>
        <v>3.910092984911147</v>
      </c>
      <c r="AM16" s="96">
        <f>'Op Cost-24'!C9/'Ridership-24'!C8</f>
        <v>4.6945151371402689</v>
      </c>
      <c r="AN16" s="96">
        <f>'Op Cost-24'!D9/'Ridership-24'!D8</f>
        <v>14.743825869921071</v>
      </c>
      <c r="AO16" s="96">
        <f>'Op Cost-24'!E9/'Ridership-24'!E8</f>
        <v>7.9680088227624495</v>
      </c>
      <c r="AP16" s="97">
        <f t="shared" si="14"/>
        <v>1.063188575491355</v>
      </c>
      <c r="AQ16" s="98">
        <f t="shared" si="15"/>
        <v>1.8898351204023459E-2</v>
      </c>
      <c r="AR16" s="99">
        <f t="shared" si="16"/>
        <v>2.0006333984670433E-2</v>
      </c>
      <c r="AT16" s="101">
        <f t="shared" si="27"/>
        <v>0</v>
      </c>
      <c r="AU16" s="102">
        <f t="shared" si="17"/>
        <v>0</v>
      </c>
      <c r="AV16" s="102">
        <f t="shared" si="18"/>
        <v>0</v>
      </c>
      <c r="AW16" s="102">
        <f t="shared" si="19"/>
        <v>0</v>
      </c>
      <c r="AX16" s="103">
        <f t="shared" si="20"/>
        <v>0</v>
      </c>
      <c r="AY16" s="104">
        <f t="shared" si="28"/>
        <v>-1</v>
      </c>
      <c r="AZ16" s="105">
        <f t="shared" si="21"/>
        <v>0</v>
      </c>
      <c r="BA16" s="106">
        <f t="shared" si="21"/>
        <v>0</v>
      </c>
      <c r="BB16" s="106">
        <f t="shared" si="21"/>
        <v>0</v>
      </c>
      <c r="BC16" s="106">
        <f t="shared" si="21"/>
        <v>0</v>
      </c>
      <c r="BD16" s="106">
        <f t="shared" si="21"/>
        <v>0</v>
      </c>
      <c r="BE16" s="107">
        <f t="shared" si="29"/>
        <v>2543769.3612655443</v>
      </c>
      <c r="BG16" s="108">
        <f>'Op Cost-24'!E9</f>
        <v>9197369</v>
      </c>
      <c r="BH16" s="109">
        <f t="shared" si="22"/>
        <v>0.27657576435886655</v>
      </c>
      <c r="BI16" s="110">
        <f t="shared" si="23"/>
        <v>2543769.3612655443</v>
      </c>
      <c r="BJ16" s="111">
        <f t="shared" si="24"/>
        <v>0</v>
      </c>
      <c r="BK16" s="1">
        <f t="shared" si="30"/>
        <v>2.0096168438181419</v>
      </c>
      <c r="BL16" s="112">
        <f t="shared" si="31"/>
        <v>2.1943238289536016</v>
      </c>
      <c r="BM16" s="112">
        <f t="shared" si="32"/>
        <v>2.305426155195299</v>
      </c>
      <c r="BN16" s="113">
        <f t="shared" si="33"/>
        <v>1.769358695561833</v>
      </c>
      <c r="BO16" s="114">
        <f t="shared" si="25"/>
        <v>2543769.3612655443</v>
      </c>
      <c r="BP16" s="115">
        <f t="shared" si="34"/>
        <v>4.0378248732604094E-2</v>
      </c>
      <c r="BQ16" s="116">
        <f t="shared" si="35"/>
        <v>4.0378248732604094E-2</v>
      </c>
      <c r="BR16" s="117">
        <f t="shared" si="36"/>
        <v>6.7420627940165498E-2</v>
      </c>
      <c r="BS16" s="118">
        <f t="shared" si="37"/>
        <v>3395833.0848786542</v>
      </c>
      <c r="BT16" s="119">
        <f t="shared" si="38"/>
        <v>2759210.6999999997</v>
      </c>
      <c r="BU16" s="119">
        <f t="shared" si="39"/>
        <v>2759210.6999999997</v>
      </c>
      <c r="BV16" s="119">
        <f t="shared" si="56"/>
        <v>636622.3848786545</v>
      </c>
      <c r="BW16" s="120">
        <f t="shared" si="40"/>
        <v>0</v>
      </c>
      <c r="BX16" s="121">
        <f t="shared" si="41"/>
        <v>0</v>
      </c>
      <c r="BY16" s="122">
        <f t="shared" si="42"/>
        <v>2759210.6999999997</v>
      </c>
      <c r="BZ16" s="123">
        <f t="shared" si="43"/>
        <v>34870979626022.223</v>
      </c>
      <c r="CA16" s="111">
        <f>ROUND((BZ16+BI16),0)</f>
        <v>34870982169792</v>
      </c>
      <c r="CC16" s="124">
        <f t="shared" si="26"/>
        <v>1</v>
      </c>
      <c r="CD16" s="17"/>
      <c r="CE16" s="108">
        <f t="shared" si="44"/>
        <v>9197369</v>
      </c>
      <c r="CF16" s="125">
        <f t="shared" si="45"/>
        <v>3791408.4092735653</v>
      </c>
      <c r="CG16" s="110">
        <f t="shared" si="46"/>
        <v>2759210.6999999997</v>
      </c>
      <c r="CH16" s="126">
        <f t="shared" si="47"/>
        <v>34870979410581.301</v>
      </c>
      <c r="CJ16" s="127">
        <f t="shared" si="48"/>
        <v>0</v>
      </c>
      <c r="CK16" s="128" t="e">
        <f t="shared" si="49"/>
        <v>#DIV/0!</v>
      </c>
      <c r="CL16" s="129" t="e">
        <f t="shared" si="50"/>
        <v>#DIV/0!</v>
      </c>
      <c r="CM16" s="130" t="e">
        <f t="shared" si="51"/>
        <v>#DIV/0!</v>
      </c>
      <c r="CO16" s="131" t="e">
        <f t="shared" si="52"/>
        <v>#DIV/0!</v>
      </c>
      <c r="CP16" s="1">
        <f t="shared" si="53"/>
        <v>0</v>
      </c>
      <c r="CQ16" s="132">
        <f t="shared" si="54"/>
        <v>0.3</v>
      </c>
      <c r="CS16" s="104">
        <f t="shared" si="55"/>
        <v>3.2522704617403399E-2</v>
      </c>
    </row>
    <row r="17" spans="1:97" ht="16.5" customHeight="1">
      <c r="A17" s="136"/>
      <c r="B17" s="137"/>
      <c r="C17" s="138"/>
      <c r="D17" s="139"/>
      <c r="E17" s="139"/>
      <c r="F17" s="139"/>
      <c r="G17" s="140"/>
      <c r="H17" s="141"/>
      <c r="J17" s="142"/>
      <c r="K17" s="143"/>
      <c r="L17" s="143"/>
      <c r="M17" s="143"/>
      <c r="N17" s="144"/>
      <c r="O17" s="145"/>
      <c r="P17" s="146"/>
      <c r="Q17" s="142"/>
      <c r="R17" s="143"/>
      <c r="S17" s="143"/>
      <c r="T17" s="143"/>
      <c r="U17" s="144"/>
      <c r="V17" s="145"/>
      <c r="W17" s="146"/>
      <c r="X17" s="142"/>
      <c r="Y17" s="143"/>
      <c r="Z17" s="143"/>
      <c r="AA17" s="143"/>
      <c r="AB17" s="144"/>
      <c r="AC17" s="145"/>
      <c r="AD17" s="146"/>
      <c r="AE17" s="142"/>
      <c r="AF17" s="143"/>
      <c r="AG17" s="143"/>
      <c r="AH17" s="143"/>
      <c r="AI17" s="144"/>
      <c r="AJ17" s="145"/>
      <c r="AK17" s="146"/>
      <c r="AL17" s="142"/>
      <c r="AM17" s="143"/>
      <c r="AN17" s="143"/>
      <c r="AO17" s="143"/>
      <c r="AP17" s="147"/>
      <c r="AQ17" s="145"/>
      <c r="AR17" s="146"/>
      <c r="AT17" s="148"/>
      <c r="AU17" s="149"/>
      <c r="AV17" s="149"/>
      <c r="AW17" s="149"/>
      <c r="AX17" s="150"/>
      <c r="AY17" s="104" t="e">
        <f t="shared" si="28"/>
        <v>#DIV/0!</v>
      </c>
      <c r="AZ17" s="151"/>
      <c r="BA17" s="152"/>
      <c r="BB17" s="152"/>
      <c r="BC17" s="152"/>
      <c r="BD17" s="152"/>
      <c r="BE17" s="107">
        <f t="shared" si="29"/>
        <v>0</v>
      </c>
      <c r="BG17" s="153"/>
      <c r="BH17" s="154"/>
      <c r="BI17" s="155"/>
      <c r="BJ17" s="156"/>
      <c r="BL17" s="112"/>
      <c r="BM17" s="112"/>
      <c r="BN17" s="113"/>
      <c r="BO17" s="157"/>
      <c r="BP17" s="115"/>
      <c r="BQ17" s="116">
        <f t="shared" si="35"/>
        <v>0</v>
      </c>
      <c r="BR17" s="117">
        <f t="shared" si="36"/>
        <v>0</v>
      </c>
      <c r="BS17" s="118">
        <f t="shared" si="37"/>
        <v>0</v>
      </c>
      <c r="BT17" s="119">
        <f t="shared" si="38"/>
        <v>0</v>
      </c>
      <c r="BU17" s="119">
        <f t="shared" si="39"/>
        <v>0</v>
      </c>
      <c r="BV17" s="119">
        <f t="shared" si="56"/>
        <v>0</v>
      </c>
      <c r="BW17" s="120">
        <f t="shared" si="40"/>
        <v>0</v>
      </c>
      <c r="BX17" s="121">
        <f t="shared" si="41"/>
        <v>0</v>
      </c>
      <c r="BY17" s="122">
        <f t="shared" si="42"/>
        <v>0</v>
      </c>
      <c r="BZ17" s="158"/>
      <c r="CA17" s="156"/>
      <c r="CC17" s="159"/>
      <c r="CD17" s="17"/>
      <c r="CE17" s="153"/>
      <c r="CF17" s="160"/>
      <c r="CG17" s="155">
        <f t="shared" si="46"/>
        <v>0</v>
      </c>
      <c r="CH17" s="161">
        <f t="shared" si="47"/>
        <v>0</v>
      </c>
      <c r="CJ17" s="127"/>
      <c r="CK17" s="128" t="e">
        <f t="shared" si="49"/>
        <v>#DIV/0!</v>
      </c>
      <c r="CL17" s="129" t="e">
        <f t="shared" si="50"/>
        <v>#DIV/0!</v>
      </c>
      <c r="CM17" s="162"/>
      <c r="CO17" s="131"/>
      <c r="CP17" s="1">
        <f t="shared" si="53"/>
        <v>0</v>
      </c>
      <c r="CQ17" s="132"/>
      <c r="CS17" s="104">
        <f t="shared" si="55"/>
        <v>0</v>
      </c>
    </row>
    <row r="18" spans="1:97">
      <c r="A18" s="133" t="s">
        <v>90</v>
      </c>
      <c r="B18" s="90" t="s">
        <v>91</v>
      </c>
      <c r="C18" s="91">
        <f>'Sizing - Reimb Expen-24'!B11</f>
        <v>4295390</v>
      </c>
      <c r="D18" s="92">
        <f>'Ridership-24'!$E10</f>
        <v>179874</v>
      </c>
      <c r="E18" s="92">
        <f>'Revenue Hours-24'!$F10</f>
        <v>40268</v>
      </c>
      <c r="F18" s="92">
        <f>'Revenue Miles-24'!$F10</f>
        <v>598250</v>
      </c>
      <c r="G18" s="134">
        <f t="shared" si="0"/>
        <v>7.7036447428633177E-3</v>
      </c>
      <c r="H18" s="94">
        <f t="shared" si="1"/>
        <v>7.2727903432004319E-3</v>
      </c>
      <c r="J18" s="95">
        <f>'Ridership-24'!B10/'Revenue Hours-24'!C10</f>
        <v>6.326061550447994</v>
      </c>
      <c r="K18" s="96">
        <f>'Ridership-24'!C10/'Revenue Hours-24'!D10</f>
        <v>5.5934530095036958</v>
      </c>
      <c r="L18" s="96">
        <f>'Ridership-24'!D10/'Revenue Hours-24'!E10</f>
        <v>3.4815432129025932</v>
      </c>
      <c r="M18" s="96">
        <f>'Ridership-24'!E10/'Revenue Hours-24'!F10</f>
        <v>4.4669216251117509</v>
      </c>
      <c r="N18" s="97">
        <f t="shared" si="2"/>
        <v>1.0317484320832804</v>
      </c>
      <c r="O18" s="98">
        <f t="shared" si="3"/>
        <v>7.5036900334674679E-3</v>
      </c>
      <c r="P18" s="99">
        <f t="shared" si="4"/>
        <v>7.2000239978036937E-3</v>
      </c>
      <c r="Q18" s="95">
        <f>'Ridership-24'!B10/'Revenue Miles-24'!C10</f>
        <v>0.39410887442709325</v>
      </c>
      <c r="R18" s="96">
        <f>'Ridership-24'!C10/'Revenue Miles-24'!D10</f>
        <v>0.3427235145820865</v>
      </c>
      <c r="S18" s="96">
        <f>'Ridership-24'!D10/'Revenue Miles-24'!E10</f>
        <v>0.23255357049300571</v>
      </c>
      <c r="T18" s="96">
        <f>'Ridership-24'!E10/'Revenue Miles-24'!F10</f>
        <v>0.30066694525699961</v>
      </c>
      <c r="U18" s="97">
        <f t="shared" si="5"/>
        <v>1.0693183510750313</v>
      </c>
      <c r="V18" s="98">
        <f t="shared" si="6"/>
        <v>7.7769281775054962E-3</v>
      </c>
      <c r="W18" s="99">
        <f t="shared" si="7"/>
        <v>7.4878708459741837E-3</v>
      </c>
      <c r="X18" s="95">
        <f>'Op Cost-24'!B11/'Revenue Hours-24'!C10</f>
        <v>73.36560186988703</v>
      </c>
      <c r="Y18" s="96">
        <f>'Op Cost-24'!C11/'Revenue Hours-24'!D10</f>
        <v>71.54291748378337</v>
      </c>
      <c r="Z18" s="96">
        <f>'Op Cost-24'!D11/'Revenue Hours-24'!E10</f>
        <v>97.854576204715912</v>
      </c>
      <c r="AA18" s="96">
        <f>'Op Cost-24'!E11/'Revenue Hours-24'!F10</f>
        <v>112.67122777391477</v>
      </c>
      <c r="AB18" s="97">
        <f t="shared" si="8"/>
        <v>1.0753667804942089</v>
      </c>
      <c r="AC18" s="98">
        <f t="shared" si="9"/>
        <v>6.7630788630629437E-3</v>
      </c>
      <c r="AD18" s="99">
        <f t="shared" si="10"/>
        <v>6.8007708195203182E-3</v>
      </c>
      <c r="AE18" s="95">
        <f>'Op Cost-24'!B11/'Revenue Miles-24'!C10</f>
        <v>4.5706217911458378</v>
      </c>
      <c r="AF18" s="96">
        <f>'Op Cost-24'!C11/'Revenue Miles-24'!D10</f>
        <v>4.38359633697433</v>
      </c>
      <c r="AG18" s="96">
        <f>'Op Cost-24'!D11/'Revenue Miles-24'!E10</f>
        <v>6.5363057971394145</v>
      </c>
      <c r="AH18" s="96">
        <f>'Op Cost-24'!E11/'Revenue Miles-24'!F10</f>
        <v>7.5838612620142083</v>
      </c>
      <c r="AI18" s="97">
        <f t="shared" si="11"/>
        <v>1.1120931991872134</v>
      </c>
      <c r="AJ18" s="98">
        <f t="shared" si="12"/>
        <v>6.5397309762489676E-3</v>
      </c>
      <c r="AK18" s="99">
        <f t="shared" si="13"/>
        <v>6.5471221315350223E-3</v>
      </c>
      <c r="AL18" s="95">
        <f>'Op Cost-24'!B11/'Ridership-24'!B10</f>
        <v>11.597358211712544</v>
      </c>
      <c r="AM18" s="96">
        <f>'Op Cost-24'!C11/'Ridership-24'!C10</f>
        <v>12.790474392513282</v>
      </c>
      <c r="AN18" s="96">
        <f>'Op Cost-24'!D11/'Ridership-24'!D10</f>
        <v>28.106667136018022</v>
      </c>
      <c r="AO18" s="96">
        <f>'Op Cost-24'!E11/'Ridership-24'!E10</f>
        <v>25.223461978940815</v>
      </c>
      <c r="AP18" s="100">
        <f t="shared" si="14"/>
        <v>1.0520580090790668</v>
      </c>
      <c r="AQ18" s="98">
        <f t="shared" si="15"/>
        <v>6.9129176152242476E-3</v>
      </c>
      <c r="AR18" s="99">
        <f t="shared" si="16"/>
        <v>7.3182118971967898E-3</v>
      </c>
      <c r="AT18" s="101">
        <f t="shared" si="27"/>
        <v>0</v>
      </c>
      <c r="AU18" s="102">
        <f t="shared" si="17"/>
        <v>0</v>
      </c>
      <c r="AV18" s="102">
        <f t="shared" si="18"/>
        <v>0</v>
      </c>
      <c r="AW18" s="102">
        <f t="shared" si="19"/>
        <v>0</v>
      </c>
      <c r="AX18" s="103">
        <f t="shared" si="20"/>
        <v>0</v>
      </c>
      <c r="AY18" s="104">
        <f t="shared" si="28"/>
        <v>-1</v>
      </c>
      <c r="AZ18" s="105">
        <f t="shared" si="21"/>
        <v>0</v>
      </c>
      <c r="BA18" s="106">
        <f t="shared" si="21"/>
        <v>0</v>
      </c>
      <c r="BB18" s="106">
        <f t="shared" si="21"/>
        <v>0</v>
      </c>
      <c r="BC18" s="106">
        <f t="shared" si="21"/>
        <v>0</v>
      </c>
      <c r="BD18" s="106">
        <f t="shared" si="21"/>
        <v>0</v>
      </c>
      <c r="BE18" s="107">
        <f t="shared" si="29"/>
        <v>920756.05472044006</v>
      </c>
      <c r="BG18" s="108">
        <f>'Op Cost-24'!E11</f>
        <v>4537045</v>
      </c>
      <c r="BH18" s="109">
        <f t="shared" si="22"/>
        <v>0.20294179465278392</v>
      </c>
      <c r="BI18" s="110">
        <f t="shared" si="23"/>
        <v>920756.05472044006</v>
      </c>
      <c r="BJ18" s="111">
        <f t="shared" si="24"/>
        <v>0</v>
      </c>
      <c r="BK18" s="1">
        <f t="shared" si="30"/>
        <v>0.52546403169420941</v>
      </c>
      <c r="BL18" s="112">
        <f t="shared" si="31"/>
        <v>0.49889656126297199</v>
      </c>
      <c r="BM18" s="112">
        <f t="shared" si="32"/>
        <v>0.48509036035568009</v>
      </c>
      <c r="BN18" s="113">
        <f t="shared" si="33"/>
        <v>0.55893460257909289</v>
      </c>
      <c r="BO18" s="114">
        <f t="shared" si="25"/>
        <v>920756.05472044006</v>
      </c>
      <c r="BP18" s="115">
        <f t="shared" si="34"/>
        <v>3.8215897354048119E-3</v>
      </c>
      <c r="BQ18" s="116">
        <f t="shared" si="35"/>
        <v>3.8215897354048119E-3</v>
      </c>
      <c r="BR18" s="117">
        <f t="shared" si="36"/>
        <v>6.3810092754873812E-3</v>
      </c>
      <c r="BS18" s="118">
        <f t="shared" si="37"/>
        <v>1001399.4229267823</v>
      </c>
      <c r="BT18" s="119">
        <f t="shared" si="38"/>
        <v>1361113.5</v>
      </c>
      <c r="BU18" s="119">
        <f t="shared" si="39"/>
        <v>1001399.4229267823</v>
      </c>
      <c r="BV18" s="119">
        <f t="shared" si="56"/>
        <v>0</v>
      </c>
      <c r="BW18" s="120">
        <f t="shared" si="40"/>
        <v>3.8215897354048119E-3</v>
      </c>
      <c r="BX18" s="121">
        <f t="shared" si="41"/>
        <v>8.6332002667582619E-3</v>
      </c>
      <c r="BY18" s="122">
        <f t="shared" si="42"/>
        <v>1021327.0925876829</v>
      </c>
      <c r="BZ18" s="123">
        <f t="shared" ref="BZ18:BZ50" si="58">BY18*$BO$6</f>
        <v>12907559483271.648</v>
      </c>
      <c r="CA18" s="111">
        <f t="shared" si="57"/>
        <v>12907560404028</v>
      </c>
      <c r="CC18" s="124">
        <f t="shared" si="26"/>
        <v>1</v>
      </c>
      <c r="CD18" s="17"/>
      <c r="CE18" s="108">
        <f t="shared" si="44"/>
        <v>4537045</v>
      </c>
      <c r="CF18" s="125">
        <f t="shared" si="45"/>
        <v>2844926.6877511684</v>
      </c>
      <c r="CG18" s="110">
        <f t="shared" si="46"/>
        <v>1361113.5</v>
      </c>
      <c r="CH18" s="126">
        <f t="shared" si="47"/>
        <v>12907559042914.5</v>
      </c>
      <c r="CJ18" s="127">
        <f t="shared" si="48"/>
        <v>0</v>
      </c>
      <c r="CK18" s="128" t="e">
        <f t="shared" si="49"/>
        <v>#DIV/0!</v>
      </c>
      <c r="CL18" s="129" t="e">
        <f t="shared" si="50"/>
        <v>#DIV/0!</v>
      </c>
      <c r="CM18" s="130" t="e">
        <f t="shared" si="51"/>
        <v>#DIV/0!</v>
      </c>
      <c r="CO18" s="131" t="e">
        <f t="shared" si="52"/>
        <v>#DIV/0!</v>
      </c>
      <c r="CP18" s="1">
        <f t="shared" si="53"/>
        <v>0</v>
      </c>
      <c r="CQ18" s="132">
        <f t="shared" si="54"/>
        <v>0.22510843348207543</v>
      </c>
      <c r="CS18" s="104">
        <f t="shared" si="55"/>
        <v>3.0781036333830079E-3</v>
      </c>
    </row>
    <row r="19" spans="1:97">
      <c r="A19" s="133" t="s">
        <v>92</v>
      </c>
      <c r="B19" s="90" t="s">
        <v>93</v>
      </c>
      <c r="C19" s="91">
        <f>'Sizing - Reimb Expen-24'!B12</f>
        <v>1722873</v>
      </c>
      <c r="D19" s="92">
        <f>'Ridership-24'!$E11</f>
        <v>75266</v>
      </c>
      <c r="E19" s="92">
        <f>'Revenue Hours-24'!$F11</f>
        <v>21618</v>
      </c>
      <c r="F19" s="92">
        <f>'Revenue Miles-24'!$F11</f>
        <v>415022</v>
      </c>
      <c r="G19" s="134">
        <f t="shared" si="0"/>
        <v>3.7326174064224856E-3</v>
      </c>
      <c r="H19" s="94">
        <f t="shared" si="1"/>
        <v>3.5238571785699158E-3</v>
      </c>
      <c r="J19" s="95">
        <f>'Ridership-24'!B11/'Revenue Hours-24'!C11</f>
        <v>7.655356409905596</v>
      </c>
      <c r="K19" s="96">
        <f>'Ridership-24'!C11/'Revenue Hours-24'!D11</f>
        <v>6.7021276595744679</v>
      </c>
      <c r="L19" s="96">
        <f>'Ridership-24'!D11/'Revenue Hours-24'!E11</f>
        <v>5.361326293975428</v>
      </c>
      <c r="M19" s="96">
        <f>'Ridership-24'!E11/'Revenue Hours-24'!F11</f>
        <v>3.4816356739753909</v>
      </c>
      <c r="N19" s="97">
        <f t="shared" si="2"/>
        <v>0.98008321006467869</v>
      </c>
      <c r="O19" s="98">
        <f t="shared" si="3"/>
        <v>3.4536732553822648E-3</v>
      </c>
      <c r="P19" s="99">
        <f t="shared" si="4"/>
        <v>3.3139069189181639E-3</v>
      </c>
      <c r="Q19" s="95">
        <f>'Ridership-24'!B11/'Revenue Miles-24'!C11</f>
        <v>0.43287508026520399</v>
      </c>
      <c r="R19" s="96">
        <f>'Ridership-24'!C11/'Revenue Miles-24'!D11</f>
        <v>0.35838935027674113</v>
      </c>
      <c r="S19" s="96">
        <f>'Ridership-24'!D11/'Revenue Miles-24'!E11</f>
        <v>0.29459705668644059</v>
      </c>
      <c r="T19" s="96">
        <f>'Ridership-24'!E11/'Revenue Miles-24'!F11</f>
        <v>0.18135424146189841</v>
      </c>
      <c r="U19" s="97">
        <f t="shared" si="5"/>
        <v>0.96747421208448736</v>
      </c>
      <c r="V19" s="98">
        <f t="shared" si="6"/>
        <v>3.4092409473351938E-3</v>
      </c>
      <c r="W19" s="99">
        <f t="shared" si="7"/>
        <v>3.2825243224299484E-3</v>
      </c>
      <c r="X19" s="95">
        <f>'Op Cost-24'!B12/'Revenue Hours-24'!C11</f>
        <v>69.455055411136954</v>
      </c>
      <c r="Y19" s="96">
        <f>'Op Cost-24'!C12/'Revenue Hours-24'!D11</f>
        <v>66.919313392948922</v>
      </c>
      <c r="Z19" s="96">
        <f>'Op Cost-24'!D12/'Revenue Hours-24'!E11</f>
        <v>71.305225243005879</v>
      </c>
      <c r="AA19" s="96">
        <f>'Op Cost-24'!E12/'Revenue Hours-24'!F11</f>
        <v>79.874363955962622</v>
      </c>
      <c r="AB19" s="97">
        <f t="shared" si="8"/>
        <v>0.97864829271439469</v>
      </c>
      <c r="AC19" s="98">
        <f t="shared" si="9"/>
        <v>3.6007391059724725E-3</v>
      </c>
      <c r="AD19" s="99">
        <f t="shared" si="10"/>
        <v>3.6208067267033085E-3</v>
      </c>
      <c r="AE19" s="95">
        <f>'Op Cost-24'!B12/'Revenue Miles-24'!C11</f>
        <v>3.9273628915588081</v>
      </c>
      <c r="AF19" s="96">
        <f>'Op Cost-24'!C12/'Revenue Miles-24'!D11</f>
        <v>3.578441125871858</v>
      </c>
      <c r="AG19" s="96">
        <f>'Op Cost-24'!D12/'Revenue Miles-24'!E11</f>
        <v>3.9181180795800845</v>
      </c>
      <c r="AH19" s="96">
        <f>'Op Cost-24'!E12/'Revenue Miles-24'!F11</f>
        <v>4.1605601630756928</v>
      </c>
      <c r="AI19" s="97">
        <f t="shared" si="11"/>
        <v>0.95623417116569043</v>
      </c>
      <c r="AJ19" s="98">
        <f t="shared" si="12"/>
        <v>3.6851404026632759E-3</v>
      </c>
      <c r="AK19" s="99">
        <f t="shared" si="13"/>
        <v>3.6893053209245807E-3</v>
      </c>
      <c r="AL19" s="95">
        <f>'Op Cost-24'!B12/'Ridership-24'!B11</f>
        <v>9.0727396207531328</v>
      </c>
      <c r="AM19" s="96">
        <f>'Op Cost-24'!C12/'Ridership-24'!C11</f>
        <v>9.9847864427574571</v>
      </c>
      <c r="AN19" s="96">
        <f>'Op Cost-24'!D12/'Ridership-24'!D11</f>
        <v>13.299922693220932</v>
      </c>
      <c r="AO19" s="96">
        <f>'Op Cost-24'!E12/'Ridership-24'!E11</f>
        <v>22.941620386363031</v>
      </c>
      <c r="AP19" s="100">
        <f t="shared" si="14"/>
        <v>1.2845529000575469</v>
      </c>
      <c r="AQ19" s="98">
        <f t="shared" si="15"/>
        <v>2.7432557883852429E-3</v>
      </c>
      <c r="AR19" s="99">
        <f t="shared" si="16"/>
        <v>2.9040888760777758E-3</v>
      </c>
      <c r="AT19" s="101">
        <f t="shared" si="27"/>
        <v>0</v>
      </c>
      <c r="AU19" s="102">
        <f t="shared" si="17"/>
        <v>0</v>
      </c>
      <c r="AV19" s="102">
        <f t="shared" si="18"/>
        <v>0</v>
      </c>
      <c r="AW19" s="102">
        <f t="shared" si="19"/>
        <v>0</v>
      </c>
      <c r="AX19" s="103">
        <f t="shared" si="20"/>
        <v>0</v>
      </c>
      <c r="AY19" s="104">
        <f t="shared" si="28"/>
        <v>-1</v>
      </c>
      <c r="AZ19" s="105">
        <f t="shared" si="21"/>
        <v>0</v>
      </c>
      <c r="BA19" s="106">
        <f t="shared" si="21"/>
        <v>0</v>
      </c>
      <c r="BB19" s="106">
        <f t="shared" si="21"/>
        <v>0</v>
      </c>
      <c r="BC19" s="106">
        <f t="shared" si="21"/>
        <v>0</v>
      </c>
      <c r="BD19" s="106">
        <f t="shared" si="21"/>
        <v>0</v>
      </c>
      <c r="BE19" s="107">
        <f t="shared" si="29"/>
        <v>446130.39562893915</v>
      </c>
      <c r="BG19" s="108">
        <f>'Op Cost-24'!E12</f>
        <v>1726724</v>
      </c>
      <c r="BH19" s="109">
        <f t="shared" si="22"/>
        <v>0.25836809798725169</v>
      </c>
      <c r="BI19" s="110">
        <f t="shared" si="23"/>
        <v>446130.39562893915</v>
      </c>
      <c r="BJ19" s="111">
        <f t="shared" si="24"/>
        <v>0</v>
      </c>
      <c r="BK19" s="1">
        <f t="shared" si="30"/>
        <v>0.4776255838631982</v>
      </c>
      <c r="BL19" s="112">
        <f t="shared" si="31"/>
        <v>0.38885304267530274</v>
      </c>
      <c r="BM19" s="112">
        <f t="shared" si="32"/>
        <v>0.29259350164876585</v>
      </c>
      <c r="BN19" s="113">
        <f t="shared" si="33"/>
        <v>0.61452789556436216</v>
      </c>
      <c r="BO19" s="114">
        <f t="shared" si="25"/>
        <v>446130.39562893915</v>
      </c>
      <c r="BP19" s="115">
        <f t="shared" si="34"/>
        <v>1.6830843423649782E-3</v>
      </c>
      <c r="BQ19" s="116">
        <f t="shared" si="35"/>
        <v>1.6830843423649782E-3</v>
      </c>
      <c r="BR19" s="117">
        <f t="shared" si="36"/>
        <v>2.8102903617729302E-3</v>
      </c>
      <c r="BS19" s="118">
        <f t="shared" si="37"/>
        <v>481646.92140516581</v>
      </c>
      <c r="BT19" s="119">
        <f t="shared" si="38"/>
        <v>518017.19999999995</v>
      </c>
      <c r="BU19" s="119">
        <f t="shared" si="39"/>
        <v>481646.92140516581</v>
      </c>
      <c r="BV19" s="119">
        <f t="shared" si="56"/>
        <v>0</v>
      </c>
      <c r="BW19" s="120">
        <f t="shared" si="40"/>
        <v>1.6830843423649782E-3</v>
      </c>
      <c r="BX19" s="121">
        <f t="shared" si="41"/>
        <v>3.8021884083647753E-3</v>
      </c>
      <c r="BY19" s="122">
        <f t="shared" si="42"/>
        <v>490423.36029795307</v>
      </c>
      <c r="BZ19" s="123">
        <f t="shared" si="58"/>
        <v>6197983722328.7363</v>
      </c>
      <c r="CA19" s="111">
        <f t="shared" si="57"/>
        <v>6197984168459</v>
      </c>
      <c r="CC19" s="124">
        <f t="shared" si="26"/>
        <v>1</v>
      </c>
      <c r="CD19" s="17"/>
      <c r="CE19" s="108">
        <f t="shared" si="44"/>
        <v>1726724</v>
      </c>
      <c r="CF19" s="125">
        <f t="shared" si="45"/>
        <v>3589446.9344602842</v>
      </c>
      <c r="CG19" s="110">
        <f t="shared" si="46"/>
        <v>518017.19999999995</v>
      </c>
      <c r="CH19" s="126">
        <f t="shared" si="47"/>
        <v>6197983650441.7998</v>
      </c>
      <c r="CJ19" s="127">
        <f t="shared" si="48"/>
        <v>0</v>
      </c>
      <c r="CK19" s="128" t="e">
        <f t="shared" si="49"/>
        <v>#DIV/0!</v>
      </c>
      <c r="CL19" s="129" t="e">
        <f t="shared" si="50"/>
        <v>#DIV/0!</v>
      </c>
      <c r="CM19" s="130" t="e">
        <f t="shared" si="51"/>
        <v>#DIV/0!</v>
      </c>
      <c r="CO19" s="131" t="e">
        <f t="shared" si="52"/>
        <v>#DIV/0!</v>
      </c>
      <c r="CP19" s="1">
        <f t="shared" si="53"/>
        <v>0</v>
      </c>
      <c r="CQ19" s="132">
        <f t="shared" si="54"/>
        <v>0.28401954238080496</v>
      </c>
      <c r="CS19" s="104">
        <f>BP19/$BP$51</f>
        <v>1.3556421249323117E-3</v>
      </c>
    </row>
    <row r="20" spans="1:97">
      <c r="A20" s="133" t="s">
        <v>92</v>
      </c>
      <c r="B20" s="90" t="s">
        <v>94</v>
      </c>
      <c r="C20" s="91">
        <f>'Sizing - Reimb Expen-24'!B13</f>
        <v>161701</v>
      </c>
      <c r="D20" s="92">
        <f>'Ridership-24'!$E12</f>
        <v>5437</v>
      </c>
      <c r="E20" s="92">
        <f>'Revenue Hours-24'!$F12</f>
        <v>3090</v>
      </c>
      <c r="F20" s="92">
        <f>'Revenue Miles-24'!$F12</f>
        <v>52366</v>
      </c>
      <c r="G20" s="134">
        <f t="shared" si="0"/>
        <v>4.0487067568259309E-4</v>
      </c>
      <c r="H20" s="94">
        <f t="shared" si="1"/>
        <v>3.8222680804137919E-4</v>
      </c>
      <c r="J20" s="95">
        <f>'Ridership-24'!B12/'Revenue Hours-24'!C12</f>
        <v>1.4845748683220465</v>
      </c>
      <c r="K20" s="96">
        <f>'Ridership-24'!C12/'Revenue Hours-24'!D12</f>
        <v>2.5672572178477688</v>
      </c>
      <c r="L20" s="96">
        <f>'Ridership-24'!D12/'Revenue Hours-24'!E12</f>
        <v>1.3415032679738561</v>
      </c>
      <c r="M20" s="96">
        <f>'Ridership-24'!E12/'Revenue Hours-24'!F12</f>
        <v>1.759546925566343</v>
      </c>
      <c r="N20" s="97">
        <f t="shared" si="2"/>
        <v>1.2572030407161214</v>
      </c>
      <c r="O20" s="98">
        <f t="shared" si="3"/>
        <v>4.8053670531283916E-4</v>
      </c>
      <c r="P20" s="99">
        <f t="shared" si="4"/>
        <v>4.6108991638066761E-4</v>
      </c>
      <c r="Q20" s="95">
        <f>'Ridership-24'!B12/'Revenue Miles-24'!C12</f>
        <v>0.10409137671792978</v>
      </c>
      <c r="R20" s="96">
        <f>'Ridership-24'!C12/'Revenue Miles-24'!D12</f>
        <v>0.14723314580314975</v>
      </c>
      <c r="S20" s="96">
        <f>'Ridership-24'!D12/'Revenue Miles-24'!E12</f>
        <v>8.4451119157340354E-2</v>
      </c>
      <c r="T20" s="96">
        <f>'Ridership-24'!E12/'Revenue Miles-24'!F12</f>
        <v>0.10382691059084138</v>
      </c>
      <c r="U20" s="97">
        <f t="shared" si="5"/>
        <v>1.1688954873954811</v>
      </c>
      <c r="V20" s="98">
        <f t="shared" si="6"/>
        <v>4.4678319108114691E-4</v>
      </c>
      <c r="W20" s="99">
        <f t="shared" si="7"/>
        <v>4.3017689691984666E-4</v>
      </c>
      <c r="X20" s="95">
        <f>'Op Cost-24'!B13/'Revenue Hours-24'!C12</f>
        <v>60.401805869074494</v>
      </c>
      <c r="Y20" s="96">
        <f>'Op Cost-24'!C13/'Revenue Hours-24'!D12</f>
        <v>44.952755905511808</v>
      </c>
      <c r="Z20" s="96">
        <f>'Op Cost-24'!D13/'Revenue Hours-24'!E12</f>
        <v>49.306209150326801</v>
      </c>
      <c r="AA20" s="96">
        <f>'Op Cost-24'!E13/'Revenue Hours-24'!F12</f>
        <v>54.219417475728157</v>
      </c>
      <c r="AB20" s="97">
        <f t="shared" si="8"/>
        <v>0.90864591691387275</v>
      </c>
      <c r="AC20" s="98">
        <f t="shared" si="9"/>
        <v>4.2065539604203064E-4</v>
      </c>
      <c r="AD20" s="99">
        <f t="shared" si="10"/>
        <v>4.2299979053930185E-4</v>
      </c>
      <c r="AE20" s="95">
        <f>'Op Cost-24'!B13/'Revenue Miles-24'!C12</f>
        <v>4.2350892927800787</v>
      </c>
      <c r="AF20" s="96">
        <f>'Op Cost-24'!C13/'Revenue Miles-24'!D12</f>
        <v>2.5780570869475228</v>
      </c>
      <c r="AG20" s="96">
        <f>'Op Cost-24'!D13/'Revenue Miles-24'!E12</f>
        <v>3.103954081632653</v>
      </c>
      <c r="AH20" s="96">
        <f>'Op Cost-24'!E13/'Revenue Miles-24'!F12</f>
        <v>3.1993660008402398</v>
      </c>
      <c r="AI20" s="97">
        <f t="shared" si="11"/>
        <v>0.87542903217382262</v>
      </c>
      <c r="AJ20" s="98">
        <f t="shared" si="12"/>
        <v>4.3661655484768681E-4</v>
      </c>
      <c r="AK20" s="99">
        <f t="shared" si="13"/>
        <v>4.3711001562903419E-4</v>
      </c>
      <c r="AL20" s="95">
        <f>'Op Cost-24'!B13/'Ridership-24'!B12</f>
        <v>40.686264571718198</v>
      </c>
      <c r="AM20" s="96">
        <f>'Op Cost-24'!C13/'Ridership-24'!C12</f>
        <v>17.510031948881789</v>
      </c>
      <c r="AN20" s="96">
        <f>'Op Cost-24'!D13/'Ridership-24'!D12</f>
        <v>36.754445797807549</v>
      </c>
      <c r="AO20" s="96">
        <f>'Op Cost-24'!E13/'Ridership-24'!E12</f>
        <v>30.814419716755562</v>
      </c>
      <c r="AP20" s="100">
        <f t="shared" si="14"/>
        <v>0.79388736805371352</v>
      </c>
      <c r="AQ20" s="98">
        <f t="shared" si="15"/>
        <v>4.8146226205669789E-4</v>
      </c>
      <c r="AR20" s="99">
        <f t="shared" si="16"/>
        <v>5.0968969259447886E-4</v>
      </c>
      <c r="AT20" s="101">
        <f t="shared" si="27"/>
        <v>0</v>
      </c>
      <c r="AU20" s="102">
        <f t="shared" si="17"/>
        <v>0</v>
      </c>
      <c r="AV20" s="102">
        <f t="shared" si="18"/>
        <v>0</v>
      </c>
      <c r="AW20" s="102">
        <f t="shared" si="19"/>
        <v>0</v>
      </c>
      <c r="AX20" s="103">
        <f t="shared" si="20"/>
        <v>0</v>
      </c>
      <c r="AY20" s="104">
        <f t="shared" si="28"/>
        <v>-1</v>
      </c>
      <c r="AZ20" s="105">
        <f t="shared" si="21"/>
        <v>0</v>
      </c>
      <c r="BA20" s="106">
        <f t="shared" si="21"/>
        <v>0</v>
      </c>
      <c r="BB20" s="106">
        <f t="shared" si="21"/>
        <v>0</v>
      </c>
      <c r="BC20" s="106">
        <f t="shared" si="21"/>
        <v>0</v>
      </c>
      <c r="BD20" s="106">
        <f t="shared" si="21"/>
        <v>0</v>
      </c>
      <c r="BE20" s="107">
        <f t="shared" si="29"/>
        <v>48391.006913818877</v>
      </c>
      <c r="BG20" s="108">
        <f>'Op Cost-24'!E13</f>
        <v>167538</v>
      </c>
      <c r="BH20" s="109">
        <f t="shared" si="22"/>
        <v>0.28883600683915817</v>
      </c>
      <c r="BI20" s="110">
        <f t="shared" si="23"/>
        <v>48391.006913818877</v>
      </c>
      <c r="BJ20" s="111">
        <f t="shared" si="24"/>
        <v>0</v>
      </c>
      <c r="BK20" s="1">
        <f t="shared" si="30"/>
        <v>0.31976852202394845</v>
      </c>
      <c r="BL20" s="112">
        <f t="shared" si="31"/>
        <v>0.19651831489743721</v>
      </c>
      <c r="BM20" s="112">
        <f t="shared" si="32"/>
        <v>0.16751237296829424</v>
      </c>
      <c r="BN20" s="113">
        <f t="shared" si="33"/>
        <v>0.45752170011503124</v>
      </c>
      <c r="BO20" s="114">
        <f t="shared" si="25"/>
        <v>48391.006913818877</v>
      </c>
      <c r="BP20" s="115">
        <f t="shared" si="34"/>
        <v>1.2222410148532328E-4</v>
      </c>
      <c r="BQ20" s="116">
        <f t="shared" si="35"/>
        <v>1.2222410148532328E-4</v>
      </c>
      <c r="BR20" s="117">
        <f t="shared" si="36"/>
        <v>2.040808091042626E-4</v>
      </c>
      <c r="BS20" s="118">
        <f t="shared" si="37"/>
        <v>50970.185711703678</v>
      </c>
      <c r="BT20" s="119">
        <f t="shared" si="38"/>
        <v>50261.4</v>
      </c>
      <c r="BU20" s="119">
        <f t="shared" si="39"/>
        <v>50261.4</v>
      </c>
      <c r="BV20" s="119">
        <f t="shared" si="56"/>
        <v>708.7857117036765</v>
      </c>
      <c r="BW20" s="120">
        <f t="shared" si="40"/>
        <v>0</v>
      </c>
      <c r="BX20" s="121">
        <f t="shared" si="41"/>
        <v>0</v>
      </c>
      <c r="BY20" s="122">
        <f t="shared" si="42"/>
        <v>50261.4</v>
      </c>
      <c r="BZ20" s="123">
        <f t="shared" si="58"/>
        <v>635204935735.91663</v>
      </c>
      <c r="CA20" s="111">
        <f t="shared" si="57"/>
        <v>635204984127</v>
      </c>
      <c r="CC20" s="124">
        <f t="shared" si="26"/>
        <v>1</v>
      </c>
      <c r="CD20" s="17"/>
      <c r="CE20" s="108">
        <f t="shared" si="44"/>
        <v>167538</v>
      </c>
      <c r="CF20" s="125">
        <f t="shared" si="45"/>
        <v>3791408.4215342193</v>
      </c>
      <c r="CG20" s="110">
        <f t="shared" si="46"/>
        <v>50261.4</v>
      </c>
      <c r="CH20" s="126">
        <f t="shared" si="47"/>
        <v>635204933865.59998</v>
      </c>
      <c r="CJ20" s="127">
        <f t="shared" si="48"/>
        <v>0</v>
      </c>
      <c r="CK20" s="128" t="e">
        <f t="shared" si="49"/>
        <v>#DIV/0!</v>
      </c>
      <c r="CL20" s="129" t="e">
        <f t="shared" si="50"/>
        <v>#DIV/0!</v>
      </c>
      <c r="CM20" s="130" t="e">
        <f t="shared" si="51"/>
        <v>#DIV/0!</v>
      </c>
      <c r="CO20" s="131" t="e">
        <f t="shared" si="52"/>
        <v>#DIV/0!</v>
      </c>
      <c r="CP20" s="1">
        <f t="shared" si="53"/>
        <v>0</v>
      </c>
      <c r="CQ20" s="132">
        <f t="shared" si="54"/>
        <v>0.3</v>
      </c>
      <c r="CS20" s="104">
        <f t="shared" si="55"/>
        <v>9.8445536260342498E-5</v>
      </c>
    </row>
    <row r="21" spans="1:97">
      <c r="A21" s="133" t="s">
        <v>92</v>
      </c>
      <c r="B21" s="90" t="s">
        <v>95</v>
      </c>
      <c r="C21" s="91">
        <f>'Sizing - Reimb Expen-24'!B14</f>
        <v>99106247</v>
      </c>
      <c r="D21" s="92">
        <f>'Ridership-24'!$E13</f>
        <v>6381801</v>
      </c>
      <c r="E21" s="92">
        <f>'Revenue Hours-24'!$F13</f>
        <v>886831</v>
      </c>
      <c r="F21" s="92">
        <f>'Revenue Miles-24'!$F13</f>
        <v>12904187</v>
      </c>
      <c r="G21" s="134">
        <f t="shared" si="0"/>
        <v>0.19425404876544911</v>
      </c>
      <c r="H21" s="94">
        <f t="shared" si="1"/>
        <v>0.18338968334407399</v>
      </c>
      <c r="J21" s="95">
        <f>'Ridership-24'!B13/'Revenue Hours-24'!C13</f>
        <v>12.656717268983227</v>
      </c>
      <c r="K21" s="96">
        <f>'Ridership-24'!C13/'Revenue Hours-24'!D13</f>
        <v>12.193537039037592</v>
      </c>
      <c r="L21" s="96">
        <f>'Ridership-24'!D13/'Revenue Hours-24'!E13</f>
        <v>6.640780447028594</v>
      </c>
      <c r="M21" s="96">
        <f>'Ridership-24'!E13/'Revenue Hours-24'!F13</f>
        <v>7.1961861955660096</v>
      </c>
      <c r="N21" s="97">
        <f t="shared" si="2"/>
        <v>0.95618600608247295</v>
      </c>
      <c r="O21" s="98">
        <f t="shared" si="3"/>
        <v>0.17535464887349952</v>
      </c>
      <c r="P21" s="99">
        <f t="shared" si="4"/>
        <v>0.16825824019708432</v>
      </c>
      <c r="Q21" s="95">
        <f>'Ridership-24'!B13/'Revenue Miles-24'!C13</f>
        <v>0.95192676699971746</v>
      </c>
      <c r="R21" s="96">
        <f>'Ridership-24'!C13/'Revenue Miles-24'!D13</f>
        <v>0.90434093823673278</v>
      </c>
      <c r="S21" s="96">
        <f>'Ridership-24'!D13/'Revenue Miles-24'!E13</f>
        <v>0.46622665154015291</v>
      </c>
      <c r="T21" s="96">
        <f>'Ridership-24'!E13/'Revenue Miles-24'!F13</f>
        <v>0.49455273703023678</v>
      </c>
      <c r="U21" s="97">
        <f t="shared" si="5"/>
        <v>0.93066455285606553</v>
      </c>
      <c r="V21" s="98">
        <f t="shared" si="6"/>
        <v>0.17067427764782805</v>
      </c>
      <c r="W21" s="99">
        <f t="shared" si="7"/>
        <v>0.16433055810562958</v>
      </c>
      <c r="X21" s="95">
        <f>'Op Cost-24'!B14/'Revenue Hours-24'!C13</f>
        <v>88.602471990302604</v>
      </c>
      <c r="Y21" s="96">
        <f>'Op Cost-24'!C14/'Revenue Hours-24'!D13</f>
        <v>89.156752379659721</v>
      </c>
      <c r="Z21" s="96">
        <f>'Op Cost-24'!D14/'Revenue Hours-24'!E13</f>
        <v>107.97198556298591</v>
      </c>
      <c r="AA21" s="96">
        <f>'Op Cost-24'!E14/'Revenue Hours-24'!F13</f>
        <v>112.49719845156518</v>
      </c>
      <c r="AB21" s="97">
        <f t="shared" si="8"/>
        <v>1.0063255941642135</v>
      </c>
      <c r="AC21" s="98">
        <f t="shared" si="9"/>
        <v>0.18223692650526807</v>
      </c>
      <c r="AD21" s="99">
        <f t="shared" si="10"/>
        <v>0.1832525684100634</v>
      </c>
      <c r="AE21" s="95">
        <f>'Op Cost-24'!B14/'Revenue Miles-24'!C13</f>
        <v>6.6638973532737733</v>
      </c>
      <c r="AF21" s="96">
        <f>'Op Cost-24'!C14/'Revenue Miles-24'!D13</f>
        <v>6.6123636512548227</v>
      </c>
      <c r="AG21" s="96">
        <f>'Op Cost-24'!D14/'Revenue Miles-24'!E13</f>
        <v>7.5803465708156237</v>
      </c>
      <c r="AH21" s="96">
        <f>'Op Cost-24'!E14/'Revenue Miles-24'!F13</f>
        <v>7.7312893094311175</v>
      </c>
      <c r="AI21" s="97">
        <f t="shared" si="11"/>
        <v>0.98247248937261578</v>
      </c>
      <c r="AJ21" s="98">
        <f t="shared" si="12"/>
        <v>0.18666139289170569</v>
      </c>
      <c r="AK21" s="99">
        <f t="shared" si="13"/>
        <v>0.18687235620897127</v>
      </c>
      <c r="AL21" s="95">
        <f>'Op Cost-24'!B14/'Ridership-24'!B13</f>
        <v>7.0004306888827621</v>
      </c>
      <c r="AM21" s="96">
        <f>'Op Cost-24'!C14/'Ridership-24'!C13</f>
        <v>7.311803957639567</v>
      </c>
      <c r="AN21" s="96">
        <f>'Op Cost-24'!D14/'Ridership-24'!D13</f>
        <v>16.258930170067252</v>
      </c>
      <c r="AO21" s="96">
        <f>'Op Cost-24'!E14/'Ridership-24'!E13</f>
        <v>15.632891561488677</v>
      </c>
      <c r="AP21" s="97">
        <f t="shared" si="14"/>
        <v>1.0641680221867109</v>
      </c>
      <c r="AQ21" s="98">
        <f t="shared" si="15"/>
        <v>0.1723315111153545</v>
      </c>
      <c r="AR21" s="99">
        <f t="shared" si="16"/>
        <v>0.18243505638326307</v>
      </c>
      <c r="AT21" s="101">
        <f t="shared" si="27"/>
        <v>0</v>
      </c>
      <c r="AU21" s="102">
        <f t="shared" si="17"/>
        <v>0</v>
      </c>
      <c r="AV21" s="102">
        <f t="shared" si="18"/>
        <v>0</v>
      </c>
      <c r="AW21" s="102">
        <f t="shared" si="19"/>
        <v>0</v>
      </c>
      <c r="AX21" s="103">
        <f t="shared" si="20"/>
        <v>0</v>
      </c>
      <c r="AY21" s="104">
        <f t="shared" si="28"/>
        <v>-1</v>
      </c>
      <c r="AZ21" s="105">
        <f t="shared" si="21"/>
        <v>0</v>
      </c>
      <c r="BA21" s="106">
        <f t="shared" si="21"/>
        <v>0</v>
      </c>
      <c r="BB21" s="106">
        <f t="shared" si="21"/>
        <v>0</v>
      </c>
      <c r="BC21" s="106">
        <f t="shared" si="21"/>
        <v>0</v>
      </c>
      <c r="BD21" s="106">
        <f t="shared" si="21"/>
        <v>0</v>
      </c>
      <c r="BE21" s="107">
        <f t="shared" si="29"/>
        <v>23217658.332498256</v>
      </c>
      <c r="BG21" s="108">
        <f>'Op Cost-24'!E14</f>
        <v>99766003</v>
      </c>
      <c r="BH21" s="109">
        <f t="shared" si="22"/>
        <v>0.23272114381988679</v>
      </c>
      <c r="BI21" s="110">
        <f t="shared" si="23"/>
        <v>23217658.332498256</v>
      </c>
      <c r="BJ21" s="111">
        <f t="shared" si="24"/>
        <v>0</v>
      </c>
      <c r="BK21" s="1">
        <f t="shared" si="30"/>
        <v>0.85132217412883193</v>
      </c>
      <c r="BL21" s="112">
        <f t="shared" si="31"/>
        <v>0.80371961912050216</v>
      </c>
      <c r="BM21" s="112">
        <f t="shared" si="32"/>
        <v>0.79790202815884848</v>
      </c>
      <c r="BN21" s="113">
        <f t="shared" si="33"/>
        <v>0.90183352461798849</v>
      </c>
      <c r="BO21" s="114">
        <f t="shared" si="25"/>
        <v>23217658.332498256</v>
      </c>
      <c r="BP21" s="115">
        <f t="shared" si="34"/>
        <v>0.15612370393727509</v>
      </c>
      <c r="BQ21" s="116">
        <f t="shared" si="35"/>
        <v>0.15612370393727509</v>
      </c>
      <c r="BR21" s="117">
        <f t="shared" si="36"/>
        <v>0.26068387030604956</v>
      </c>
      <c r="BS21" s="118">
        <f t="shared" si="37"/>
        <v>26512188.1523032</v>
      </c>
      <c r="BT21" s="119">
        <f t="shared" si="38"/>
        <v>29929800.899999999</v>
      </c>
      <c r="BU21" s="119">
        <f t="shared" si="39"/>
        <v>26512188.1523032</v>
      </c>
      <c r="BV21" s="119">
        <f t="shared" si="56"/>
        <v>0</v>
      </c>
      <c r="BW21" s="120">
        <f t="shared" si="40"/>
        <v>0.15612370393727509</v>
      </c>
      <c r="BX21" s="121">
        <f t="shared" si="41"/>
        <v>0.35269280477481635</v>
      </c>
      <c r="BY21" s="122">
        <f t="shared" si="42"/>
        <v>27326294.797366373</v>
      </c>
      <c r="BZ21" s="123">
        <f t="shared" si="58"/>
        <v>345350454437437.44</v>
      </c>
      <c r="CA21" s="111">
        <f>ROUND((BZ21+BI21),0)</f>
        <v>345350477655096</v>
      </c>
      <c r="CC21" s="124">
        <f t="shared" si="26"/>
        <v>1</v>
      </c>
      <c r="CD21" s="17"/>
      <c r="CE21" s="108">
        <f t="shared" si="44"/>
        <v>99766003</v>
      </c>
      <c r="CF21" s="125">
        <f t="shared" si="45"/>
        <v>3461604.828000336</v>
      </c>
      <c r="CG21" s="110">
        <f t="shared" si="46"/>
        <v>29929800.899999999</v>
      </c>
      <c r="CH21" s="126">
        <f t="shared" si="47"/>
        <v>345350447725295.13</v>
      </c>
      <c r="CJ21" s="127">
        <f t="shared" si="48"/>
        <v>0</v>
      </c>
      <c r="CK21" s="128" t="e">
        <f t="shared" si="49"/>
        <v>#DIV/0!</v>
      </c>
      <c r="CL21" s="129" t="e">
        <f t="shared" si="50"/>
        <v>#DIV/0!</v>
      </c>
      <c r="CM21" s="130" t="e">
        <f t="shared" si="51"/>
        <v>#DIV/0!</v>
      </c>
      <c r="CO21" s="131" t="e">
        <f t="shared" si="52"/>
        <v>#DIV/0!</v>
      </c>
      <c r="CP21" s="1">
        <f t="shared" si="53"/>
        <v>0</v>
      </c>
      <c r="CQ21" s="132">
        <f t="shared" si="54"/>
        <v>0.27390387482363482</v>
      </c>
      <c r="CS21" s="104">
        <f t="shared" si="55"/>
        <v>0.12575000814304688</v>
      </c>
    </row>
    <row r="22" spans="1:97">
      <c r="A22" s="133" t="s">
        <v>92</v>
      </c>
      <c r="B22" s="90" t="s">
        <v>96</v>
      </c>
      <c r="C22" s="91">
        <f>'Sizing - Reimb Expen-24'!B15</f>
        <v>1199104</v>
      </c>
      <c r="D22" s="92">
        <f>'Ridership-24'!$E14</f>
        <v>63727</v>
      </c>
      <c r="E22" s="92">
        <f>'Revenue Hours-24'!$F14</f>
        <v>20345</v>
      </c>
      <c r="F22" s="92">
        <f>'Revenue Miles-24'!$F14</f>
        <v>483018</v>
      </c>
      <c r="G22" s="134">
        <f t="shared" si="0"/>
        <v>3.3555387419838289E-3</v>
      </c>
      <c r="H22" s="94">
        <f t="shared" si="1"/>
        <v>3.1678680122863906E-3</v>
      </c>
      <c r="J22" s="95">
        <f>'Ridership-24'!B14/'Revenue Hours-24'!C14</f>
        <v>5.3304602970841737</v>
      </c>
      <c r="K22" s="96">
        <f>'Ridership-24'!C14/'Revenue Hours-24'!D14</f>
        <v>5.1587647801630121</v>
      </c>
      <c r="L22" s="96">
        <f>'Ridership-24'!D14/'Revenue Hours-24'!E14</f>
        <v>2.5445369916707494</v>
      </c>
      <c r="M22" s="96">
        <f>'Ridership-24'!E14/'Revenue Hours-24'!F14</f>
        <v>3.1323175227328584</v>
      </c>
      <c r="N22" s="97">
        <f t="shared" si="2"/>
        <v>0.96244724110818003</v>
      </c>
      <c r="O22" s="98">
        <f t="shared" si="3"/>
        <v>3.0489058286198908E-3</v>
      </c>
      <c r="P22" s="99">
        <f t="shared" si="4"/>
        <v>2.9255199821950299E-3</v>
      </c>
      <c r="Q22" s="95">
        <f>'Ridership-24'!B14/'Revenue Miles-24'!C14</f>
        <v>0.21260136238851965</v>
      </c>
      <c r="R22" s="96">
        <f>'Ridership-24'!C14/'Revenue Miles-24'!D14</f>
        <v>0.22008311029377553</v>
      </c>
      <c r="S22" s="96">
        <f>'Ridership-24'!D14/'Revenue Miles-24'!E14</f>
        <v>0.1120356208297289</v>
      </c>
      <c r="T22" s="96">
        <f>'Ridership-24'!E14/'Revenue Miles-24'!F14</f>
        <v>0.13193504175827817</v>
      </c>
      <c r="U22" s="97">
        <f t="shared" si="5"/>
        <v>0.98618094333957085</v>
      </c>
      <c r="V22" s="98">
        <f t="shared" si="6"/>
        <v>3.1240910647318439E-3</v>
      </c>
      <c r="W22" s="99">
        <f t="shared" si="7"/>
        <v>3.007973054378576E-3</v>
      </c>
      <c r="X22" s="95">
        <f>'Op Cost-24'!B15/'Revenue Hours-24'!C14</f>
        <v>53.481447521242131</v>
      </c>
      <c r="Y22" s="96">
        <f>'Op Cost-24'!C15/'Revenue Hours-24'!D14</f>
        <v>42.671162897485935</v>
      </c>
      <c r="Z22" s="96">
        <f>'Op Cost-24'!D15/'Revenue Hours-24'!E14</f>
        <v>48.696570308672221</v>
      </c>
      <c r="AA22" s="96">
        <f>'Op Cost-24'!E15/'Revenue Hours-24'!F14</f>
        <v>59.030916687146721</v>
      </c>
      <c r="AB22" s="97">
        <f t="shared" si="8"/>
        <v>0.9757458596773475</v>
      </c>
      <c r="AC22" s="98">
        <f t="shared" si="9"/>
        <v>3.2466117902195534E-3</v>
      </c>
      <c r="AD22" s="99">
        <f t="shared" si="10"/>
        <v>3.2647057904092143E-3</v>
      </c>
      <c r="AE22" s="95">
        <f>'Op Cost-24'!B15/'Revenue Miles-24'!C14</f>
        <v>2.1330669345283084</v>
      </c>
      <c r="AF22" s="96">
        <f>'Op Cost-24'!C15/'Revenue Miles-24'!D14</f>
        <v>1.8204362188489445</v>
      </c>
      <c r="AG22" s="96">
        <f>'Op Cost-24'!D15/'Revenue Miles-24'!E14</f>
        <v>2.1441034281165527</v>
      </c>
      <c r="AH22" s="96">
        <f>'Op Cost-24'!E15/'Revenue Miles-24'!F14</f>
        <v>2.4864166552799274</v>
      </c>
      <c r="AI22" s="97">
        <f t="shared" si="11"/>
        <v>0.99284699161436885</v>
      </c>
      <c r="AJ22" s="98">
        <f t="shared" si="12"/>
        <v>3.1906910521382944E-3</v>
      </c>
      <c r="AK22" s="99">
        <f t="shared" si="13"/>
        <v>3.1942971474229215E-3</v>
      </c>
      <c r="AL22" s="95">
        <f>'Op Cost-24'!B15/'Ridership-24'!B14</f>
        <v>10.033176225043292</v>
      </c>
      <c r="AM22" s="96">
        <f>'Op Cost-24'!C15/'Ridership-24'!C14</f>
        <v>8.2715852952957416</v>
      </c>
      <c r="AN22" s="96">
        <f>'Op Cost-24'!D15/'Ridership-24'!D14</f>
        <v>19.13769399622598</v>
      </c>
      <c r="AO22" s="96">
        <f>'Op Cost-24'!E15/'Ridership-24'!E14</f>
        <v>18.84576396189998</v>
      </c>
      <c r="AP22" s="100">
        <f t="shared" si="14"/>
        <v>1.0150741605069409</v>
      </c>
      <c r="AQ22" s="98">
        <f t="shared" si="15"/>
        <v>3.1208242072720254E-3</v>
      </c>
      <c r="AR22" s="99">
        <f t="shared" si="16"/>
        <v>3.3037935809360876E-3</v>
      </c>
      <c r="AT22" s="101">
        <f t="shared" si="27"/>
        <v>0</v>
      </c>
      <c r="AU22" s="102">
        <f t="shared" si="17"/>
        <v>0</v>
      </c>
      <c r="AV22" s="102">
        <f t="shared" si="18"/>
        <v>0</v>
      </c>
      <c r="AW22" s="102">
        <f t="shared" si="19"/>
        <v>0</v>
      </c>
      <c r="AX22" s="103">
        <f t="shared" si="20"/>
        <v>0</v>
      </c>
      <c r="AY22" s="104">
        <f t="shared" si="28"/>
        <v>-1</v>
      </c>
      <c r="AZ22" s="105">
        <f t="shared" si="21"/>
        <v>0</v>
      </c>
      <c r="BA22" s="106">
        <f t="shared" si="21"/>
        <v>0</v>
      </c>
      <c r="BB22" s="106">
        <f t="shared" si="21"/>
        <v>0</v>
      </c>
      <c r="BC22" s="106">
        <f t="shared" si="21"/>
        <v>0</v>
      </c>
      <c r="BD22" s="106">
        <f t="shared" si="21"/>
        <v>0</v>
      </c>
      <c r="BE22" s="107">
        <f t="shared" si="29"/>
        <v>401061.14919082494</v>
      </c>
      <c r="BG22" s="108">
        <f>'Op Cost-24'!E15</f>
        <v>1200984</v>
      </c>
      <c r="BH22" s="109">
        <f t="shared" si="22"/>
        <v>0.33394379041754507</v>
      </c>
      <c r="BI22" s="110">
        <f t="shared" si="23"/>
        <v>360295.2</v>
      </c>
      <c r="BJ22" s="111">
        <f t="shared" si="24"/>
        <v>40765.949190824933</v>
      </c>
      <c r="BK22" s="1">
        <f t="shared" si="30"/>
        <v>0.51471843025831654</v>
      </c>
      <c r="BL22" s="112">
        <f t="shared" si="31"/>
        <v>0.34983878653480505</v>
      </c>
      <c r="BM22" s="112">
        <f t="shared" si="32"/>
        <v>0.21286149994093809</v>
      </c>
      <c r="BN22" s="113">
        <f t="shared" si="33"/>
        <v>0.74808671727876153</v>
      </c>
      <c r="BO22" s="114">
        <f t="shared" si="25"/>
        <v>0</v>
      </c>
      <c r="BP22" s="115">
        <f t="shared" si="34"/>
        <v>1.6305600505495843E-3</v>
      </c>
      <c r="BQ22" s="116">
        <f t="shared" si="35"/>
        <v>0</v>
      </c>
      <c r="BR22" s="117">
        <f t="shared" si="36"/>
        <v>0</v>
      </c>
      <c r="BS22" s="118">
        <f t="shared" si="37"/>
        <v>360295.2</v>
      </c>
      <c r="BT22" s="119">
        <f t="shared" si="38"/>
        <v>360295.2</v>
      </c>
      <c r="BU22" s="119">
        <f t="shared" si="39"/>
        <v>360295.2</v>
      </c>
      <c r="BV22" s="119">
        <f t="shared" si="56"/>
        <v>0</v>
      </c>
      <c r="BW22" s="120">
        <f t="shared" si="40"/>
        <v>0</v>
      </c>
      <c r="BX22" s="121">
        <f t="shared" si="41"/>
        <v>0</v>
      </c>
      <c r="BY22" s="122">
        <f t="shared" si="42"/>
        <v>360295.2</v>
      </c>
      <c r="BZ22" s="123">
        <f t="shared" si="58"/>
        <v>4553420504839.8818</v>
      </c>
      <c r="CA22" s="111">
        <f t="shared" si="57"/>
        <v>4553420865135</v>
      </c>
      <c r="CC22" s="124">
        <f t="shared" si="26"/>
        <v>1</v>
      </c>
      <c r="CD22" s="17"/>
      <c r="CE22" s="108">
        <f t="shared" si="44"/>
        <v>1200984</v>
      </c>
      <c r="CF22" s="125">
        <f t="shared" si="45"/>
        <v>3791408.4326976878</v>
      </c>
      <c r="CG22" s="110">
        <f t="shared" si="46"/>
        <v>360295.2</v>
      </c>
      <c r="CH22" s="126">
        <f t="shared" si="47"/>
        <v>4553420504839.7998</v>
      </c>
      <c r="CJ22" s="127">
        <f t="shared" si="48"/>
        <v>0</v>
      </c>
      <c r="CK22" s="128" t="e">
        <f t="shared" si="49"/>
        <v>#DIV/0!</v>
      </c>
      <c r="CL22" s="129" t="e">
        <f t="shared" si="50"/>
        <v>#DIV/0!</v>
      </c>
      <c r="CM22" s="130" t="e">
        <f t="shared" si="51"/>
        <v>#DIV/0!</v>
      </c>
      <c r="CO22" s="131" t="e">
        <f t="shared" si="52"/>
        <v>#DIV/0!</v>
      </c>
      <c r="CP22" s="1">
        <f t="shared" si="53"/>
        <v>0</v>
      </c>
      <c r="CQ22" s="132">
        <f t="shared" si="54"/>
        <v>0.3</v>
      </c>
      <c r="CS22" s="104">
        <f t="shared" si="55"/>
        <v>1.3133363766255255E-3</v>
      </c>
    </row>
    <row r="23" spans="1:97">
      <c r="A23" s="133" t="s">
        <v>92</v>
      </c>
      <c r="B23" s="90" t="s">
        <v>97</v>
      </c>
      <c r="C23" s="91">
        <f>'Sizing - Reimb Expen-24'!B16</f>
        <v>67079</v>
      </c>
      <c r="D23" s="92">
        <f>'Ridership-24'!$E15</f>
        <v>3001</v>
      </c>
      <c r="E23" s="92">
        <f>'Revenue Hours-24'!$F15</f>
        <v>880</v>
      </c>
      <c r="F23" s="92">
        <f>'Revenue Miles-24'!$F15</f>
        <v>6777</v>
      </c>
      <c r="G23" s="93">
        <f t="shared" si="0"/>
        <v>1.2445998923312263E-4</v>
      </c>
      <c r="H23" s="94">
        <f t="shared" si="1"/>
        <v>1.174991108783979E-4</v>
      </c>
      <c r="J23" s="95">
        <f>'Ridership-24'!B15/'Revenue Hours-24'!C15</f>
        <v>8.7948148148148153</v>
      </c>
      <c r="K23" s="96">
        <f>'Ridership-24'!C15/'Revenue Hours-24'!D15</f>
        <v>8.9790310918293557</v>
      </c>
      <c r="L23" s="96">
        <f>'Ridership-24'!D15/'Revenue Hours-24'!E15</f>
        <v>1.0119225037257824</v>
      </c>
      <c r="M23" s="96">
        <f>'Ridership-24'!E15/'Revenue Hours-24'!F15</f>
        <v>3.4102272727272727</v>
      </c>
      <c r="N23" s="97">
        <f t="shared" si="2"/>
        <v>1.2867202290035118</v>
      </c>
      <c r="O23" s="98">
        <f t="shared" si="3"/>
        <v>1.5118848285716117E-4</v>
      </c>
      <c r="P23" s="99">
        <f t="shared" si="4"/>
        <v>1.4507005218871853E-4</v>
      </c>
      <c r="Q23" s="95">
        <f>'Ridership-24'!B15/'Revenue Miles-24'!C15</f>
        <v>0.80829191912315335</v>
      </c>
      <c r="R23" s="96">
        <f>'Ridership-24'!C15/'Revenue Miles-24'!D15</f>
        <v>0.71335018382352944</v>
      </c>
      <c r="S23" s="96">
        <f>'Ridership-24'!D15/'Revenue Miles-24'!E15</f>
        <v>0.14279705573080967</v>
      </c>
      <c r="T23" s="96">
        <f>'Ridership-24'!E15/'Revenue Miles-24'!F15</f>
        <v>0.44282130736314002</v>
      </c>
      <c r="U23" s="97">
        <f t="shared" si="5"/>
        <v>1.2471062801138642</v>
      </c>
      <c r="V23" s="98">
        <f t="shared" si="6"/>
        <v>1.4653387908424527E-4</v>
      </c>
      <c r="W23" s="99">
        <f t="shared" si="7"/>
        <v>1.4108742373577756E-4</v>
      </c>
      <c r="X23" s="95">
        <f>'Op Cost-24'!B16/'Revenue Hours-24'!C15</f>
        <v>61.958518518518517</v>
      </c>
      <c r="Y23" s="96">
        <f>'Op Cost-24'!C16/'Revenue Hours-24'!D15</f>
        <v>67.96963123644251</v>
      </c>
      <c r="Z23" s="96">
        <f>'Op Cost-24'!D16/'Revenue Hours-24'!E15</f>
        <v>58.488077496274215</v>
      </c>
      <c r="AA23" s="96">
        <f>'Op Cost-24'!E16/'Revenue Hours-24'!F15</f>
        <v>76.226136363636357</v>
      </c>
      <c r="AB23" s="97">
        <f t="shared" si="8"/>
        <v>1.0272513597950881</v>
      </c>
      <c r="AC23" s="98">
        <f t="shared" si="9"/>
        <v>1.1438204462619173E-4</v>
      </c>
      <c r="AD23" s="99">
        <f t="shared" si="10"/>
        <v>1.150195180510696E-4</v>
      </c>
      <c r="AE23" s="95">
        <f>'Op Cost-24'!B16/'Revenue Miles-24'!C15</f>
        <v>5.6943290897950849</v>
      </c>
      <c r="AF23" s="96">
        <f>'Op Cost-24'!C16/'Revenue Miles-24'!D15</f>
        <v>5.399931066176471</v>
      </c>
      <c r="AG23" s="96">
        <f>'Op Cost-24'!D16/'Revenue Miles-24'!E15</f>
        <v>8.2535226077812833</v>
      </c>
      <c r="AH23" s="96">
        <f>'Op Cost-24'!E16/'Revenue Miles-24'!F15</f>
        <v>9.8980374797107871</v>
      </c>
      <c r="AI23" s="97">
        <f t="shared" si="11"/>
        <v>1.1318796204022947</v>
      </c>
      <c r="AJ23" s="98">
        <f t="shared" si="12"/>
        <v>1.0380884041064027E-4</v>
      </c>
      <c r="AK23" s="99">
        <f t="shared" si="13"/>
        <v>1.0392616438961232E-4</v>
      </c>
      <c r="AL23" s="95">
        <f>'Op Cost-24'!B16/'Ridership-24'!B15</f>
        <v>7.0448917712456831</v>
      </c>
      <c r="AM23" s="96">
        <f>'Op Cost-24'!C16/'Ridership-24'!C15</f>
        <v>7.5698180061201485</v>
      </c>
      <c r="AN23" s="96">
        <f>'Op Cost-24'!D16/'Ridership-24'!D15</f>
        <v>57.798969072164951</v>
      </c>
      <c r="AO23" s="96">
        <f>'Op Cost-24'!E16/'Ridership-24'!E15</f>
        <v>22.352215928023991</v>
      </c>
      <c r="AP23" s="100">
        <f t="shared" si="14"/>
        <v>1.5866490338867194</v>
      </c>
      <c r="AQ23" s="98">
        <f t="shared" si="15"/>
        <v>7.4054884457066945E-5</v>
      </c>
      <c r="AR23" s="99">
        <f t="shared" si="16"/>
        <v>7.8396614373894965E-5</v>
      </c>
      <c r="AT23" s="101">
        <f t="shared" si="27"/>
        <v>0</v>
      </c>
      <c r="AU23" s="102">
        <f t="shared" si="17"/>
        <v>0</v>
      </c>
      <c r="AV23" s="102">
        <f t="shared" si="18"/>
        <v>0</v>
      </c>
      <c r="AW23" s="102">
        <f t="shared" si="19"/>
        <v>0</v>
      </c>
      <c r="AX23" s="103">
        <f t="shared" si="20"/>
        <v>0</v>
      </c>
      <c r="AY23" s="104">
        <f t="shared" si="28"/>
        <v>-1</v>
      </c>
      <c r="AZ23" s="105">
        <f t="shared" si="21"/>
        <v>0</v>
      </c>
      <c r="BA23" s="106">
        <f t="shared" si="21"/>
        <v>0</v>
      </c>
      <c r="BB23" s="106">
        <f t="shared" si="21"/>
        <v>0</v>
      </c>
      <c r="BC23" s="106">
        <f t="shared" si="21"/>
        <v>0</v>
      </c>
      <c r="BD23" s="106">
        <f t="shared" si="21"/>
        <v>0</v>
      </c>
      <c r="BE23" s="107">
        <f t="shared" si="29"/>
        <v>14875.723437662642</v>
      </c>
      <c r="BG23" s="108">
        <f>'Op Cost-24'!E16</f>
        <v>67079</v>
      </c>
      <c r="BH23" s="109">
        <f t="shared" si="22"/>
        <v>0.22176423974213452</v>
      </c>
      <c r="BI23" s="110">
        <f t="shared" si="23"/>
        <v>14875.723437662642</v>
      </c>
      <c r="BJ23" s="111">
        <f t="shared" si="24"/>
        <v>0</v>
      </c>
      <c r="BK23" s="1">
        <f t="shared" si="30"/>
        <v>0.58919547016895712</v>
      </c>
      <c r="BL23" s="112">
        <f t="shared" si="31"/>
        <v>0.38087766078642049</v>
      </c>
      <c r="BM23" s="112">
        <f t="shared" si="32"/>
        <v>0.71443951837920949</v>
      </c>
      <c r="BN23" s="113">
        <f t="shared" si="33"/>
        <v>0.63073235075509926</v>
      </c>
      <c r="BO23" s="114">
        <f t="shared" si="25"/>
        <v>14875.723437662642</v>
      </c>
      <c r="BP23" s="115">
        <f t="shared" si="34"/>
        <v>6.9229943878432076E-5</v>
      </c>
      <c r="BQ23" s="116">
        <f t="shared" si="35"/>
        <v>6.9229943878432076E-5</v>
      </c>
      <c r="BR23" s="117">
        <f t="shared" si="36"/>
        <v>1.1559506504246763E-4</v>
      </c>
      <c r="BS23" s="118">
        <f t="shared" si="37"/>
        <v>16336.617003335101</v>
      </c>
      <c r="BT23" s="119">
        <f t="shared" si="38"/>
        <v>20123.7</v>
      </c>
      <c r="BU23" s="119">
        <f t="shared" si="39"/>
        <v>16336.617003335101</v>
      </c>
      <c r="BV23" s="119">
        <f t="shared" si="56"/>
        <v>0</v>
      </c>
      <c r="BW23" s="120">
        <f t="shared" si="40"/>
        <v>6.9229943878432076E-5</v>
      </c>
      <c r="BX23" s="121">
        <f t="shared" si="41"/>
        <v>1.5639459265389432E-4</v>
      </c>
      <c r="BY23" s="122">
        <f t="shared" si="42"/>
        <v>16697.616364274076</v>
      </c>
      <c r="BZ23" s="123">
        <f t="shared" si="58"/>
        <v>211024928267.25287</v>
      </c>
      <c r="CA23" s="111">
        <f t="shared" si="57"/>
        <v>211024943143</v>
      </c>
      <c r="CC23" s="124">
        <f t="shared" si="26"/>
        <v>1</v>
      </c>
      <c r="CD23" s="17"/>
      <c r="CE23" s="108">
        <f t="shared" si="44"/>
        <v>67079</v>
      </c>
      <c r="CF23" s="125">
        <f t="shared" si="45"/>
        <v>3145916.6526483698</v>
      </c>
      <c r="CG23" s="110">
        <f t="shared" si="46"/>
        <v>20123.7</v>
      </c>
      <c r="CH23" s="126">
        <f t="shared" si="47"/>
        <v>211024923019.29999</v>
      </c>
      <c r="CJ23" s="127">
        <f t="shared" si="48"/>
        <v>0</v>
      </c>
      <c r="CK23" s="128" t="e">
        <f t="shared" si="49"/>
        <v>#DIV/0!</v>
      </c>
      <c r="CL23" s="129" t="e">
        <f t="shared" si="50"/>
        <v>#DIV/0!</v>
      </c>
      <c r="CM23" s="130" t="e">
        <f t="shared" si="51"/>
        <v>#DIV/0!</v>
      </c>
      <c r="CO23" s="131" t="e">
        <f t="shared" si="52"/>
        <v>#DIV/0!</v>
      </c>
      <c r="CP23" s="1">
        <f t="shared" si="53"/>
        <v>0</v>
      </c>
      <c r="CQ23" s="132">
        <f t="shared" si="54"/>
        <v>0.24892464652535184</v>
      </c>
      <c r="CS23" s="104">
        <f t="shared" si="55"/>
        <v>5.5761334037739313E-5</v>
      </c>
    </row>
    <row r="24" spans="1:97">
      <c r="A24" s="133" t="s">
        <v>92</v>
      </c>
      <c r="B24" s="90" t="s">
        <v>98</v>
      </c>
      <c r="C24" s="91">
        <f>'Sizing - Reimb Expen-24'!B17</f>
        <v>7123342</v>
      </c>
      <c r="D24" s="92">
        <f>'Ridership-24'!$E16</f>
        <v>1544283</v>
      </c>
      <c r="E24" s="92">
        <f>'Revenue Hours-24'!$F16</f>
        <v>79332</v>
      </c>
      <c r="F24" s="92">
        <f>'Revenue Miles-24'!$F16</f>
        <v>1099092</v>
      </c>
      <c r="G24" s="134">
        <f t="shared" si="0"/>
        <v>2.4722263263895098E-2</v>
      </c>
      <c r="H24" s="94">
        <f t="shared" si="1"/>
        <v>2.3339580617899373E-2</v>
      </c>
      <c r="J24" s="95">
        <f>'Ridership-24'!B16/'Revenue Hours-24'!C16</f>
        <v>23.927803085810158</v>
      </c>
      <c r="K24" s="96">
        <f>'Ridership-24'!C16/'Revenue Hours-24'!D16</f>
        <v>23.310953988801508</v>
      </c>
      <c r="L24" s="96">
        <f>'Ridership-24'!D16/'Revenue Hours-24'!E16</f>
        <v>14.316342020333447</v>
      </c>
      <c r="M24" s="96">
        <f>'Ridership-24'!E16/'Revenue Hours-24'!F16</f>
        <v>19.466079261836335</v>
      </c>
      <c r="N24" s="97">
        <f t="shared" si="2"/>
        <v>1.076344980447</v>
      </c>
      <c r="O24" s="98">
        <f t="shared" si="3"/>
        <v>2.5121440443814081E-2</v>
      </c>
      <c r="P24" s="99">
        <f t="shared" si="4"/>
        <v>2.4104803536410875E-2</v>
      </c>
      <c r="Q24" s="95">
        <f>'Ridership-24'!B16/'Revenue Miles-24'!C16</f>
        <v>1.6630463742338306</v>
      </c>
      <c r="R24" s="96">
        <f>'Ridership-24'!C16/'Revenue Miles-24'!D16</f>
        <v>1.6285925776934442</v>
      </c>
      <c r="S24" s="96">
        <f>'Ridership-24'!D16/'Revenue Miles-24'!E16</f>
        <v>1.0462325686324412</v>
      </c>
      <c r="T24" s="96">
        <f>'Ridership-24'!E16/'Revenue Miles-24'!F16</f>
        <v>1.4050534441156883</v>
      </c>
      <c r="U24" s="97">
        <f t="shared" si="5"/>
        <v>1.0964259555786009</v>
      </c>
      <c r="V24" s="98">
        <f t="shared" si="6"/>
        <v>2.5590121981784113E-2</v>
      </c>
      <c r="W24" s="99">
        <f t="shared" si="7"/>
        <v>2.4638973635704369E-2</v>
      </c>
      <c r="X24" s="95">
        <f>'Op Cost-24'!B17/'Revenue Hours-24'!C16</f>
        <v>80.153154301126648</v>
      </c>
      <c r="Y24" s="96">
        <f>'Op Cost-24'!C17/'Revenue Hours-24'!D16</f>
        <v>79.983720905617247</v>
      </c>
      <c r="Z24" s="96">
        <f>'Op Cost-24'!D17/'Revenue Hours-24'!E16</f>
        <v>90.654407919074401</v>
      </c>
      <c r="AA24" s="96">
        <f>'Op Cost-24'!E17/'Revenue Hours-24'!F16</f>
        <v>94.089194776382797</v>
      </c>
      <c r="AB24" s="97">
        <f t="shared" si="8"/>
        <v>0.98105796356384378</v>
      </c>
      <c r="AC24" s="98">
        <f t="shared" si="9"/>
        <v>2.3790215751488077E-2</v>
      </c>
      <c r="AD24" s="99">
        <f t="shared" si="10"/>
        <v>2.3922803259984249E-2</v>
      </c>
      <c r="AE24" s="95">
        <f>'Op Cost-24'!B17/'Revenue Miles-24'!C16</f>
        <v>5.5708588108092147</v>
      </c>
      <c r="AF24" s="96">
        <f>'Op Cost-24'!C17/'Revenue Miles-24'!D16</f>
        <v>5.5879692553882192</v>
      </c>
      <c r="AG24" s="96">
        <f>'Op Cost-24'!D17/'Revenue Miles-24'!E16</f>
        <v>6.6249879976545323</v>
      </c>
      <c r="AH24" s="96">
        <f>'Op Cost-24'!E17/'Revenue Miles-24'!F16</f>
        <v>6.7913186521237527</v>
      </c>
      <c r="AI24" s="97">
        <f t="shared" si="11"/>
        <v>0.99833996202258612</v>
      </c>
      <c r="AJ24" s="98">
        <f t="shared" si="12"/>
        <v>2.3378389632540169E-2</v>
      </c>
      <c r="AK24" s="99">
        <f t="shared" si="13"/>
        <v>2.3404811714540109E-2</v>
      </c>
      <c r="AL24" s="95">
        <f>'Op Cost-24'!B17/'Ridership-24'!B16</f>
        <v>3.3497916216411721</v>
      </c>
      <c r="AM24" s="96">
        <f>'Op Cost-24'!C17/'Ridership-24'!C16</f>
        <v>3.4311646337614974</v>
      </c>
      <c r="AN24" s="96">
        <f>'Op Cost-24'!D17/'Ridership-24'!D16</f>
        <v>6.3322326185221254</v>
      </c>
      <c r="AO24" s="96">
        <f>'Op Cost-24'!E17/'Ridership-24'!E16</f>
        <v>4.833494896984555</v>
      </c>
      <c r="AP24" s="97">
        <f t="shared" si="14"/>
        <v>0.9196236726899828</v>
      </c>
      <c r="AQ24" s="98">
        <f t="shared" si="15"/>
        <v>2.5379490884166758E-2</v>
      </c>
      <c r="AR24" s="99">
        <f t="shared" si="16"/>
        <v>2.6867453435908142E-2</v>
      </c>
      <c r="AT24" s="101">
        <f t="shared" si="27"/>
        <v>0</v>
      </c>
      <c r="AU24" s="102">
        <f t="shared" si="17"/>
        <v>0</v>
      </c>
      <c r="AV24" s="102">
        <f t="shared" si="18"/>
        <v>0</v>
      </c>
      <c r="AW24" s="102">
        <f t="shared" si="19"/>
        <v>0</v>
      </c>
      <c r="AX24" s="103">
        <f t="shared" si="20"/>
        <v>0</v>
      </c>
      <c r="AY24" s="104">
        <f t="shared" si="28"/>
        <v>-1</v>
      </c>
      <c r="AZ24" s="105">
        <f t="shared" si="21"/>
        <v>0</v>
      </c>
      <c r="BA24" s="106">
        <f t="shared" si="21"/>
        <v>0</v>
      </c>
      <c r="BB24" s="106">
        <f t="shared" si="21"/>
        <v>0</v>
      </c>
      <c r="BC24" s="106">
        <f t="shared" si="21"/>
        <v>0</v>
      </c>
      <c r="BD24" s="106">
        <f t="shared" si="21"/>
        <v>0</v>
      </c>
      <c r="BE24" s="107">
        <f t="shared" si="29"/>
        <v>2954857.6480907956</v>
      </c>
      <c r="BG24" s="108">
        <f>'Op Cost-24'!E17</f>
        <v>7464284</v>
      </c>
      <c r="BH24" s="109">
        <f t="shared" si="22"/>
        <v>0.39586618731157547</v>
      </c>
      <c r="BI24" s="110">
        <f t="shared" si="23"/>
        <v>2239285.1999999997</v>
      </c>
      <c r="BJ24" s="111">
        <f t="shared" si="24"/>
        <v>715572.44809079589</v>
      </c>
      <c r="BK24" s="1">
        <f t="shared" si="30"/>
        <v>2.5686406278896179</v>
      </c>
      <c r="BL24" s="112">
        <f t="shared" si="31"/>
        <v>2.1741057533687176</v>
      </c>
      <c r="BM24" s="112">
        <f t="shared" si="32"/>
        <v>2.2668866407728316</v>
      </c>
      <c r="BN24" s="113">
        <f t="shared" si="33"/>
        <v>2.9167850587084612</v>
      </c>
      <c r="BO24" s="114">
        <f t="shared" si="25"/>
        <v>0</v>
      </c>
      <c r="BP24" s="115">
        <f t="shared" si="34"/>
        <v>5.9950995013041401E-2</v>
      </c>
      <c r="BQ24" s="116">
        <f t="shared" si="35"/>
        <v>0</v>
      </c>
      <c r="BR24" s="117">
        <f t="shared" si="36"/>
        <v>0</v>
      </c>
      <c r="BS24" s="118">
        <f t="shared" si="37"/>
        <v>2239285.1999999997</v>
      </c>
      <c r="BT24" s="119">
        <f t="shared" si="38"/>
        <v>2239285.1999999997</v>
      </c>
      <c r="BU24" s="119">
        <f t="shared" si="39"/>
        <v>2239285.1999999997</v>
      </c>
      <c r="BV24" s="119">
        <f t="shared" si="56"/>
        <v>0</v>
      </c>
      <c r="BW24" s="120">
        <f t="shared" si="40"/>
        <v>0</v>
      </c>
      <c r="BX24" s="121">
        <f t="shared" si="41"/>
        <v>0</v>
      </c>
      <c r="BY24" s="122">
        <f t="shared" si="42"/>
        <v>2239285.1999999997</v>
      </c>
      <c r="BZ24" s="123">
        <f t="shared" si="58"/>
        <v>28300147062365.73</v>
      </c>
      <c r="CA24" s="111">
        <f t="shared" si="57"/>
        <v>28300149301651</v>
      </c>
      <c r="CC24" s="124">
        <f t="shared" si="26"/>
        <v>1</v>
      </c>
      <c r="CD24" s="17"/>
      <c r="CE24" s="108">
        <f t="shared" si="44"/>
        <v>7464284</v>
      </c>
      <c r="CF24" s="125">
        <f t="shared" si="45"/>
        <v>3791408.4326977646</v>
      </c>
      <c r="CG24" s="110">
        <f t="shared" si="46"/>
        <v>2239285.1999999997</v>
      </c>
      <c r="CH24" s="126">
        <f t="shared" si="47"/>
        <v>28300147062365.801</v>
      </c>
      <c r="CJ24" s="127">
        <f t="shared" si="48"/>
        <v>0</v>
      </c>
      <c r="CK24" s="128" t="e">
        <f t="shared" si="49"/>
        <v>#DIV/0!</v>
      </c>
      <c r="CL24" s="129" t="e">
        <f t="shared" si="50"/>
        <v>#DIV/0!</v>
      </c>
      <c r="CM24" s="130" t="e">
        <f t="shared" si="51"/>
        <v>#DIV/0!</v>
      </c>
      <c r="CO24" s="131" t="e">
        <f t="shared" si="52"/>
        <v>#DIV/0!</v>
      </c>
      <c r="CP24" s="1">
        <f t="shared" si="53"/>
        <v>0</v>
      </c>
      <c r="CQ24" s="132">
        <f t="shared" si="54"/>
        <v>0.3</v>
      </c>
      <c r="CS24" s="104">
        <f t="shared" si="55"/>
        <v>4.8287594522498353E-2</v>
      </c>
    </row>
    <row r="25" spans="1:97">
      <c r="A25" s="133" t="s">
        <v>99</v>
      </c>
      <c r="B25" s="90" t="s">
        <v>100</v>
      </c>
      <c r="C25" s="91">
        <f>'Sizing - Reimb Expen-24'!B18</f>
        <v>3168403</v>
      </c>
      <c r="D25" s="92">
        <f>'Ridership-24'!$E17</f>
        <v>228559</v>
      </c>
      <c r="E25" s="92">
        <f>'Revenue Hours-24'!$F17</f>
        <v>35273</v>
      </c>
      <c r="F25" s="92">
        <f>'Revenue Miles-24'!$F17</f>
        <v>531990</v>
      </c>
      <c r="G25" s="93">
        <f t="shared" si="0"/>
        <v>6.9612310347670747E-3</v>
      </c>
      <c r="H25" s="94">
        <f t="shared" si="1"/>
        <v>6.5718988266356242E-3</v>
      </c>
      <c r="J25" s="95">
        <f>'Ridership-24'!B17/'Revenue Hours-24'!C17</f>
        <v>8.9080882352941178</v>
      </c>
      <c r="K25" s="96">
        <f>'Ridership-24'!C17/'Revenue Hours-24'!D17</f>
        <v>8.8925454444382677</v>
      </c>
      <c r="L25" s="96">
        <f>'Ridership-24'!D17/'Revenue Hours-24'!E17</f>
        <v>5.7639186016175321</v>
      </c>
      <c r="M25" s="96">
        <f>'Ridership-24'!E17/'Revenue Hours-24'!F17</f>
        <v>6.4797153630255435</v>
      </c>
      <c r="N25" s="97">
        <f t="shared" si="2"/>
        <v>1.0455356770573143</v>
      </c>
      <c r="O25" s="98">
        <f t="shared" si="3"/>
        <v>6.8711546892586467E-3</v>
      </c>
      <c r="P25" s="99">
        <f t="shared" si="4"/>
        <v>6.593086659314247E-3</v>
      </c>
      <c r="Q25" s="95">
        <f>'Ridership-24'!B17/'Revenue Miles-24'!C17</f>
        <v>0.57308420056764431</v>
      </c>
      <c r="R25" s="96">
        <f>'Ridership-24'!C17/'Revenue Miles-24'!D17</f>
        <v>0.59288580032429927</v>
      </c>
      <c r="S25" s="96">
        <f>'Ridership-24'!D17/'Revenue Miles-24'!E17</f>
        <v>0.39323250859241093</v>
      </c>
      <c r="T25" s="96">
        <f>'Ridership-24'!E17/'Revenue Miles-24'!F17</f>
        <v>0.42963025620782347</v>
      </c>
      <c r="U25" s="97">
        <f t="shared" si="5"/>
        <v>1.0619919413280272</v>
      </c>
      <c r="V25" s="98">
        <f t="shared" si="6"/>
        <v>6.9793035931101505E-3</v>
      </c>
      <c r="W25" s="99">
        <f t="shared" si="7"/>
        <v>6.7198928300782066E-3</v>
      </c>
      <c r="X25" s="95">
        <f>'Op Cost-24'!B18/'Revenue Hours-24'!C17</f>
        <v>71.858939628482972</v>
      </c>
      <c r="Y25" s="96">
        <f>'Op Cost-24'!C18/'Revenue Hours-24'!D17</f>
        <v>81.611429206737455</v>
      </c>
      <c r="Z25" s="96">
        <f>'Op Cost-24'!D18/'Revenue Hours-24'!E17</f>
        <v>72.997808505087406</v>
      </c>
      <c r="AA25" s="96">
        <f>'Op Cost-24'!E18/'Revenue Hours-24'!F17</f>
        <v>89.842457403679873</v>
      </c>
      <c r="AB25" s="97">
        <f t="shared" si="8"/>
        <v>1.0250571937013797</v>
      </c>
      <c r="AC25" s="98">
        <f t="shared" si="9"/>
        <v>6.4112508716759019E-3</v>
      </c>
      <c r="AD25" s="99">
        <f t="shared" si="10"/>
        <v>6.4469820221748726E-3</v>
      </c>
      <c r="AE25" s="95">
        <f>'Op Cost-24'!B18/'Revenue Miles-24'!C17</f>
        <v>4.6229024548125279</v>
      </c>
      <c r="AF25" s="96">
        <f>'Op Cost-24'!C18/'Revenue Miles-24'!D17</f>
        <v>5.4412156590224692</v>
      </c>
      <c r="AG25" s="96">
        <f>'Op Cost-24'!D18/'Revenue Miles-24'!E17</f>
        <v>4.9801382261276927</v>
      </c>
      <c r="AH25" s="96">
        <f>'Op Cost-24'!E18/'Revenue Miles-24'!F17</f>
        <v>5.9569033252504751</v>
      </c>
      <c r="AI25" s="97">
        <f t="shared" si="11"/>
        <v>1.0411556949490044</v>
      </c>
      <c r="AJ25" s="98">
        <f t="shared" si="12"/>
        <v>6.3121191753722425E-3</v>
      </c>
      <c r="AK25" s="99">
        <f t="shared" si="13"/>
        <v>6.3192530854946465E-3</v>
      </c>
      <c r="AL25" s="95">
        <f>'Op Cost-24'!B18/'Ridership-24'!B17</f>
        <v>8.0667072137628431</v>
      </c>
      <c r="AM25" s="96">
        <f>'Op Cost-24'!C18/'Ridership-24'!C17</f>
        <v>9.1775105021004197</v>
      </c>
      <c r="AN25" s="96">
        <f>'Op Cost-24'!D18/'Ridership-24'!D17</f>
        <v>12.664614743969837</v>
      </c>
      <c r="AO25" s="96">
        <f>'Op Cost-24'!E18/'Ridership-24'!E17</f>
        <v>13.865185794477576</v>
      </c>
      <c r="AP25" s="100">
        <f t="shared" si="14"/>
        <v>1.033331970083422</v>
      </c>
      <c r="AQ25" s="98">
        <f t="shared" si="15"/>
        <v>6.3599104807577642E-3</v>
      </c>
      <c r="AR25" s="99">
        <f t="shared" si="16"/>
        <v>6.7327827606228768E-3</v>
      </c>
      <c r="AT25" s="101">
        <f t="shared" si="27"/>
        <v>0</v>
      </c>
      <c r="AU25" s="102">
        <f t="shared" si="17"/>
        <v>0</v>
      </c>
      <c r="AV25" s="102">
        <f t="shared" si="18"/>
        <v>0</v>
      </c>
      <c r="AW25" s="102">
        <f t="shared" si="19"/>
        <v>0</v>
      </c>
      <c r="AX25" s="103">
        <f t="shared" si="20"/>
        <v>0</v>
      </c>
      <c r="AY25" s="104">
        <f t="shared" si="28"/>
        <v>-1</v>
      </c>
      <c r="AZ25" s="105">
        <f t="shared" si="21"/>
        <v>0</v>
      </c>
      <c r="BA25" s="106">
        <f t="shared" si="21"/>
        <v>0</v>
      </c>
      <c r="BB25" s="106">
        <f t="shared" si="21"/>
        <v>0</v>
      </c>
      <c r="BC25" s="106">
        <f t="shared" si="21"/>
        <v>0</v>
      </c>
      <c r="BD25" s="106">
        <f t="shared" si="21"/>
        <v>0</v>
      </c>
      <c r="BE25" s="107">
        <f t="shared" si="29"/>
        <v>832021.18445395457</v>
      </c>
      <c r="BG25" s="108">
        <f>'Op Cost-24'!E18</f>
        <v>3169013</v>
      </c>
      <c r="BH25" s="109">
        <f t="shared" si="22"/>
        <v>0.26254899694446016</v>
      </c>
      <c r="BI25" s="110">
        <f t="shared" si="23"/>
        <v>832021.18445395457</v>
      </c>
      <c r="BJ25" s="111">
        <f t="shared" si="24"/>
        <v>0</v>
      </c>
      <c r="BK25" s="1">
        <f t="shared" si="30"/>
        <v>0.86261935847201276</v>
      </c>
      <c r="BL25" s="112">
        <f t="shared" si="31"/>
        <v>0.72369922373451534</v>
      </c>
      <c r="BM25" s="112">
        <f t="shared" si="32"/>
        <v>0.69315732604199332</v>
      </c>
      <c r="BN25" s="113">
        <f t="shared" si="33"/>
        <v>1.0168104420557713</v>
      </c>
      <c r="BO25" s="114">
        <f t="shared" si="25"/>
        <v>832021.18445395457</v>
      </c>
      <c r="BP25" s="115">
        <f t="shared" si="34"/>
        <v>5.6690471497753952E-3</v>
      </c>
      <c r="BQ25" s="116">
        <f t="shared" si="35"/>
        <v>5.6690471497753952E-3</v>
      </c>
      <c r="BR25" s="117">
        <f t="shared" si="36"/>
        <v>9.465757695222678E-3</v>
      </c>
      <c r="BS25" s="118">
        <f t="shared" si="37"/>
        <v>951649.6868133333</v>
      </c>
      <c r="BT25" s="119">
        <f t="shared" si="38"/>
        <v>950703.89999999991</v>
      </c>
      <c r="BU25" s="119">
        <f t="shared" si="39"/>
        <v>950703.89999999991</v>
      </c>
      <c r="BV25" s="119">
        <f>BS25-BU25</f>
        <v>945.78681333339773</v>
      </c>
      <c r="BW25" s="120">
        <f t="shared" si="40"/>
        <v>0</v>
      </c>
      <c r="BX25" s="121">
        <f t="shared" si="41"/>
        <v>0</v>
      </c>
      <c r="BY25" s="122">
        <f t="shared" si="42"/>
        <v>950703.89999999991</v>
      </c>
      <c r="BZ25" s="123">
        <f t="shared" si="58"/>
        <v>12015021660824.912</v>
      </c>
      <c r="CA25" s="111">
        <f t="shared" si="57"/>
        <v>12015022492846</v>
      </c>
      <c r="CC25" s="124">
        <f t="shared" si="26"/>
        <v>1</v>
      </c>
      <c r="CD25" s="17"/>
      <c r="CE25" s="108">
        <f t="shared" si="44"/>
        <v>3169013</v>
      </c>
      <c r="CF25" s="125">
        <f t="shared" si="45"/>
        <v>3791408.3952467218</v>
      </c>
      <c r="CG25" s="110">
        <f t="shared" si="46"/>
        <v>950703.89999999991</v>
      </c>
      <c r="CH25" s="126">
        <f t="shared" si="47"/>
        <v>12015021542142.1</v>
      </c>
      <c r="CJ25" s="127">
        <f t="shared" si="48"/>
        <v>0</v>
      </c>
      <c r="CK25" s="128" t="e">
        <f t="shared" si="49"/>
        <v>#DIV/0!</v>
      </c>
      <c r="CL25" s="129" t="e">
        <f t="shared" si="50"/>
        <v>#DIV/0!</v>
      </c>
      <c r="CM25" s="130" t="e">
        <f t="shared" si="51"/>
        <v>#DIV/0!</v>
      </c>
      <c r="CO25" s="131" t="e">
        <f t="shared" si="52"/>
        <v>#DIV/0!</v>
      </c>
      <c r="CP25" s="1">
        <f t="shared" si="53"/>
        <v>0</v>
      </c>
      <c r="CQ25" s="132">
        <f t="shared" si="54"/>
        <v>0.3</v>
      </c>
      <c r="CS25" s="104">
        <f t="shared" si="55"/>
        <v>4.5661402289942045E-3</v>
      </c>
    </row>
    <row r="26" spans="1:97">
      <c r="A26" s="133" t="s">
        <v>99</v>
      </c>
      <c r="B26" s="90" t="s">
        <v>101</v>
      </c>
      <c r="C26" s="91">
        <f>'Sizing - Reimb Expen-24'!B19</f>
        <v>605988</v>
      </c>
      <c r="D26" s="92">
        <f>'Ridership-24'!$E18</f>
        <v>77681</v>
      </c>
      <c r="E26" s="92">
        <f>'Revenue Hours-24'!$F18</f>
        <v>11837</v>
      </c>
      <c r="F26" s="92">
        <f>'Revenue Miles-24'!$F18</f>
        <v>174059</v>
      </c>
      <c r="G26" s="93">
        <f t="shared" si="0"/>
        <v>1.9897381227359252E-3</v>
      </c>
      <c r="H26" s="94">
        <f t="shared" si="1"/>
        <v>1.8784547688206325E-3</v>
      </c>
      <c r="J26" s="95">
        <f>'Ridership-24'!B18/'Revenue Hours-24'!C18</f>
        <v>10.856297723051524</v>
      </c>
      <c r="K26" s="96">
        <f>'Ridership-24'!C18/'Revenue Hours-24'!D18</f>
        <v>12.121389319430746</v>
      </c>
      <c r="L26" s="96">
        <f>'Ridership-24'!D18/'Revenue Hours-24'!E18</f>
        <v>6.5520235467255334</v>
      </c>
      <c r="M26" s="96">
        <f>'Ridership-24'!E18/'Revenue Hours-24'!F18</f>
        <v>6.5625580805947452</v>
      </c>
      <c r="N26" s="97">
        <f t="shared" si="2"/>
        <v>0.98357091089663873</v>
      </c>
      <c r="O26" s="98">
        <f t="shared" si="3"/>
        <v>1.8475934680470445E-3</v>
      </c>
      <c r="P26" s="99">
        <f t="shared" si="4"/>
        <v>1.7728234040574919E-3</v>
      </c>
      <c r="Q26" s="95">
        <f>'Ridership-24'!B18/'Revenue Miles-24'!C18</f>
        <v>0.71788643403976582</v>
      </c>
      <c r="R26" s="96">
        <f>'Ridership-24'!C18/'Revenue Miles-24'!D18</f>
        <v>0.79351997048242784</v>
      </c>
      <c r="S26" s="96">
        <f>'Ridership-24'!D18/'Revenue Miles-24'!E18</f>
        <v>0.47317713453679738</v>
      </c>
      <c r="T26" s="96">
        <f>'Ridership-24'!E18/'Revenue Miles-24'!F18</f>
        <v>0.44629120011030743</v>
      </c>
      <c r="U26" s="97">
        <f t="shared" si="5"/>
        <v>1.0034455573175893</v>
      </c>
      <c r="V26" s="98">
        <f t="shared" si="6"/>
        <v>1.8849270923951031E-3</v>
      </c>
      <c r="W26" s="99">
        <f t="shared" si="7"/>
        <v>1.8148670400167397E-3</v>
      </c>
      <c r="X26" s="95">
        <f>'Op Cost-24'!B19/'Revenue Hours-24'!C18</f>
        <v>48.505056063837102</v>
      </c>
      <c r="Y26" s="96">
        <f>'Op Cost-24'!C19/'Revenue Hours-24'!D18</f>
        <v>47.958362688459914</v>
      </c>
      <c r="Z26" s="96">
        <f>'Op Cost-24'!D19/'Revenue Hours-24'!E18</f>
        <v>45.519278881530539</v>
      </c>
      <c r="AA26" s="96">
        <f>'Op Cost-24'!E19/'Revenue Hours-24'!F18</f>
        <v>51.194390470558417</v>
      </c>
      <c r="AB26" s="97">
        <f t="shared" si="8"/>
        <v>0.956622704001726</v>
      </c>
      <c r="AC26" s="98">
        <f t="shared" si="9"/>
        <v>1.9636318069419807E-3</v>
      </c>
      <c r="AD26" s="99">
        <f t="shared" si="10"/>
        <v>1.9745755096643902E-3</v>
      </c>
      <c r="AE26" s="95">
        <f>'Op Cost-24'!B19/'Revenue Miles-24'!C18</f>
        <v>3.2074582531602962</v>
      </c>
      <c r="AF26" s="96">
        <f>'Op Cost-24'!C19/'Revenue Miles-24'!D18</f>
        <v>3.1395673830827415</v>
      </c>
      <c r="AG26" s="96">
        <f>'Op Cost-24'!D19/'Revenue Miles-24'!E18</f>
        <v>3.2873328054671349</v>
      </c>
      <c r="AH26" s="96">
        <f>'Op Cost-24'!E19/'Revenue Miles-24'!F18</f>
        <v>3.4815091434513583</v>
      </c>
      <c r="AI26" s="97">
        <f t="shared" si="11"/>
        <v>0.96467791237883294</v>
      </c>
      <c r="AJ26" s="98">
        <f t="shared" si="12"/>
        <v>1.9472351804847336E-3</v>
      </c>
      <c r="AK26" s="99">
        <f t="shared" si="13"/>
        <v>1.949435931195994E-3</v>
      </c>
      <c r="AL26" s="95">
        <f>'Op Cost-24'!B19/'Ridership-24'!B18</f>
        <v>4.4679187418418689</v>
      </c>
      <c r="AM26" s="96">
        <f>'Op Cost-24'!C19/'Ridership-24'!C18</f>
        <v>3.95650708220237</v>
      </c>
      <c r="AN26" s="96">
        <f>'Op Cost-24'!D19/'Ridership-24'!D18</f>
        <v>6.9473619190943596</v>
      </c>
      <c r="AO26" s="96">
        <f>'Op Cost-24'!E19/'Ridership-24'!E18</f>
        <v>7.8009809348489334</v>
      </c>
      <c r="AP26" s="100">
        <f t="shared" si="14"/>
        <v>1.0159518574690711</v>
      </c>
      <c r="AQ26" s="98">
        <f t="shared" si="15"/>
        <v>1.8489604158018077E-3</v>
      </c>
      <c r="AR26" s="99">
        <f t="shared" si="16"/>
        <v>1.9573622695238466E-3</v>
      </c>
      <c r="AT26" s="101">
        <f t="shared" si="27"/>
        <v>0</v>
      </c>
      <c r="AU26" s="102">
        <f t="shared" si="17"/>
        <v>0</v>
      </c>
      <c r="AV26" s="102">
        <f t="shared" si="18"/>
        <v>0</v>
      </c>
      <c r="AW26" s="102">
        <f t="shared" si="19"/>
        <v>0</v>
      </c>
      <c r="AX26" s="103">
        <f t="shared" si="20"/>
        <v>0</v>
      </c>
      <c r="AY26" s="104">
        <f t="shared" si="28"/>
        <v>-1</v>
      </c>
      <c r="AZ26" s="105">
        <f t="shared" si="21"/>
        <v>0</v>
      </c>
      <c r="BA26" s="106">
        <f t="shared" si="21"/>
        <v>0</v>
      </c>
      <c r="BB26" s="106">
        <f t="shared" si="21"/>
        <v>0</v>
      </c>
      <c r="BC26" s="106">
        <f t="shared" si="21"/>
        <v>0</v>
      </c>
      <c r="BD26" s="106">
        <f t="shared" si="21"/>
        <v>0</v>
      </c>
      <c r="BE26" s="107">
        <f t="shared" si="29"/>
        <v>237817.74536194897</v>
      </c>
      <c r="BG26" s="108">
        <f>'Op Cost-24'!E19</f>
        <v>605988</v>
      </c>
      <c r="BH26" s="109">
        <f t="shared" si="22"/>
        <v>0.39244629491334643</v>
      </c>
      <c r="BI26" s="110">
        <f t="shared" si="23"/>
        <v>181796.4</v>
      </c>
      <c r="BJ26" s="111">
        <f t="shared" si="24"/>
        <v>56021.345361948974</v>
      </c>
      <c r="BK26" s="1">
        <f t="shared" si="30"/>
        <v>1.2668687019740705</v>
      </c>
      <c r="BL26" s="112">
        <f t="shared" si="31"/>
        <v>0.73295166879390683</v>
      </c>
      <c r="BM26" s="112">
        <f t="shared" si="32"/>
        <v>0.72003777768130961</v>
      </c>
      <c r="BN26" s="113">
        <f t="shared" si="33"/>
        <v>1.8072426807105326</v>
      </c>
      <c r="BO26" s="114">
        <f t="shared" si="25"/>
        <v>0</v>
      </c>
      <c r="BP26" s="115">
        <f t="shared" si="34"/>
        <v>2.3797555546927972E-3</v>
      </c>
      <c r="BQ26" s="116">
        <f t="shared" si="35"/>
        <v>0</v>
      </c>
      <c r="BR26" s="117">
        <f t="shared" si="36"/>
        <v>0</v>
      </c>
      <c r="BS26" s="118">
        <f t="shared" si="37"/>
        <v>181796.4</v>
      </c>
      <c r="BT26" s="119">
        <f t="shared" si="38"/>
        <v>181796.4</v>
      </c>
      <c r="BU26" s="119">
        <f t="shared" si="39"/>
        <v>181796.4</v>
      </c>
      <c r="BV26" s="119">
        <f t="shared" si="56"/>
        <v>0</v>
      </c>
      <c r="BW26" s="120">
        <f t="shared" si="40"/>
        <v>0</v>
      </c>
      <c r="BX26" s="121">
        <f t="shared" si="41"/>
        <v>0</v>
      </c>
      <c r="BY26" s="122">
        <f t="shared" si="42"/>
        <v>181796.4</v>
      </c>
      <c r="BZ26" s="123">
        <f t="shared" si="58"/>
        <v>2297547831517.2476</v>
      </c>
      <c r="CA26" s="111">
        <f t="shared" si="57"/>
        <v>2297548013314</v>
      </c>
      <c r="CC26" s="124">
        <f t="shared" si="26"/>
        <v>1</v>
      </c>
      <c r="CD26" s="17"/>
      <c r="CE26" s="108">
        <f t="shared" si="44"/>
        <v>605988</v>
      </c>
      <c r="CF26" s="125">
        <f t="shared" si="45"/>
        <v>3791408.4326983374</v>
      </c>
      <c r="CG26" s="110">
        <f t="shared" si="46"/>
        <v>181796.4</v>
      </c>
      <c r="CH26" s="126">
        <f t="shared" si="47"/>
        <v>2297547831517.6001</v>
      </c>
      <c r="CJ26" s="127">
        <f t="shared" si="48"/>
        <v>0</v>
      </c>
      <c r="CK26" s="128" t="e">
        <f t="shared" si="49"/>
        <v>#DIV/0!</v>
      </c>
      <c r="CL26" s="129" t="e">
        <f t="shared" si="50"/>
        <v>#DIV/0!</v>
      </c>
      <c r="CM26" s="130" t="e">
        <f t="shared" si="51"/>
        <v>#DIV/0!</v>
      </c>
      <c r="CO26" s="131" t="e">
        <f t="shared" si="52"/>
        <v>#DIV/0!</v>
      </c>
      <c r="CP26" s="1">
        <f t="shared" si="53"/>
        <v>0</v>
      </c>
      <c r="CQ26" s="132">
        <f t="shared" si="54"/>
        <v>0.3</v>
      </c>
      <c r="CS26" s="104">
        <f t="shared" si="55"/>
        <v>1.916776715093244E-3</v>
      </c>
    </row>
    <row r="27" spans="1:97">
      <c r="A27" s="133" t="s">
        <v>99</v>
      </c>
      <c r="B27" s="90" t="s">
        <v>102</v>
      </c>
      <c r="C27" s="91">
        <f>'Sizing - Reimb Expen-24'!B20</f>
        <v>7645579</v>
      </c>
      <c r="D27" s="92">
        <f>'Ridership-24'!$E19</f>
        <v>445943</v>
      </c>
      <c r="E27" s="92">
        <f>'Revenue Hours-24'!$F19</f>
        <v>74332</v>
      </c>
      <c r="F27" s="92">
        <f>'Revenue Miles-24'!$F19</f>
        <v>1073547</v>
      </c>
      <c r="G27" s="93">
        <f t="shared" si="0"/>
        <v>1.4960892233227486E-2</v>
      </c>
      <c r="H27" s="94">
        <f t="shared" si="1"/>
        <v>1.4124149826649104E-2</v>
      </c>
      <c r="J27" s="95">
        <f>'Ridership-24'!B19/'Revenue Hours-24'!C19</f>
        <v>22.056571921738222</v>
      </c>
      <c r="K27" s="96">
        <f>'Ridership-24'!C19/'Revenue Hours-24'!D19</f>
        <v>21.272344057919085</v>
      </c>
      <c r="L27" s="96">
        <f>'Ridership-24'!D19/'Revenue Hours-24'!E19</f>
        <v>6.2106387495687709</v>
      </c>
      <c r="M27" s="96">
        <f>'Ridership-24'!E19/'Revenue Hours-24'!F19</f>
        <v>5.9993407953505891</v>
      </c>
      <c r="N27" s="97">
        <f t="shared" si="2"/>
        <v>0.76216084942828932</v>
      </c>
      <c r="O27" s="98">
        <f t="shared" si="3"/>
        <v>1.0764874029331307E-2</v>
      </c>
      <c r="P27" s="99">
        <f t="shared" si="4"/>
        <v>1.0329231484619691E-2</v>
      </c>
      <c r="Q27" s="95">
        <f>'Ridership-24'!B19/'Revenue Miles-24'!C19</f>
        <v>1.8438212046014921</v>
      </c>
      <c r="R27" s="96">
        <f>'Ridership-24'!C19/'Revenue Miles-24'!D19</f>
        <v>1.6130997617774709</v>
      </c>
      <c r="S27" s="96">
        <f>'Ridership-24'!D19/'Revenue Miles-24'!E19</f>
        <v>0.43710720015539234</v>
      </c>
      <c r="T27" s="96">
        <f>'Ridership-24'!E19/'Revenue Miles-24'!F19</f>
        <v>0.41539215330115964</v>
      </c>
      <c r="U27" s="97">
        <f t="shared" si="5"/>
        <v>0.71974151668977804</v>
      </c>
      <c r="V27" s="98">
        <f t="shared" si="6"/>
        <v>1.0165737018186093E-2</v>
      </c>
      <c r="W27" s="99">
        <f t="shared" si="7"/>
        <v>9.7878910681584944E-3</v>
      </c>
      <c r="X27" s="95">
        <f>'Op Cost-24'!B20/'Revenue Hours-24'!C19</f>
        <v>79.05589855938392</v>
      </c>
      <c r="Y27" s="96">
        <f>'Op Cost-24'!C20/'Revenue Hours-24'!D19</f>
        <v>85.260382965718563</v>
      </c>
      <c r="Z27" s="96">
        <f>'Op Cost-24'!D20/'Revenue Hours-24'!E19</f>
        <v>88.890998593530242</v>
      </c>
      <c r="AA27" s="96">
        <f>'Op Cost-24'!E20/'Revenue Hours-24'!F19</f>
        <v>103.53699617930367</v>
      </c>
      <c r="AB27" s="97">
        <f t="shared" si="8"/>
        <v>1.0248251681607927</v>
      </c>
      <c r="AC27" s="98">
        <f t="shared" si="9"/>
        <v>1.3782009132345056E-2</v>
      </c>
      <c r="AD27" s="99">
        <f t="shared" si="10"/>
        <v>1.3858818955005653E-2</v>
      </c>
      <c r="AE27" s="95">
        <f>'Op Cost-24'!B20/'Revenue Miles-24'!C19</f>
        <v>6.6086852766524222</v>
      </c>
      <c r="AF27" s="96">
        <f>'Op Cost-24'!C20/'Revenue Miles-24'!D19</f>
        <v>6.465366631744411</v>
      </c>
      <c r="AG27" s="96">
        <f>'Op Cost-24'!D20/'Revenue Miles-24'!E19</f>
        <v>6.2561834749980854</v>
      </c>
      <c r="AH27" s="96">
        <f>'Op Cost-24'!E20/'Revenue Miles-24'!F19</f>
        <v>7.168863589577354</v>
      </c>
      <c r="AI27" s="97">
        <f t="shared" si="11"/>
        <v>0.9727281441536425</v>
      </c>
      <c r="AJ27" s="98">
        <f t="shared" si="12"/>
        <v>1.4520141019398934E-2</v>
      </c>
      <c r="AK27" s="99">
        <f t="shared" si="13"/>
        <v>1.4536551574732106E-2</v>
      </c>
      <c r="AL27" s="95">
        <f>'Op Cost-24'!B20/'Ridership-24'!B19</f>
        <v>3.5842332543739066</v>
      </c>
      <c r="AM27" s="96">
        <f>'Op Cost-24'!C20/'Ridership-24'!C19</f>
        <v>4.008038922912144</v>
      </c>
      <c r="AN27" s="96">
        <f>'Op Cost-24'!D20/'Ridership-24'!D19</f>
        <v>14.312698287225656</v>
      </c>
      <c r="AO27" s="96">
        <f>'Op Cost-24'!E20/'Ridership-24'!E19</f>
        <v>17.258062129016487</v>
      </c>
      <c r="AP27" s="97">
        <f t="shared" si="14"/>
        <v>1.3818582831318029</v>
      </c>
      <c r="AQ27" s="98">
        <f t="shared" si="15"/>
        <v>1.0221127592504309E-2</v>
      </c>
      <c r="AR27" s="99">
        <f t="shared" si="16"/>
        <v>1.0820377402661259E-2</v>
      </c>
      <c r="AT27" s="101">
        <f t="shared" si="27"/>
        <v>0</v>
      </c>
      <c r="AU27" s="102">
        <f t="shared" si="17"/>
        <v>0</v>
      </c>
      <c r="AV27" s="102">
        <f t="shared" si="18"/>
        <v>0</v>
      </c>
      <c r="AW27" s="102">
        <f t="shared" si="19"/>
        <v>0</v>
      </c>
      <c r="AX27" s="103">
        <f t="shared" si="20"/>
        <v>0</v>
      </c>
      <c r="AY27" s="104">
        <f t="shared" si="28"/>
        <v>-1</v>
      </c>
      <c r="AZ27" s="105">
        <f t="shared" si="21"/>
        <v>0</v>
      </c>
      <c r="BA27" s="106">
        <f t="shared" si="21"/>
        <v>0</v>
      </c>
      <c r="BB27" s="106">
        <f t="shared" si="21"/>
        <v>0</v>
      </c>
      <c r="BC27" s="106">
        <f t="shared" si="21"/>
        <v>0</v>
      </c>
      <c r="BD27" s="106">
        <f t="shared" si="21"/>
        <v>0</v>
      </c>
      <c r="BE27" s="107">
        <f t="shared" si="29"/>
        <v>1788157.7574726208</v>
      </c>
      <c r="BG27" s="108">
        <f>'Op Cost-24'!E20</f>
        <v>7696112</v>
      </c>
      <c r="BH27" s="109">
        <f t="shared" si="22"/>
        <v>0.23234559963168686</v>
      </c>
      <c r="BI27" s="110">
        <f t="shared" si="23"/>
        <v>1788157.7574726208</v>
      </c>
      <c r="BJ27" s="111">
        <f t="shared" si="24"/>
        <v>0</v>
      </c>
      <c r="BK27" s="1">
        <f t="shared" si="30"/>
        <v>0.743512864459001</v>
      </c>
      <c r="BL27" s="112">
        <f t="shared" si="31"/>
        <v>0.67004768470057807</v>
      </c>
      <c r="BM27" s="112">
        <f t="shared" si="32"/>
        <v>0.67018584022112548</v>
      </c>
      <c r="BN27" s="113">
        <f t="shared" si="33"/>
        <v>0.81690896645715028</v>
      </c>
      <c r="BO27" s="114">
        <f t="shared" si="25"/>
        <v>1788157.7574726208</v>
      </c>
      <c r="BP27" s="115">
        <f t="shared" si="34"/>
        <v>1.0501487095659979E-2</v>
      </c>
      <c r="BQ27" s="116">
        <f t="shared" si="35"/>
        <v>1.0501487095659979E-2</v>
      </c>
      <c r="BR27" s="117">
        <f t="shared" si="36"/>
        <v>1.753461025473451E-2</v>
      </c>
      <c r="BS27" s="118">
        <f t="shared" si="37"/>
        <v>2009760.6372175738</v>
      </c>
      <c r="BT27" s="119">
        <f t="shared" si="38"/>
        <v>2308833.6</v>
      </c>
      <c r="BU27" s="119">
        <f t="shared" si="39"/>
        <v>2009760.6372175738</v>
      </c>
      <c r="BV27" s="119">
        <f t="shared" si="56"/>
        <v>0</v>
      </c>
      <c r="BW27" s="120">
        <f t="shared" si="40"/>
        <v>1.0501487095659979E-2</v>
      </c>
      <c r="BX27" s="121">
        <f t="shared" si="41"/>
        <v>2.3723488776329002E-2</v>
      </c>
      <c r="BY27" s="122">
        <f t="shared" si="42"/>
        <v>2064520.6141590429</v>
      </c>
      <c r="BZ27" s="123">
        <f t="shared" si="58"/>
        <v>26091467488815.867</v>
      </c>
      <c r="CA27" s="111">
        <f t="shared" si="57"/>
        <v>26091469276974</v>
      </c>
      <c r="CC27" s="124">
        <f t="shared" si="26"/>
        <v>1</v>
      </c>
      <c r="CD27" s="17"/>
      <c r="CE27" s="108">
        <f t="shared" si="44"/>
        <v>7696112</v>
      </c>
      <c r="CF27" s="125">
        <f t="shared" si="45"/>
        <v>3390214.3416018374</v>
      </c>
      <c r="CG27" s="110">
        <f t="shared" si="46"/>
        <v>2308833.6</v>
      </c>
      <c r="CH27" s="126">
        <f t="shared" si="47"/>
        <v>26091466968140.398</v>
      </c>
      <c r="CJ27" s="127">
        <f t="shared" si="48"/>
        <v>0</v>
      </c>
      <c r="CK27" s="128" t="e">
        <f t="shared" si="49"/>
        <v>#DIV/0!</v>
      </c>
      <c r="CL27" s="129" t="e">
        <f t="shared" si="50"/>
        <v>#DIV/0!</v>
      </c>
      <c r="CM27" s="130" t="e">
        <f t="shared" si="51"/>
        <v>#DIV/0!</v>
      </c>
      <c r="CO27" s="131" t="e">
        <f t="shared" si="52"/>
        <v>#DIV/0!</v>
      </c>
      <c r="CP27" s="1">
        <f t="shared" si="53"/>
        <v>0</v>
      </c>
      <c r="CQ27" s="132">
        <f t="shared" si="54"/>
        <v>0.26825501164211785</v>
      </c>
      <c r="CS27" s="104">
        <f t="shared" si="55"/>
        <v>8.4584342703264235E-3</v>
      </c>
    </row>
    <row r="28" spans="1:97">
      <c r="A28" s="133" t="s">
        <v>99</v>
      </c>
      <c r="B28" s="90" t="s">
        <v>103</v>
      </c>
      <c r="C28" s="91">
        <f>'Sizing - Reimb Expen-24'!B21</f>
        <v>107836</v>
      </c>
      <c r="D28" s="92">
        <f>'Ridership-24'!$E20</f>
        <v>14878</v>
      </c>
      <c r="E28" s="92">
        <f>'Revenue Hours-24'!$F20</f>
        <v>3043</v>
      </c>
      <c r="F28" s="92">
        <f>'Revenue Miles-24'!$F20</f>
        <v>48696</v>
      </c>
      <c r="G28" s="134">
        <f t="shared" si="0"/>
        <v>4.3902978316868741E-4</v>
      </c>
      <c r="H28" s="94">
        <f t="shared" si="1"/>
        <v>4.1447544298620325E-4</v>
      </c>
      <c r="J28" s="95">
        <f>'Ridership-24'!B20/'Revenue Hours-24'!C20</f>
        <v>6.4826216484607748</v>
      </c>
      <c r="K28" s="96">
        <f>'Ridership-24'!C20/'Revenue Hours-24'!D20</f>
        <v>5.9558432934926957</v>
      </c>
      <c r="L28" s="96">
        <f>'Ridership-24'!D20/'Revenue Hours-24'!E20</f>
        <v>4.686815011624045</v>
      </c>
      <c r="M28" s="96">
        <f>'Ridership-24'!E20/'Revenue Hours-24'!F20</f>
        <v>4.8892540256325994</v>
      </c>
      <c r="N28" s="97">
        <f t="shared" si="2"/>
        <v>1.08799560674147</v>
      </c>
      <c r="O28" s="98">
        <f t="shared" si="3"/>
        <v>4.5094746107121375E-4</v>
      </c>
      <c r="P28" s="99">
        <f t="shared" si="4"/>
        <v>4.3269811612421031E-4</v>
      </c>
      <c r="Q28" s="95">
        <f>'Ridership-24'!B20/'Revenue Miles-24'!C20</f>
        <v>0.40805950867834895</v>
      </c>
      <c r="R28" s="96">
        <f>'Ridership-24'!C20/'Revenue Miles-24'!D20</f>
        <v>0.37067112984544176</v>
      </c>
      <c r="S28" s="96">
        <f>'Ridership-24'!D20/'Revenue Miles-24'!E20</f>
        <v>0.28707433174661295</v>
      </c>
      <c r="T28" s="96">
        <f>'Ridership-24'!E20/'Revenue Miles-24'!F20</f>
        <v>0.30552817479875144</v>
      </c>
      <c r="U28" s="97">
        <f t="shared" si="5"/>
        <v>1.0831024445606128</v>
      </c>
      <c r="V28" s="98">
        <f t="shared" si="6"/>
        <v>4.4891936550869963E-4</v>
      </c>
      <c r="W28" s="99">
        <f t="shared" si="7"/>
        <v>4.322336727898172E-4</v>
      </c>
      <c r="X28" s="95">
        <f>'Op Cost-24'!B21/'Revenue Hours-24'!C20</f>
        <v>33.555445216815627</v>
      </c>
      <c r="Y28" s="96">
        <f>'Op Cost-24'!C21/'Revenue Hours-24'!D20</f>
        <v>35.128818061088978</v>
      </c>
      <c r="Z28" s="96">
        <f>'Op Cost-24'!D21/'Revenue Hours-24'!E20</f>
        <v>38.42344735968117</v>
      </c>
      <c r="AA28" s="96">
        <f>'Op Cost-24'!E21/'Revenue Hours-24'!F20</f>
        <v>35.43739730529083</v>
      </c>
      <c r="AB28" s="97">
        <f t="shared" si="8"/>
        <v>0.9478174478679624</v>
      </c>
      <c r="AC28" s="98">
        <f t="shared" si="9"/>
        <v>4.3729459076590307E-4</v>
      </c>
      <c r="AD28" s="99">
        <f t="shared" si="10"/>
        <v>4.3973171873792986E-4</v>
      </c>
      <c r="AE28" s="95">
        <f>'Op Cost-24'!B21/'Revenue Miles-24'!C20</f>
        <v>2.1122038630633635</v>
      </c>
      <c r="AF28" s="96">
        <f>'Op Cost-24'!C21/'Revenue Miles-24'!D20</f>
        <v>2.1862963881312507</v>
      </c>
      <c r="AG28" s="96">
        <f>'Op Cost-24'!D21/'Revenue Miles-24'!E20</f>
        <v>2.3534928190731925</v>
      </c>
      <c r="AH28" s="96">
        <f>'Op Cost-24'!E21/'Revenue Miles-24'!F20</f>
        <v>2.2144734680466569</v>
      </c>
      <c r="AI28" s="97">
        <f t="shared" si="11"/>
        <v>0.95084288699013142</v>
      </c>
      <c r="AJ28" s="98">
        <f t="shared" si="12"/>
        <v>4.3590318511843161E-4</v>
      </c>
      <c r="AK28" s="99">
        <f t="shared" si="13"/>
        <v>4.3639583965461934E-4</v>
      </c>
      <c r="AL28" s="95">
        <f>'Op Cost-24'!B21/'Ridership-24'!B20</f>
        <v>5.1762152777777777</v>
      </c>
      <c r="AM28" s="96">
        <f>'Op Cost-24'!C21/'Ridership-24'!C20</f>
        <v>5.8982106025976924</v>
      </c>
      <c r="AN28" s="96">
        <f>'Op Cost-24'!D21/'Ridership-24'!D20</f>
        <v>8.1982001133786842</v>
      </c>
      <c r="AO28" s="96">
        <f>'Op Cost-24'!E21/'Ridership-24'!E20</f>
        <v>7.2480172066137918</v>
      </c>
      <c r="AP28" s="100">
        <f t="shared" si="14"/>
        <v>0.94501573326470911</v>
      </c>
      <c r="AQ28" s="98">
        <f t="shared" si="15"/>
        <v>4.3859105028265619E-4</v>
      </c>
      <c r="AR28" s="99">
        <f t="shared" si="16"/>
        <v>4.643050041727498E-4</v>
      </c>
      <c r="AT28" s="101">
        <f t="shared" si="27"/>
        <v>0</v>
      </c>
      <c r="AU28" s="102">
        <f t="shared" si="17"/>
        <v>0</v>
      </c>
      <c r="AV28" s="102">
        <f t="shared" si="18"/>
        <v>0</v>
      </c>
      <c r="AW28" s="102">
        <f t="shared" si="19"/>
        <v>0</v>
      </c>
      <c r="AX28" s="103">
        <f t="shared" si="20"/>
        <v>0</v>
      </c>
      <c r="AY28" s="104">
        <f t="shared" si="28"/>
        <v>-1</v>
      </c>
      <c r="AZ28" s="105">
        <f t="shared" si="21"/>
        <v>0</v>
      </c>
      <c r="BA28" s="106">
        <f t="shared" si="21"/>
        <v>0</v>
      </c>
      <c r="BB28" s="106">
        <f t="shared" si="21"/>
        <v>0</v>
      </c>
      <c r="BC28" s="106">
        <f t="shared" si="21"/>
        <v>0</v>
      </c>
      <c r="BD28" s="106">
        <f t="shared" si="21"/>
        <v>0</v>
      </c>
      <c r="BE28" s="107">
        <f t="shared" si="29"/>
        <v>52473.776316030089</v>
      </c>
      <c r="BG28" s="108">
        <f>'Op Cost-24'!E21</f>
        <v>107836</v>
      </c>
      <c r="BH28" s="109">
        <f t="shared" si="22"/>
        <v>0.48660722129928863</v>
      </c>
      <c r="BI28" s="110">
        <f t="shared" si="23"/>
        <v>32350.799999999999</v>
      </c>
      <c r="BJ28" s="111">
        <f t="shared" si="24"/>
        <v>20122.97631603009</v>
      </c>
      <c r="BK28" s="1">
        <f t="shared" si="30"/>
        <v>1.2323099021423269</v>
      </c>
      <c r="BL28" s="112">
        <f t="shared" si="31"/>
        <v>0.54606555145641789</v>
      </c>
      <c r="BM28" s="112">
        <f t="shared" si="32"/>
        <v>0.49293337611574117</v>
      </c>
      <c r="BN28" s="113">
        <f t="shared" si="33"/>
        <v>1.9451203404985742</v>
      </c>
      <c r="BO28" s="114">
        <f t="shared" si="25"/>
        <v>0</v>
      </c>
      <c r="BP28" s="115">
        <f t="shared" si="34"/>
        <v>5.1076219258672576E-4</v>
      </c>
      <c r="BQ28" s="116">
        <f t="shared" si="35"/>
        <v>0</v>
      </c>
      <c r="BR28" s="117">
        <f t="shared" si="36"/>
        <v>0</v>
      </c>
      <c r="BS28" s="118">
        <f t="shared" si="37"/>
        <v>32350.799999999999</v>
      </c>
      <c r="BT28" s="119">
        <f t="shared" si="38"/>
        <v>32350.799999999999</v>
      </c>
      <c r="BU28" s="119">
        <f t="shared" si="39"/>
        <v>32350.799999999999</v>
      </c>
      <c r="BV28" s="119">
        <f t="shared" si="56"/>
        <v>0</v>
      </c>
      <c r="BW28" s="120">
        <f t="shared" si="40"/>
        <v>0</v>
      </c>
      <c r="BX28" s="121">
        <f t="shared" si="41"/>
        <v>0</v>
      </c>
      <c r="BY28" s="122">
        <f t="shared" si="42"/>
        <v>32350.799999999999</v>
      </c>
      <c r="BZ28" s="123">
        <f t="shared" si="58"/>
        <v>408850287397.59515</v>
      </c>
      <c r="CA28" s="111">
        <f t="shared" si="57"/>
        <v>408850319748</v>
      </c>
      <c r="CC28" s="124">
        <f t="shared" si="26"/>
        <v>1</v>
      </c>
      <c r="CD28" s="17"/>
      <c r="CE28" s="108">
        <f t="shared" si="44"/>
        <v>107836</v>
      </c>
      <c r="CF28" s="125">
        <f t="shared" si="45"/>
        <v>3791408.432694091</v>
      </c>
      <c r="CG28" s="110">
        <f t="shared" si="46"/>
        <v>32350.799999999999</v>
      </c>
      <c r="CH28" s="126">
        <f t="shared" si="47"/>
        <v>408850287397.20001</v>
      </c>
      <c r="CJ28" s="127">
        <f t="shared" si="48"/>
        <v>0</v>
      </c>
      <c r="CK28" s="128" t="e">
        <f t="shared" si="49"/>
        <v>#DIV/0!</v>
      </c>
      <c r="CL28" s="129" t="e">
        <f t="shared" si="50"/>
        <v>#DIV/0!</v>
      </c>
      <c r="CM28" s="130" t="e">
        <f t="shared" si="51"/>
        <v>#DIV/0!</v>
      </c>
      <c r="CO28" s="131" t="e">
        <f t="shared" si="52"/>
        <v>#DIV/0!</v>
      </c>
      <c r="CP28" s="1">
        <f t="shared" si="53"/>
        <v>0</v>
      </c>
      <c r="CQ28" s="132">
        <f t="shared" si="54"/>
        <v>0.3</v>
      </c>
      <c r="CS28" s="104">
        <f t="shared" si="55"/>
        <v>4.1139396681714579E-4</v>
      </c>
    </row>
    <row r="29" spans="1:97">
      <c r="A29" s="133" t="s">
        <v>104</v>
      </c>
      <c r="B29" s="90" t="s">
        <v>105</v>
      </c>
      <c r="C29" s="91">
        <f>'Sizing - Reimb Expen-24'!B22</f>
        <v>15647246</v>
      </c>
      <c r="D29" s="92">
        <f>'Ridership-24'!$E21</f>
        <v>421563</v>
      </c>
      <c r="E29" s="92">
        <f>'Revenue Hours-24'!$F21</f>
        <v>98775</v>
      </c>
      <c r="F29" s="92">
        <f>'Revenue Miles-24'!$F21</f>
        <v>2248360.5</v>
      </c>
      <c r="G29" s="134">
        <f t="shared" si="0"/>
        <v>2.4467410815003868E-2</v>
      </c>
      <c r="H29" s="94">
        <f t="shared" si="1"/>
        <v>2.3098981720740441E-2</v>
      </c>
      <c r="J29" s="95">
        <f>'Ridership-24'!B21/'Revenue Hours-24'!C21</f>
        <v>9.2001258890004944</v>
      </c>
      <c r="K29" s="96">
        <f>'Ridership-24'!C21/'Revenue Hours-24'!D21</f>
        <v>9.5977192221126977</v>
      </c>
      <c r="L29" s="96">
        <f>'Ridership-24'!D21/'Revenue Hours-24'!E21</f>
        <v>3.470492023892092</v>
      </c>
      <c r="M29" s="96">
        <f>'Ridership-24'!E21/'Revenue Hours-24'!F21</f>
        <v>4.2679119210326499</v>
      </c>
      <c r="N29" s="97">
        <f t="shared" si="2"/>
        <v>0.90195672942429905</v>
      </c>
      <c r="O29" s="98">
        <f t="shared" si="3"/>
        <v>2.0834282005870716E-2</v>
      </c>
      <c r="P29" s="99">
        <f t="shared" si="4"/>
        <v>1.9991141658334224E-2</v>
      </c>
      <c r="Q29" s="95">
        <f>'Ridership-24'!B21/'Revenue Miles-24'!C21</f>
        <v>0.3814515427407344</v>
      </c>
      <c r="R29" s="96">
        <f>'Ridership-24'!C21/'Revenue Miles-24'!D21</f>
        <v>0.37124438856652447</v>
      </c>
      <c r="S29" s="96">
        <f>'Ridership-24'!D21/'Revenue Miles-24'!E21</f>
        <v>0.16305901321605187</v>
      </c>
      <c r="T29" s="96">
        <f>'Ridership-24'!E21/'Revenue Miles-24'!F21</f>
        <v>0.18749795684455406</v>
      </c>
      <c r="U29" s="97">
        <f t="shared" si="5"/>
        <v>0.91332005834349295</v>
      </c>
      <c r="V29" s="98">
        <f t="shared" si="6"/>
        <v>2.1096763332861937E-2</v>
      </c>
      <c r="W29" s="99">
        <f t="shared" si="7"/>
        <v>2.0312626720853166E-2</v>
      </c>
      <c r="X29" s="95">
        <f>'Op Cost-24'!B22/'Revenue Hours-24'!C21</f>
        <v>93.378558519513959</v>
      </c>
      <c r="Y29" s="96">
        <f>'Op Cost-24'!C22/'Revenue Hours-24'!D21</f>
        <v>112.24563612250527</v>
      </c>
      <c r="Z29" s="96">
        <f>'Op Cost-24'!D22/'Revenue Hours-24'!E21</f>
        <v>179.69728056645377</v>
      </c>
      <c r="AA29" s="96">
        <f>'Op Cost-24'!E22/'Revenue Hours-24'!F21</f>
        <v>158.41301948873704</v>
      </c>
      <c r="AB29" s="97">
        <f t="shared" si="8"/>
        <v>1.1234756688906935</v>
      </c>
      <c r="AC29" s="98">
        <f t="shared" si="9"/>
        <v>2.0560286582394879E-2</v>
      </c>
      <c r="AD29" s="99">
        <f t="shared" si="10"/>
        <v>2.0674873066199948E-2</v>
      </c>
      <c r="AE29" s="95">
        <f>'Op Cost-24'!B22/'Revenue Miles-24'!C21</f>
        <v>3.8716204143206845</v>
      </c>
      <c r="AF29" s="96">
        <f>'Op Cost-24'!C22/'Revenue Miles-24'!D21</f>
        <v>4.3417151082679135</v>
      </c>
      <c r="AG29" s="96">
        <f>'Op Cost-24'!D22/'Revenue Miles-24'!E21</f>
        <v>8.4429703468712045</v>
      </c>
      <c r="AH29" s="96">
        <f>'Op Cost-24'!E22/'Revenue Miles-24'!F21</f>
        <v>6.9594026402794391</v>
      </c>
      <c r="AI29" s="97">
        <f t="shared" si="11"/>
        <v>1.1730229212345462</v>
      </c>
      <c r="AJ29" s="98">
        <f t="shared" si="12"/>
        <v>1.9691841738633677E-2</v>
      </c>
      <c r="AK29" s="99">
        <f t="shared" si="13"/>
        <v>1.9714097311636182E-2</v>
      </c>
      <c r="AL29" s="95">
        <f>'Op Cost-24'!B22/'Ridership-24'!B21</f>
        <v>10.149704432974739</v>
      </c>
      <c r="AM29" s="96">
        <f>'Op Cost-24'!C22/'Ridership-24'!C21</f>
        <v>11.695032280575219</v>
      </c>
      <c r="AN29" s="96">
        <f>'Op Cost-24'!D22/'Ridership-24'!D21</f>
        <v>51.778617939287642</v>
      </c>
      <c r="AO29" s="96">
        <f>'Op Cost-24'!E22/'Ridership-24'!E21</f>
        <v>37.117218541475417</v>
      </c>
      <c r="AP29" s="97">
        <f t="shared" si="14"/>
        <v>1.303510424877655</v>
      </c>
      <c r="AQ29" s="98">
        <f t="shared" si="15"/>
        <v>1.7720596076482065E-2</v>
      </c>
      <c r="AR29" s="99">
        <f t="shared" si="16"/>
        <v>1.875952879095942E-2</v>
      </c>
      <c r="AT29" s="101">
        <f t="shared" si="27"/>
        <v>0</v>
      </c>
      <c r="AU29" s="102">
        <f t="shared" si="17"/>
        <v>0</v>
      </c>
      <c r="AV29" s="102">
        <f t="shared" si="18"/>
        <v>0</v>
      </c>
      <c r="AW29" s="102">
        <f t="shared" si="19"/>
        <v>0</v>
      </c>
      <c r="AX29" s="103">
        <f t="shared" si="20"/>
        <v>0</v>
      </c>
      <c r="AY29" s="104">
        <f t="shared" si="28"/>
        <v>-1</v>
      </c>
      <c r="AZ29" s="105">
        <f t="shared" si="21"/>
        <v>0</v>
      </c>
      <c r="BA29" s="106">
        <f t="shared" si="21"/>
        <v>0</v>
      </c>
      <c r="BB29" s="106">
        <f t="shared" si="21"/>
        <v>0</v>
      </c>
      <c r="BC29" s="106">
        <f t="shared" si="21"/>
        <v>0</v>
      </c>
      <c r="BD29" s="106">
        <f t="shared" si="21"/>
        <v>0</v>
      </c>
      <c r="BE29" s="107">
        <f t="shared" si="29"/>
        <v>2924397.1396938683</v>
      </c>
      <c r="BG29" s="108">
        <f>'Op Cost-24'!E22</f>
        <v>15647246</v>
      </c>
      <c r="BH29" s="109">
        <f t="shared" si="22"/>
        <v>0.18689532584161253</v>
      </c>
      <c r="BI29" s="110">
        <f t="shared" si="23"/>
        <v>2924397.1396938683</v>
      </c>
      <c r="BJ29" s="111">
        <f t="shared" si="24"/>
        <v>0</v>
      </c>
      <c r="BK29" s="1">
        <f t="shared" si="30"/>
        <v>0.38470929964477962</v>
      </c>
      <c r="BL29" s="112">
        <f t="shared" si="31"/>
        <v>0.47666978735566368</v>
      </c>
      <c r="BM29" s="112">
        <f t="shared" si="32"/>
        <v>0.30250565579776201</v>
      </c>
      <c r="BN29" s="113">
        <f t="shared" si="33"/>
        <v>0.3798308777128464</v>
      </c>
      <c r="BO29" s="114">
        <f t="shared" si="25"/>
        <v>2924397.1396938683</v>
      </c>
      <c r="BP29" s="115">
        <f t="shared" si="34"/>
        <v>8.8863930802936218E-3</v>
      </c>
      <c r="BQ29" s="116">
        <f t="shared" si="35"/>
        <v>8.8863930802936218E-3</v>
      </c>
      <c r="BR29" s="117">
        <f t="shared" si="36"/>
        <v>1.4837845136972545E-2</v>
      </c>
      <c r="BS29" s="118">
        <f t="shared" si="37"/>
        <v>3111918.2287739604</v>
      </c>
      <c r="BT29" s="119">
        <f t="shared" si="38"/>
        <v>4694173.8</v>
      </c>
      <c r="BU29" s="119">
        <f t="shared" si="39"/>
        <v>3111918.2287739604</v>
      </c>
      <c r="BV29" s="119">
        <f t="shared" si="56"/>
        <v>0</v>
      </c>
      <c r="BW29" s="120">
        <f t="shared" si="40"/>
        <v>8.8863930802936218E-3</v>
      </c>
      <c r="BX29" s="121">
        <f t="shared" si="41"/>
        <v>2.0074894591787761E-2</v>
      </c>
      <c r="BY29" s="122">
        <f t="shared" si="42"/>
        <v>3158256.3022046098</v>
      </c>
      <c r="BZ29" s="123">
        <f t="shared" si="58"/>
        <v>39914128764408.328</v>
      </c>
      <c r="CA29" s="111">
        <f t="shared" si="57"/>
        <v>39914131688806</v>
      </c>
      <c r="CC29" s="124">
        <f t="shared" si="26"/>
        <v>1</v>
      </c>
      <c r="CD29" s="17"/>
      <c r="CE29" s="108">
        <f t="shared" si="44"/>
        <v>15647246</v>
      </c>
      <c r="CF29" s="125">
        <f t="shared" si="45"/>
        <v>2550872.6384697985</v>
      </c>
      <c r="CG29" s="110">
        <f t="shared" si="46"/>
        <v>4694173.8</v>
      </c>
      <c r="CH29" s="126">
        <f t="shared" si="47"/>
        <v>39914126994632.203</v>
      </c>
      <c r="CJ29" s="127">
        <f t="shared" si="48"/>
        <v>0</v>
      </c>
      <c r="CK29" s="128" t="e">
        <f t="shared" si="49"/>
        <v>#DIV/0!</v>
      </c>
      <c r="CL29" s="129" t="e">
        <f t="shared" si="50"/>
        <v>#DIV/0!</v>
      </c>
      <c r="CM29" s="130" t="e">
        <f t="shared" si="51"/>
        <v>#DIV/0!</v>
      </c>
      <c r="CO29" s="131" t="e">
        <f t="shared" si="52"/>
        <v>#DIV/0!</v>
      </c>
      <c r="CP29" s="1">
        <f t="shared" si="53"/>
        <v>0</v>
      </c>
      <c r="CQ29" s="132">
        <f t="shared" si="54"/>
        <v>0.20184103338086523</v>
      </c>
      <c r="CS29" s="104">
        <f t="shared" si="55"/>
        <v>7.1575550286598084E-3</v>
      </c>
    </row>
    <row r="30" spans="1:97">
      <c r="A30" s="133" t="s">
        <v>104</v>
      </c>
      <c r="B30" s="90" t="s">
        <v>106</v>
      </c>
      <c r="C30" s="91">
        <f>'Sizing - Reimb Expen-24'!B23</f>
        <v>26239078</v>
      </c>
      <c r="D30" s="92">
        <f>'Ridership-24'!$E22</f>
        <v>1815957</v>
      </c>
      <c r="E30" s="92">
        <f>'Revenue Hours-24'!$F22</f>
        <v>204460</v>
      </c>
      <c r="F30" s="92">
        <f>'Revenue Miles-24'!$F22</f>
        <v>2083544</v>
      </c>
      <c r="G30" s="134">
        <f t="shared" si="0"/>
        <v>4.8281511950908233E-2</v>
      </c>
      <c r="H30" s="94">
        <f t="shared" si="1"/>
        <v>4.5581192486450026E-2</v>
      </c>
      <c r="J30" s="95">
        <f>'Ridership-24'!B22/'Revenue Hours-24'!C22</f>
        <v>13.865819939305384</v>
      </c>
      <c r="K30" s="96">
        <f>'Ridership-24'!C22/'Revenue Hours-24'!D22</f>
        <v>12.903471027599291</v>
      </c>
      <c r="L30" s="96">
        <f>'Ridership-24'!D22/'Revenue Hours-24'!E22</f>
        <v>7.8216167510040826</v>
      </c>
      <c r="M30" s="96">
        <f>'Ridership-24'!E22/'Revenue Hours-24'!F22</f>
        <v>8.8817225863249529</v>
      </c>
      <c r="N30" s="97">
        <f t="shared" si="2"/>
        <v>0.99856691724436875</v>
      </c>
      <c r="O30" s="98">
        <f t="shared" si="3"/>
        <v>4.5515870865516582E-2</v>
      </c>
      <c r="P30" s="99">
        <f t="shared" si="4"/>
        <v>4.367389391765901E-2</v>
      </c>
      <c r="Q30" s="95">
        <f>'Ridership-24'!B22/'Revenue Miles-24'!C22</f>
        <v>1.3701537016658529</v>
      </c>
      <c r="R30" s="96">
        <f>'Ridership-24'!C22/'Revenue Miles-24'!D22</f>
        <v>1.2587048387152435</v>
      </c>
      <c r="S30" s="96">
        <f>'Ridership-24'!D22/'Revenue Miles-24'!E22</f>
        <v>0.78433143162528551</v>
      </c>
      <c r="T30" s="96">
        <f>'Ridership-24'!E22/'Revenue Miles-24'!F22</f>
        <v>0.87157122671755427</v>
      </c>
      <c r="U30" s="97">
        <f t="shared" si="5"/>
        <v>1.0022577420680119</v>
      </c>
      <c r="V30" s="98">
        <f t="shared" si="6"/>
        <v>4.568410306223683E-2</v>
      </c>
      <c r="W30" s="99">
        <f t="shared" si="7"/>
        <v>4.3986090090641229E-2</v>
      </c>
      <c r="X30" s="95">
        <f>'Op Cost-24'!B23/'Revenue Hours-24'!C22</f>
        <v>71.878358997414864</v>
      </c>
      <c r="Y30" s="96">
        <f>'Op Cost-24'!C23/'Revenue Hours-24'!D22</f>
        <v>70.784446046283321</v>
      </c>
      <c r="Z30" s="96">
        <f>'Op Cost-24'!D23/'Revenue Hours-24'!E22</f>
        <v>115.12446224595757</v>
      </c>
      <c r="AA30" s="96">
        <f>'Op Cost-24'!E23/'Revenue Hours-24'!F22</f>
        <v>128.33355179497212</v>
      </c>
      <c r="AB30" s="97">
        <f t="shared" si="8"/>
        <v>1.1369244024920826</v>
      </c>
      <c r="AC30" s="98">
        <f t="shared" si="9"/>
        <v>4.0091665185951052E-2</v>
      </c>
      <c r="AD30" s="99">
        <f t="shared" si="10"/>
        <v>4.0315103848886903E-2</v>
      </c>
      <c r="AE30" s="95">
        <f>'Op Cost-24'!B23/'Revenue Miles-24'!C22</f>
        <v>7.1026740633492365</v>
      </c>
      <c r="AF30" s="96">
        <f>'Op Cost-24'!C23/'Revenue Miles-24'!D22</f>
        <v>6.9048649432129956</v>
      </c>
      <c r="AG30" s="96">
        <f>'Op Cost-24'!D23/'Revenue Miles-24'!E22</f>
        <v>11.544382339734495</v>
      </c>
      <c r="AH30" s="96">
        <f>'Op Cost-24'!E23/'Revenue Miles-24'!F22</f>
        <v>12.593483986899244</v>
      </c>
      <c r="AI30" s="97">
        <f t="shared" si="11"/>
        <v>1.1413899080937748</v>
      </c>
      <c r="AJ30" s="98">
        <f t="shared" si="12"/>
        <v>3.9934812953248175E-2</v>
      </c>
      <c r="AK30" s="99">
        <f t="shared" si="13"/>
        <v>3.9979946981685888E-2</v>
      </c>
      <c r="AL30" s="95">
        <f>'Op Cost-24'!B23/'Ridership-24'!B22</f>
        <v>5.1838520413539744</v>
      </c>
      <c r="AM30" s="96">
        <f>'Op Cost-24'!C23/'Ridership-24'!C22</f>
        <v>5.485690315023156</v>
      </c>
      <c r="AN30" s="96">
        <f>'Op Cost-24'!D23/'Ridership-24'!D22</f>
        <v>14.718755202519828</v>
      </c>
      <c r="AO30" s="96">
        <f>'Op Cost-24'!E23/'Ridership-24'!E22</f>
        <v>14.449173631313958</v>
      </c>
      <c r="AP30" s="97">
        <f t="shared" si="14"/>
        <v>1.1417394937986716</v>
      </c>
      <c r="AQ30" s="98">
        <f t="shared" si="15"/>
        <v>3.9922585435664695E-2</v>
      </c>
      <c r="AR30" s="99">
        <f t="shared" si="16"/>
        <v>4.2263188419707387E-2</v>
      </c>
      <c r="AT30" s="101">
        <f t="shared" si="27"/>
        <v>0</v>
      </c>
      <c r="AU30" s="102">
        <f t="shared" si="17"/>
        <v>0</v>
      </c>
      <c r="AV30" s="102">
        <f t="shared" si="18"/>
        <v>0</v>
      </c>
      <c r="AW30" s="102">
        <f t="shared" si="19"/>
        <v>0</v>
      </c>
      <c r="AX30" s="103">
        <f t="shared" si="20"/>
        <v>0</v>
      </c>
      <c r="AY30" s="104">
        <f t="shared" si="28"/>
        <v>-1</v>
      </c>
      <c r="AZ30" s="105">
        <f t="shared" si="21"/>
        <v>0</v>
      </c>
      <c r="BA30" s="106">
        <f t="shared" si="21"/>
        <v>0</v>
      </c>
      <c r="BB30" s="106">
        <f t="shared" si="21"/>
        <v>0</v>
      </c>
      <c r="BC30" s="106">
        <f t="shared" si="21"/>
        <v>0</v>
      </c>
      <c r="BD30" s="106">
        <f t="shared" si="21"/>
        <v>0</v>
      </c>
      <c r="BE30" s="107">
        <f t="shared" si="29"/>
        <v>5770709.3127626069</v>
      </c>
      <c r="BG30" s="108">
        <f>'Op Cost-24'!E23</f>
        <v>26239078</v>
      </c>
      <c r="BH30" s="109">
        <f t="shared" si="22"/>
        <v>0.2199280520741852</v>
      </c>
      <c r="BI30" s="110">
        <f t="shared" si="23"/>
        <v>5770709.3127626069</v>
      </c>
      <c r="BJ30" s="111">
        <f t="shared" si="24"/>
        <v>0</v>
      </c>
      <c r="BK30" s="1">
        <f t="shared" si="30"/>
        <v>1.0873942758975399</v>
      </c>
      <c r="BL30" s="112">
        <f t="shared" si="31"/>
        <v>0.99197192793780775</v>
      </c>
      <c r="BM30" s="112">
        <f t="shared" si="32"/>
        <v>1.4061765255993595</v>
      </c>
      <c r="BN30" s="113">
        <f t="shared" si="33"/>
        <v>0.97571432502649613</v>
      </c>
      <c r="BO30" s="114">
        <f t="shared" si="25"/>
        <v>5770709.3127626069</v>
      </c>
      <c r="BP30" s="115">
        <f t="shared" si="34"/>
        <v>4.9564727798349709E-2</v>
      </c>
      <c r="BQ30" s="116">
        <f t="shared" si="35"/>
        <v>4.9564727798349709E-2</v>
      </c>
      <c r="BR30" s="117">
        <f t="shared" si="36"/>
        <v>8.2759534569655915E-2</v>
      </c>
      <c r="BS30" s="118">
        <f t="shared" si="37"/>
        <v>6816626.5541815218</v>
      </c>
      <c r="BT30" s="119">
        <f t="shared" si="38"/>
        <v>7871723.3999999994</v>
      </c>
      <c r="BU30" s="119">
        <f t="shared" si="39"/>
        <v>6816626.5541815218</v>
      </c>
      <c r="BV30" s="119">
        <f t="shared" si="56"/>
        <v>0</v>
      </c>
      <c r="BW30" s="120">
        <f t="shared" si="40"/>
        <v>4.9564727798349709E-2</v>
      </c>
      <c r="BX30" s="121">
        <f t="shared" si="41"/>
        <v>0.11196969085567912</v>
      </c>
      <c r="BY30" s="122">
        <f t="shared" si="42"/>
        <v>7075081.69740305</v>
      </c>
      <c r="BZ30" s="123">
        <f t="shared" si="58"/>
        <v>89415074290116.547</v>
      </c>
      <c r="CA30" s="111">
        <f t="shared" si="57"/>
        <v>89415080060826</v>
      </c>
      <c r="CC30" s="124">
        <f t="shared" si="26"/>
        <v>1</v>
      </c>
      <c r="CD30" s="17"/>
      <c r="CE30" s="108">
        <f t="shared" si="44"/>
        <v>26239078</v>
      </c>
      <c r="CF30" s="125">
        <f t="shared" si="45"/>
        <v>3407706.6298147365</v>
      </c>
      <c r="CG30" s="110">
        <f t="shared" si="46"/>
        <v>7871723.3999999994</v>
      </c>
      <c r="CH30" s="126">
        <f t="shared" si="47"/>
        <v>89415072189102.594</v>
      </c>
      <c r="CJ30" s="127">
        <f t="shared" si="48"/>
        <v>0</v>
      </c>
      <c r="CK30" s="128" t="e">
        <f t="shared" si="49"/>
        <v>#DIV/0!</v>
      </c>
      <c r="CL30" s="129" t="e">
        <f t="shared" si="50"/>
        <v>#DIV/0!</v>
      </c>
      <c r="CM30" s="130" t="e">
        <f t="shared" si="51"/>
        <v>#DIV/0!</v>
      </c>
      <c r="CO30" s="131" t="e">
        <f t="shared" si="52"/>
        <v>#DIV/0!</v>
      </c>
      <c r="CP30" s="1">
        <f t="shared" si="53"/>
        <v>0</v>
      </c>
      <c r="CQ30" s="132">
        <f t="shared" si="54"/>
        <v>0.26963911222044656</v>
      </c>
      <c r="CS30" s="104">
        <f t="shared" si="55"/>
        <v>3.9921964231353871E-2</v>
      </c>
    </row>
    <row r="31" spans="1:97">
      <c r="A31" s="133" t="s">
        <v>104</v>
      </c>
      <c r="B31" s="90" t="s">
        <v>107</v>
      </c>
      <c r="C31" s="91">
        <f>'Sizing - Reimb Expen-24'!B24</f>
        <v>27236031</v>
      </c>
      <c r="D31" s="92">
        <f>'Ridership-24'!$E23</f>
        <v>3047077</v>
      </c>
      <c r="E31" s="92">
        <f>'Revenue Hours-24'!$F23</f>
        <v>276476</v>
      </c>
      <c r="F31" s="92">
        <f>'Revenue Miles-24'!$F23</f>
        <v>2503129</v>
      </c>
      <c r="G31" s="134">
        <f t="shared" si="0"/>
        <v>6.3656643721171927E-2</v>
      </c>
      <c r="H31" s="94">
        <f t="shared" si="1"/>
        <v>6.0096413994788461E-2</v>
      </c>
      <c r="J31" s="95">
        <f>'Ridership-24'!B23/'Revenue Hours-24'!C23</f>
        <v>16.336445534406419</v>
      </c>
      <c r="K31" s="96">
        <f>'Ridership-24'!C23/'Revenue Hours-24'!D23</f>
        <v>15.892603773584906</v>
      </c>
      <c r="L31" s="96">
        <f>'Ridership-24'!D23/'Revenue Hours-24'!E23</f>
        <v>7.2218469159098948</v>
      </c>
      <c r="M31" s="96">
        <f>'Ridership-24'!E23/'Revenue Hours-24'!F23</f>
        <v>11.021126607734487</v>
      </c>
      <c r="N31" s="97">
        <f t="shared" si="2"/>
        <v>1.0152818096633436</v>
      </c>
      <c r="O31" s="98">
        <f t="shared" si="3"/>
        <v>6.1014795954906317E-2</v>
      </c>
      <c r="P31" s="99">
        <f t="shared" si="4"/>
        <v>5.8545594652370823E-2</v>
      </c>
      <c r="Q31" s="95">
        <f>'Ridership-24'!B23/'Revenue Miles-24'!C23</f>
        <v>1.802680802858009</v>
      </c>
      <c r="R31" s="96">
        <f>'Ridership-24'!C23/'Revenue Miles-24'!D23</f>
        <v>1.6926824335930128</v>
      </c>
      <c r="S31" s="96">
        <f>'Ridership-24'!D23/'Revenue Miles-24'!E23</f>
        <v>0.80452628182287345</v>
      </c>
      <c r="T31" s="96">
        <f>'Ridership-24'!E23/'Revenue Miles-24'!F23</f>
        <v>1.2173072182855937</v>
      </c>
      <c r="U31" s="97">
        <f t="shared" si="5"/>
        <v>1.0211052742749469</v>
      </c>
      <c r="V31" s="98">
        <f t="shared" si="6"/>
        <v>6.1364765295089232E-2</v>
      </c>
      <c r="W31" s="99">
        <f t="shared" si="7"/>
        <v>5.9083924466759329E-2</v>
      </c>
      <c r="X31" s="95">
        <f>'Op Cost-24'!B24/'Revenue Hours-24'!C23</f>
        <v>76.667882499885891</v>
      </c>
      <c r="Y31" s="96">
        <f>'Op Cost-24'!C24/'Revenue Hours-24'!D23</f>
        <v>83.128810327706063</v>
      </c>
      <c r="Z31" s="96">
        <f>'Op Cost-24'!D24/'Revenue Hours-24'!E23</f>
        <v>113.69054841372804</v>
      </c>
      <c r="AA31" s="96">
        <f>'Op Cost-24'!E24/'Revenue Hours-24'!F23</f>
        <v>98.632543150219192</v>
      </c>
      <c r="AB31" s="97">
        <f t="shared" si="8"/>
        <v>1.0166046781627676</v>
      </c>
      <c r="AC31" s="98">
        <f t="shared" si="9"/>
        <v>5.9114831247281042E-2</v>
      </c>
      <c r="AD31" s="99">
        <f t="shared" si="10"/>
        <v>5.9444289721812038E-2</v>
      </c>
      <c r="AE31" s="95">
        <f>'Op Cost-24'!B24/'Revenue Miles-24'!C23</f>
        <v>8.4600851321810815</v>
      </c>
      <c r="AF31" s="96">
        <f>'Op Cost-24'!C24/'Revenue Miles-24'!D23</f>
        <v>8.8538466680374093</v>
      </c>
      <c r="AG31" s="96">
        <f>'Op Cost-24'!D24/'Revenue Miles-24'!E23</f>
        <v>12.665324432756394</v>
      </c>
      <c r="AH31" s="96">
        <f>'Op Cost-24'!E24/'Revenue Miles-24'!F23</f>
        <v>10.894177247756708</v>
      </c>
      <c r="AI31" s="97">
        <f t="shared" si="11"/>
        <v>1.0223143327218718</v>
      </c>
      <c r="AJ31" s="98">
        <f t="shared" si="12"/>
        <v>5.8784673237226477E-2</v>
      </c>
      <c r="AK31" s="99">
        <f t="shared" si="13"/>
        <v>5.8851111237491982E-2</v>
      </c>
      <c r="AL31" s="95">
        <f>'Op Cost-24'!B24/'Ridership-24'!B23</f>
        <v>4.6930577608461137</v>
      </c>
      <c r="AM31" s="96">
        <f>'Op Cost-24'!C24/'Ridership-24'!C23</f>
        <v>5.2306602185523836</v>
      </c>
      <c r="AN31" s="96">
        <f>'Op Cost-24'!D24/'Ridership-24'!D23</f>
        <v>15.742586313102974</v>
      </c>
      <c r="AO31" s="96">
        <f>'Op Cost-24'!E24/'Ridership-24'!E23</f>
        <v>8.9494065952386492</v>
      </c>
      <c r="AP31" s="97">
        <f t="shared" si="14"/>
        <v>1.0288072437017239</v>
      </c>
      <c r="AQ31" s="98">
        <f t="shared" si="15"/>
        <v>5.8413676966889497E-2</v>
      </c>
      <c r="AR31" s="99">
        <f t="shared" si="16"/>
        <v>6.1838385690675367E-2</v>
      </c>
      <c r="AT31" s="101">
        <f t="shared" si="27"/>
        <v>0</v>
      </c>
      <c r="AU31" s="102">
        <f t="shared" si="17"/>
        <v>0</v>
      </c>
      <c r="AV31" s="102">
        <f t="shared" si="18"/>
        <v>0</v>
      </c>
      <c r="AW31" s="102">
        <f t="shared" si="19"/>
        <v>0</v>
      </c>
      <c r="AX31" s="103">
        <f t="shared" si="20"/>
        <v>0</v>
      </c>
      <c r="AY31" s="104">
        <f t="shared" si="28"/>
        <v>-1</v>
      </c>
      <c r="AZ31" s="105">
        <f t="shared" si="21"/>
        <v>0</v>
      </c>
      <c r="BA31" s="106">
        <f t="shared" si="21"/>
        <v>0</v>
      </c>
      <c r="BB31" s="106">
        <f t="shared" si="21"/>
        <v>0</v>
      </c>
      <c r="BC31" s="106">
        <f t="shared" si="21"/>
        <v>0</v>
      </c>
      <c r="BD31" s="106">
        <f t="shared" si="21"/>
        <v>0</v>
      </c>
      <c r="BE31" s="107">
        <f t="shared" si="29"/>
        <v>7608377.8634456787</v>
      </c>
      <c r="BG31" s="108">
        <f>'Op Cost-24'!E24</f>
        <v>27269531</v>
      </c>
      <c r="BH31" s="109">
        <f t="shared" si="22"/>
        <v>0.27900655363107196</v>
      </c>
      <c r="BI31" s="110">
        <f t="shared" si="23"/>
        <v>7608377.8634456787</v>
      </c>
      <c r="BJ31" s="111">
        <f t="shared" si="24"/>
        <v>0</v>
      </c>
      <c r="BK31" s="1">
        <f t="shared" si="30"/>
        <v>1.5863887654453428</v>
      </c>
      <c r="BL31" s="112">
        <f t="shared" si="31"/>
        <v>1.2309152985653791</v>
      </c>
      <c r="BM31" s="112">
        <f t="shared" si="32"/>
        <v>1.9639804324914631</v>
      </c>
      <c r="BN31" s="113">
        <f t="shared" si="33"/>
        <v>1.5753296653622644</v>
      </c>
      <c r="BO31" s="114">
        <f t="shared" si="25"/>
        <v>7608377.8634456787</v>
      </c>
      <c r="BP31" s="115">
        <f t="shared" si="34"/>
        <v>9.5336276004884687E-2</v>
      </c>
      <c r="BQ31" s="116">
        <f t="shared" si="35"/>
        <v>9.5336276004884687E-2</v>
      </c>
      <c r="BR31" s="117">
        <f t="shared" si="36"/>
        <v>0.15918549703063667</v>
      </c>
      <c r="BS31" s="118">
        <f t="shared" si="37"/>
        <v>9620168.4902773127</v>
      </c>
      <c r="BT31" s="119">
        <f t="shared" si="38"/>
        <v>8180859.2999999998</v>
      </c>
      <c r="BU31" s="119">
        <f t="shared" si="39"/>
        <v>8180859.2999999998</v>
      </c>
      <c r="BV31" s="119">
        <f t="shared" si="56"/>
        <v>1439309.1902773129</v>
      </c>
      <c r="BW31" s="120">
        <f t="shared" si="40"/>
        <v>0</v>
      </c>
      <c r="BX31" s="121">
        <f t="shared" si="41"/>
        <v>0</v>
      </c>
      <c r="BY31" s="122">
        <f t="shared" si="42"/>
        <v>8180859.2999999998</v>
      </c>
      <c r="BZ31" s="123">
        <f t="shared" si="58"/>
        <v>103389921608253.56</v>
      </c>
      <c r="CA31" s="111">
        <f t="shared" si="57"/>
        <v>103389929216631</v>
      </c>
      <c r="CC31" s="124">
        <f t="shared" si="26"/>
        <v>1</v>
      </c>
      <c r="CD31" s="17"/>
      <c r="CE31" s="108">
        <f t="shared" si="44"/>
        <v>27269531</v>
      </c>
      <c r="CF31" s="125">
        <f t="shared" si="45"/>
        <v>3791408.4117042939</v>
      </c>
      <c r="CG31" s="110">
        <f t="shared" si="46"/>
        <v>8180859.2999999998</v>
      </c>
      <c r="CH31" s="126">
        <f t="shared" si="47"/>
        <v>103389921035771.7</v>
      </c>
      <c r="CJ31" s="127">
        <f t="shared" si="48"/>
        <v>0</v>
      </c>
      <c r="CK31" s="128" t="e">
        <f t="shared" si="49"/>
        <v>#DIV/0!</v>
      </c>
      <c r="CL31" s="129" t="e">
        <f t="shared" si="50"/>
        <v>#DIV/0!</v>
      </c>
      <c r="CM31" s="130" t="e">
        <f t="shared" si="51"/>
        <v>#DIV/0!</v>
      </c>
      <c r="CO31" s="131" t="e">
        <f t="shared" si="52"/>
        <v>#DIV/0!</v>
      </c>
      <c r="CP31" s="1">
        <f t="shared" si="53"/>
        <v>0</v>
      </c>
      <c r="CQ31" s="132">
        <f t="shared" si="54"/>
        <v>0.3</v>
      </c>
      <c r="CS31" s="104">
        <f t="shared" si="55"/>
        <v>7.6788707810561421E-2</v>
      </c>
    </row>
    <row r="32" spans="1:97">
      <c r="A32" s="133" t="s">
        <v>104</v>
      </c>
      <c r="B32" s="90" t="s">
        <v>108</v>
      </c>
      <c r="C32" s="91">
        <f>'Sizing - Reimb Expen-24'!B25</f>
        <v>5244294</v>
      </c>
      <c r="D32" s="92">
        <f>'Ridership-24'!$E24</f>
        <v>471899</v>
      </c>
      <c r="E32" s="92">
        <f>'Revenue Hours-24'!$F24</f>
        <v>35046</v>
      </c>
      <c r="F32" s="92">
        <f>'Revenue Miles-24'!$F24</f>
        <v>434291</v>
      </c>
      <c r="G32" s="134">
        <f t="shared" si="0"/>
        <v>1.0476581378686624E-2</v>
      </c>
      <c r="H32" s="94">
        <f t="shared" si="1"/>
        <v>9.890640394762739E-3</v>
      </c>
      <c r="J32" s="95">
        <f>'Ridership-24'!B24/'Revenue Hours-24'!C24</f>
        <v>18.030378842030022</v>
      </c>
      <c r="K32" s="96">
        <f>'Ridership-24'!C24/'Revenue Hours-24'!D24</f>
        <v>17.559390774078722</v>
      </c>
      <c r="L32" s="96">
        <f>'Ridership-24'!D24/'Revenue Hours-24'!E24</f>
        <v>9.5356184364060681</v>
      </c>
      <c r="M32" s="96">
        <f>'Ridership-24'!E24/'Revenue Hours-24'!F24</f>
        <v>13.465131541402728</v>
      </c>
      <c r="N32" s="97">
        <f t="shared" si="2"/>
        <v>1.0436502726700094</v>
      </c>
      <c r="O32" s="98">
        <f t="shared" si="3"/>
        <v>1.0322369544875143E-2</v>
      </c>
      <c r="P32" s="99">
        <f t="shared" si="4"/>
        <v>9.904634667185875E-3</v>
      </c>
      <c r="Q32" s="95">
        <f>'Ridership-24'!B24/'Revenue Miles-24'!C24</f>
        <v>1.3764010967774205</v>
      </c>
      <c r="R32" s="96">
        <f>'Ridership-24'!C24/'Revenue Miles-24'!D24</f>
        <v>1.3807895890071515</v>
      </c>
      <c r="S32" s="96">
        <f>'Ridership-24'!D24/'Revenue Miles-24'!E24</f>
        <v>0.74451206457520036</v>
      </c>
      <c r="T32" s="96">
        <f>'Ridership-24'!E24/'Revenue Miles-24'!F24</f>
        <v>1.0865963144527517</v>
      </c>
      <c r="U32" s="97">
        <f t="shared" si="5"/>
        <v>1.0693702541727059</v>
      </c>
      <c r="V32" s="98">
        <f t="shared" si="6"/>
        <v>1.0576756632878263E-2</v>
      </c>
      <c r="W32" s="99">
        <f t="shared" si="7"/>
        <v>1.0183633669829818E-2</v>
      </c>
      <c r="X32" s="95">
        <f>'Op Cost-24'!B25/'Revenue Hours-24'!C24</f>
        <v>116.72551822730522</v>
      </c>
      <c r="Y32" s="96">
        <f>'Op Cost-24'!C25/'Revenue Hours-24'!D24</f>
        <v>115.9866367111137</v>
      </c>
      <c r="Z32" s="96">
        <f>'Op Cost-24'!D25/'Revenue Hours-24'!E24</f>
        <v>133.20037922987166</v>
      </c>
      <c r="AA32" s="96">
        <f>'Op Cost-24'!E25/'Revenue Hours-24'!F24</f>
        <v>152.54685270786965</v>
      </c>
      <c r="AB32" s="97">
        <f t="shared" si="8"/>
        <v>1.0194822652763735</v>
      </c>
      <c r="AC32" s="98">
        <f t="shared" si="9"/>
        <v>9.7016306527720371E-3</v>
      </c>
      <c r="AD32" s="99">
        <f t="shared" si="10"/>
        <v>9.7556997310031014E-3</v>
      </c>
      <c r="AE32" s="95">
        <f>'Op Cost-24'!B25/'Revenue Miles-24'!C24</f>
        <v>8.9105799005988615</v>
      </c>
      <c r="AF32" s="96">
        <f>'Op Cost-24'!C25/'Revenue Miles-24'!D24</f>
        <v>9.1206547251673182</v>
      </c>
      <c r="AG32" s="96">
        <f>'Op Cost-24'!D25/'Revenue Miles-24'!E24</f>
        <v>10.399880196968939</v>
      </c>
      <c r="AH32" s="96">
        <f>'Op Cost-24'!E25/'Revenue Miles-24'!F24</f>
        <v>12.310080107577638</v>
      </c>
      <c r="AI32" s="97">
        <f t="shared" si="11"/>
        <v>1.0469308779778348</v>
      </c>
      <c r="AJ32" s="98">
        <f t="shared" si="12"/>
        <v>9.4472716421037106E-3</v>
      </c>
      <c r="AK32" s="99">
        <f t="shared" si="13"/>
        <v>9.4579488782147881E-3</v>
      </c>
      <c r="AL32" s="95">
        <f>'Op Cost-24'!B25/'Ridership-24'!B24</f>
        <v>6.4738250510416462</v>
      </c>
      <c r="AM32" s="96">
        <f>'Op Cost-24'!C25/'Ridership-24'!C24</f>
        <v>6.6053907110680559</v>
      </c>
      <c r="AN32" s="96">
        <f>'Op Cost-24'!D25/'Ridership-24'!D24</f>
        <v>13.968719503427852</v>
      </c>
      <c r="AO32" s="96">
        <f>'Op Cost-24'!E25/'Ridership-24'!E24</f>
        <v>11.329028033541075</v>
      </c>
      <c r="AP32" s="100">
        <f t="shared" si="14"/>
        <v>0.97654005192677629</v>
      </c>
      <c r="AQ32" s="98">
        <f t="shared" si="15"/>
        <v>1.0128248580534788E-2</v>
      </c>
      <c r="AR32" s="99">
        <f t="shared" si="16"/>
        <v>1.0722053029621096E-2</v>
      </c>
      <c r="AT32" s="101">
        <f t="shared" si="27"/>
        <v>0</v>
      </c>
      <c r="AU32" s="102">
        <f t="shared" si="17"/>
        <v>0</v>
      </c>
      <c r="AV32" s="102">
        <f t="shared" si="18"/>
        <v>0</v>
      </c>
      <c r="AW32" s="102">
        <f t="shared" si="19"/>
        <v>0</v>
      </c>
      <c r="AX32" s="103">
        <f t="shared" si="20"/>
        <v>0</v>
      </c>
      <c r="AY32" s="104">
        <f t="shared" si="28"/>
        <v>-1</v>
      </c>
      <c r="AZ32" s="105">
        <f t="shared" si="21"/>
        <v>0</v>
      </c>
      <c r="BA32" s="106">
        <f t="shared" si="21"/>
        <v>0</v>
      </c>
      <c r="BB32" s="106">
        <f t="shared" si="21"/>
        <v>0</v>
      </c>
      <c r="BC32" s="106">
        <f t="shared" si="21"/>
        <v>0</v>
      </c>
      <c r="BD32" s="106">
        <f t="shared" si="21"/>
        <v>0</v>
      </c>
      <c r="BE32" s="107">
        <f t="shared" si="29"/>
        <v>1252183.3572522355</v>
      </c>
      <c r="BG32" s="108">
        <f>'Op Cost-24'!E25</f>
        <v>5346157</v>
      </c>
      <c r="BH32" s="109">
        <f t="shared" si="22"/>
        <v>0.23422120922603573</v>
      </c>
      <c r="BI32" s="110">
        <f t="shared" si="23"/>
        <v>1252183.3572522355</v>
      </c>
      <c r="BJ32" s="111">
        <f t="shared" si="24"/>
        <v>0</v>
      </c>
      <c r="BK32" s="1">
        <f t="shared" si="30"/>
        <v>1.4364618106420306</v>
      </c>
      <c r="BL32" s="112">
        <f t="shared" si="31"/>
        <v>1.5038785962113994</v>
      </c>
      <c r="BM32" s="112">
        <f t="shared" si="32"/>
        <v>1.7530939335166849</v>
      </c>
      <c r="BN32" s="113">
        <f t="shared" si="33"/>
        <v>1.2444373564200191</v>
      </c>
      <c r="BO32" s="114">
        <f t="shared" si="25"/>
        <v>1252183.3572522355</v>
      </c>
      <c r="BP32" s="115">
        <f t="shared" si="34"/>
        <v>1.4207527209870093E-2</v>
      </c>
      <c r="BQ32" s="116">
        <f t="shared" si="35"/>
        <v>1.4207527209870093E-2</v>
      </c>
      <c r="BR32" s="117">
        <f t="shared" si="36"/>
        <v>2.3722683277072699E-2</v>
      </c>
      <c r="BS32" s="118">
        <f t="shared" si="37"/>
        <v>1551991.2716059238</v>
      </c>
      <c r="BT32" s="119">
        <f t="shared" si="38"/>
        <v>1603847.0999999999</v>
      </c>
      <c r="BU32" s="119">
        <f t="shared" si="39"/>
        <v>1551991.2716059238</v>
      </c>
      <c r="BV32" s="119">
        <f t="shared" si="56"/>
        <v>0</v>
      </c>
      <c r="BW32" s="120">
        <f t="shared" si="40"/>
        <v>1.4207527209870093E-2</v>
      </c>
      <c r="BX32" s="121">
        <f t="shared" si="41"/>
        <v>3.2095655523115184E-2</v>
      </c>
      <c r="BY32" s="122">
        <f t="shared" si="42"/>
        <v>1626076.3850113684</v>
      </c>
      <c r="BZ32" s="123">
        <f t="shared" si="58"/>
        <v>20550397435066.23</v>
      </c>
      <c r="CA32" s="111">
        <f t="shared" si="57"/>
        <v>20550398687250</v>
      </c>
      <c r="CC32" s="124">
        <f t="shared" si="26"/>
        <v>1</v>
      </c>
      <c r="CD32" s="17"/>
      <c r="CE32" s="108">
        <f t="shared" si="44"/>
        <v>5346157</v>
      </c>
      <c r="CF32" s="125">
        <f t="shared" si="45"/>
        <v>3843957.1990216523</v>
      </c>
      <c r="CG32" s="110">
        <f t="shared" si="46"/>
        <v>1603847.0999999999</v>
      </c>
      <c r="CH32" s="126">
        <f t="shared" si="47"/>
        <v>20550397083402.898</v>
      </c>
      <c r="CJ32" s="127">
        <f t="shared" si="48"/>
        <v>0</v>
      </c>
      <c r="CK32" s="128" t="e">
        <f t="shared" si="49"/>
        <v>#DIV/0!</v>
      </c>
      <c r="CL32" s="129" t="e">
        <f t="shared" si="50"/>
        <v>#DIV/0!</v>
      </c>
      <c r="CM32" s="130" t="e">
        <f t="shared" si="51"/>
        <v>#DIV/0!</v>
      </c>
      <c r="CO32" s="131" t="e">
        <f t="shared" si="52"/>
        <v>#DIV/0!</v>
      </c>
      <c r="CP32" s="1">
        <f t="shared" si="53"/>
        <v>1</v>
      </c>
      <c r="CQ32" s="132">
        <f t="shared" si="54"/>
        <v>0.30415799330460525</v>
      </c>
      <c r="CS32" s="104">
        <f t="shared" si="55"/>
        <v>1.1443468334901372E-2</v>
      </c>
    </row>
    <row r="33" spans="1:97">
      <c r="A33" s="133" t="s">
        <v>104</v>
      </c>
      <c r="B33" s="90" t="s">
        <v>109</v>
      </c>
      <c r="C33" s="91">
        <f>'Sizing - Reimb Expen-24'!B26</f>
        <v>103337911</v>
      </c>
      <c r="D33" s="92">
        <f>'Ridership-24'!$E25</f>
        <v>5191499</v>
      </c>
      <c r="E33" s="92">
        <f>'Revenue Hours-24'!$F25</f>
        <v>842949</v>
      </c>
      <c r="F33" s="92">
        <f>'Revenue Miles-24'!$F25</f>
        <v>10941805</v>
      </c>
      <c r="G33" s="134">
        <f t="shared" si="0"/>
        <v>0.18040139335856201</v>
      </c>
      <c r="H33" s="94">
        <f t="shared" si="1"/>
        <v>0.17031178816150802</v>
      </c>
      <c r="J33" s="95">
        <f>'Ridership-24'!B25/'Revenue Hours-24'!C25</f>
        <v>11.061264869468026</v>
      </c>
      <c r="K33" s="96">
        <f>'Ridership-24'!C25/'Revenue Hours-24'!D25</f>
        <v>10.935817531005453</v>
      </c>
      <c r="L33" s="96">
        <f>'Ridership-24'!D25/'Revenue Hours-24'!E25</f>
        <v>5.8735316212753474</v>
      </c>
      <c r="M33" s="96">
        <f>'Ridership-24'!E25/'Revenue Hours-24'!F25</f>
        <v>6.1587343955565519</v>
      </c>
      <c r="N33" s="97">
        <f t="shared" si="2"/>
        <v>0.95068239501028584</v>
      </c>
      <c r="O33" s="98">
        <f t="shared" si="3"/>
        <v>0.1619124186678669</v>
      </c>
      <c r="P33" s="99">
        <f t="shared" si="4"/>
        <v>0.15536000217913781</v>
      </c>
      <c r="Q33" s="95">
        <f>'Ridership-24'!B25/'Revenue Miles-24'!C25</f>
        <v>0.83785839609808965</v>
      </c>
      <c r="R33" s="96">
        <f>'Ridership-24'!C25/'Revenue Miles-24'!D25</f>
        <v>0.82322383518472986</v>
      </c>
      <c r="S33" s="96">
        <f>'Ridership-24'!D25/'Revenue Miles-24'!E25</f>
        <v>0.454872375587629</v>
      </c>
      <c r="T33" s="96">
        <f>'Ridership-24'!E25/'Revenue Miles-24'!F25</f>
        <v>0.47446458788106716</v>
      </c>
      <c r="U33" s="97">
        <f t="shared" si="5"/>
        <v>0.96058791074745009</v>
      </c>
      <c r="V33" s="98">
        <f t="shared" si="6"/>
        <v>0.1635994447657253</v>
      </c>
      <c r="W33" s="99">
        <f t="shared" si="7"/>
        <v>0.15751868667401903</v>
      </c>
      <c r="X33" s="95">
        <f>'Op Cost-24'!B26/'Revenue Hours-24'!C25</f>
        <v>114.34052079729622</v>
      </c>
      <c r="Y33" s="96">
        <f>'Op Cost-24'!C26/'Revenue Hours-24'!D25</f>
        <v>111.12397982480542</v>
      </c>
      <c r="Z33" s="96">
        <f>'Op Cost-24'!D26/'Revenue Hours-24'!E25</f>
        <v>123.96447205256577</v>
      </c>
      <c r="AA33" s="96">
        <f>'Op Cost-24'!E26/'Revenue Hours-24'!F25</f>
        <v>123.17011468072208</v>
      </c>
      <c r="AB33" s="97">
        <f t="shared" si="8"/>
        <v>0.95293795539383053</v>
      </c>
      <c r="AC33" s="98">
        <f t="shared" si="9"/>
        <v>0.17872285094481466</v>
      </c>
      <c r="AD33" s="99">
        <f t="shared" si="10"/>
        <v>0.17971890822170689</v>
      </c>
      <c r="AE33" s="95">
        <f>'Op Cost-24'!B26/'Revenue Miles-24'!C25</f>
        <v>8.6609593473056652</v>
      </c>
      <c r="AF33" s="96">
        <f>'Op Cost-24'!C26/'Revenue Miles-24'!D25</f>
        <v>8.3651641583266318</v>
      </c>
      <c r="AG33" s="96">
        <f>'Op Cost-24'!D26/'Revenue Miles-24'!E25</f>
        <v>9.6003592943580749</v>
      </c>
      <c r="AH33" s="96">
        <f>'Op Cost-24'!E26/'Revenue Miles-24'!F25</f>
        <v>9.4889394391510358</v>
      </c>
      <c r="AI33" s="97">
        <f t="shared" si="11"/>
        <v>0.96337874086375253</v>
      </c>
      <c r="AJ33" s="98">
        <f t="shared" si="12"/>
        <v>0.1767859108130295</v>
      </c>
      <c r="AK33" s="99">
        <f t="shared" si="13"/>
        <v>0.17698571293393497</v>
      </c>
      <c r="AL33" s="95">
        <f>'Op Cost-24'!B26/'Ridership-24'!B25</f>
        <v>10.337020417339961</v>
      </c>
      <c r="AM33" s="96">
        <f>'Op Cost-24'!C26/'Ridership-24'!C25</f>
        <v>10.161469822420175</v>
      </c>
      <c r="AN33" s="96">
        <f>'Op Cost-24'!D26/'Ridership-24'!D25</f>
        <v>21.10561073742015</v>
      </c>
      <c r="AO33" s="96">
        <f>'Op Cost-24'!E26/'Ridership-24'!E25</f>
        <v>19.999257439903197</v>
      </c>
      <c r="AP33" s="97">
        <f t="shared" si="14"/>
        <v>1.0176178200882871</v>
      </c>
      <c r="AQ33" s="98">
        <f t="shared" si="15"/>
        <v>0.16736321318226524</v>
      </c>
      <c r="AR33" s="99">
        <f t="shared" si="16"/>
        <v>0.17717547438525416</v>
      </c>
      <c r="AT33" s="101">
        <f t="shared" si="27"/>
        <v>0</v>
      </c>
      <c r="AU33" s="102">
        <f t="shared" si="17"/>
        <v>0</v>
      </c>
      <c r="AV33" s="102">
        <f t="shared" si="18"/>
        <v>0</v>
      </c>
      <c r="AW33" s="102">
        <f t="shared" si="19"/>
        <v>0</v>
      </c>
      <c r="AX33" s="103">
        <f t="shared" si="20"/>
        <v>0</v>
      </c>
      <c r="AY33" s="104">
        <f t="shared" si="28"/>
        <v>-1</v>
      </c>
      <c r="AZ33" s="105">
        <f t="shared" si="21"/>
        <v>0</v>
      </c>
      <c r="BA33" s="106">
        <f t="shared" si="21"/>
        <v>0</v>
      </c>
      <c r="BB33" s="106">
        <f t="shared" si="21"/>
        <v>0</v>
      </c>
      <c r="BC33" s="106">
        <f t="shared" si="21"/>
        <v>0</v>
      </c>
      <c r="BD33" s="106">
        <f t="shared" si="21"/>
        <v>0</v>
      </c>
      <c r="BE33" s="107">
        <f t="shared" si="29"/>
        <v>21561959.404836342</v>
      </c>
      <c r="BG33" s="108">
        <f>'Op Cost-24'!E26</f>
        <v>103826125</v>
      </c>
      <c r="BH33" s="109">
        <f t="shared" si="22"/>
        <v>0.20767373726830643</v>
      </c>
      <c r="BI33" s="110">
        <f t="shared" si="23"/>
        <v>21561959.404836342</v>
      </c>
      <c r="BJ33" s="111">
        <f t="shared" si="24"/>
        <v>0</v>
      </c>
      <c r="BK33" s="1">
        <f t="shared" si="30"/>
        <v>0.71580524086916419</v>
      </c>
      <c r="BL33" s="112">
        <f t="shared" si="31"/>
        <v>0.68784985937564647</v>
      </c>
      <c r="BM33" s="112">
        <f t="shared" si="32"/>
        <v>0.76549218842299049</v>
      </c>
      <c r="BN33" s="113">
        <f t="shared" si="33"/>
        <v>0.70493945783900991</v>
      </c>
      <c r="BO33" s="114">
        <f t="shared" si="25"/>
        <v>21561959.404836342</v>
      </c>
      <c r="BP33" s="115">
        <f t="shared" si="34"/>
        <v>0.12191007054780631</v>
      </c>
      <c r="BQ33" s="116">
        <f t="shared" si="35"/>
        <v>0.12191007054780631</v>
      </c>
      <c r="BR33" s="117">
        <f t="shared" si="36"/>
        <v>0.20355646335711935</v>
      </c>
      <c r="BS33" s="118">
        <f t="shared" si="37"/>
        <v>24134511.50695426</v>
      </c>
      <c r="BT33" s="119">
        <f t="shared" si="38"/>
        <v>31147837.5</v>
      </c>
      <c r="BU33" s="119">
        <f t="shared" si="39"/>
        <v>24134511.50695426</v>
      </c>
      <c r="BV33" s="119">
        <f t="shared" si="56"/>
        <v>0</v>
      </c>
      <c r="BW33" s="120">
        <f t="shared" si="40"/>
        <v>0.12191007054780631</v>
      </c>
      <c r="BX33" s="121">
        <f t="shared" si="41"/>
        <v>0.27540215628676162</v>
      </c>
      <c r="BY33" s="122">
        <f t="shared" si="42"/>
        <v>24770211.250363905</v>
      </c>
      <c r="BZ33" s="123">
        <f t="shared" si="58"/>
        <v>313046601277570.5</v>
      </c>
      <c r="CA33" s="111">
        <f>ROUND((BZ33+BI33),0)</f>
        <v>313046622839530</v>
      </c>
      <c r="CC33" s="124">
        <f t="shared" si="26"/>
        <v>1</v>
      </c>
      <c r="CD33" s="17"/>
      <c r="CE33" s="108">
        <f t="shared" si="44"/>
        <v>103826125</v>
      </c>
      <c r="CF33" s="125">
        <f t="shared" si="45"/>
        <v>3015104.5590840457</v>
      </c>
      <c r="CG33" s="110">
        <f t="shared" si="46"/>
        <v>31147837.5</v>
      </c>
      <c r="CH33" s="126">
        <f t="shared" si="47"/>
        <v>313046591691692.5</v>
      </c>
      <c r="CJ33" s="127">
        <f t="shared" si="48"/>
        <v>0</v>
      </c>
      <c r="CK33" s="128" t="e">
        <f t="shared" si="49"/>
        <v>#DIV/0!</v>
      </c>
      <c r="CL33" s="129" t="e">
        <f t="shared" si="50"/>
        <v>#DIV/0!</v>
      </c>
      <c r="CM33" s="130" t="e">
        <f t="shared" si="51"/>
        <v>#DIV/0!</v>
      </c>
      <c r="CO33" s="131" t="e">
        <f t="shared" si="52"/>
        <v>#DIV/0!</v>
      </c>
      <c r="CP33" s="1">
        <f t="shared" si="53"/>
        <v>0</v>
      </c>
      <c r="CQ33" s="132">
        <f t="shared" si="54"/>
        <v>0.23857397403942318</v>
      </c>
      <c r="CS33" s="104">
        <f t="shared" si="55"/>
        <v>9.8192599698154651E-2</v>
      </c>
    </row>
    <row r="34" spans="1:97">
      <c r="A34" s="133" t="s">
        <v>104</v>
      </c>
      <c r="B34" s="90" t="s">
        <v>110</v>
      </c>
      <c r="C34" s="91">
        <f>'Sizing - Reimb Expen-24'!B27</f>
        <v>60655515</v>
      </c>
      <c r="D34" s="92">
        <f>'Ridership-24'!$E26</f>
        <v>821936</v>
      </c>
      <c r="E34" s="92">
        <f>'Revenue Hours-24'!$F26</f>
        <v>71732</v>
      </c>
      <c r="F34" s="92">
        <f>'Revenue Miles-24'!$F26</f>
        <v>2197853</v>
      </c>
      <c r="G34" s="163">
        <f>$C$4</f>
        <v>5.592864339467718E-2</v>
      </c>
      <c r="H34" s="164">
        <f>$C$4</f>
        <v>5.592864339467718E-2</v>
      </c>
      <c r="J34" s="95">
        <f>'Ridership-24'!B26/'Revenue Hours-24'!C26</f>
        <v>59.097809306301592</v>
      </c>
      <c r="K34" s="96">
        <f>'Ridership-24'!C26/'Revenue Hours-24'!D26</f>
        <v>55.342163410837145</v>
      </c>
      <c r="L34" s="96">
        <f>'Ridership-24'!D26/'Revenue Hours-24'!E26</f>
        <v>6.8452722063037248</v>
      </c>
      <c r="M34" s="96">
        <f>'Ridership-24'!E26/'Revenue Hours-24'!F26</f>
        <v>11.458428595327051</v>
      </c>
      <c r="N34" s="97">
        <f t="shared" si="2"/>
        <v>0.8267628961688408</v>
      </c>
      <c r="O34" s="98">
        <f t="shared" si="3"/>
        <v>4.6239727191777616E-2</v>
      </c>
      <c r="P34" s="99">
        <f t="shared" si="4"/>
        <v>4.4368456579069092E-2</v>
      </c>
      <c r="Q34" s="95">
        <f>'Ridership-24'!B26/'Revenue Miles-24'!C26</f>
        <v>1.9169269798702158</v>
      </c>
      <c r="R34" s="96">
        <f>'Ridership-24'!C26/'Revenue Miles-24'!D26</f>
        <v>1.7949837852981274</v>
      </c>
      <c r="S34" s="96">
        <f>'Ridership-24'!D26/'Revenue Miles-24'!E26</f>
        <v>0.21891420471730516</v>
      </c>
      <c r="T34" s="96">
        <f>'Ridership-24'!E26/'Revenue Miles-24'!F26</f>
        <v>0.3739722356317734</v>
      </c>
      <c r="U34" s="97">
        <f t="shared" si="5"/>
        <v>0.84609812474829893</v>
      </c>
      <c r="V34" s="98">
        <f t="shared" si="6"/>
        <v>4.7321120295952694E-2</v>
      </c>
      <c r="W34" s="99">
        <f t="shared" si="7"/>
        <v>4.5562261727940583E-2</v>
      </c>
      <c r="X34" s="95">
        <f>'Op Cost-24'!B27/'Revenue Hours-24'!C26</f>
        <v>1005.9172333720352</v>
      </c>
      <c r="Y34" s="96">
        <f>'Op Cost-24'!C27/'Revenue Hours-24'!D26</f>
        <v>972.50946617787372</v>
      </c>
      <c r="Z34" s="96">
        <f>'Op Cost-24'!D27/'Revenue Hours-24'!E26</f>
        <v>1634.8335704410204</v>
      </c>
      <c r="AA34" s="96">
        <f>'Op Cost-24'!E27/'Revenue Hours-24'!F26</f>
        <v>1144.3562566218702</v>
      </c>
      <c r="AB34" s="97">
        <f t="shared" si="8"/>
        <v>1.0080005539781249</v>
      </c>
      <c r="AC34" s="98">
        <f t="shared" si="9"/>
        <v>5.5484734779114926E-2</v>
      </c>
      <c r="AD34" s="99">
        <f t="shared" si="10"/>
        <v>5.5793962018614578E-2</v>
      </c>
      <c r="AE34" s="95">
        <f>'Op Cost-24'!B27/'Revenue Miles-24'!C26</f>
        <v>32.628449460336377</v>
      </c>
      <c r="AF34" s="96">
        <f>'Op Cost-24'!C27/'Revenue Miles-24'!D26</f>
        <v>31.54265419440377</v>
      </c>
      <c r="AG34" s="96">
        <f>'Op Cost-24'!D27/'Revenue Miles-24'!E26</f>
        <v>52.282550661560784</v>
      </c>
      <c r="AH34" s="96">
        <f>'Op Cost-24'!E27/'Revenue Miles-24'!F26</f>
        <v>37.348704849687401</v>
      </c>
      <c r="AI34" s="97">
        <f t="shared" si="11"/>
        <v>1.0074292279502493</v>
      </c>
      <c r="AJ34" s="98">
        <f t="shared" si="12"/>
        <v>5.5516200883382702E-2</v>
      </c>
      <c r="AK34" s="99">
        <f t="shared" si="13"/>
        <v>5.5578944880515173E-2</v>
      </c>
      <c r="AL34" s="95">
        <f>'Op Cost-24'!B27/'Ridership-24'!B26</f>
        <v>17.021227100964204</v>
      </c>
      <c r="AM34" s="96">
        <f>'Op Cost-24'!C27/'Ridership-24'!C26</f>
        <v>17.572668038984474</v>
      </c>
      <c r="AN34" s="96">
        <f>'Op Cost-24'!D27/'Ridership-24'!D26</f>
        <v>238.82667060858773</v>
      </c>
      <c r="AO34" s="96">
        <f>'Op Cost-24'!E27/'Ridership-24'!E26</f>
        <v>99.870261188219033</v>
      </c>
      <c r="AP34" s="97">
        <f t="shared" si="14"/>
        <v>2.4216650482883781</v>
      </c>
      <c r="AQ34" s="98">
        <f t="shared" si="15"/>
        <v>2.3095119382512165E-2</v>
      </c>
      <c r="AR34" s="99">
        <f t="shared" si="16"/>
        <v>2.4449152563320115E-2</v>
      </c>
      <c r="AT34" s="101">
        <f t="shared" si="27"/>
        <v>0</v>
      </c>
      <c r="AU34" s="102">
        <f t="shared" si="17"/>
        <v>0</v>
      </c>
      <c r="AV34" s="102">
        <f t="shared" si="18"/>
        <v>0</v>
      </c>
      <c r="AW34" s="102">
        <f t="shared" si="19"/>
        <v>0</v>
      </c>
      <c r="AX34" s="103">
        <f t="shared" si="20"/>
        <v>0</v>
      </c>
      <c r="AY34" s="104">
        <f t="shared" si="28"/>
        <v>-1</v>
      </c>
      <c r="AZ34" s="105">
        <f t="shared" si="21"/>
        <v>0</v>
      </c>
      <c r="BA34" s="106">
        <f t="shared" si="21"/>
        <v>0</v>
      </c>
      <c r="BB34" s="106">
        <f t="shared" si="21"/>
        <v>0</v>
      </c>
      <c r="BC34" s="106">
        <f t="shared" si="21"/>
        <v>0</v>
      </c>
      <c r="BD34" s="106">
        <f t="shared" si="21"/>
        <v>0</v>
      </c>
      <c r="BE34" s="107">
        <f t="shared" si="29"/>
        <v>7080726.1873147823</v>
      </c>
      <c r="BG34" s="108">
        <f>'Op Cost-24'!E27</f>
        <v>82086963</v>
      </c>
      <c r="BH34" s="109">
        <f t="shared" si="22"/>
        <v>8.6258839754064023E-2</v>
      </c>
      <c r="BI34" s="110">
        <f t="shared" si="23"/>
        <v>7080726.1873147823</v>
      </c>
      <c r="BJ34" s="111">
        <f t="shared" si="24"/>
        <v>0</v>
      </c>
      <c r="BK34" s="1">
        <f t="shared" si="30"/>
        <v>0.54136188292613063</v>
      </c>
      <c r="BL34" s="112">
        <f t="shared" si="31"/>
        <v>1.2797561953066412</v>
      </c>
      <c r="BM34" s="112">
        <f t="shared" si="32"/>
        <v>0.60335972878752286</v>
      </c>
      <c r="BN34" s="113">
        <f t="shared" si="33"/>
        <v>0.14116580380517932</v>
      </c>
      <c r="BO34" s="114">
        <f t="shared" si="25"/>
        <v>7080726.1873147823</v>
      </c>
      <c r="BP34" s="115">
        <f t="shared" si="34"/>
        <v>3.0277635697646538E-2</v>
      </c>
      <c r="BQ34" s="116">
        <f t="shared" si="35"/>
        <v>3.0277635697646538E-2</v>
      </c>
      <c r="BR34" s="117">
        <f t="shared" si="36"/>
        <v>5.0555367688113438E-2</v>
      </c>
      <c r="BS34" s="118">
        <f t="shared" si="37"/>
        <v>7719646.2946622446</v>
      </c>
      <c r="BT34" s="119">
        <f t="shared" si="38"/>
        <v>24626088.899999999</v>
      </c>
      <c r="BU34" s="119">
        <f t="shared" si="39"/>
        <v>7719646.2946622446</v>
      </c>
      <c r="BV34" s="119">
        <f t="shared" si="56"/>
        <v>0</v>
      </c>
      <c r="BW34" s="120">
        <f t="shared" si="40"/>
        <v>3.0277635697646538E-2</v>
      </c>
      <c r="BX34" s="121">
        <f t="shared" si="41"/>
        <v>6.8398993790484114E-2</v>
      </c>
      <c r="BY34" s="122">
        <f t="shared" si="42"/>
        <v>7877528.9466659352</v>
      </c>
      <c r="BZ34" s="123">
        <f t="shared" si="58"/>
        <v>99556424379837.375</v>
      </c>
      <c r="CA34" s="111">
        <f>ROUND((BZ34+BI34),0)</f>
        <v>99556431460564</v>
      </c>
      <c r="CC34" s="124">
        <f t="shared" si="26"/>
        <v>1</v>
      </c>
      <c r="CD34" s="17"/>
      <c r="CE34" s="108">
        <f t="shared" si="44"/>
        <v>82086963</v>
      </c>
      <c r="CF34" s="125">
        <f t="shared" si="45"/>
        <v>1212816.601103442</v>
      </c>
      <c r="CG34" s="110">
        <f t="shared" si="46"/>
        <v>24626088.899999999</v>
      </c>
      <c r="CH34" s="126">
        <f t="shared" si="47"/>
        <v>99556406834475.094</v>
      </c>
      <c r="CJ34" s="127">
        <f t="shared" si="48"/>
        <v>0</v>
      </c>
      <c r="CK34" s="128" t="e">
        <f t="shared" si="49"/>
        <v>#DIV/0!</v>
      </c>
      <c r="CL34" s="129" t="e">
        <f t="shared" si="50"/>
        <v>#DIV/0!</v>
      </c>
      <c r="CM34" s="130" t="e">
        <f t="shared" si="51"/>
        <v>#DIV/0!</v>
      </c>
      <c r="CO34" s="131" t="e">
        <f t="shared" si="52"/>
        <v>#DIV/0!</v>
      </c>
      <c r="CP34" s="1">
        <f t="shared" si="53"/>
        <v>0</v>
      </c>
      <c r="CQ34" s="132">
        <f t="shared" si="54"/>
        <v>9.5965652264001236E-2</v>
      </c>
      <c r="CS34" s="104">
        <f t="shared" si="55"/>
        <v>2.4387154797845055E-2</v>
      </c>
    </row>
    <row r="35" spans="1:97">
      <c r="A35" s="133" t="s">
        <v>104</v>
      </c>
      <c r="B35" s="90" t="s">
        <v>111</v>
      </c>
      <c r="C35" s="91">
        <f>'Sizing - Reimb Expen-24'!B28</f>
        <v>33464344</v>
      </c>
      <c r="D35" s="92">
        <f>'Ridership-24'!$E27</f>
        <v>1220283</v>
      </c>
      <c r="E35" s="92">
        <f>'Revenue Hours-24'!$F27</f>
        <v>217350</v>
      </c>
      <c r="F35" s="92">
        <f>'Revenue Miles-24'!$F27</f>
        <v>5217740</v>
      </c>
      <c r="G35" s="134">
        <f t="shared" ref="G35:G50" si="59">IFERROR($C$9*(C35/C$51),0) + IFERROR($D$9*(D35/D$51),0) + IFERROR($E$9*(E35/E$51),0) + IFERROR($F$9*(F35/F$51),0)</f>
        <v>5.6412417842223256E-2</v>
      </c>
      <c r="H35" s="94">
        <f t="shared" ref="H35:H50" si="60">G35/(SUM($G$11:$G$50)-$G$34)*(1-$G$34)</f>
        <v>5.3257347841694003E-2</v>
      </c>
      <c r="J35" s="95">
        <f>'Ridership-24'!B27/'Revenue Hours-24'!C27</f>
        <v>10.344199378821216</v>
      </c>
      <c r="K35" s="96">
        <f>'Ridership-24'!C27/'Revenue Hours-24'!D27</f>
        <v>10.619348493496171</v>
      </c>
      <c r="L35" s="96">
        <f>'Ridership-24'!D27/'Revenue Hours-24'!E27</f>
        <v>3.1822121529637459</v>
      </c>
      <c r="M35" s="96">
        <f>'Ridership-24'!E27/'Revenue Hours-24'!F27</f>
        <v>5.6143685300207036</v>
      </c>
      <c r="N35" s="97">
        <f t="shared" si="2"/>
        <v>0.99449719814170712</v>
      </c>
      <c r="O35" s="98">
        <f t="shared" si="3"/>
        <v>5.296428320902298E-2</v>
      </c>
      <c r="P35" s="99">
        <f t="shared" si="4"/>
        <v>5.0820877252470531E-2</v>
      </c>
      <c r="Q35" s="95">
        <f>'Ridership-24'!B27/'Revenue Miles-24'!C27</f>
        <v>0.49586520195533368</v>
      </c>
      <c r="R35" s="96">
        <f>'Ridership-24'!C27/'Revenue Miles-24'!D27</f>
        <v>0.5403360203480656</v>
      </c>
      <c r="S35" s="96">
        <f>'Ridership-24'!D27/'Revenue Miles-24'!E27</f>
        <v>0.14309026388335411</v>
      </c>
      <c r="T35" s="96">
        <f>'Ridership-24'!E27/'Revenue Miles-24'!F27</f>
        <v>0.23387194455837201</v>
      </c>
      <c r="U35" s="97">
        <f t="shared" si="5"/>
        <v>0.96947249754369602</v>
      </c>
      <c r="V35" s="98">
        <f t="shared" si="6"/>
        <v>5.1631534024640456E-2</v>
      </c>
      <c r="W35" s="99">
        <f t="shared" si="7"/>
        <v>4.9712463524388274E-2</v>
      </c>
      <c r="X35" s="95">
        <f>'Op Cost-24'!B28/'Revenue Hours-24'!C27</f>
        <v>132.85237039556537</v>
      </c>
      <c r="Y35" s="96">
        <f>'Op Cost-24'!C28/'Revenue Hours-24'!D27</f>
        <v>147.42823097382487</v>
      </c>
      <c r="Z35" s="96">
        <f>'Op Cost-24'!D28/'Revenue Hours-24'!E27</f>
        <v>162.67460550900779</v>
      </c>
      <c r="AA35" s="96">
        <f>'Op Cost-24'!E28/'Revenue Hours-24'!F27</f>
        <v>182.82648723257418</v>
      </c>
      <c r="AB35" s="97">
        <f t="shared" si="8"/>
        <v>1.0380499392550568</v>
      </c>
      <c r="AC35" s="98">
        <f t="shared" si="9"/>
        <v>5.1305188534487511E-2</v>
      </c>
      <c r="AD35" s="99">
        <f t="shared" si="10"/>
        <v>5.1591122348277681E-2</v>
      </c>
      <c r="AE35" s="95">
        <f>'Op Cost-24'!B28/'Revenue Miles-24'!C27</f>
        <v>6.3684839264910691</v>
      </c>
      <c r="AF35" s="96">
        <f>'Op Cost-24'!C28/'Revenue Miles-24'!D27</f>
        <v>7.5014755999523217</v>
      </c>
      <c r="AG35" s="96">
        <f>'Op Cost-24'!D28/'Revenue Miles-24'!E27</f>
        <v>7.31477070368339</v>
      </c>
      <c r="AH35" s="96">
        <f>'Op Cost-24'!E28/'Revenue Miles-24'!F27</f>
        <v>7.6158139347686928</v>
      </c>
      <c r="AI35" s="97">
        <f t="shared" si="11"/>
        <v>1.00473780092762</v>
      </c>
      <c r="AJ35" s="98">
        <f t="shared" si="12"/>
        <v>5.3006214947346836E-2</v>
      </c>
      <c r="AK35" s="99">
        <f t="shared" si="13"/>
        <v>5.3066122177051651E-2</v>
      </c>
      <c r="AL35" s="95">
        <f>'Op Cost-24'!B28/'Ridership-24'!B27</f>
        <v>12.843175728763333</v>
      </c>
      <c r="AM35" s="96">
        <f>'Op Cost-24'!C28/'Ridership-24'!C27</f>
        <v>13.882982657939651</v>
      </c>
      <c r="AN35" s="96">
        <f>'Op Cost-24'!D28/'Ridership-24'!D27</f>
        <v>51.119974938660576</v>
      </c>
      <c r="AO35" s="96">
        <f>'Op Cost-24'!E28/'Ridership-24'!E27</f>
        <v>32.564033916722593</v>
      </c>
      <c r="AP35" s="97">
        <f t="shared" si="14"/>
        <v>1.141557882420283</v>
      </c>
      <c r="AQ35" s="98">
        <f t="shared" si="15"/>
        <v>4.6653217205929159E-2</v>
      </c>
      <c r="AR35" s="99">
        <f t="shared" si="16"/>
        <v>4.9388427318594844E-2</v>
      </c>
      <c r="AT35" s="101">
        <f t="shared" si="27"/>
        <v>0</v>
      </c>
      <c r="AU35" s="102">
        <f t="shared" si="17"/>
        <v>0</v>
      </c>
      <c r="AV35" s="102">
        <f t="shared" si="18"/>
        <v>0</v>
      </c>
      <c r="AW35" s="102">
        <f t="shared" si="19"/>
        <v>0</v>
      </c>
      <c r="AX35" s="103">
        <f t="shared" si="20"/>
        <v>0</v>
      </c>
      <c r="AY35" s="104">
        <f t="shared" si="28"/>
        <v>-1</v>
      </c>
      <c r="AZ35" s="105">
        <f t="shared" si="21"/>
        <v>0</v>
      </c>
      <c r="BA35" s="106">
        <f t="shared" si="21"/>
        <v>0</v>
      </c>
      <c r="BB35" s="106">
        <f t="shared" si="21"/>
        <v>0</v>
      </c>
      <c r="BC35" s="106">
        <f t="shared" si="21"/>
        <v>0</v>
      </c>
      <c r="BD35" s="106">
        <f t="shared" si="21"/>
        <v>0</v>
      </c>
      <c r="BE35" s="107">
        <f t="shared" si="29"/>
        <v>6742532.5314703481</v>
      </c>
      <c r="BG35" s="108">
        <f>'Op Cost-24'!E28</f>
        <v>39737337</v>
      </c>
      <c r="BH35" s="109">
        <f t="shared" si="22"/>
        <v>0.16967751340434181</v>
      </c>
      <c r="BI35" s="110">
        <f t="shared" si="23"/>
        <v>6742532.5314703481</v>
      </c>
      <c r="BJ35" s="111">
        <f t="shared" si="24"/>
        <v>0</v>
      </c>
      <c r="BK35" s="1">
        <f t="shared" si="30"/>
        <v>0.4675638656934501</v>
      </c>
      <c r="BL35" s="112">
        <f t="shared" si="31"/>
        <v>0.62705133162489779</v>
      </c>
      <c r="BM35" s="112">
        <f t="shared" si="32"/>
        <v>0.37732457010175174</v>
      </c>
      <c r="BN35" s="113">
        <f t="shared" si="33"/>
        <v>0.4329397805235754</v>
      </c>
      <c r="BO35" s="114">
        <f t="shared" si="25"/>
        <v>6742532.5314703481</v>
      </c>
      <c r="BP35" s="115">
        <f t="shared" si="34"/>
        <v>2.490121143344317E-2</v>
      </c>
      <c r="BQ35" s="116">
        <f t="shared" si="35"/>
        <v>2.490121143344317E-2</v>
      </c>
      <c r="BR35" s="117">
        <f t="shared" si="36"/>
        <v>4.15782101505048E-2</v>
      </c>
      <c r="BS35" s="118">
        <f t="shared" si="37"/>
        <v>7267999.0784958154</v>
      </c>
      <c r="BT35" s="119">
        <f t="shared" si="38"/>
        <v>11921201.1</v>
      </c>
      <c r="BU35" s="119">
        <f t="shared" si="39"/>
        <v>7267999.0784958154</v>
      </c>
      <c r="BV35" s="119">
        <f t="shared" si="56"/>
        <v>0</v>
      </c>
      <c r="BW35" s="120">
        <f t="shared" si="40"/>
        <v>2.490121143344317E-2</v>
      </c>
      <c r="BX35" s="121">
        <f t="shared" si="41"/>
        <v>5.6253329131111834E-2</v>
      </c>
      <c r="BY35" s="122">
        <f t="shared" si="42"/>
        <v>7397846.3802625854</v>
      </c>
      <c r="BZ35" s="123">
        <f t="shared" si="58"/>
        <v>93494183101920.734</v>
      </c>
      <c r="CA35" s="111">
        <f t="shared" si="57"/>
        <v>93494189844453</v>
      </c>
      <c r="CC35" s="124">
        <f t="shared" si="26"/>
        <v>1</v>
      </c>
      <c r="CD35" s="17"/>
      <c r="CE35" s="108">
        <f t="shared" si="44"/>
        <v>39737337</v>
      </c>
      <c r="CF35" s="125">
        <f t="shared" si="45"/>
        <v>2352804.6140699615</v>
      </c>
      <c r="CG35" s="110">
        <f t="shared" si="46"/>
        <v>11921201.1</v>
      </c>
      <c r="CH35" s="126">
        <f t="shared" si="47"/>
        <v>93494177923251.906</v>
      </c>
      <c r="CJ35" s="127">
        <f t="shared" si="48"/>
        <v>0</v>
      </c>
      <c r="CK35" s="128" t="e">
        <f t="shared" si="49"/>
        <v>#DIV/0!</v>
      </c>
      <c r="CL35" s="129" t="e">
        <f t="shared" si="50"/>
        <v>#DIV/0!</v>
      </c>
      <c r="CM35" s="130" t="e">
        <f t="shared" si="51"/>
        <v>#DIV/0!</v>
      </c>
      <c r="CO35" s="131" t="e">
        <f t="shared" si="52"/>
        <v>#DIV/0!</v>
      </c>
      <c r="CP35" s="1">
        <f t="shared" si="53"/>
        <v>0</v>
      </c>
      <c r="CQ35" s="132">
        <f t="shared" si="54"/>
        <v>0.18616864990883977</v>
      </c>
      <c r="CS35" s="104">
        <f t="shared" si="55"/>
        <v>2.0056707992178215E-2</v>
      </c>
    </row>
    <row r="36" spans="1:97">
      <c r="A36" s="133" t="s">
        <v>112</v>
      </c>
      <c r="B36" s="90" t="s">
        <v>113</v>
      </c>
      <c r="C36" s="91">
        <f>'Sizing - Reimb Expen-24'!B29</f>
        <v>4066652</v>
      </c>
      <c r="D36" s="92">
        <f>'Ridership-24'!$E28</f>
        <v>404081</v>
      </c>
      <c r="E36" s="92">
        <f>'Revenue Hours-24'!$F28</f>
        <v>47286</v>
      </c>
      <c r="F36" s="92">
        <f>'Revenue Miles-24'!$F28</f>
        <v>554292</v>
      </c>
      <c r="G36" s="93">
        <f t="shared" si="59"/>
        <v>9.6915468053750155E-3</v>
      </c>
      <c r="H36" s="94">
        <f t="shared" si="60"/>
        <v>9.1495117401543709E-3</v>
      </c>
      <c r="J36" s="95">
        <f>'Ridership-24'!B28/'Revenue Hours-24'!C28</f>
        <v>5.8235136133212473</v>
      </c>
      <c r="K36" s="96">
        <f>'Ridership-24'!C28/'Revenue Hours-24'!D28</f>
        <v>7.2311072676573369</v>
      </c>
      <c r="L36" s="96">
        <f>'Ridership-24'!D28/'Revenue Hours-24'!E28</f>
        <v>7.0651748073074137</v>
      </c>
      <c r="M36" s="96">
        <f>'Ridership-24'!E28/'Revenue Hours-24'!F28</f>
        <v>8.5454680032144825</v>
      </c>
      <c r="N36" s="97">
        <f t="shared" si="2"/>
        <v>1.3624910960990697</v>
      </c>
      <c r="O36" s="98">
        <f t="shared" si="3"/>
        <v>1.2466128279614236E-2</v>
      </c>
      <c r="P36" s="99">
        <f t="shared" si="4"/>
        <v>1.196163785718707E-2</v>
      </c>
      <c r="Q36" s="95">
        <f>'Ridership-24'!B28/'Revenue Miles-24'!C28</f>
        <v>0.5399100487106463</v>
      </c>
      <c r="R36" s="96">
        <f>'Ridership-24'!C28/'Revenue Miles-24'!D28</f>
        <v>0.68740479018609113</v>
      </c>
      <c r="S36" s="96">
        <f>'Ridership-24'!D28/'Revenue Miles-24'!E28</f>
        <v>0.60435953803758868</v>
      </c>
      <c r="T36" s="96">
        <f>'Ridership-24'!E28/'Revenue Miles-24'!F28</f>
        <v>0.7290038463481342</v>
      </c>
      <c r="U36" s="97">
        <f t="shared" si="5"/>
        <v>1.3105322544942031</v>
      </c>
      <c r="V36" s="98">
        <f t="shared" si="6"/>
        <v>1.1990730248345688E-2</v>
      </c>
      <c r="W36" s="99">
        <f t="shared" si="7"/>
        <v>1.1545051902141602E-2</v>
      </c>
      <c r="X36" s="95">
        <f>'Op Cost-24'!B29/'Revenue Hours-24'!C28</f>
        <v>60.12394668815255</v>
      </c>
      <c r="Y36" s="96">
        <f>'Op Cost-24'!C29/'Revenue Hours-24'!D28</f>
        <v>63.118368571529423</v>
      </c>
      <c r="Z36" s="96">
        <f>'Op Cost-24'!D29/'Revenue Hours-24'!E28</f>
        <v>99.128071370778855</v>
      </c>
      <c r="AA36" s="96">
        <f>'Op Cost-24'!E29/'Revenue Hours-24'!F28</f>
        <v>86.295224802267057</v>
      </c>
      <c r="AB36" s="97">
        <f t="shared" si="8"/>
        <v>1.0617091010611783</v>
      </c>
      <c r="AC36" s="98">
        <f t="shared" si="9"/>
        <v>8.6177199865852452E-3</v>
      </c>
      <c r="AD36" s="99">
        <f t="shared" si="10"/>
        <v>8.665748219446795E-3</v>
      </c>
      <c r="AE36" s="95">
        <f>'Op Cost-24'!B29/'Revenue Miles-24'!C28</f>
        <v>5.5742160387195172</v>
      </c>
      <c r="AF36" s="96">
        <f>'Op Cost-24'!C29/'Revenue Miles-24'!D28</f>
        <v>6.0001694483031685</v>
      </c>
      <c r="AG36" s="96">
        <f>'Op Cost-24'!D29/'Revenue Miles-24'!E28</f>
        <v>8.4794781522232086</v>
      </c>
      <c r="AH36" s="96">
        <f>'Op Cost-24'!E29/'Revenue Miles-24'!F28</f>
        <v>7.3617443513527165</v>
      </c>
      <c r="AI36" s="97">
        <f t="shared" si="11"/>
        <v>1.0302319714596049</v>
      </c>
      <c r="AJ36" s="98">
        <f t="shared" si="12"/>
        <v>8.8810209677259288E-3</v>
      </c>
      <c r="AK36" s="99">
        <f t="shared" si="13"/>
        <v>8.8910582315383964E-3</v>
      </c>
      <c r="AL36" s="95">
        <f>'Op Cost-24'!B29/'Ridership-24'!B28</f>
        <v>10.324342086299829</v>
      </c>
      <c r="AM36" s="96">
        <f>'Op Cost-24'!C29/'Ridership-24'!C28</f>
        <v>8.7287280129060925</v>
      </c>
      <c r="AN36" s="96">
        <f>'Op Cost-24'!D29/'Ridership-24'!D28</f>
        <v>14.030519282870687</v>
      </c>
      <c r="AO36" s="96">
        <f>'Op Cost-24'!E29/'Ridership-24'!E28</f>
        <v>10.098361467131589</v>
      </c>
      <c r="AP36" s="100">
        <f t="shared" si="14"/>
        <v>0.80929745558716537</v>
      </c>
      <c r="AQ36" s="98">
        <f t="shared" si="15"/>
        <v>1.130549920426498E-2</v>
      </c>
      <c r="AR36" s="99">
        <f t="shared" si="16"/>
        <v>1.1968324141197934E-2</v>
      </c>
      <c r="AT36" s="101">
        <f t="shared" si="27"/>
        <v>0</v>
      </c>
      <c r="AU36" s="102">
        <f t="shared" si="17"/>
        <v>0</v>
      </c>
      <c r="AV36" s="102">
        <f t="shared" si="18"/>
        <v>0</v>
      </c>
      <c r="AW36" s="102">
        <f t="shared" si="19"/>
        <v>0</v>
      </c>
      <c r="AX36" s="103">
        <f t="shared" si="20"/>
        <v>0</v>
      </c>
      <c r="AY36" s="104">
        <f t="shared" si="28"/>
        <v>-1</v>
      </c>
      <c r="AZ36" s="105">
        <f t="shared" si="21"/>
        <v>0</v>
      </c>
      <c r="BA36" s="106">
        <f t="shared" si="21"/>
        <v>0</v>
      </c>
      <c r="BB36" s="106">
        <f t="shared" si="21"/>
        <v>0</v>
      </c>
      <c r="BC36" s="106">
        <f t="shared" si="21"/>
        <v>0</v>
      </c>
      <c r="BD36" s="106">
        <f t="shared" si="21"/>
        <v>0</v>
      </c>
      <c r="BE36" s="107">
        <f t="shared" si="29"/>
        <v>1158354.3502473154</v>
      </c>
      <c r="BG36" s="108">
        <f>'Op Cost-24'!E29</f>
        <v>4080556</v>
      </c>
      <c r="BH36" s="109">
        <f t="shared" si="22"/>
        <v>0.28387169548642766</v>
      </c>
      <c r="BI36" s="110">
        <f t="shared" si="23"/>
        <v>1158354.3502473154</v>
      </c>
      <c r="BJ36" s="111">
        <f t="shared" si="24"/>
        <v>0</v>
      </c>
      <c r="BK36" s="1">
        <f t="shared" si="30"/>
        <v>1.230691618455257</v>
      </c>
      <c r="BL36" s="112">
        <f t="shared" si="31"/>
        <v>0.95441670102725484</v>
      </c>
      <c r="BM36" s="112">
        <f t="shared" si="32"/>
        <v>1.1761610117248515</v>
      </c>
      <c r="BN36" s="113">
        <f t="shared" si="33"/>
        <v>1.3960943805344606</v>
      </c>
      <c r="BO36" s="114">
        <f t="shared" si="25"/>
        <v>1158354.3502473154</v>
      </c>
      <c r="BP36" s="115">
        <f t="shared" si="34"/>
        <v>1.1260227411565958E-2</v>
      </c>
      <c r="BQ36" s="116">
        <f t="shared" si="35"/>
        <v>1.1260227411565958E-2</v>
      </c>
      <c r="BR36" s="117">
        <f t="shared" si="36"/>
        <v>1.8801498991803361E-2</v>
      </c>
      <c r="BS36" s="118">
        <f t="shared" si="37"/>
        <v>1395968.2041954217</v>
      </c>
      <c r="BT36" s="119">
        <f t="shared" si="38"/>
        <v>1224166.8</v>
      </c>
      <c r="BU36" s="119">
        <f t="shared" si="39"/>
        <v>1224166.8</v>
      </c>
      <c r="BV36" s="119">
        <f t="shared" si="56"/>
        <v>171801.40419542161</v>
      </c>
      <c r="BW36" s="120">
        <f t="shared" si="40"/>
        <v>0</v>
      </c>
      <c r="BX36" s="121">
        <f t="shared" si="41"/>
        <v>0</v>
      </c>
      <c r="BY36" s="122">
        <f t="shared" si="42"/>
        <v>1224166.8</v>
      </c>
      <c r="BZ36" s="123">
        <f t="shared" si="58"/>
        <v>15471053204328.623</v>
      </c>
      <c r="CA36" s="111">
        <f t="shared" si="57"/>
        <v>15471054362683</v>
      </c>
      <c r="CC36" s="124">
        <f t="shared" si="26"/>
        <v>1</v>
      </c>
      <c r="CD36" s="17"/>
      <c r="CE36" s="108">
        <f t="shared" si="44"/>
        <v>4080556</v>
      </c>
      <c r="CF36" s="125">
        <f t="shared" si="45"/>
        <v>3791408.4165694579</v>
      </c>
      <c r="CG36" s="110">
        <f t="shared" si="46"/>
        <v>1224166.8</v>
      </c>
      <c r="CH36" s="126">
        <f t="shared" si="47"/>
        <v>15471053138516.199</v>
      </c>
      <c r="CJ36" s="127">
        <f t="shared" si="48"/>
        <v>0</v>
      </c>
      <c r="CK36" s="128" t="e">
        <f t="shared" si="49"/>
        <v>#DIV/0!</v>
      </c>
      <c r="CL36" s="129" t="e">
        <f t="shared" si="50"/>
        <v>#DIV/0!</v>
      </c>
      <c r="CM36" s="130" t="e">
        <f t="shared" si="51"/>
        <v>#DIV/0!</v>
      </c>
      <c r="CO36" s="131" t="e">
        <f t="shared" si="52"/>
        <v>#DIV/0!</v>
      </c>
      <c r="CP36" s="1">
        <f t="shared" si="53"/>
        <v>0</v>
      </c>
      <c r="CQ36" s="132">
        <f t="shared" si="54"/>
        <v>0.3</v>
      </c>
      <c r="CS36" s="104">
        <f t="shared" si="55"/>
        <v>9.0695624878709413E-3</v>
      </c>
    </row>
    <row r="37" spans="1:97">
      <c r="A37" s="133" t="s">
        <v>112</v>
      </c>
      <c r="B37" s="90" t="s">
        <v>114</v>
      </c>
      <c r="C37" s="91">
        <f>'Sizing - Reimb Expen-24'!B30</f>
        <v>57445154</v>
      </c>
      <c r="D37" s="92">
        <f>'Ridership-24'!$E29</f>
        <v>8838099</v>
      </c>
      <c r="E37" s="92">
        <f>'Revenue Hours-24'!$F29</f>
        <v>589217</v>
      </c>
      <c r="F37" s="92">
        <f>'Revenue Miles-24'!$F29</f>
        <v>7359404</v>
      </c>
      <c r="G37" s="134">
        <f t="shared" si="59"/>
        <v>0.16131111546406862</v>
      </c>
      <c r="H37" s="94">
        <f t="shared" si="60"/>
        <v>0.15228920361168105</v>
      </c>
      <c r="J37" s="95">
        <f>'Ridership-24'!B29/'Revenue Hours-24'!C29</f>
        <v>14.064279158532678</v>
      </c>
      <c r="K37" s="96">
        <f>'Ridership-24'!C29/'Revenue Hours-24'!D29</f>
        <v>15.08483737680125</v>
      </c>
      <c r="L37" s="96">
        <f>'Ridership-24'!D29/'Revenue Hours-24'!E29</f>
        <v>12.685908078458269</v>
      </c>
      <c r="M37" s="96">
        <f>'Ridership-24'!E29/'Revenue Hours-24'!F29</f>
        <v>14.999735241854868</v>
      </c>
      <c r="N37" s="97">
        <f t="shared" si="2"/>
        <v>1.2105616251265683</v>
      </c>
      <c r="O37" s="98">
        <f t="shared" si="3"/>
        <v>0.18435546581338746</v>
      </c>
      <c r="P37" s="99">
        <f t="shared" si="4"/>
        <v>0.17689480403140947</v>
      </c>
      <c r="Q37" s="95">
        <f>'Ridership-24'!B29/'Revenue Miles-24'!C29</f>
        <v>1.1305960147789027</v>
      </c>
      <c r="R37" s="96">
        <f>'Ridership-24'!C29/'Revenue Miles-24'!D29</f>
        <v>1.1884855709632467</v>
      </c>
      <c r="S37" s="96">
        <f>'Ridership-24'!D29/'Revenue Miles-24'!E29</f>
        <v>1.0554722157446399</v>
      </c>
      <c r="T37" s="96">
        <f>'Ridership-24'!E29/'Revenue Miles-24'!F29</f>
        <v>1.2009259173704827</v>
      </c>
      <c r="U37" s="97">
        <f t="shared" si="5"/>
        <v>1.2233193409195682</v>
      </c>
      <c r="V37" s="98">
        <f t="shared" si="6"/>
        <v>0.1862983281914076</v>
      </c>
      <c r="W37" s="99">
        <f t="shared" si="7"/>
        <v>0.17937388496824463</v>
      </c>
      <c r="X37" s="95">
        <f>'Op Cost-24'!B30/'Revenue Hours-24'!C29</f>
        <v>85.845490006118709</v>
      </c>
      <c r="Y37" s="96">
        <f>'Op Cost-24'!C30/'Revenue Hours-24'!D29</f>
        <v>87.19640419871854</v>
      </c>
      <c r="Z37" s="96">
        <f>'Op Cost-24'!D30/'Revenue Hours-24'!E29</f>
        <v>106.94058914595765</v>
      </c>
      <c r="AA37" s="96">
        <f>'Op Cost-24'!E30/'Revenue Hours-24'!F29</f>
        <v>99.059409351732896</v>
      </c>
      <c r="AB37" s="97">
        <f t="shared" si="8"/>
        <v>0.97517721343486441</v>
      </c>
      <c r="AC37" s="98">
        <f t="shared" si="9"/>
        <v>0.15616567072488616</v>
      </c>
      <c r="AD37" s="99">
        <f t="shared" si="10"/>
        <v>0.15703601244058712</v>
      </c>
      <c r="AE37" s="95">
        <f>'Op Cost-24'!B30/'Revenue Miles-24'!C29</f>
        <v>6.9009273631188233</v>
      </c>
      <c r="AF37" s="96">
        <f>'Op Cost-24'!C30/'Revenue Miles-24'!D29</f>
        <v>6.8699228000581352</v>
      </c>
      <c r="AG37" s="96">
        <f>'Op Cost-24'!D30/'Revenue Miles-24'!E29</f>
        <v>8.897496330640184</v>
      </c>
      <c r="AH37" s="96">
        <f>'Op Cost-24'!E30/'Revenue Miles-24'!F29</f>
        <v>7.9310074565820816</v>
      </c>
      <c r="AI37" s="97">
        <f t="shared" si="11"/>
        <v>0.97974863423532932</v>
      </c>
      <c r="AJ37" s="98">
        <f t="shared" si="12"/>
        <v>0.15543701546523631</v>
      </c>
      <c r="AK37" s="99">
        <f t="shared" si="13"/>
        <v>0.15561268922348062</v>
      </c>
      <c r="AL37" s="95">
        <f>'Op Cost-24'!B30/'Ridership-24'!B29</f>
        <v>6.1037959385239438</v>
      </c>
      <c r="AM37" s="96">
        <f>'Op Cost-24'!C30/'Ridership-24'!C29</f>
        <v>5.7804006778897481</v>
      </c>
      <c r="AN37" s="96">
        <f>'Op Cost-24'!D30/'Ridership-24'!D29</f>
        <v>8.4298726180707302</v>
      </c>
      <c r="AO37" s="96">
        <f>'Op Cost-24'!E30/'Ridership-24'!E29</f>
        <v>6.6040771889973175</v>
      </c>
      <c r="AP37" s="97">
        <f t="shared" si="14"/>
        <v>0.84876555859417591</v>
      </c>
      <c r="AQ37" s="98">
        <f t="shared" si="15"/>
        <v>0.17942434406023744</v>
      </c>
      <c r="AR37" s="99">
        <f t="shared" si="16"/>
        <v>0.18994373178361179</v>
      </c>
      <c r="AT37" s="101">
        <f t="shared" si="27"/>
        <v>0</v>
      </c>
      <c r="AU37" s="102">
        <f t="shared" si="17"/>
        <v>0</v>
      </c>
      <c r="AV37" s="102">
        <f t="shared" si="18"/>
        <v>0</v>
      </c>
      <c r="AW37" s="102">
        <f t="shared" si="19"/>
        <v>0</v>
      </c>
      <c r="AX37" s="103">
        <f t="shared" si="20"/>
        <v>0</v>
      </c>
      <c r="AY37" s="104">
        <f t="shared" si="28"/>
        <v>-1</v>
      </c>
      <c r="AZ37" s="105">
        <f t="shared" si="21"/>
        <v>0</v>
      </c>
      <c r="BA37" s="106">
        <f t="shared" si="21"/>
        <v>0</v>
      </c>
      <c r="BB37" s="106">
        <f t="shared" si="21"/>
        <v>0</v>
      </c>
      <c r="BC37" s="106">
        <f t="shared" si="21"/>
        <v>0</v>
      </c>
      <c r="BD37" s="106">
        <f t="shared" si="21"/>
        <v>0</v>
      </c>
      <c r="BE37" s="107">
        <f t="shared" si="29"/>
        <v>19280248.663445469</v>
      </c>
      <c r="BG37" s="108">
        <f>'Op Cost-24'!E30</f>
        <v>58367488</v>
      </c>
      <c r="BH37" s="109">
        <f t="shared" si="22"/>
        <v>0.33032514031519516</v>
      </c>
      <c r="BI37" s="110">
        <f t="shared" si="23"/>
        <v>17510246.399999999</v>
      </c>
      <c r="BJ37" s="111">
        <f t="shared" si="24"/>
        <v>1770002.2634454705</v>
      </c>
      <c r="BK37" s="1">
        <f t="shared" si="30"/>
        <v>1.9705972581013533</v>
      </c>
      <c r="BL37" s="112">
        <f t="shared" si="31"/>
        <v>1.6752737030234315</v>
      </c>
      <c r="BM37" s="112">
        <f t="shared" si="32"/>
        <v>1.937551151556661</v>
      </c>
      <c r="BN37" s="113">
        <f t="shared" si="33"/>
        <v>2.1347820889126603</v>
      </c>
      <c r="BO37" s="114">
        <f t="shared" si="25"/>
        <v>0</v>
      </c>
      <c r="BP37" s="115">
        <f t="shared" si="34"/>
        <v>0.30010068707561738</v>
      </c>
      <c r="BQ37" s="116">
        <f t="shared" si="35"/>
        <v>0</v>
      </c>
      <c r="BR37" s="117">
        <f t="shared" si="36"/>
        <v>0</v>
      </c>
      <c r="BS37" s="118">
        <f t="shared" si="37"/>
        <v>17510246.399999999</v>
      </c>
      <c r="BT37" s="119">
        <f t="shared" si="38"/>
        <v>17510246.399999999</v>
      </c>
      <c r="BU37" s="119">
        <f t="shared" si="39"/>
        <v>17510246.399999999</v>
      </c>
      <c r="BV37" s="119">
        <f t="shared" si="56"/>
        <v>0</v>
      </c>
      <c r="BW37" s="120">
        <f t="shared" si="40"/>
        <v>0</v>
      </c>
      <c r="BX37" s="121">
        <f t="shared" si="41"/>
        <v>0</v>
      </c>
      <c r="BY37" s="122">
        <f t="shared" si="42"/>
        <v>17510246.399999999</v>
      </c>
      <c r="BZ37" s="123">
        <f t="shared" si="58"/>
        <v>221294968688338.66</v>
      </c>
      <c r="CA37" s="111">
        <f>ROUND((BZ37+BI37),0)</f>
        <v>221294986198585</v>
      </c>
      <c r="CC37" s="124">
        <f t="shared" si="26"/>
        <v>1</v>
      </c>
      <c r="CD37" s="17"/>
      <c r="CE37" s="108">
        <f t="shared" si="44"/>
        <v>58367488</v>
      </c>
      <c r="CF37" s="125">
        <f t="shared" si="45"/>
        <v>3791408.4326977548</v>
      </c>
      <c r="CG37" s="110">
        <f t="shared" si="46"/>
        <v>17510246.399999999</v>
      </c>
      <c r="CH37" s="126">
        <f t="shared" si="47"/>
        <v>221294968688338.59</v>
      </c>
      <c r="CJ37" s="127">
        <f t="shared" si="48"/>
        <v>0</v>
      </c>
      <c r="CK37" s="128" t="e">
        <f t="shared" si="49"/>
        <v>#DIV/0!</v>
      </c>
      <c r="CL37" s="129" t="e">
        <f t="shared" si="50"/>
        <v>#DIV/0!</v>
      </c>
      <c r="CM37" s="130" t="e">
        <f t="shared" si="51"/>
        <v>#DIV/0!</v>
      </c>
      <c r="CO37" s="131" t="e">
        <f t="shared" si="52"/>
        <v>#DIV/0!</v>
      </c>
      <c r="CP37" s="1">
        <f t="shared" si="53"/>
        <v>0</v>
      </c>
      <c r="CQ37" s="132">
        <f t="shared" si="54"/>
        <v>0.3</v>
      </c>
      <c r="CS37" s="104">
        <f t="shared" si="55"/>
        <v>0.24171642672950222</v>
      </c>
    </row>
    <row r="38" spans="1:97">
      <c r="A38" s="133" t="s">
        <v>115</v>
      </c>
      <c r="B38" s="90" t="s">
        <v>116</v>
      </c>
      <c r="C38" s="91">
        <f>'Sizing - Reimb Expen-24'!B31</f>
        <v>9821438</v>
      </c>
      <c r="D38" s="92">
        <f>'Ridership-24'!$E30</f>
        <v>3267836</v>
      </c>
      <c r="E38" s="92">
        <f>'Revenue Hours-24'!$F30</f>
        <v>100136</v>
      </c>
      <c r="F38" s="92">
        <f>'Revenue Miles-24'!$F30</f>
        <v>1050017</v>
      </c>
      <c r="G38" s="134">
        <f t="shared" si="59"/>
        <v>4.2918895386578282E-2</v>
      </c>
      <c r="H38" s="94">
        <f t="shared" si="60"/>
        <v>4.0518499791608868E-2</v>
      </c>
      <c r="J38" s="95">
        <f>'Ridership-24'!B30/'Revenue Hours-24'!C30</f>
        <v>38.430821690741176</v>
      </c>
      <c r="K38" s="96">
        <f>'Ridership-24'!C30/'Revenue Hours-24'!D30</f>
        <v>41.020012326113751</v>
      </c>
      <c r="L38" s="96">
        <f>'Ridership-24'!D30/'Revenue Hours-24'!E30</f>
        <v>7.7359808402431227</v>
      </c>
      <c r="M38" s="96">
        <f>'Ridership-24'!E30/'Revenue Hours-24'!F30</f>
        <v>32.633977790205321</v>
      </c>
      <c r="N38" s="97">
        <f t="shared" si="2"/>
        <v>1.570997120982047</v>
      </c>
      <c r="O38" s="98">
        <f t="shared" si="3"/>
        <v>6.3654446519129201E-2</v>
      </c>
      <c r="P38" s="99">
        <f t="shared" si="4"/>
        <v>6.1078421478033065E-2</v>
      </c>
      <c r="Q38" s="95">
        <f>'Ridership-24'!B30/'Revenue Miles-24'!C30</f>
        <v>3.9038389560856674</v>
      </c>
      <c r="R38" s="96">
        <f>'Ridership-24'!C30/'Revenue Miles-24'!D30</f>
        <v>4.0590237544714967</v>
      </c>
      <c r="S38" s="96">
        <f>'Ridership-24'!D30/'Revenue Miles-24'!E30</f>
        <v>0.74890286156611607</v>
      </c>
      <c r="T38" s="96">
        <f>'Ridership-24'!E30/'Revenue Miles-24'!F30</f>
        <v>3.1121743743196539</v>
      </c>
      <c r="U38" s="97">
        <f t="shared" si="5"/>
        <v>1.5695446744042203</v>
      </c>
      <c r="V38" s="98">
        <f t="shared" si="6"/>
        <v>6.3595595562768212E-2</v>
      </c>
      <c r="W38" s="99">
        <f t="shared" si="7"/>
        <v>6.1231837954244847E-2</v>
      </c>
      <c r="X38" s="95">
        <f>'Op Cost-24'!B31/'Revenue Hours-24'!C30</f>
        <v>85.193729576130707</v>
      </c>
      <c r="Y38" s="96">
        <f>'Op Cost-24'!C31/'Revenue Hours-24'!D30</f>
        <v>80.165865469272759</v>
      </c>
      <c r="Z38" s="96">
        <f>'Op Cost-24'!D31/'Revenue Hours-24'!E30</f>
        <v>94.638769882541524</v>
      </c>
      <c r="AA38" s="96">
        <f>'Op Cost-24'!E31/'Revenue Hours-24'!F30</f>
        <v>99.879114404410004</v>
      </c>
      <c r="AB38" s="97">
        <f t="shared" si="8"/>
        <v>0.98112606835854699</v>
      </c>
      <c r="AC38" s="98">
        <f t="shared" si="9"/>
        <v>4.1297954562962043E-2</v>
      </c>
      <c r="AD38" s="99">
        <f t="shared" si="10"/>
        <v>4.1528116111671357E-2</v>
      </c>
      <c r="AE38" s="95">
        <f>'Op Cost-24'!B31/'Revenue Miles-24'!C30</f>
        <v>8.6540590521293268</v>
      </c>
      <c r="AF38" s="96">
        <f>'Op Cost-24'!C31/'Revenue Miles-24'!D30</f>
        <v>7.9325951842875142</v>
      </c>
      <c r="AG38" s="96">
        <f>'Op Cost-24'!D31/'Revenue Miles-24'!E30</f>
        <v>9.1617659148578081</v>
      </c>
      <c r="AH38" s="96">
        <f>'Op Cost-24'!E31/'Revenue Miles-24'!F30</f>
        <v>9.5250791177666656</v>
      </c>
      <c r="AI38" s="97">
        <f t="shared" si="11"/>
        <v>0.96661079663279281</v>
      </c>
      <c r="AJ38" s="98">
        <f t="shared" si="12"/>
        <v>4.1918112163402098E-2</v>
      </c>
      <c r="AK38" s="99">
        <f t="shared" si="13"/>
        <v>4.1965487701849047E-2</v>
      </c>
      <c r="AL38" s="95">
        <f>'Op Cost-24'!B31/'Ridership-24'!B30</f>
        <v>2.216807391257412</v>
      </c>
      <c r="AM38" s="96">
        <f>'Op Cost-24'!C31/'Ridership-24'!C30</f>
        <v>1.9543111014191081</v>
      </c>
      <c r="AN38" s="96">
        <f>'Op Cost-24'!D31/'Ridership-24'!D30</f>
        <v>12.233583799771571</v>
      </c>
      <c r="AO38" s="96">
        <f>'Op Cost-24'!E31/'Ridership-24'!E30</f>
        <v>3.0605865777841972</v>
      </c>
      <c r="AP38" s="97">
        <f t="shared" si="14"/>
        <v>1.2723471939974662</v>
      </c>
      <c r="AQ38" s="98">
        <f t="shared" si="15"/>
        <v>3.1845474240649409E-2</v>
      </c>
      <c r="AR38" s="99">
        <f t="shared" si="16"/>
        <v>3.3712527970324216E-2</v>
      </c>
      <c r="AT38" s="101">
        <f t="shared" si="27"/>
        <v>0</v>
      </c>
      <c r="AU38" s="102">
        <f t="shared" si="17"/>
        <v>0</v>
      </c>
      <c r="AV38" s="102">
        <f t="shared" si="18"/>
        <v>0</v>
      </c>
      <c r="AW38" s="102">
        <f t="shared" si="19"/>
        <v>0</v>
      </c>
      <c r="AX38" s="103">
        <f t="shared" si="20"/>
        <v>0</v>
      </c>
      <c r="AY38" s="104">
        <f t="shared" si="28"/>
        <v>-1</v>
      </c>
      <c r="AZ38" s="105">
        <f t="shared" si="21"/>
        <v>0</v>
      </c>
      <c r="BA38" s="106">
        <f t="shared" si="21"/>
        <v>0</v>
      </c>
      <c r="BB38" s="106">
        <f t="shared" si="21"/>
        <v>0</v>
      </c>
      <c r="BC38" s="106">
        <f t="shared" si="21"/>
        <v>0</v>
      </c>
      <c r="BD38" s="106">
        <f t="shared" si="21"/>
        <v>0</v>
      </c>
      <c r="BE38" s="107">
        <f t="shared" si="29"/>
        <v>5129757.9403196862</v>
      </c>
      <c r="BG38" s="108">
        <f>'Op Cost-24'!E31</f>
        <v>10001495</v>
      </c>
      <c r="BH38" s="109">
        <f t="shared" si="22"/>
        <v>0.51289911561418433</v>
      </c>
      <c r="BI38" s="110">
        <f t="shared" si="23"/>
        <v>3000448.5</v>
      </c>
      <c r="BJ38" s="111">
        <f t="shared" si="24"/>
        <v>2129309.4403196862</v>
      </c>
      <c r="BK38" s="1">
        <f t="shared" si="30"/>
        <v>4.4696743232487242</v>
      </c>
      <c r="BL38" s="112">
        <f t="shared" si="31"/>
        <v>3.6447873202741339</v>
      </c>
      <c r="BM38" s="112">
        <f t="shared" si="32"/>
        <v>5.0211232479779495</v>
      </c>
      <c r="BN38" s="113">
        <f t="shared" si="33"/>
        <v>4.6063933623714064</v>
      </c>
      <c r="BO38" s="114">
        <f t="shared" si="25"/>
        <v>0</v>
      </c>
      <c r="BP38" s="115">
        <f t="shared" si="34"/>
        <v>0.18110449813511295</v>
      </c>
      <c r="BQ38" s="116">
        <f t="shared" si="35"/>
        <v>0</v>
      </c>
      <c r="BR38" s="117">
        <f t="shared" si="36"/>
        <v>0</v>
      </c>
      <c r="BS38" s="118">
        <f t="shared" si="37"/>
        <v>3000448.5</v>
      </c>
      <c r="BT38" s="119">
        <f t="shared" si="38"/>
        <v>3000448.5</v>
      </c>
      <c r="BU38" s="119">
        <f t="shared" si="39"/>
        <v>3000448.5</v>
      </c>
      <c r="BV38" s="119">
        <f t="shared" si="56"/>
        <v>0</v>
      </c>
      <c r="BW38" s="120">
        <f t="shared" si="40"/>
        <v>0</v>
      </c>
      <c r="BX38" s="121">
        <f t="shared" si="41"/>
        <v>0</v>
      </c>
      <c r="BY38" s="122">
        <f t="shared" si="42"/>
        <v>3000448.5</v>
      </c>
      <c r="BZ38" s="123">
        <f t="shared" si="58"/>
        <v>37919749482135.938</v>
      </c>
      <c r="CA38" s="111">
        <f t="shared" si="57"/>
        <v>37919752482584</v>
      </c>
      <c r="CC38" s="124">
        <f t="shared" si="26"/>
        <v>1</v>
      </c>
      <c r="CD38" s="17"/>
      <c r="CE38" s="108">
        <f t="shared" si="44"/>
        <v>10001495</v>
      </c>
      <c r="CF38" s="125">
        <f t="shared" si="45"/>
        <v>3791408.4326977115</v>
      </c>
      <c r="CG38" s="110">
        <f t="shared" si="46"/>
        <v>3000448.5</v>
      </c>
      <c r="CH38" s="126">
        <f t="shared" si="47"/>
        <v>37919749482135.5</v>
      </c>
      <c r="CJ38" s="127">
        <f t="shared" si="48"/>
        <v>0</v>
      </c>
      <c r="CK38" s="128" t="e">
        <f t="shared" si="49"/>
        <v>#DIV/0!</v>
      </c>
      <c r="CL38" s="129" t="e">
        <f t="shared" si="50"/>
        <v>#DIV/0!</v>
      </c>
      <c r="CM38" s="130" t="e">
        <f t="shared" si="51"/>
        <v>#DIV/0!</v>
      </c>
      <c r="CO38" s="131" t="e">
        <f t="shared" si="52"/>
        <v>#DIV/0!</v>
      </c>
      <c r="CP38" s="1">
        <f t="shared" si="53"/>
        <v>0</v>
      </c>
      <c r="CQ38" s="132">
        <f t="shared" si="54"/>
        <v>0.3</v>
      </c>
      <c r="CS38" s="104">
        <f t="shared" si="55"/>
        <v>0.14587081615987413</v>
      </c>
    </row>
    <row r="39" spans="1:97">
      <c r="A39" s="133" t="s">
        <v>115</v>
      </c>
      <c r="B39" s="90" t="s">
        <v>117</v>
      </c>
      <c r="C39" s="91">
        <f>'Sizing - Reimb Expen-24'!B32</f>
        <v>1758084</v>
      </c>
      <c r="D39" s="92">
        <f>'Ridership-24'!$E31</f>
        <v>125489</v>
      </c>
      <c r="E39" s="92">
        <f>'Revenue Hours-24'!$F31</f>
        <v>31063</v>
      </c>
      <c r="F39" s="92">
        <f>'Revenue Miles-24'!$F31</f>
        <v>373643</v>
      </c>
      <c r="G39" s="134">
        <f t="shared" si="59"/>
        <v>4.4378819736475023E-3</v>
      </c>
      <c r="H39" s="94">
        <f t="shared" si="60"/>
        <v>4.1896772553157036E-3</v>
      </c>
      <c r="J39" s="95">
        <f>'Ridership-24'!B31/'Revenue Hours-24'!C31</f>
        <v>10.469111047455362</v>
      </c>
      <c r="K39" s="96">
        <f>'Ridership-24'!C31/'Revenue Hours-24'!D31</f>
        <v>8.58772210149559</v>
      </c>
      <c r="L39" s="96">
        <f>'Ridership-24'!D31/'Revenue Hours-24'!E31</f>
        <v>3.353975911522431</v>
      </c>
      <c r="M39" s="96">
        <f>'Ridership-24'!E31/'Revenue Hours-24'!F31</f>
        <v>4.039822296622992</v>
      </c>
      <c r="N39" s="97">
        <f t="shared" si="2"/>
        <v>0.83958861914202576</v>
      </c>
      <c r="O39" s="98">
        <f t="shared" si="3"/>
        <v>3.5176053414412642E-3</v>
      </c>
      <c r="P39" s="99">
        <f t="shared" si="4"/>
        <v>3.3752517441709914E-3</v>
      </c>
      <c r="Q39" s="95">
        <f>'Ridership-24'!B31/'Revenue Miles-24'!C31</f>
        <v>0.95972094977446065</v>
      </c>
      <c r="R39" s="96">
        <f>'Ridership-24'!C31/'Revenue Miles-24'!D31</f>
        <v>0.78227240838260248</v>
      </c>
      <c r="S39" s="96">
        <f>'Ridership-24'!D31/'Revenue Miles-24'!E31</f>
        <v>0.29134203947124609</v>
      </c>
      <c r="T39" s="96">
        <f>'Ridership-24'!E31/'Revenue Miles-24'!F31</f>
        <v>0.3358526722031458</v>
      </c>
      <c r="U39" s="97">
        <f t="shared" si="5"/>
        <v>0.81813252123285196</v>
      </c>
      <c r="V39" s="98">
        <f t="shared" si="6"/>
        <v>3.4277112160433719E-3</v>
      </c>
      <c r="W39" s="99">
        <f t="shared" si="7"/>
        <v>3.3003080775862986E-3</v>
      </c>
      <c r="X39" s="95">
        <f>'Op Cost-24'!B32/'Revenue Hours-24'!C31</f>
        <v>45.655272287469366</v>
      </c>
      <c r="Y39" s="96">
        <f>'Op Cost-24'!C32/'Revenue Hours-24'!D31</f>
        <v>50.245430141889301</v>
      </c>
      <c r="Z39" s="96">
        <f>'Op Cost-24'!D32/'Revenue Hours-24'!E31</f>
        <v>54.975878704341831</v>
      </c>
      <c r="AA39" s="96">
        <f>'Op Cost-24'!E32/'Revenue Hours-24'!F31</f>
        <v>56.597366641985644</v>
      </c>
      <c r="AB39" s="97">
        <f t="shared" si="8"/>
        <v>1.0011244458616895</v>
      </c>
      <c r="AC39" s="98">
        <f t="shared" si="9"/>
        <v>4.1849714814520961E-3</v>
      </c>
      <c r="AD39" s="99">
        <f t="shared" si="10"/>
        <v>4.2082951430636372E-3</v>
      </c>
      <c r="AE39" s="95">
        <f>'Op Cost-24'!B32/'Revenue Miles-24'!C31</f>
        <v>4.1852953018959314</v>
      </c>
      <c r="AF39" s="96">
        <f>'Op Cost-24'!C32/'Revenue Miles-24'!D31</f>
        <v>4.5769545384416093</v>
      </c>
      <c r="AG39" s="96">
        <f>'Op Cost-24'!D32/'Revenue Miles-24'!E31</f>
        <v>4.775462032515458</v>
      </c>
      <c r="AH39" s="96">
        <f>'Op Cost-24'!E32/'Revenue Miles-24'!F31</f>
        <v>4.7052507339893959</v>
      </c>
      <c r="AI39" s="97">
        <f t="shared" si="11"/>
        <v>0.97631099927011855</v>
      </c>
      <c r="AJ39" s="98">
        <f t="shared" si="12"/>
        <v>4.291334685820266E-3</v>
      </c>
      <c r="AK39" s="99">
        <f t="shared" si="13"/>
        <v>4.2961847203495948E-3</v>
      </c>
      <c r="AL39" s="95">
        <f>'Op Cost-24'!B32/'Ridership-24'!B31</f>
        <v>4.3609502354611482</v>
      </c>
      <c r="AM39" s="96">
        <f>'Op Cost-24'!C32/'Ridership-24'!C31</f>
        <v>5.8508449095178374</v>
      </c>
      <c r="AN39" s="96">
        <f>'Op Cost-24'!D32/'Ridership-24'!D31</f>
        <v>16.391256274523233</v>
      </c>
      <c r="AO39" s="96">
        <f>'Op Cost-24'!E32/'Ridership-24'!E31</f>
        <v>14.009865406529656</v>
      </c>
      <c r="AP39" s="100">
        <f t="shared" si="14"/>
        <v>1.1962544231491588</v>
      </c>
      <c r="AQ39" s="98">
        <f t="shared" si="15"/>
        <v>3.5023295832723542E-3</v>
      </c>
      <c r="AR39" s="99">
        <f t="shared" si="16"/>
        <v>3.7076660609641275E-3</v>
      </c>
      <c r="AT39" s="101">
        <f t="shared" si="27"/>
        <v>0</v>
      </c>
      <c r="AU39" s="102">
        <f t="shared" si="17"/>
        <v>0</v>
      </c>
      <c r="AV39" s="102">
        <f t="shared" si="18"/>
        <v>0</v>
      </c>
      <c r="AW39" s="102">
        <f t="shared" si="19"/>
        <v>0</v>
      </c>
      <c r="AX39" s="103">
        <f t="shared" si="20"/>
        <v>0</v>
      </c>
      <c r="AY39" s="104">
        <f t="shared" si="28"/>
        <v>-1</v>
      </c>
      <c r="AZ39" s="105">
        <f t="shared" si="21"/>
        <v>0</v>
      </c>
      <c r="BA39" s="106">
        <f t="shared" si="21"/>
        <v>0</v>
      </c>
      <c r="BB39" s="106">
        <f t="shared" si="21"/>
        <v>0</v>
      </c>
      <c r="BC39" s="106">
        <f t="shared" si="21"/>
        <v>0</v>
      </c>
      <c r="BD39" s="106">
        <f t="shared" si="21"/>
        <v>0</v>
      </c>
      <c r="BE39" s="107">
        <f t="shared" si="29"/>
        <v>530425.12132404733</v>
      </c>
      <c r="BG39" s="108">
        <f>'Op Cost-24'!E32</f>
        <v>1758084</v>
      </c>
      <c r="BH39" s="109">
        <f t="shared" si="22"/>
        <v>0.30170635835605542</v>
      </c>
      <c r="BI39" s="110">
        <f t="shared" si="23"/>
        <v>527425.19999999995</v>
      </c>
      <c r="BJ39" s="111">
        <f t="shared" si="24"/>
        <v>2999.9213240473764</v>
      </c>
      <c r="BK39" s="1">
        <f t="shared" si="30"/>
        <v>0.75141830857887959</v>
      </c>
      <c r="BL39" s="112">
        <f t="shared" si="31"/>
        <v>0.451195167734395</v>
      </c>
      <c r="BM39" s="112">
        <f t="shared" si="32"/>
        <v>0.54185834643773267</v>
      </c>
      <c r="BN39" s="113">
        <f t="shared" si="33"/>
        <v>1.0063098600716953</v>
      </c>
      <c r="BO39" s="114">
        <f t="shared" si="25"/>
        <v>0</v>
      </c>
      <c r="BP39" s="115">
        <f t="shared" si="34"/>
        <v>3.1482001966807289E-3</v>
      </c>
      <c r="BQ39" s="116">
        <f t="shared" si="35"/>
        <v>0</v>
      </c>
      <c r="BR39" s="117">
        <f t="shared" si="36"/>
        <v>0</v>
      </c>
      <c r="BS39" s="118">
        <f t="shared" si="37"/>
        <v>527425.19999999995</v>
      </c>
      <c r="BT39" s="119">
        <f t="shared" si="38"/>
        <v>527425.19999999995</v>
      </c>
      <c r="BU39" s="119">
        <f t="shared" si="39"/>
        <v>527425.19999999995</v>
      </c>
      <c r="BV39" s="119">
        <f t="shared" si="56"/>
        <v>0</v>
      </c>
      <c r="BW39" s="120">
        <f t="shared" si="40"/>
        <v>0</v>
      </c>
      <c r="BX39" s="121">
        <f t="shared" si="41"/>
        <v>0</v>
      </c>
      <c r="BY39" s="122">
        <f t="shared" si="42"/>
        <v>527425.19999999995</v>
      </c>
      <c r="BZ39" s="123">
        <f t="shared" si="58"/>
        <v>6665613975565.8008</v>
      </c>
      <c r="CA39" s="111">
        <f t="shared" si="57"/>
        <v>6665614502991</v>
      </c>
      <c r="CC39" s="124">
        <f t="shared" si="26"/>
        <v>1</v>
      </c>
      <c r="CD39" s="17"/>
      <c r="CE39" s="108">
        <f t="shared" si="44"/>
        <v>1758084</v>
      </c>
      <c r="CF39" s="125">
        <f t="shared" si="45"/>
        <v>3791408.4326977553</v>
      </c>
      <c r="CG39" s="110">
        <f t="shared" si="46"/>
        <v>527425.19999999995</v>
      </c>
      <c r="CH39" s="126">
        <f t="shared" si="47"/>
        <v>6665613975565.7998</v>
      </c>
      <c r="CJ39" s="127">
        <f t="shared" si="48"/>
        <v>0</v>
      </c>
      <c r="CK39" s="128" t="e">
        <f t="shared" si="49"/>
        <v>#DIV/0!</v>
      </c>
      <c r="CL39" s="129" t="e">
        <f t="shared" si="50"/>
        <v>#DIV/0!</v>
      </c>
      <c r="CM39" s="130" t="e">
        <f t="shared" si="51"/>
        <v>#DIV/0!</v>
      </c>
      <c r="CO39" s="131" t="e">
        <f t="shared" si="52"/>
        <v>#DIV/0!</v>
      </c>
      <c r="CP39" s="1">
        <f t="shared" si="53"/>
        <v>0</v>
      </c>
      <c r="CQ39" s="132">
        <f t="shared" si="54"/>
        <v>0.3</v>
      </c>
      <c r="CS39" s="104">
        <f t="shared" si="55"/>
        <v>2.5357212926974647E-3</v>
      </c>
    </row>
    <row r="40" spans="1:97">
      <c r="A40" s="133" t="s">
        <v>115</v>
      </c>
      <c r="B40" s="90" t="s">
        <v>118</v>
      </c>
      <c r="C40" s="91">
        <f>'Sizing - Reimb Expen-24'!B33</f>
        <v>10624308</v>
      </c>
      <c r="D40" s="92">
        <f>'Ridership-24'!$E32</f>
        <v>1134478</v>
      </c>
      <c r="E40" s="92">
        <f>'Revenue Hours-24'!$F32</f>
        <v>155800</v>
      </c>
      <c r="F40" s="92">
        <f>'Revenue Miles-24'!$F32</f>
        <v>2582667</v>
      </c>
      <c r="G40" s="134">
        <f t="shared" si="59"/>
        <v>2.990475036668868E-2</v>
      </c>
      <c r="H40" s="94">
        <f t="shared" si="60"/>
        <v>2.8232218247623293E-2</v>
      </c>
      <c r="J40" s="95">
        <f>'Ridership-24'!B32/'Revenue Hours-24'!C32</f>
        <v>13.489683908981412</v>
      </c>
      <c r="K40" s="96">
        <f>'Ridership-24'!C32/'Revenue Hours-24'!D32</f>
        <v>13.061303342191943</v>
      </c>
      <c r="L40" s="96">
        <f>'Ridership-24'!D32/'Revenue Hours-24'!E32</f>
        <v>7.5369057433360815</v>
      </c>
      <c r="M40" s="96">
        <f>'Ridership-24'!E32/'Revenue Hours-24'!F32</f>
        <v>7.2816302952503209</v>
      </c>
      <c r="N40" s="97">
        <f t="shared" si="2"/>
        <v>0.94844527831451908</v>
      </c>
      <c r="O40" s="98">
        <f t="shared" si="3"/>
        <v>2.677671409330332E-2</v>
      </c>
      <c r="P40" s="99">
        <f t="shared" si="4"/>
        <v>2.5693090092238566E-2</v>
      </c>
      <c r="Q40" s="95">
        <f>'Ridership-24'!B32/'Revenue Miles-24'!C32</f>
        <v>0.84707708145185789</v>
      </c>
      <c r="R40" s="96">
        <f>'Ridership-24'!C32/'Revenue Miles-24'!D32</f>
        <v>0.76270122520155903</v>
      </c>
      <c r="S40" s="96">
        <f>'Ridership-24'!D32/'Revenue Miles-24'!E32</f>
        <v>0.4322966250764449</v>
      </c>
      <c r="T40" s="96">
        <f>'Ridership-24'!E32/'Revenue Miles-24'!F32</f>
        <v>0.43926607650153893</v>
      </c>
      <c r="U40" s="97">
        <f t="shared" si="5"/>
        <v>0.93488870997493956</v>
      </c>
      <c r="V40" s="98">
        <f t="shared" si="6"/>
        <v>2.6393982097251488E-2</v>
      </c>
      <c r="W40" s="99">
        <f t="shared" si="7"/>
        <v>2.5412955416873436E-2</v>
      </c>
      <c r="X40" s="95">
        <f>'Op Cost-24'!B33/'Revenue Hours-24'!C32</f>
        <v>62.404362121162798</v>
      </c>
      <c r="Y40" s="96">
        <f>'Op Cost-24'!C33/'Revenue Hours-24'!D32</f>
        <v>69.193957147306961</v>
      </c>
      <c r="Z40" s="96">
        <f>'Op Cost-24'!D33/'Revenue Hours-24'!E32</f>
        <v>71.568899422918378</v>
      </c>
      <c r="AA40" s="96">
        <f>'Op Cost-24'!E33/'Revenue Hours-24'!F32</f>
        <v>68.191964056482675</v>
      </c>
      <c r="AB40" s="97">
        <f t="shared" si="8"/>
        <v>0.9619893036190682</v>
      </c>
      <c r="AC40" s="98">
        <f t="shared" si="9"/>
        <v>2.934774653045704E-2</v>
      </c>
      <c r="AD40" s="99">
        <f t="shared" si="10"/>
        <v>2.951130724100701E-2</v>
      </c>
      <c r="AE40" s="95">
        <f>'Op Cost-24'!B33/'Revenue Miles-24'!C32</f>
        <v>3.9186466704578953</v>
      </c>
      <c r="AF40" s="96">
        <f>'Op Cost-24'!C33/'Revenue Miles-24'!D32</f>
        <v>4.0405091674364728</v>
      </c>
      <c r="AG40" s="96">
        <f>'Op Cost-24'!D33/'Revenue Miles-24'!E32</f>
        <v>4.104999416812201</v>
      </c>
      <c r="AH40" s="96">
        <f>'Op Cost-24'!E33/'Revenue Miles-24'!F32</f>
        <v>4.1136964231161048</v>
      </c>
      <c r="AI40" s="97">
        <f t="shared" si="11"/>
        <v>0.95410645766052327</v>
      </c>
      <c r="AJ40" s="98">
        <f t="shared" si="12"/>
        <v>2.9590218178429398E-2</v>
      </c>
      <c r="AK40" s="99">
        <f t="shared" si="13"/>
        <v>2.9623660822828583E-2</v>
      </c>
      <c r="AL40" s="95">
        <f>'Op Cost-24'!B33/'Ridership-24'!B32</f>
        <v>4.6260803842567482</v>
      </c>
      <c r="AM40" s="96">
        <f>'Op Cost-24'!C33/'Ridership-24'!C32</f>
        <v>5.2976303615726961</v>
      </c>
      <c r="AN40" s="96">
        <f>'Op Cost-24'!D33/'Ridership-24'!D32</f>
        <v>9.4957933481120662</v>
      </c>
      <c r="AO40" s="96">
        <f>'Op Cost-24'!E33/'Ridership-24'!E32</f>
        <v>9.3649308316247648</v>
      </c>
      <c r="AP40" s="97">
        <f t="shared" si="14"/>
        <v>1.0470853269200342</v>
      </c>
      <c r="AQ40" s="98">
        <f t="shared" si="15"/>
        <v>2.6962672020882386E-2</v>
      </c>
      <c r="AR40" s="99">
        <f t="shared" si="16"/>
        <v>2.8543454174672047E-2</v>
      </c>
      <c r="AT40" s="101">
        <f t="shared" si="27"/>
        <v>0</v>
      </c>
      <c r="AU40" s="102">
        <f t="shared" si="17"/>
        <v>0</v>
      </c>
      <c r="AV40" s="102">
        <f t="shared" si="18"/>
        <v>0</v>
      </c>
      <c r="AW40" s="102">
        <f t="shared" si="19"/>
        <v>0</v>
      </c>
      <c r="AX40" s="103">
        <f t="shared" si="20"/>
        <v>0</v>
      </c>
      <c r="AY40" s="104">
        <f t="shared" si="28"/>
        <v>-1</v>
      </c>
      <c r="AZ40" s="105">
        <f t="shared" si="21"/>
        <v>0</v>
      </c>
      <c r="BA40" s="106">
        <f t="shared" si="21"/>
        <v>0</v>
      </c>
      <c r="BB40" s="106">
        <f t="shared" si="21"/>
        <v>0</v>
      </c>
      <c r="BC40" s="106">
        <f t="shared" si="21"/>
        <v>0</v>
      </c>
      <c r="BD40" s="106">
        <f t="shared" si="21"/>
        <v>0</v>
      </c>
      <c r="BE40" s="107">
        <f t="shared" si="29"/>
        <v>3574279.5630004099</v>
      </c>
      <c r="BG40" s="108">
        <f>'Op Cost-24'!E33</f>
        <v>10624308</v>
      </c>
      <c r="BH40" s="109">
        <f t="shared" si="22"/>
        <v>0.3364246935424321</v>
      </c>
      <c r="BI40" s="110">
        <f t="shared" si="23"/>
        <v>3187292.4</v>
      </c>
      <c r="BJ40" s="111">
        <f t="shared" si="24"/>
        <v>386987.16300040996</v>
      </c>
      <c r="BK40" s="1">
        <f t="shared" si="30"/>
        <v>1.1332074995148489</v>
      </c>
      <c r="BL40" s="112">
        <f t="shared" si="31"/>
        <v>0.81326260444468434</v>
      </c>
      <c r="BM40" s="112">
        <f t="shared" si="32"/>
        <v>0.70870357617802215</v>
      </c>
      <c r="BN40" s="113">
        <f t="shared" si="33"/>
        <v>1.5054319087183445</v>
      </c>
      <c r="BO40" s="114">
        <f t="shared" si="25"/>
        <v>0</v>
      </c>
      <c r="BP40" s="115">
        <f t="shared" si="34"/>
        <v>3.1992961446146682E-2</v>
      </c>
      <c r="BQ40" s="116">
        <f t="shared" si="35"/>
        <v>0</v>
      </c>
      <c r="BR40" s="117">
        <f t="shared" si="36"/>
        <v>0</v>
      </c>
      <c r="BS40" s="118">
        <f t="shared" si="37"/>
        <v>3187292.4</v>
      </c>
      <c r="BT40" s="119">
        <f t="shared" si="38"/>
        <v>3187292.4</v>
      </c>
      <c r="BU40" s="119">
        <f t="shared" si="39"/>
        <v>3187292.4</v>
      </c>
      <c r="BV40" s="119">
        <f t="shared" si="56"/>
        <v>0</v>
      </c>
      <c r="BW40" s="120">
        <f t="shared" si="40"/>
        <v>0</v>
      </c>
      <c r="BX40" s="121">
        <f t="shared" si="41"/>
        <v>0</v>
      </c>
      <c r="BY40" s="122">
        <f t="shared" si="42"/>
        <v>3187292.4</v>
      </c>
      <c r="BZ40" s="123">
        <f t="shared" si="58"/>
        <v>40281087755485.828</v>
      </c>
      <c r="CA40" s="111">
        <f t="shared" si="57"/>
        <v>40281090942778</v>
      </c>
      <c r="CC40" s="124">
        <f t="shared" si="26"/>
        <v>1</v>
      </c>
      <c r="CD40" s="17"/>
      <c r="CE40" s="108">
        <f t="shared" si="44"/>
        <v>10624308</v>
      </c>
      <c r="CF40" s="125">
        <f t="shared" si="45"/>
        <v>3791408.4326977343</v>
      </c>
      <c r="CG40" s="110">
        <f t="shared" si="46"/>
        <v>3187292.4</v>
      </c>
      <c r="CH40" s="126">
        <f t="shared" si="47"/>
        <v>40281087755485.602</v>
      </c>
      <c r="CJ40" s="127">
        <f t="shared" si="48"/>
        <v>0</v>
      </c>
      <c r="CK40" s="128" t="e">
        <f t="shared" si="49"/>
        <v>#DIV/0!</v>
      </c>
      <c r="CL40" s="129" t="e">
        <f t="shared" si="50"/>
        <v>#DIV/0!</v>
      </c>
      <c r="CM40" s="130" t="e">
        <f t="shared" si="51"/>
        <v>#DIV/0!</v>
      </c>
      <c r="CO40" s="131" t="e">
        <f t="shared" si="52"/>
        <v>#DIV/0!</v>
      </c>
      <c r="CP40" s="1">
        <f t="shared" si="53"/>
        <v>0</v>
      </c>
      <c r="CQ40" s="132">
        <f t="shared" si="54"/>
        <v>0.3</v>
      </c>
      <c r="CS40" s="104">
        <f t="shared" si="55"/>
        <v>2.576876579862257E-2</v>
      </c>
    </row>
    <row r="41" spans="1:97">
      <c r="A41" s="133" t="s">
        <v>115</v>
      </c>
      <c r="B41" s="90" t="s">
        <v>119</v>
      </c>
      <c r="C41" s="91">
        <f>'Sizing - Reimb Expen-24'!B34</f>
        <v>741857</v>
      </c>
      <c r="D41" s="92">
        <f>'Ridership-24'!$E33</f>
        <v>29480</v>
      </c>
      <c r="E41" s="92">
        <f>'Revenue Hours-24'!$F33</f>
        <v>19090</v>
      </c>
      <c r="F41" s="92">
        <f>'Revenue Miles-24'!$F33</f>
        <v>220116</v>
      </c>
      <c r="G41" s="134">
        <f t="shared" si="59"/>
        <v>2.0189733452389809E-3</v>
      </c>
      <c r="H41" s="94">
        <f t="shared" si="60"/>
        <v>1.9060549049897506E-3</v>
      </c>
      <c r="J41" s="95">
        <f>'Ridership-24'!B33/'Revenue Hours-24'!C33</f>
        <v>7.7063312747903803</v>
      </c>
      <c r="K41" s="96">
        <f>'Ridership-24'!C33/'Revenue Hours-24'!D33</f>
        <v>3.4694402420574888</v>
      </c>
      <c r="L41" s="96">
        <f>'Ridership-24'!D33/'Revenue Hours-24'!E33</f>
        <v>2.0660778541053322</v>
      </c>
      <c r="M41" s="96">
        <f>'Ridership-24'!E33/'Revenue Hours-24'!F33</f>
        <v>1.5442640125720273</v>
      </c>
      <c r="N41" s="97">
        <f t="shared" si="2"/>
        <v>0.73045267772485667</v>
      </c>
      <c r="O41" s="98">
        <f t="shared" si="3"/>
        <v>1.3922829092403606E-3</v>
      </c>
      <c r="P41" s="99">
        <f t="shared" si="4"/>
        <v>1.3359387599370511E-3</v>
      </c>
      <c r="Q41" s="95">
        <f>'Ridership-24'!B33/'Revenue Miles-24'!C33</f>
        <v>0.5486185080601923</v>
      </c>
      <c r="R41" s="96">
        <f>'Ridership-24'!C33/'Revenue Miles-24'!D33</f>
        <v>0.3128535569419939</v>
      </c>
      <c r="S41" s="96">
        <f>'Ridership-24'!D33/'Revenue Miles-24'!E33</f>
        <v>0.17929853281414856</v>
      </c>
      <c r="T41" s="96">
        <f>'Ridership-24'!E33/'Revenue Miles-24'!F33</f>
        <v>0.13392938268912755</v>
      </c>
      <c r="U41" s="97">
        <f t="shared" si="5"/>
        <v>0.75640028467482434</v>
      </c>
      <c r="V41" s="98">
        <f t="shared" si="6"/>
        <v>1.4417404727400927E-3</v>
      </c>
      <c r="W41" s="99">
        <f t="shared" si="7"/>
        <v>1.3881530350913346E-3</v>
      </c>
      <c r="X41" s="95">
        <f>'Op Cost-24'!B34/'Revenue Hours-24'!C33</f>
        <v>37.027162725310035</v>
      </c>
      <c r="Y41" s="96">
        <f>'Op Cost-24'!C34/'Revenue Hours-24'!D33</f>
        <v>37.011396873424104</v>
      </c>
      <c r="Z41" s="96">
        <f>'Op Cost-24'!D34/'Revenue Hours-24'!E33</f>
        <v>43.551303020390364</v>
      </c>
      <c r="AA41" s="96">
        <f>'Op Cost-24'!E34/'Revenue Hours-24'!F33</f>
        <v>41.282399161864852</v>
      </c>
      <c r="AB41" s="97">
        <f t="shared" si="8"/>
        <v>0.96349729165483955</v>
      </c>
      <c r="AC41" s="98">
        <f t="shared" si="9"/>
        <v>1.9782670086347996E-3</v>
      </c>
      <c r="AD41" s="99">
        <f t="shared" si="10"/>
        <v>1.9892922761882751E-3</v>
      </c>
      <c r="AE41" s="95">
        <f>'Op Cost-24'!B34/'Revenue Miles-24'!C33</f>
        <v>2.6359867033634772</v>
      </c>
      <c r="AF41" s="96">
        <f>'Op Cost-24'!C34/'Revenue Miles-24'!D33</f>
        <v>3.3374683958746383</v>
      </c>
      <c r="AG41" s="96">
        <f>'Op Cost-24'!D34/'Revenue Miles-24'!E33</f>
        <v>3.7794726458078038</v>
      </c>
      <c r="AH41" s="96">
        <f>'Op Cost-24'!E34/'Revenue Miles-24'!F33</f>
        <v>3.5802985698449907</v>
      </c>
      <c r="AI41" s="97">
        <f t="shared" si="11"/>
        <v>1.0441051212287928</v>
      </c>
      <c r="AJ41" s="98">
        <f t="shared" si="12"/>
        <v>1.8255392740019712E-3</v>
      </c>
      <c r="AK41" s="99">
        <f t="shared" si="13"/>
        <v>1.8276024849052858E-3</v>
      </c>
      <c r="AL41" s="95">
        <f>'Op Cost-24'!B34/'Ridership-24'!B33</f>
        <v>4.8047717396261573</v>
      </c>
      <c r="AM41" s="96">
        <f>'Op Cost-24'!C34/'Ridership-24'!C33</f>
        <v>10.667829474265615</v>
      </c>
      <c r="AN41" s="96">
        <f>'Op Cost-24'!D34/'Ridership-24'!D33</f>
        <v>21.079216803884314</v>
      </c>
      <c r="AO41" s="96">
        <f>'Op Cost-24'!E34/'Ridership-24'!E33</f>
        <v>26.732734056987788</v>
      </c>
      <c r="AP41" s="100">
        <f t="shared" si="14"/>
        <v>1.5438760170177328</v>
      </c>
      <c r="AQ41" s="98">
        <f t="shared" si="15"/>
        <v>1.2345906562313404E-3</v>
      </c>
      <c r="AR41" s="99">
        <f t="shared" si="16"/>
        <v>1.3069729065919298E-3</v>
      </c>
      <c r="AT41" s="101">
        <f t="shared" si="27"/>
        <v>0</v>
      </c>
      <c r="AU41" s="102">
        <f t="shared" si="17"/>
        <v>0</v>
      </c>
      <c r="AV41" s="102">
        <f t="shared" si="18"/>
        <v>0</v>
      </c>
      <c r="AW41" s="102">
        <f t="shared" si="19"/>
        <v>0</v>
      </c>
      <c r="AX41" s="103">
        <f t="shared" si="20"/>
        <v>0</v>
      </c>
      <c r="AY41" s="104">
        <f t="shared" si="28"/>
        <v>-1</v>
      </c>
      <c r="AZ41" s="105">
        <f t="shared" si="21"/>
        <v>0</v>
      </c>
      <c r="BA41" s="106">
        <f t="shared" si="21"/>
        <v>0</v>
      </c>
      <c r="BB41" s="106">
        <f t="shared" si="21"/>
        <v>0</v>
      </c>
      <c r="BC41" s="106">
        <f t="shared" si="21"/>
        <v>0</v>
      </c>
      <c r="BD41" s="106">
        <f t="shared" si="21"/>
        <v>0</v>
      </c>
      <c r="BE41" s="107">
        <f t="shared" si="29"/>
        <v>241312.00152630871</v>
      </c>
      <c r="BG41" s="108">
        <f>'Op Cost-24'!E34</f>
        <v>788081</v>
      </c>
      <c r="BH41" s="109">
        <f t="shared" si="22"/>
        <v>0.30620202939330948</v>
      </c>
      <c r="BI41" s="110">
        <f t="shared" si="23"/>
        <v>236424.3</v>
      </c>
      <c r="BJ41" s="111">
        <f t="shared" si="24"/>
        <v>4887.7015263087233</v>
      </c>
      <c r="BK41" s="1">
        <f t="shared" si="30"/>
        <v>0.36082747691594208</v>
      </c>
      <c r="BL41" s="112">
        <f t="shared" si="31"/>
        <v>0.17247403697956515</v>
      </c>
      <c r="BM41" s="112">
        <f t="shared" si="32"/>
        <v>0.21607913186250124</v>
      </c>
      <c r="BN41" s="113">
        <f t="shared" si="33"/>
        <v>0.52737836941085103</v>
      </c>
      <c r="BO41" s="114">
        <f t="shared" si="25"/>
        <v>0</v>
      </c>
      <c r="BP41" s="115">
        <f t="shared" si="34"/>
        <v>6.8775698223070745E-4</v>
      </c>
      <c r="BQ41" s="116">
        <f t="shared" si="35"/>
        <v>0</v>
      </c>
      <c r="BR41" s="117">
        <f t="shared" si="36"/>
        <v>0</v>
      </c>
      <c r="BS41" s="118">
        <f t="shared" si="37"/>
        <v>236424.3</v>
      </c>
      <c r="BT41" s="119">
        <f t="shared" si="38"/>
        <v>236424.3</v>
      </c>
      <c r="BU41" s="119">
        <f t="shared" si="39"/>
        <v>236424.3</v>
      </c>
      <c r="BV41" s="119">
        <f t="shared" si="56"/>
        <v>0</v>
      </c>
      <c r="BW41" s="120">
        <f t="shared" si="40"/>
        <v>0</v>
      </c>
      <c r="BX41" s="121">
        <f t="shared" si="41"/>
        <v>0</v>
      </c>
      <c r="BY41" s="122">
        <f t="shared" si="42"/>
        <v>236424.3</v>
      </c>
      <c r="BZ41" s="123">
        <f t="shared" si="58"/>
        <v>2987936712624.5796</v>
      </c>
      <c r="CA41" s="111">
        <f t="shared" si="57"/>
        <v>2987936949049</v>
      </c>
      <c r="CC41" s="124">
        <f t="shared" si="26"/>
        <v>1</v>
      </c>
      <c r="CD41" s="17"/>
      <c r="CE41" s="108">
        <f t="shared" si="44"/>
        <v>788081</v>
      </c>
      <c r="CF41" s="125">
        <f t="shared" si="45"/>
        <v>3791408.432697908</v>
      </c>
      <c r="CG41" s="110">
        <f t="shared" si="46"/>
        <v>236424.3</v>
      </c>
      <c r="CH41" s="126">
        <f t="shared" si="47"/>
        <v>2987936712624.7002</v>
      </c>
      <c r="CJ41" s="127">
        <f t="shared" si="48"/>
        <v>0</v>
      </c>
      <c r="CK41" s="128" t="e">
        <f t="shared" si="49"/>
        <v>#DIV/0!</v>
      </c>
      <c r="CL41" s="129" t="e">
        <f t="shared" si="50"/>
        <v>#DIV/0!</v>
      </c>
      <c r="CM41" s="130" t="e">
        <f t="shared" si="51"/>
        <v>#DIV/0!</v>
      </c>
      <c r="CO41" s="131" t="e">
        <f t="shared" si="52"/>
        <v>#DIV/0!</v>
      </c>
      <c r="CP41" s="1">
        <f t="shared" si="53"/>
        <v>0</v>
      </c>
      <c r="CQ41" s="132">
        <f t="shared" si="54"/>
        <v>0.3</v>
      </c>
      <c r="CS41" s="104">
        <f t="shared" si="55"/>
        <v>5.5395461377662138E-4</v>
      </c>
    </row>
    <row r="42" spans="1:97">
      <c r="A42" s="133" t="s">
        <v>120</v>
      </c>
      <c r="B42" s="90" t="s">
        <v>121</v>
      </c>
      <c r="C42" s="91">
        <f>'Sizing - Reimb Expen-24'!B35</f>
        <v>1604354</v>
      </c>
      <c r="D42" s="92">
        <f>'Ridership-24'!$E34</f>
        <v>162733</v>
      </c>
      <c r="E42" s="92">
        <f>'Revenue Hours-24'!$F34</f>
        <v>36937</v>
      </c>
      <c r="F42" s="92">
        <f>'Revenue Miles-24'!$F34</f>
        <v>710177</v>
      </c>
      <c r="G42" s="134">
        <f t="shared" si="59"/>
        <v>5.679960093776199E-3</v>
      </c>
      <c r="H42" s="94">
        <f t="shared" si="60"/>
        <v>5.3622876311953905E-3</v>
      </c>
      <c r="J42" s="95">
        <f>'Ridership-24'!B34/'Revenue Hours-24'!C34</f>
        <v>8.7030537830446679</v>
      </c>
      <c r="K42" s="96">
        <f>'Ridership-24'!C34/'Revenue Hours-24'!D34</f>
        <v>8.9718507404266425</v>
      </c>
      <c r="L42" s="96">
        <f>'Ridership-24'!D34/'Revenue Hours-24'!E34</f>
        <v>4.4820247253569612</v>
      </c>
      <c r="M42" s="96">
        <f>'Ridership-24'!E34/'Revenue Hours-24'!F34</f>
        <v>4.4056907707718551</v>
      </c>
      <c r="N42" s="97">
        <f t="shared" si="2"/>
        <v>0.9234994985351318</v>
      </c>
      <c r="O42" s="98">
        <f t="shared" si="3"/>
        <v>4.9520699384100831E-3</v>
      </c>
      <c r="P42" s="99">
        <f t="shared" si="4"/>
        <v>4.7516651455921897E-3</v>
      </c>
      <c r="Q42" s="95">
        <f>'Ridership-24'!B34/'Revenue Miles-24'!C34</f>
        <v>0.47321678296920194</v>
      </c>
      <c r="R42" s="96">
        <f>'Ridership-24'!C34/'Revenue Miles-24'!D34</f>
        <v>0.47298136165339449</v>
      </c>
      <c r="S42" s="96">
        <f>'Ridership-24'!D34/'Revenue Miles-24'!E34</f>
        <v>0.24753017027607868</v>
      </c>
      <c r="T42" s="96">
        <f>'Ridership-24'!E34/'Revenue Miles-24'!F34</f>
        <v>0.22914428374898088</v>
      </c>
      <c r="U42" s="97">
        <f t="shared" si="5"/>
        <v>0.91652715051762312</v>
      </c>
      <c r="V42" s="98">
        <f t="shared" si="6"/>
        <v>4.9146822028754067E-3</v>
      </c>
      <c r="W42" s="99">
        <f t="shared" si="7"/>
        <v>4.7320104730532503E-3</v>
      </c>
      <c r="X42" s="95">
        <f>'Op Cost-24'!B35/'Revenue Hours-24'!C34</f>
        <v>67.114175022789425</v>
      </c>
      <c r="Y42" s="96">
        <f>'Op Cost-24'!C35/'Revenue Hours-24'!D34</f>
        <v>69.175941026811927</v>
      </c>
      <c r="Z42" s="96">
        <f>'Op Cost-24'!D35/'Revenue Hours-24'!E34</f>
        <v>68.510851019247468</v>
      </c>
      <c r="AA42" s="96">
        <f>'Op Cost-24'!E35/'Revenue Hours-24'!F34</f>
        <v>68.297046322116032</v>
      </c>
      <c r="AB42" s="97">
        <f t="shared" si="8"/>
        <v>0.93911063246421012</v>
      </c>
      <c r="AC42" s="98">
        <f t="shared" si="9"/>
        <v>5.7099637101593031E-3</v>
      </c>
      <c r="AD42" s="99">
        <f t="shared" si="10"/>
        <v>5.7417864506439592E-3</v>
      </c>
      <c r="AE42" s="95">
        <f>'Op Cost-24'!B35/'Revenue Miles-24'!C34</f>
        <v>3.649242528845507</v>
      </c>
      <c r="AF42" s="96">
        <f>'Op Cost-24'!C35/'Revenue Miles-24'!D34</f>
        <v>3.6468429677599077</v>
      </c>
      <c r="AG42" s="96">
        <f>'Op Cost-24'!D35/'Revenue Miles-24'!E34</f>
        <v>3.7836700281038187</v>
      </c>
      <c r="AH42" s="96">
        <f>'Op Cost-24'!E35/'Revenue Miles-24'!F34</f>
        <v>3.5521961426517614</v>
      </c>
      <c r="AI42" s="97">
        <f t="shared" si="11"/>
        <v>0.92788520953180242</v>
      </c>
      <c r="AJ42" s="98">
        <f t="shared" si="12"/>
        <v>5.7790420367850506E-3</v>
      </c>
      <c r="AK42" s="99">
        <f t="shared" si="13"/>
        <v>5.7855734670921449E-3</v>
      </c>
      <c r="AL42" s="95">
        <f>'Op Cost-24'!B35/'Ridership-24'!B34</f>
        <v>7.7115661577941292</v>
      </c>
      <c r="AM42" s="96">
        <f>'Op Cost-24'!C35/'Ridership-24'!C34</f>
        <v>7.7103312380252964</v>
      </c>
      <c r="AN42" s="96">
        <f>'Op Cost-24'!D35/'Ridership-24'!D34</f>
        <v>15.285692341599267</v>
      </c>
      <c r="AO42" s="96">
        <f>'Op Cost-24'!E35/'Ridership-24'!E34</f>
        <v>15.502006353966314</v>
      </c>
      <c r="AP42" s="100">
        <f t="shared" si="14"/>
        <v>1.0383695060729243</v>
      </c>
      <c r="AQ42" s="98">
        <f t="shared" si="15"/>
        <v>5.1641420513930218E-3</v>
      </c>
      <c r="AR42" s="99">
        <f t="shared" si="16"/>
        <v>5.4669081714628113E-3</v>
      </c>
      <c r="AT42" s="101">
        <f t="shared" si="27"/>
        <v>0</v>
      </c>
      <c r="AU42" s="102">
        <f t="shared" si="17"/>
        <v>0</v>
      </c>
      <c r="AV42" s="102">
        <f t="shared" si="18"/>
        <v>0</v>
      </c>
      <c r="AW42" s="102">
        <f t="shared" si="19"/>
        <v>0</v>
      </c>
      <c r="AX42" s="103">
        <f t="shared" si="20"/>
        <v>0</v>
      </c>
      <c r="AY42" s="104">
        <f t="shared" si="28"/>
        <v>-1</v>
      </c>
      <c r="AZ42" s="105">
        <f t="shared" si="21"/>
        <v>0</v>
      </c>
      <c r="BA42" s="106">
        <f t="shared" si="21"/>
        <v>0</v>
      </c>
      <c r="BB42" s="106">
        <f t="shared" si="21"/>
        <v>0</v>
      </c>
      <c r="BC42" s="106">
        <f t="shared" si="21"/>
        <v>0</v>
      </c>
      <c r="BD42" s="106">
        <f t="shared" si="21"/>
        <v>0</v>
      </c>
      <c r="BE42" s="107">
        <f t="shared" si="29"/>
        <v>678880.94810704654</v>
      </c>
      <c r="BG42" s="108">
        <f>'Op Cost-24'!E35</f>
        <v>2522688</v>
      </c>
      <c r="BH42" s="109">
        <f t="shared" si="22"/>
        <v>0.26911015080225797</v>
      </c>
      <c r="BI42" s="110">
        <f t="shared" si="23"/>
        <v>678880.94810704654</v>
      </c>
      <c r="BJ42" s="111">
        <f t="shared" si="24"/>
        <v>0</v>
      </c>
      <c r="BK42" s="1">
        <f t="shared" si="30"/>
        <v>0.67016263632925643</v>
      </c>
      <c r="BL42" s="112">
        <f t="shared" si="31"/>
        <v>0.49205787788387789</v>
      </c>
      <c r="BM42" s="112">
        <f t="shared" si="32"/>
        <v>0.36969705160713739</v>
      </c>
      <c r="BN42" s="113">
        <f t="shared" si="33"/>
        <v>0.90944780791300528</v>
      </c>
      <c r="BO42" s="114">
        <f t="shared" si="25"/>
        <v>678880.94810704654</v>
      </c>
      <c r="BP42" s="115">
        <f t="shared" si="34"/>
        <v>3.5936048156776663E-3</v>
      </c>
      <c r="BQ42" s="116">
        <f t="shared" si="35"/>
        <v>3.5936048156776663E-3</v>
      </c>
      <c r="BR42" s="117">
        <f t="shared" si="36"/>
        <v>6.0003368359597877E-3</v>
      </c>
      <c r="BS42" s="118">
        <f t="shared" si="37"/>
        <v>754713.36770299275</v>
      </c>
      <c r="BT42" s="119">
        <f t="shared" si="38"/>
        <v>756806.4</v>
      </c>
      <c r="BU42" s="119">
        <f t="shared" si="39"/>
        <v>754713.36770299275</v>
      </c>
      <c r="BV42" s="119">
        <f t="shared" si="56"/>
        <v>0</v>
      </c>
      <c r="BW42" s="120">
        <f t="shared" si="40"/>
        <v>3.5936048156776663E-3</v>
      </c>
      <c r="BX42" s="121">
        <f t="shared" si="41"/>
        <v>8.1181686683711677E-3</v>
      </c>
      <c r="BY42" s="122">
        <f t="shared" si="42"/>
        <v>773452.21059740416</v>
      </c>
      <c r="BZ42" s="123">
        <f t="shared" si="58"/>
        <v>9774910005040.1855</v>
      </c>
      <c r="CA42" s="111">
        <f t="shared" si="57"/>
        <v>9774910683921</v>
      </c>
      <c r="CC42" s="124">
        <f t="shared" si="26"/>
        <v>1</v>
      </c>
      <c r="CD42" s="17"/>
      <c r="CE42" s="108">
        <f t="shared" si="44"/>
        <v>2522688</v>
      </c>
      <c r="CF42" s="125">
        <f t="shared" si="45"/>
        <v>3874799.6914089257</v>
      </c>
      <c r="CG42" s="110">
        <f t="shared" si="46"/>
        <v>756806.4</v>
      </c>
      <c r="CH42" s="126">
        <f t="shared" si="47"/>
        <v>9774909927114.5996</v>
      </c>
      <c r="CJ42" s="127">
        <f t="shared" si="48"/>
        <v>0</v>
      </c>
      <c r="CK42" s="128" t="e">
        <f t="shared" si="49"/>
        <v>#DIV/0!</v>
      </c>
      <c r="CL42" s="129" t="e">
        <f t="shared" si="50"/>
        <v>#DIV/0!</v>
      </c>
      <c r="CM42" s="130" t="e">
        <f t="shared" si="51"/>
        <v>#DIV/0!</v>
      </c>
      <c r="CO42" s="131" t="e">
        <f t="shared" si="52"/>
        <v>#DIV/0!</v>
      </c>
      <c r="CP42" s="1">
        <f t="shared" si="53"/>
        <v>1</v>
      </c>
      <c r="CQ42" s="132">
        <f t="shared" si="54"/>
        <v>0.30659844205760051</v>
      </c>
      <c r="CS42" s="104">
        <f t="shared" si="55"/>
        <v>2.8944729303624168E-3</v>
      </c>
    </row>
    <row r="43" spans="1:97">
      <c r="A43" s="133" t="s">
        <v>120</v>
      </c>
      <c r="B43" s="90" t="s">
        <v>122</v>
      </c>
      <c r="C43" s="91">
        <f>'Sizing - Reimb Expen-24'!B36</f>
        <v>5885541</v>
      </c>
      <c r="D43" s="92">
        <f>'Ridership-24'!$E35</f>
        <v>1360253</v>
      </c>
      <c r="E43" s="92">
        <f>'Revenue Hours-24'!$F35</f>
        <v>74536</v>
      </c>
      <c r="F43" s="92">
        <f>'Revenue Miles-24'!$F35</f>
        <v>753636</v>
      </c>
      <c r="G43" s="134">
        <f t="shared" si="59"/>
        <v>2.1122135618256828E-2</v>
      </c>
      <c r="H43" s="94">
        <f t="shared" si="60"/>
        <v>1.9940803227529322E-2</v>
      </c>
      <c r="J43" s="95">
        <f>'Ridership-24'!B35/'Revenue Hours-24'!C35</f>
        <v>27.350763625087215</v>
      </c>
      <c r="K43" s="96">
        <f>'Ridership-24'!C35/'Revenue Hours-24'!D35</f>
        <v>28.025032050011234</v>
      </c>
      <c r="L43" s="96">
        <f>'Ridership-24'!D35/'Revenue Hours-24'!E35</f>
        <v>6.5232631919715116</v>
      </c>
      <c r="M43" s="96">
        <f>'Ridership-24'!E35/'Revenue Hours-24'!F35</f>
        <v>18.24961092626382</v>
      </c>
      <c r="N43" s="97">
        <f t="shared" si="2"/>
        <v>1.2177722543573253</v>
      </c>
      <c r="O43" s="98">
        <f t="shared" si="3"/>
        <v>2.4283356900084211E-2</v>
      </c>
      <c r="P43" s="99">
        <f t="shared" si="4"/>
        <v>2.3300636306673773E-2</v>
      </c>
      <c r="Q43" s="95">
        <f>'Ridership-24'!B35/'Revenue Miles-24'!C35</f>
        <v>2.7826950582098497</v>
      </c>
      <c r="R43" s="96">
        <f>'Ridership-24'!C35/'Revenue Miles-24'!D35</f>
        <v>2.8699282943585609</v>
      </c>
      <c r="S43" s="96">
        <f>'Ridership-24'!D35/'Revenue Miles-24'!E35</f>
        <v>0.66929775146545356</v>
      </c>
      <c r="T43" s="96">
        <f>'Ridership-24'!E35/'Revenue Miles-24'!F35</f>
        <v>1.8049204125068334</v>
      </c>
      <c r="U43" s="97">
        <f t="shared" si="5"/>
        <v>1.2111775195672629</v>
      </c>
      <c r="V43" s="98">
        <f t="shared" si="6"/>
        <v>2.4151852591297835E-2</v>
      </c>
      <c r="W43" s="99">
        <f t="shared" si="7"/>
        <v>2.325416266768876E-2</v>
      </c>
      <c r="X43" s="95">
        <f>'Op Cost-24'!B36/'Revenue Hours-24'!C35</f>
        <v>60.134222291133682</v>
      </c>
      <c r="Y43" s="96">
        <f>'Op Cost-24'!C36/'Revenue Hours-24'!D35</f>
        <v>65.071448396177786</v>
      </c>
      <c r="Z43" s="96">
        <f>'Op Cost-24'!D36/'Revenue Hours-24'!E35</f>
        <v>76.682473292327614</v>
      </c>
      <c r="AA43" s="96">
        <f>'Op Cost-24'!E36/'Revenue Hours-24'!F35</f>
        <v>79.970349898035849</v>
      </c>
      <c r="AB43" s="97">
        <f t="shared" si="8"/>
        <v>1.0225563424064019</v>
      </c>
      <c r="AC43" s="98">
        <f t="shared" si="9"/>
        <v>1.9500933494385492E-2</v>
      </c>
      <c r="AD43" s="99">
        <f t="shared" si="10"/>
        <v>1.9609615996989883E-2</v>
      </c>
      <c r="AE43" s="95">
        <f>'Op Cost-24'!B36/'Revenue Miles-24'!C35</f>
        <v>6.1181181444361483</v>
      </c>
      <c r="AF43" s="96">
        <f>'Op Cost-24'!C36/'Revenue Miles-24'!D35</f>
        <v>6.6636994588917435</v>
      </c>
      <c r="AG43" s="96">
        <f>'Op Cost-24'!D36/'Revenue Miles-24'!E35</f>
        <v>7.8677504557122129</v>
      </c>
      <c r="AH43" s="96">
        <f>'Op Cost-24'!E36/'Revenue Miles-24'!F35</f>
        <v>7.9092161202490328</v>
      </c>
      <c r="AI43" s="97">
        <f t="shared" si="11"/>
        <v>1.0186025700982582</v>
      </c>
      <c r="AJ43" s="98">
        <f t="shared" si="12"/>
        <v>1.9576627639576599E-2</v>
      </c>
      <c r="AK43" s="99">
        <f t="shared" si="13"/>
        <v>1.9598752998461678E-2</v>
      </c>
      <c r="AL43" s="95">
        <f>'Op Cost-24'!B36/'Ridership-24'!B35</f>
        <v>2.1986304702650483</v>
      </c>
      <c r="AM43" s="96">
        <f>'Op Cost-24'!C36/'Ridership-24'!C35</f>
        <v>2.3219045130816078</v>
      </c>
      <c r="AN43" s="96">
        <f>'Op Cost-24'!D36/'Ridership-24'!D35</f>
        <v>11.755232164586637</v>
      </c>
      <c r="AO43" s="96">
        <f>'Op Cost-24'!E36/'Ridership-24'!E35</f>
        <v>4.3820304016973317</v>
      </c>
      <c r="AP43" s="100">
        <f t="shared" si="14"/>
        <v>1.2138335695226248</v>
      </c>
      <c r="AQ43" s="98">
        <f t="shared" si="15"/>
        <v>1.6427954975220878E-2</v>
      </c>
      <c r="AR43" s="99">
        <f t="shared" si="16"/>
        <v>1.7391102026372798E-2</v>
      </c>
      <c r="AT43" s="101">
        <f t="shared" si="27"/>
        <v>0</v>
      </c>
      <c r="AU43" s="102">
        <f t="shared" si="17"/>
        <v>0</v>
      </c>
      <c r="AV43" s="102">
        <f t="shared" si="18"/>
        <v>0</v>
      </c>
      <c r="AW43" s="102">
        <f t="shared" si="19"/>
        <v>0</v>
      </c>
      <c r="AX43" s="103">
        <f t="shared" si="20"/>
        <v>0</v>
      </c>
      <c r="AY43" s="104">
        <f t="shared" si="28"/>
        <v>-1</v>
      </c>
      <c r="AZ43" s="105">
        <f t="shared" si="21"/>
        <v>0</v>
      </c>
      <c r="BA43" s="106">
        <f t="shared" si="21"/>
        <v>0</v>
      </c>
      <c r="BB43" s="106">
        <f t="shared" si="21"/>
        <v>0</v>
      </c>
      <c r="BC43" s="106">
        <f t="shared" si="21"/>
        <v>0</v>
      </c>
      <c r="BD43" s="106">
        <f t="shared" si="21"/>
        <v>0</v>
      </c>
      <c r="BE43" s="107">
        <f t="shared" si="29"/>
        <v>2524562.7113261214</v>
      </c>
      <c r="BG43" s="108">
        <f>'Op Cost-24'!E36</f>
        <v>5960670</v>
      </c>
      <c r="BH43" s="109">
        <f t="shared" si="22"/>
        <v>0.4235367351868366</v>
      </c>
      <c r="BI43" s="110">
        <f t="shared" si="23"/>
        <v>1788201</v>
      </c>
      <c r="BJ43" s="111">
        <f t="shared" si="24"/>
        <v>736361.71132612135</v>
      </c>
      <c r="BK43" s="1">
        <f t="shared" si="30"/>
        <v>2.8462120133404643</v>
      </c>
      <c r="BL43" s="112">
        <f t="shared" si="31"/>
        <v>2.0382421944267728</v>
      </c>
      <c r="BM43" s="112">
        <f t="shared" si="32"/>
        <v>2.9120244414226293</v>
      </c>
      <c r="BN43" s="113">
        <f t="shared" si="33"/>
        <v>3.2172907087562272</v>
      </c>
      <c r="BO43" s="114">
        <f t="shared" si="25"/>
        <v>0</v>
      </c>
      <c r="BP43" s="115">
        <f t="shared" si="34"/>
        <v>5.6755753701852256E-2</v>
      </c>
      <c r="BQ43" s="116">
        <f t="shared" si="35"/>
        <v>0</v>
      </c>
      <c r="BR43" s="117">
        <f t="shared" si="36"/>
        <v>0</v>
      </c>
      <c r="BS43" s="118">
        <f t="shared" si="37"/>
        <v>1788201</v>
      </c>
      <c r="BT43" s="119">
        <f t="shared" si="38"/>
        <v>1788201</v>
      </c>
      <c r="BU43" s="119">
        <f t="shared" si="39"/>
        <v>1788201</v>
      </c>
      <c r="BV43" s="119">
        <f t="shared" si="56"/>
        <v>0</v>
      </c>
      <c r="BW43" s="120">
        <f t="shared" si="40"/>
        <v>0</v>
      </c>
      <c r="BX43" s="121">
        <f t="shared" si="41"/>
        <v>0</v>
      </c>
      <c r="BY43" s="122">
        <f t="shared" si="42"/>
        <v>1788201</v>
      </c>
      <c r="BZ43" s="123">
        <f t="shared" si="58"/>
        <v>22599332714327.531</v>
      </c>
      <c r="CA43" s="111">
        <f t="shared" si="57"/>
        <v>22599334502529</v>
      </c>
      <c r="CC43" s="124">
        <f t="shared" si="26"/>
        <v>1</v>
      </c>
      <c r="CD43" s="17"/>
      <c r="CE43" s="108">
        <f t="shared" si="44"/>
        <v>5960670</v>
      </c>
      <c r="CF43" s="125">
        <f t="shared" si="45"/>
        <v>3791408.4326978344</v>
      </c>
      <c r="CG43" s="110">
        <f t="shared" si="46"/>
        <v>1788201</v>
      </c>
      <c r="CH43" s="126">
        <f t="shared" si="47"/>
        <v>22599332714328</v>
      </c>
      <c r="CJ43" s="127">
        <f t="shared" si="48"/>
        <v>0</v>
      </c>
      <c r="CK43" s="128" t="e">
        <f t="shared" si="49"/>
        <v>#DIV/0!</v>
      </c>
      <c r="CL43" s="129" t="e">
        <f t="shared" si="50"/>
        <v>#DIV/0!</v>
      </c>
      <c r="CM43" s="130" t="e">
        <f t="shared" si="51"/>
        <v>#DIV/0!</v>
      </c>
      <c r="CO43" s="131" t="e">
        <f t="shared" si="52"/>
        <v>#DIV/0!</v>
      </c>
      <c r="CP43" s="1">
        <f t="shared" si="53"/>
        <v>0</v>
      </c>
      <c r="CQ43" s="132">
        <f t="shared" si="54"/>
        <v>0.3</v>
      </c>
      <c r="CS43" s="104">
        <f t="shared" si="55"/>
        <v>4.5713983912654868E-2</v>
      </c>
    </row>
    <row r="44" spans="1:97">
      <c r="A44" s="133" t="s">
        <v>120</v>
      </c>
      <c r="B44" s="90" t="s">
        <v>123</v>
      </c>
      <c r="C44" s="91">
        <f>'Sizing - Reimb Expen-24'!B37</f>
        <v>1423713</v>
      </c>
      <c r="D44" s="92">
        <f>'Ridership-24'!$E36</f>
        <v>134223</v>
      </c>
      <c r="E44" s="92">
        <f>'Revenue Hours-24'!$F36</f>
        <v>17310</v>
      </c>
      <c r="F44" s="92">
        <f>'Revenue Miles-24'!$F36</f>
        <v>185237</v>
      </c>
      <c r="G44" s="93">
        <f t="shared" si="59"/>
        <v>3.3321420204520977E-3</v>
      </c>
      <c r="H44" s="94">
        <f t="shared" si="60"/>
        <v>3.1457798376498119E-3</v>
      </c>
      <c r="J44" s="95">
        <f>'Ridership-24'!B36/'Revenue Hours-24'!C36</f>
        <v>7.7310729471533488</v>
      </c>
      <c r="K44" s="96">
        <f>'Ridership-24'!C36/'Revenue Hours-24'!D36</f>
        <v>7.608599966141866</v>
      </c>
      <c r="L44" s="96">
        <f>'Ridership-24'!D36/'Revenue Hours-24'!E36</f>
        <v>5.1692512721104915</v>
      </c>
      <c r="M44" s="96">
        <f>'Ridership-24'!E36/'Revenue Hours-24'!F36</f>
        <v>7.7540727902946278</v>
      </c>
      <c r="N44" s="97">
        <f t="shared" si="2"/>
        <v>1.1583121090765018</v>
      </c>
      <c r="O44" s="98">
        <f t="shared" si="3"/>
        <v>3.6437948784384892E-3</v>
      </c>
      <c r="P44" s="99">
        <f t="shared" si="4"/>
        <v>3.4963345301868617E-3</v>
      </c>
      <c r="Q44" s="95">
        <f>'Ridership-24'!B36/'Revenue Miles-24'!C36</f>
        <v>0.72165979381443301</v>
      </c>
      <c r="R44" s="96">
        <f>'Ridership-24'!C36/'Revenue Miles-24'!D36</f>
        <v>0.70818473562300743</v>
      </c>
      <c r="S44" s="96">
        <f>'Ridership-24'!D36/'Revenue Miles-24'!E36</f>
        <v>0.48672727894958989</v>
      </c>
      <c r="T44" s="96">
        <f>'Ridership-24'!E36/'Revenue Miles-24'!F36</f>
        <v>0.72460145651246777</v>
      </c>
      <c r="U44" s="97">
        <f t="shared" si="5"/>
        <v>1.164432865063014</v>
      </c>
      <c r="V44" s="98">
        <f t="shared" si="6"/>
        <v>3.6630494292120338E-3</v>
      </c>
      <c r="W44" s="99">
        <f t="shared" si="7"/>
        <v>3.5268991049313024E-3</v>
      </c>
      <c r="X44" s="95">
        <f>'Op Cost-24'!B37/'Revenue Hours-24'!C36</f>
        <v>56.649621735048868</v>
      </c>
      <c r="Y44" s="96">
        <f>'Op Cost-24'!C37/'Revenue Hours-24'!D36</f>
        <v>63.818012527509737</v>
      </c>
      <c r="Z44" s="96">
        <f>'Op Cost-24'!D37/'Revenue Hours-24'!E36</f>
        <v>76.918100314998782</v>
      </c>
      <c r="AA44" s="96">
        <f>'Op Cost-24'!E37/'Revenue Hours-24'!F36</f>
        <v>82.248006932409012</v>
      </c>
      <c r="AB44" s="97">
        <f t="shared" si="8"/>
        <v>1.0532047630257686</v>
      </c>
      <c r="AC44" s="98">
        <f t="shared" si="9"/>
        <v>2.9868644237918667E-3</v>
      </c>
      <c r="AD44" s="99">
        <f t="shared" si="10"/>
        <v>3.0035108012902148E-3</v>
      </c>
      <c r="AE44" s="95">
        <f>'Op Cost-24'!B37/'Revenue Miles-24'!C36</f>
        <v>5.2879793814432992</v>
      </c>
      <c r="AF44" s="96">
        <f>'Op Cost-24'!C37/'Revenue Miles-24'!D36</f>
        <v>5.9399814066841392</v>
      </c>
      <c r="AG44" s="96">
        <f>'Op Cost-24'!D37/'Revenue Miles-24'!E36</f>
        <v>7.2424681443287211</v>
      </c>
      <c r="AH44" s="96">
        <f>'Op Cost-24'!E37/'Revenue Miles-24'!F36</f>
        <v>7.6858996852680619</v>
      </c>
      <c r="AI44" s="97">
        <f t="shared" si="11"/>
        <v>1.0592800607325368</v>
      </c>
      <c r="AJ44" s="98">
        <f t="shared" si="12"/>
        <v>2.969733835520677E-3</v>
      </c>
      <c r="AK44" s="99">
        <f t="shared" si="13"/>
        <v>2.9730902066032647E-3</v>
      </c>
      <c r="AL44" s="95">
        <f>'Op Cost-24'!B37/'Ridership-24'!B36</f>
        <v>7.3275238925158215</v>
      </c>
      <c r="AM44" s="96">
        <f>'Op Cost-24'!C37/'Ridership-24'!C36</f>
        <v>8.3876156995372018</v>
      </c>
      <c r="AN44" s="96">
        <f>'Op Cost-24'!D37/'Ridership-24'!D36</f>
        <v>14.879930625541988</v>
      </c>
      <c r="AO44" s="96">
        <f>'Op Cost-24'!E37/'Ridership-24'!E36</f>
        <v>10.607071813325586</v>
      </c>
      <c r="AP44" s="100">
        <f t="shared" si="14"/>
        <v>0.9271831994846752</v>
      </c>
      <c r="AQ44" s="98">
        <f t="shared" si="15"/>
        <v>3.3928352448558429E-3</v>
      </c>
      <c r="AR44" s="99">
        <f t="shared" si="16"/>
        <v>3.5917522291095856E-3</v>
      </c>
      <c r="AT44" s="101">
        <f t="shared" si="27"/>
        <v>0</v>
      </c>
      <c r="AU44" s="102">
        <f t="shared" si="17"/>
        <v>0</v>
      </c>
      <c r="AV44" s="102">
        <f t="shared" si="18"/>
        <v>0</v>
      </c>
      <c r="AW44" s="102">
        <f t="shared" si="19"/>
        <v>0</v>
      </c>
      <c r="AX44" s="103">
        <f t="shared" si="20"/>
        <v>0</v>
      </c>
      <c r="AY44" s="104">
        <f t="shared" si="28"/>
        <v>-1</v>
      </c>
      <c r="AZ44" s="105">
        <f t="shared" si="21"/>
        <v>0</v>
      </c>
      <c r="BA44" s="106">
        <f t="shared" si="21"/>
        <v>0</v>
      </c>
      <c r="BB44" s="106">
        <f t="shared" si="21"/>
        <v>0</v>
      </c>
      <c r="BC44" s="106">
        <f t="shared" si="21"/>
        <v>0</v>
      </c>
      <c r="BD44" s="106">
        <f t="shared" si="21"/>
        <v>0</v>
      </c>
      <c r="BE44" s="107">
        <f t="shared" si="29"/>
        <v>398264.7231184899</v>
      </c>
      <c r="BG44" s="108">
        <f>'Op Cost-24'!E37</f>
        <v>1423713</v>
      </c>
      <c r="BH44" s="109">
        <f t="shared" si="22"/>
        <v>0.27973666259877511</v>
      </c>
      <c r="BI44" s="110">
        <f t="shared" si="23"/>
        <v>398264.7231184899</v>
      </c>
      <c r="BJ44" s="111">
        <f t="shared" si="24"/>
        <v>0</v>
      </c>
      <c r="BK44" s="1">
        <f t="shared" si="30"/>
        <v>1.173340792656044</v>
      </c>
      <c r="BL44" s="112">
        <f t="shared" si="31"/>
        <v>0.8660282349959495</v>
      </c>
      <c r="BM44" s="112">
        <f t="shared" si="32"/>
        <v>1.1690582792645734</v>
      </c>
      <c r="BN44" s="113">
        <f t="shared" si="33"/>
        <v>1.3291383281818265</v>
      </c>
      <c r="BO44" s="114">
        <f t="shared" si="25"/>
        <v>398264.7231184899</v>
      </c>
      <c r="BP44" s="115">
        <f t="shared" si="34"/>
        <v>3.6910718082294315E-3</v>
      </c>
      <c r="BQ44" s="116">
        <f t="shared" si="35"/>
        <v>3.6910718082294315E-3</v>
      </c>
      <c r="BR44" s="117">
        <f t="shared" si="36"/>
        <v>6.1630800466620722E-3</v>
      </c>
      <c r="BS44" s="118">
        <f t="shared" si="37"/>
        <v>476153.89582309604</v>
      </c>
      <c r="BT44" s="119">
        <f t="shared" si="38"/>
        <v>427113.89999999997</v>
      </c>
      <c r="BU44" s="119">
        <f t="shared" si="39"/>
        <v>427113.89999999997</v>
      </c>
      <c r="BV44" s="119">
        <f t="shared" si="56"/>
        <v>49039.995823096076</v>
      </c>
      <c r="BW44" s="120">
        <f t="shared" si="40"/>
        <v>0</v>
      </c>
      <c r="BX44" s="121">
        <f t="shared" si="41"/>
        <v>0</v>
      </c>
      <c r="BY44" s="122">
        <f t="shared" si="42"/>
        <v>427113.89999999997</v>
      </c>
      <c r="BZ44" s="123">
        <f t="shared" si="58"/>
        <v>5397877046827.5195</v>
      </c>
      <c r="CA44" s="111">
        <f t="shared" si="57"/>
        <v>5397877445092</v>
      </c>
      <c r="CC44" s="124">
        <f t="shared" si="26"/>
        <v>1</v>
      </c>
      <c r="CD44" s="17"/>
      <c r="CE44" s="108">
        <f t="shared" si="44"/>
        <v>1423713</v>
      </c>
      <c r="CF44" s="125">
        <f t="shared" si="45"/>
        <v>3791408.4124342478</v>
      </c>
      <c r="CG44" s="110">
        <f t="shared" si="46"/>
        <v>427113.89999999997</v>
      </c>
      <c r="CH44" s="126">
        <f t="shared" si="47"/>
        <v>5397877017978.0996</v>
      </c>
      <c r="CJ44" s="127">
        <f t="shared" si="48"/>
        <v>0</v>
      </c>
      <c r="CK44" s="128" t="e">
        <f t="shared" si="49"/>
        <v>#DIV/0!</v>
      </c>
      <c r="CL44" s="129" t="e">
        <f t="shared" si="50"/>
        <v>#DIV/0!</v>
      </c>
      <c r="CM44" s="130" t="e">
        <f t="shared" si="51"/>
        <v>#DIV/0!</v>
      </c>
      <c r="CO44" s="131" t="e">
        <f t="shared" si="52"/>
        <v>#DIV/0!</v>
      </c>
      <c r="CP44" s="1">
        <f t="shared" si="53"/>
        <v>0</v>
      </c>
      <c r="CQ44" s="132">
        <f t="shared" si="54"/>
        <v>0.3</v>
      </c>
      <c r="CS44" s="104">
        <f t="shared" si="55"/>
        <v>2.9729778261467685E-3</v>
      </c>
    </row>
    <row r="45" spans="1:97">
      <c r="A45" s="133" t="s">
        <v>124</v>
      </c>
      <c r="B45" s="90" t="s">
        <v>125</v>
      </c>
      <c r="C45" s="91">
        <f>'Sizing - Reimb Expen-24'!B38</f>
        <v>4486729</v>
      </c>
      <c r="D45" s="92">
        <f>'Ridership-24'!$E37</f>
        <v>127135</v>
      </c>
      <c r="E45" s="92">
        <f>'Revenue Hours-24'!$F37</f>
        <v>60586</v>
      </c>
      <c r="F45" s="92">
        <f>'Revenue Miles-24'!$F37</f>
        <v>1402170</v>
      </c>
      <c r="G45" s="134">
        <f t="shared" si="59"/>
        <v>1.002831542190293E-2</v>
      </c>
      <c r="H45" s="94">
        <f t="shared" si="60"/>
        <v>9.4674453448219745E-3</v>
      </c>
      <c r="J45" s="95">
        <f>'Ridership-24'!B37/'Revenue Hours-24'!C37</f>
        <v>2.2830581849901463</v>
      </c>
      <c r="K45" s="96">
        <f>'Ridership-24'!C37/'Revenue Hours-24'!D37</f>
        <v>2.3373679249962795</v>
      </c>
      <c r="L45" s="96">
        <f>'Ridership-24'!D37/'Revenue Hours-24'!E37</f>
        <v>1.944317205840252</v>
      </c>
      <c r="M45" s="96">
        <f>'Ridership-24'!E37/'Revenue Hours-24'!F37</f>
        <v>2.0984220777077214</v>
      </c>
      <c r="N45" s="97">
        <f t="shared" si="2"/>
        <v>1.1616293810859883</v>
      </c>
      <c r="O45" s="98">
        <f t="shared" si="3"/>
        <v>1.0997662676370971E-2</v>
      </c>
      <c r="P45" s="99">
        <f t="shared" si="4"/>
        <v>1.0552599432606119E-2</v>
      </c>
      <c r="Q45" s="95">
        <f>'Ridership-24'!B37/'Revenue Miles-24'!C37</f>
        <v>0.10105390351849336</v>
      </c>
      <c r="R45" s="96">
        <f>'Ridership-24'!C37/'Revenue Miles-24'!D37</f>
        <v>9.8864253896849164E-2</v>
      </c>
      <c r="S45" s="96">
        <f>'Ridership-24'!D37/'Revenue Miles-24'!E37</f>
        <v>8.4847547858705061E-2</v>
      </c>
      <c r="T45" s="96">
        <f>'Ridership-24'!E37/'Revenue Miles-24'!F37</f>
        <v>9.06701755136681E-2</v>
      </c>
      <c r="U45" s="97">
        <f t="shared" si="5"/>
        <v>1.1613529121666903</v>
      </c>
      <c r="V45" s="98">
        <f t="shared" si="6"/>
        <v>1.0995045221987975E-2</v>
      </c>
      <c r="W45" s="99">
        <f t="shared" si="7"/>
        <v>1.0586375068504137E-2</v>
      </c>
      <c r="X45" s="95">
        <f>'Op Cost-24'!B38/'Revenue Hours-24'!C37</f>
        <v>58.289454980131168</v>
      </c>
      <c r="Y45" s="96">
        <f>'Op Cost-24'!C38/'Revenue Hours-24'!D37</f>
        <v>59.71751244274683</v>
      </c>
      <c r="Z45" s="96">
        <f>'Op Cost-24'!D38/'Revenue Hours-24'!E37</f>
        <v>69.859111079301456</v>
      </c>
      <c r="AA45" s="96">
        <f>'Op Cost-24'!E38/'Revenue Hours-24'!F37</f>
        <v>76.546396857359781</v>
      </c>
      <c r="AB45" s="97">
        <f t="shared" si="8"/>
        <v>1.0189423271546556</v>
      </c>
      <c r="AC45" s="98">
        <f t="shared" si="9"/>
        <v>9.2914437770578555E-3</v>
      </c>
      <c r="AD45" s="99">
        <f t="shared" si="10"/>
        <v>9.343226803895488E-3</v>
      </c>
      <c r="AE45" s="95">
        <f>'Op Cost-24'!B38/'Revenue Miles-24'!C37</f>
        <v>2.5800380377660677</v>
      </c>
      <c r="AF45" s="96">
        <f>'Op Cost-24'!C38/'Revenue Miles-24'!D37</f>
        <v>2.5258870240710474</v>
      </c>
      <c r="AG45" s="96">
        <f>'Op Cost-24'!D38/'Revenue Miles-24'!E37</f>
        <v>3.0485633994613872</v>
      </c>
      <c r="AH45" s="96">
        <f>'Op Cost-24'!E38/'Revenue Miles-24'!F37</f>
        <v>3.3074734162048824</v>
      </c>
      <c r="AI45" s="97">
        <f t="shared" si="11"/>
        <v>1.0165484061575014</v>
      </c>
      <c r="AJ45" s="98">
        <f t="shared" si="12"/>
        <v>9.3133246655792926E-3</v>
      </c>
      <c r="AK45" s="99">
        <f t="shared" si="13"/>
        <v>9.3238505158142245E-3</v>
      </c>
      <c r="AL45" s="95">
        <f>'Op Cost-24'!B38/'Ridership-24'!B37</f>
        <v>25.531305055364914</v>
      </c>
      <c r="AM45" s="96">
        <f>'Op Cost-24'!C38/'Ridership-24'!C37</f>
        <v>25.549042495242542</v>
      </c>
      <c r="AN45" s="96">
        <f>'Op Cost-24'!D38/'Ridership-24'!D37</f>
        <v>35.929893985128473</v>
      </c>
      <c r="AO45" s="96">
        <f>'Op Cost-24'!E38/'Ridership-24'!E37</f>
        <v>36.47807448774924</v>
      </c>
      <c r="AP45" s="100">
        <f t="shared" si="14"/>
        <v>0.9583100618876742</v>
      </c>
      <c r="AQ45" s="98">
        <f t="shared" si="15"/>
        <v>9.8793133051040399E-3</v>
      </c>
      <c r="AR45" s="99">
        <f t="shared" si="16"/>
        <v>1.0458523041895332E-2</v>
      </c>
      <c r="AT45" s="101">
        <f t="shared" si="27"/>
        <v>0</v>
      </c>
      <c r="AU45" s="102">
        <f t="shared" si="17"/>
        <v>0</v>
      </c>
      <c r="AV45" s="102">
        <f t="shared" si="18"/>
        <v>0</v>
      </c>
      <c r="AW45" s="102">
        <f t="shared" si="19"/>
        <v>0</v>
      </c>
      <c r="AX45" s="103">
        <f t="shared" si="20"/>
        <v>0</v>
      </c>
      <c r="AY45" s="104">
        <f t="shared" si="28"/>
        <v>-1</v>
      </c>
      <c r="AZ45" s="105">
        <f t="shared" si="21"/>
        <v>0</v>
      </c>
      <c r="BA45" s="106">
        <f t="shared" si="21"/>
        <v>0</v>
      </c>
      <c r="BB45" s="106">
        <f t="shared" si="21"/>
        <v>0</v>
      </c>
      <c r="BC45" s="106">
        <f t="shared" si="21"/>
        <v>0</v>
      </c>
      <c r="BD45" s="106">
        <f t="shared" si="21"/>
        <v>0</v>
      </c>
      <c r="BE45" s="107">
        <f t="shared" si="29"/>
        <v>1198605.6537611699</v>
      </c>
      <c r="BG45" s="108">
        <f>'Op Cost-24'!E38</f>
        <v>4637640</v>
      </c>
      <c r="BH45" s="109">
        <f t="shared" si="22"/>
        <v>0.25845163785053815</v>
      </c>
      <c r="BI45" s="110">
        <f t="shared" si="23"/>
        <v>1198605.6537611699</v>
      </c>
      <c r="BJ45" s="111">
        <f t="shared" si="24"/>
        <v>0</v>
      </c>
      <c r="BK45" s="1">
        <f t="shared" si="30"/>
        <v>0.28840595086501308</v>
      </c>
      <c r="BL45" s="112">
        <f t="shared" si="31"/>
        <v>0.23436622499963666</v>
      </c>
      <c r="BM45" s="112">
        <f t="shared" si="32"/>
        <v>0.14628554554223674</v>
      </c>
      <c r="BN45" s="113">
        <f t="shared" si="33"/>
        <v>0.38648601645908948</v>
      </c>
      <c r="BO45" s="114">
        <f t="shared" si="25"/>
        <v>1198605.6537611699</v>
      </c>
      <c r="BP45" s="115">
        <f t="shared" si="34"/>
        <v>2.7304675769359234E-3</v>
      </c>
      <c r="BQ45" s="116">
        <f t="shared" si="35"/>
        <v>2.7304675769359234E-3</v>
      </c>
      <c r="BR45" s="117">
        <f t="shared" si="36"/>
        <v>4.5591338006354806E-3</v>
      </c>
      <c r="BS45" s="118">
        <f t="shared" si="37"/>
        <v>1256224.1103271251</v>
      </c>
      <c r="BT45" s="119">
        <f t="shared" si="38"/>
        <v>1391292</v>
      </c>
      <c r="BU45" s="119">
        <f t="shared" si="39"/>
        <v>1256224.1103271251</v>
      </c>
      <c r="BV45" s="119">
        <f t="shared" si="56"/>
        <v>0</v>
      </c>
      <c r="BW45" s="120">
        <f t="shared" si="40"/>
        <v>2.7304675769359234E-3</v>
      </c>
      <c r="BX45" s="121">
        <f t="shared" si="41"/>
        <v>6.168289912229682E-3</v>
      </c>
      <c r="BY45" s="122">
        <f t="shared" si="42"/>
        <v>1270462.1263519444</v>
      </c>
      <c r="BZ45" s="123">
        <f t="shared" si="58"/>
        <v>16056134793784.152</v>
      </c>
      <c r="CA45" s="111">
        <f t="shared" si="57"/>
        <v>16056135992390</v>
      </c>
      <c r="CC45" s="124">
        <f t="shared" si="26"/>
        <v>1</v>
      </c>
      <c r="CD45" s="17"/>
      <c r="CE45" s="108">
        <f t="shared" si="44"/>
        <v>4637640</v>
      </c>
      <c r="CF45" s="125">
        <f t="shared" si="45"/>
        <v>3462135.0498076607</v>
      </c>
      <c r="CG45" s="110">
        <f t="shared" si="46"/>
        <v>1391292</v>
      </c>
      <c r="CH45" s="126">
        <f t="shared" si="47"/>
        <v>16056134601098</v>
      </c>
      <c r="CJ45" s="127">
        <f t="shared" si="48"/>
        <v>0</v>
      </c>
      <c r="CK45" s="128" t="e">
        <f t="shared" si="49"/>
        <v>#DIV/0!</v>
      </c>
      <c r="CL45" s="129" t="e">
        <f t="shared" si="50"/>
        <v>#DIV/0!</v>
      </c>
      <c r="CM45" s="130" t="e">
        <f t="shared" si="51"/>
        <v>#DIV/0!</v>
      </c>
      <c r="CO45" s="131" t="e">
        <f t="shared" si="52"/>
        <v>#DIV/0!</v>
      </c>
      <c r="CP45" s="1">
        <f t="shared" si="53"/>
        <v>0</v>
      </c>
      <c r="CQ45" s="132">
        <f t="shared" si="54"/>
        <v>0.27394582726385497</v>
      </c>
      <c r="CS45" s="104">
        <f t="shared" si="55"/>
        <v>2.1992580971046277E-3</v>
      </c>
    </row>
    <row r="46" spans="1:97">
      <c r="A46" s="133" t="s">
        <v>124</v>
      </c>
      <c r="B46" s="90" t="s">
        <v>126</v>
      </c>
      <c r="C46" s="91">
        <f>'Sizing - Reimb Expen-24'!B39</f>
        <v>573381</v>
      </c>
      <c r="D46" s="92">
        <f>'Ridership-24'!$E38</f>
        <v>24049</v>
      </c>
      <c r="E46" s="92">
        <f>'Revenue Hours-24'!$F38</f>
        <v>15570</v>
      </c>
      <c r="F46" s="92">
        <f>'Revenue Miles-24'!$F38</f>
        <v>414537</v>
      </c>
      <c r="G46" s="134">
        <f t="shared" si="59"/>
        <v>2.1946758165289353E-3</v>
      </c>
      <c r="H46" s="94">
        <f t="shared" si="60"/>
        <v>2.0719305754193658E-3</v>
      </c>
      <c r="J46" s="95">
        <f>'Ridership-24'!B38/'Revenue Hours-24'!C38</f>
        <v>2.4957182320441991</v>
      </c>
      <c r="K46" s="96">
        <f>'Ridership-24'!C38/'Revenue Hours-24'!D38</f>
        <v>2.6155528221948887</v>
      </c>
      <c r="L46" s="96">
        <f>'Ridership-24'!D38/'Revenue Hours-24'!E38</f>
        <v>1.3983089137029627</v>
      </c>
      <c r="M46" s="96">
        <f>'Ridership-24'!E38/'Revenue Hours-24'!F38</f>
        <v>1.5445728965960179</v>
      </c>
      <c r="N46" s="97">
        <f t="shared" si="2"/>
        <v>0.98344145725361898</v>
      </c>
      <c r="O46" s="98">
        <f t="shared" si="3"/>
        <v>2.0376224244187504E-3</v>
      </c>
      <c r="P46" s="99">
        <f t="shared" si="4"/>
        <v>1.9551620987598929E-3</v>
      </c>
      <c r="Q46" s="95">
        <f>'Ridership-24'!B38/'Revenue Miles-24'!C38</f>
        <v>9.3473318279519824E-2</v>
      </c>
      <c r="R46" s="96">
        <f>'Ridership-24'!C38/'Revenue Miles-24'!D38</f>
        <v>9.9669556205390739E-2</v>
      </c>
      <c r="S46" s="96">
        <f>'Ridership-24'!D38/'Revenue Miles-24'!E38</f>
        <v>5.2832581392513109E-2</v>
      </c>
      <c r="T46" s="96">
        <f>'Ridership-24'!E38/'Revenue Miles-24'!F38</f>
        <v>5.8014121779238044E-2</v>
      </c>
      <c r="U46" s="97">
        <f t="shared" si="5"/>
        <v>0.98900730829066263</v>
      </c>
      <c r="V46" s="98">
        <f t="shared" si="6"/>
        <v>2.0491544813606307E-3</v>
      </c>
      <c r="W46" s="99">
        <f t="shared" si="7"/>
        <v>1.9729903311000163E-3</v>
      </c>
      <c r="X46" s="95">
        <f>'Op Cost-24'!B39/'Revenue Hours-24'!C38</f>
        <v>25.043991712707182</v>
      </c>
      <c r="Y46" s="96">
        <f>'Op Cost-24'!C39/'Revenue Hours-24'!D38</f>
        <v>27.952507858411916</v>
      </c>
      <c r="Z46" s="96">
        <f>'Op Cost-24'!D39/'Revenue Hours-24'!E38</f>
        <v>37.360937197444009</v>
      </c>
      <c r="AA46" s="96">
        <f>'Op Cost-24'!E39/'Revenue Hours-24'!F38</f>
        <v>36.826011560693644</v>
      </c>
      <c r="AB46" s="97">
        <f t="shared" si="8"/>
        <v>1.0578409227089491</v>
      </c>
      <c r="AC46" s="98">
        <f t="shared" si="9"/>
        <v>1.9586409742152035E-3</v>
      </c>
      <c r="AD46" s="99">
        <f t="shared" si="10"/>
        <v>1.9695568620542395E-3</v>
      </c>
      <c r="AE46" s="95">
        <f>'Op Cost-24'!B39/'Revenue Miles-24'!C38</f>
        <v>0.93798449612403101</v>
      </c>
      <c r="AF46" s="96">
        <f>'Op Cost-24'!C39/'Revenue Miles-24'!D38</f>
        <v>1.0651721614773884</v>
      </c>
      <c r="AG46" s="96">
        <f>'Op Cost-24'!D39/'Revenue Miles-24'!E38</f>
        <v>1.4116156566272406</v>
      </c>
      <c r="AH46" s="96">
        <f>'Op Cost-24'!E39/'Revenue Miles-24'!F38</f>
        <v>1.3831841307289821</v>
      </c>
      <c r="AI46" s="97">
        <f t="shared" si="11"/>
        <v>1.0641048167932705</v>
      </c>
      <c r="AJ46" s="98">
        <f t="shared" si="12"/>
        <v>1.9471113585062282E-3</v>
      </c>
      <c r="AK46" s="99">
        <f t="shared" si="13"/>
        <v>1.9493119692748099E-3</v>
      </c>
      <c r="AL46" s="95">
        <f>'Op Cost-24'!B39/'Ridership-24'!B38</f>
        <v>10.034783330566164</v>
      </c>
      <c r="AM46" s="96">
        <f>'Op Cost-24'!C39/'Ridership-24'!C38</f>
        <v>10.687036262932386</v>
      </c>
      <c r="AN46" s="96">
        <f>'Op Cost-24'!D39/'Ridership-24'!D38</f>
        <v>26.718657680945348</v>
      </c>
      <c r="AO46" s="96">
        <f>'Op Cost-24'!E39/'Ridership-24'!E38</f>
        <v>23.842197180755957</v>
      </c>
      <c r="AP46" s="100">
        <f t="shared" si="14"/>
        <v>1.0799884459077091</v>
      </c>
      <c r="AQ46" s="98">
        <f t="shared" si="15"/>
        <v>1.9184747607905645E-3</v>
      </c>
      <c r="AR46" s="99">
        <f t="shared" si="16"/>
        <v>2.030952139219706E-3</v>
      </c>
      <c r="AT46" s="101">
        <f t="shared" si="27"/>
        <v>0</v>
      </c>
      <c r="AU46" s="102">
        <f t="shared" si="17"/>
        <v>0</v>
      </c>
      <c r="AV46" s="102">
        <f t="shared" si="18"/>
        <v>0</v>
      </c>
      <c r="AW46" s="102">
        <f t="shared" si="19"/>
        <v>0</v>
      </c>
      <c r="AX46" s="103">
        <f t="shared" si="20"/>
        <v>0</v>
      </c>
      <c r="AY46" s="104">
        <f t="shared" si="28"/>
        <v>-1</v>
      </c>
      <c r="AZ46" s="105">
        <f t="shared" si="21"/>
        <v>0</v>
      </c>
      <c r="BA46" s="106">
        <f t="shared" si="21"/>
        <v>0</v>
      </c>
      <c r="BB46" s="106">
        <f t="shared" si="21"/>
        <v>0</v>
      </c>
      <c r="BC46" s="106">
        <f t="shared" si="21"/>
        <v>0</v>
      </c>
      <c r="BD46" s="106">
        <f t="shared" si="21"/>
        <v>0</v>
      </c>
      <c r="BE46" s="107">
        <f t="shared" si="29"/>
        <v>262312.33574076515</v>
      </c>
      <c r="BG46" s="108">
        <f>'Op Cost-24'!E39</f>
        <v>573381</v>
      </c>
      <c r="BH46" s="109">
        <f t="shared" si="22"/>
        <v>0.45748348086310003</v>
      </c>
      <c r="BI46" s="110">
        <f t="shared" si="23"/>
        <v>172014.3</v>
      </c>
      <c r="BJ46" s="111">
        <f t="shared" si="24"/>
        <v>90298.035740765161</v>
      </c>
      <c r="BK46" s="1">
        <f t="shared" si="30"/>
        <v>0.36218470921107571</v>
      </c>
      <c r="BL46" s="112">
        <f t="shared" si="31"/>
        <v>0.17250853527399049</v>
      </c>
      <c r="BM46" s="112">
        <f t="shared" si="32"/>
        <v>9.3598886354314778E-2</v>
      </c>
      <c r="BN46" s="113">
        <f t="shared" si="33"/>
        <v>0.59131570760799879</v>
      </c>
      <c r="BO46" s="114">
        <f t="shared" si="25"/>
        <v>0</v>
      </c>
      <c r="BP46" s="115">
        <f t="shared" si="34"/>
        <v>7.5042157296379981E-4</v>
      </c>
      <c r="BQ46" s="116">
        <f t="shared" si="35"/>
        <v>0</v>
      </c>
      <c r="BR46" s="117">
        <f t="shared" si="36"/>
        <v>0</v>
      </c>
      <c r="BS46" s="118">
        <f t="shared" si="37"/>
        <v>172014.3</v>
      </c>
      <c r="BT46" s="119">
        <f t="shared" si="38"/>
        <v>172014.3</v>
      </c>
      <c r="BU46" s="119">
        <f t="shared" si="39"/>
        <v>172014.3</v>
      </c>
      <c r="BV46" s="119">
        <f t="shared" si="56"/>
        <v>0</v>
      </c>
      <c r="BW46" s="120">
        <f t="shared" si="40"/>
        <v>0</v>
      </c>
      <c r="BX46" s="121">
        <f t="shared" si="41"/>
        <v>0</v>
      </c>
      <c r="BY46" s="122">
        <f t="shared" si="42"/>
        <v>172014.3</v>
      </c>
      <c r="BZ46" s="123">
        <f t="shared" si="58"/>
        <v>2173921386534.3716</v>
      </c>
      <c r="CA46" s="111">
        <f t="shared" si="57"/>
        <v>2173921558549</v>
      </c>
      <c r="CC46" s="124">
        <f t="shared" si="26"/>
        <v>1</v>
      </c>
      <c r="CD46" s="17"/>
      <c r="CE46" s="108">
        <f t="shared" si="44"/>
        <v>573381</v>
      </c>
      <c r="CF46" s="125">
        <f t="shared" si="45"/>
        <v>3791408.432698328</v>
      </c>
      <c r="CG46" s="110">
        <f t="shared" si="46"/>
        <v>172014.3</v>
      </c>
      <c r="CH46" s="126">
        <f t="shared" si="47"/>
        <v>2173921386534.7</v>
      </c>
      <c r="CJ46" s="127">
        <f t="shared" si="48"/>
        <v>0</v>
      </c>
      <c r="CK46" s="128" t="e">
        <f t="shared" si="49"/>
        <v>#DIV/0!</v>
      </c>
      <c r="CL46" s="129" t="e">
        <f t="shared" si="50"/>
        <v>#DIV/0!</v>
      </c>
      <c r="CM46" s="130" t="e">
        <f t="shared" si="51"/>
        <v>#DIV/0!</v>
      </c>
      <c r="CO46" s="131" t="e">
        <f t="shared" si="52"/>
        <v>#DIV/0!</v>
      </c>
      <c r="CP46" s="1">
        <f t="shared" si="53"/>
        <v>0</v>
      </c>
      <c r="CQ46" s="132">
        <f t="shared" si="54"/>
        <v>0.3</v>
      </c>
      <c r="CS46" s="104">
        <f t="shared" si="55"/>
        <v>6.0442787694063777E-4</v>
      </c>
    </row>
    <row r="47" spans="1:97">
      <c r="A47" s="133" t="s">
        <v>124</v>
      </c>
      <c r="B47" s="90" t="s">
        <v>127</v>
      </c>
      <c r="C47" s="91">
        <f>'Sizing - Reimb Expen-24'!B40</f>
        <v>7560831</v>
      </c>
      <c r="D47" s="92">
        <f>'Ridership-24'!$E39</f>
        <v>172720</v>
      </c>
      <c r="E47" s="92">
        <f>'Revenue Hours-24'!$F39</f>
        <v>75094</v>
      </c>
      <c r="F47" s="92">
        <f>'Revenue Miles-24'!$F39</f>
        <v>1190608</v>
      </c>
      <c r="G47" s="134">
        <f t="shared" si="59"/>
        <v>1.2740495824974669E-2</v>
      </c>
      <c r="H47" s="94">
        <f t="shared" si="60"/>
        <v>1.2027937177308283E-2</v>
      </c>
      <c r="J47" s="95">
        <f>'Ridership-24'!B39/'Revenue Hours-24'!C39</f>
        <v>2.8528395937570008</v>
      </c>
      <c r="K47" s="96">
        <f>'Ridership-24'!C39/'Revenue Hours-24'!D39</f>
        <v>2.8967768637798126</v>
      </c>
      <c r="L47" s="96">
        <f>'Ridership-24'!D39/'Revenue Hours-24'!E39</f>
        <v>2.1946189886707304</v>
      </c>
      <c r="M47" s="96">
        <f>'Ridership-24'!E39/'Revenue Hours-24'!F39</f>
        <v>2.3000506032439341</v>
      </c>
      <c r="N47" s="97">
        <f t="shared" si="2"/>
        <v>1.102579996360374</v>
      </c>
      <c r="O47" s="98">
        <f t="shared" si="3"/>
        <v>1.3261762929179374E-2</v>
      </c>
      <c r="P47" s="99">
        <f t="shared" si="4"/>
        <v>1.2725074052552663E-2</v>
      </c>
      <c r="Q47" s="95">
        <f>'Ridership-24'!B39/'Revenue Miles-24'!C39</f>
        <v>0.17268278460800451</v>
      </c>
      <c r="R47" s="96">
        <f>'Ridership-24'!C39/'Revenue Miles-24'!D39</f>
        <v>0.17887553870187622</v>
      </c>
      <c r="S47" s="96">
        <f>'Ridership-24'!D39/'Revenue Miles-24'!E39</f>
        <v>0.13508021153120933</v>
      </c>
      <c r="T47" s="96">
        <f>'Ridership-24'!E39/'Revenue Miles-24'!F39</f>
        <v>0.14506873798932982</v>
      </c>
      <c r="U47" s="97">
        <f t="shared" si="5"/>
        <v>1.1162552956184724</v>
      </c>
      <c r="V47" s="98">
        <f t="shared" si="6"/>
        <v>1.3426248569536671E-2</v>
      </c>
      <c r="W47" s="99">
        <f t="shared" si="7"/>
        <v>1.2927214054184979E-2</v>
      </c>
      <c r="X47" s="95">
        <f>'Op Cost-24'!B40/'Revenue Hours-24'!C39</f>
        <v>67.871126129489951</v>
      </c>
      <c r="Y47" s="96">
        <f>'Op Cost-24'!C40/'Revenue Hours-24'!D39</f>
        <v>82.421987686895335</v>
      </c>
      <c r="Z47" s="96">
        <f>'Op Cost-24'!D40/'Revenue Hours-24'!E39</f>
        <v>132.58479715436326</v>
      </c>
      <c r="AA47" s="96">
        <f>'Op Cost-24'!E40/'Revenue Hours-24'!F39</f>
        <v>102.20353157376088</v>
      </c>
      <c r="AB47" s="97">
        <f t="shared" si="8"/>
        <v>1.0927878671265903</v>
      </c>
      <c r="AC47" s="98">
        <f t="shared" si="9"/>
        <v>1.1006653293959886E-2</v>
      </c>
      <c r="AD47" s="99">
        <f t="shared" si="10"/>
        <v>1.1067995517686295E-2</v>
      </c>
      <c r="AE47" s="95">
        <f>'Op Cost-24'!B40/'Revenue Miles-24'!C39</f>
        <v>4.1082488760213556</v>
      </c>
      <c r="AF47" s="96">
        <f>'Op Cost-24'!C40/'Revenue Miles-24'!D39</f>
        <v>5.0895454298593386</v>
      </c>
      <c r="AG47" s="96">
        <f>'Op Cost-24'!D40/'Revenue Miles-24'!E39</f>
        <v>8.1606796158642627</v>
      </c>
      <c r="AH47" s="96">
        <f>'Op Cost-24'!E40/'Revenue Miles-24'!F39</f>
        <v>6.4461787590877941</v>
      </c>
      <c r="AI47" s="97">
        <f t="shared" si="11"/>
        <v>1.10818527996705</v>
      </c>
      <c r="AJ47" s="98">
        <f t="shared" si="12"/>
        <v>1.0853724006933132E-2</v>
      </c>
      <c r="AK47" s="99">
        <f t="shared" si="13"/>
        <v>1.0865990805041276E-2</v>
      </c>
      <c r="AL47" s="95">
        <f>'Op Cost-24'!B40/'Ridership-24'!B39</f>
        <v>23.790726361908128</v>
      </c>
      <c r="AM47" s="96">
        <f>'Op Cost-24'!C40/'Ridership-24'!C39</f>
        <v>28.452998474776663</v>
      </c>
      <c r="AN47" s="96">
        <f>'Op Cost-24'!D40/'Ridership-24'!D39</f>
        <v>60.413583332143318</v>
      </c>
      <c r="AO47" s="96">
        <f>'Op Cost-24'!E40/'Ridership-24'!E39</f>
        <v>44.435340435386756</v>
      </c>
      <c r="AP47" s="100">
        <f t="shared" si="14"/>
        <v>1.0025928662815951</v>
      </c>
      <c r="AQ47" s="98">
        <f t="shared" si="15"/>
        <v>1.1996830998725692E-2</v>
      </c>
      <c r="AR47" s="99">
        <f t="shared" si="16"/>
        <v>1.2700187710928712E-2</v>
      </c>
      <c r="AT47" s="101">
        <f t="shared" si="27"/>
        <v>0</v>
      </c>
      <c r="AU47" s="102">
        <f t="shared" si="17"/>
        <v>0</v>
      </c>
      <c r="AV47" s="102">
        <f t="shared" si="18"/>
        <v>0</v>
      </c>
      <c r="AW47" s="102">
        <f t="shared" si="19"/>
        <v>0</v>
      </c>
      <c r="AX47" s="103">
        <f t="shared" si="20"/>
        <v>0</v>
      </c>
      <c r="AY47" s="104">
        <f t="shared" si="28"/>
        <v>-1</v>
      </c>
      <c r="AZ47" s="105">
        <f t="shared" si="21"/>
        <v>0</v>
      </c>
      <c r="BA47" s="106">
        <f t="shared" si="21"/>
        <v>0</v>
      </c>
      <c r="BB47" s="106">
        <f t="shared" si="21"/>
        <v>0</v>
      </c>
      <c r="BC47" s="106">
        <f t="shared" si="21"/>
        <v>0</v>
      </c>
      <c r="BD47" s="106">
        <f t="shared" si="21"/>
        <v>0</v>
      </c>
      <c r="BE47" s="107">
        <f t="shared" si="29"/>
        <v>1522771.2417363808</v>
      </c>
      <c r="BG47" s="108">
        <f>'Op Cost-24'!E40</f>
        <v>7674872</v>
      </c>
      <c r="BH47" s="109">
        <f t="shared" si="22"/>
        <v>0.19840998543511615</v>
      </c>
      <c r="BI47" s="110">
        <f t="shared" si="23"/>
        <v>1522771.2417363808</v>
      </c>
      <c r="BJ47" s="111">
        <f t="shared" si="24"/>
        <v>0</v>
      </c>
      <c r="BK47" s="1">
        <f t="shared" si="30"/>
        <v>0.2813721454883758</v>
      </c>
      <c r="BL47" s="112">
        <f t="shared" si="31"/>
        <v>0.25688548691751806</v>
      </c>
      <c r="BM47" s="112">
        <f t="shared" si="32"/>
        <v>0.23405115692859646</v>
      </c>
      <c r="BN47" s="113">
        <f t="shared" si="33"/>
        <v>0.31727596905369437</v>
      </c>
      <c r="BO47" s="114">
        <f t="shared" si="25"/>
        <v>1522771.2417363808</v>
      </c>
      <c r="BP47" s="115">
        <f t="shared" si="34"/>
        <v>3.3843264893786305E-3</v>
      </c>
      <c r="BQ47" s="116">
        <f t="shared" si="35"/>
        <v>3.3843264893786305E-3</v>
      </c>
      <c r="BR47" s="117">
        <f t="shared" si="36"/>
        <v>5.6508992893542862E-3</v>
      </c>
      <c r="BS47" s="118">
        <f t="shared" si="37"/>
        <v>1594187.4601454269</v>
      </c>
      <c r="BT47" s="119">
        <f t="shared" si="38"/>
        <v>2302461.6</v>
      </c>
      <c r="BU47" s="119">
        <f t="shared" si="39"/>
        <v>1594187.4601454269</v>
      </c>
      <c r="BV47" s="119">
        <f t="shared" si="56"/>
        <v>0</v>
      </c>
      <c r="BW47" s="120">
        <f t="shared" si="40"/>
        <v>3.3843264893786305E-3</v>
      </c>
      <c r="BX47" s="121">
        <f t="shared" si="41"/>
        <v>7.6453963857545529E-3</v>
      </c>
      <c r="BY47" s="122">
        <f t="shared" si="42"/>
        <v>1611835.0217557601</v>
      </c>
      <c r="BZ47" s="123">
        <f t="shared" si="58"/>
        <v>20370414700172.844</v>
      </c>
      <c r="CA47" s="111">
        <f t="shared" si="57"/>
        <v>20370416222944</v>
      </c>
      <c r="CC47" s="124">
        <f t="shared" si="26"/>
        <v>1</v>
      </c>
      <c r="CD47" s="17"/>
      <c r="CE47" s="108">
        <f t="shared" si="44"/>
        <v>7674872</v>
      </c>
      <c r="CF47" s="125">
        <f t="shared" si="45"/>
        <v>2654170.1572278989</v>
      </c>
      <c r="CG47" s="110">
        <f t="shared" si="46"/>
        <v>2302461.6</v>
      </c>
      <c r="CH47" s="126">
        <f t="shared" si="47"/>
        <v>20370413920482.398</v>
      </c>
      <c r="CJ47" s="127">
        <f t="shared" si="48"/>
        <v>0</v>
      </c>
      <c r="CK47" s="128" t="e">
        <f t="shared" si="49"/>
        <v>#DIV/0!</v>
      </c>
      <c r="CL47" s="129" t="e">
        <f t="shared" si="50"/>
        <v>#DIV/0!</v>
      </c>
      <c r="CM47" s="130" t="e">
        <f t="shared" si="51"/>
        <v>#DIV/0!</v>
      </c>
      <c r="CO47" s="131" t="e">
        <f t="shared" si="52"/>
        <v>#DIV/0!</v>
      </c>
      <c r="CP47" s="1">
        <f t="shared" si="53"/>
        <v>0</v>
      </c>
      <c r="CQ47" s="132">
        <f t="shared" si="54"/>
        <v>0.2100145802764867</v>
      </c>
      <c r="CS47" s="104">
        <f t="shared" si="55"/>
        <v>2.7259094734844009E-3</v>
      </c>
    </row>
    <row r="48" spans="1:97" ht="16.5" customHeight="1">
      <c r="A48" s="133" t="s">
        <v>124</v>
      </c>
      <c r="B48" s="90" t="s">
        <v>128</v>
      </c>
      <c r="C48" s="91">
        <f>'Sizing - Reimb Expen-24'!B41</f>
        <v>162010</v>
      </c>
      <c r="D48" s="92">
        <f>'Ridership-24'!$E40</f>
        <v>11840</v>
      </c>
      <c r="E48" s="92">
        <f>'Revenue Hours-24'!$F40</f>
        <v>5390</v>
      </c>
      <c r="F48" s="92">
        <f>'Revenue Miles-24'!$F40</f>
        <v>55690</v>
      </c>
      <c r="G48" s="93">
        <f t="shared" si="59"/>
        <v>5.5036523846798259E-4</v>
      </c>
      <c r="H48" s="94">
        <f t="shared" si="60"/>
        <v>5.195840573088801E-4</v>
      </c>
      <c r="J48" s="95">
        <f>'Ridership-24'!B40/'Revenue Hours-24'!C40</f>
        <v>2.4101819589624469</v>
      </c>
      <c r="K48" s="96">
        <f>'Ridership-24'!C40/'Revenue Hours-24'!D40</f>
        <v>2.6243417203042716</v>
      </c>
      <c r="L48" s="96">
        <f>'Ridership-24'!D40/'Revenue Hours-24'!E40</f>
        <v>2.06749490079733</v>
      </c>
      <c r="M48" s="96">
        <f>'Ridership-24'!E40/'Revenue Hours-24'!F40</f>
        <v>2.1966604823747682</v>
      </c>
      <c r="N48" s="97">
        <f t="shared" si="2"/>
        <v>1.1505006924601566</v>
      </c>
      <c r="O48" s="98">
        <f t="shared" si="3"/>
        <v>5.977818177251243E-4</v>
      </c>
      <c r="P48" s="99">
        <f t="shared" si="4"/>
        <v>5.735902487809325E-4</v>
      </c>
      <c r="Q48" s="95">
        <f>'Ridership-24'!B40/'Revenue Miles-24'!C40</f>
        <v>0.21125231171210912</v>
      </c>
      <c r="R48" s="96">
        <f>'Ridership-24'!C40/'Revenue Miles-24'!D40</f>
        <v>0.22349384582163678</v>
      </c>
      <c r="S48" s="96">
        <f>'Ridership-24'!D40/'Revenue Miles-24'!E40</f>
        <v>0.21433239783168659</v>
      </c>
      <c r="T48" s="96">
        <f>'Ridership-24'!E40/'Revenue Miles-24'!F40</f>
        <v>0.21260549470281917</v>
      </c>
      <c r="U48" s="97">
        <f t="shared" si="5"/>
        <v>1.2322710598478355</v>
      </c>
      <c r="V48" s="98">
        <f t="shared" si="6"/>
        <v>6.4026839698005217E-4</v>
      </c>
      <c r="W48" s="99">
        <f t="shared" si="7"/>
        <v>6.1647053359869728E-4</v>
      </c>
      <c r="X48" s="95">
        <f>'Op Cost-24'!B41/'Revenue Hours-24'!C40</f>
        <v>26.421215640727837</v>
      </c>
      <c r="Y48" s="96">
        <f>'Op Cost-24'!C41/'Revenue Hours-24'!D40</f>
        <v>28.064170079968793</v>
      </c>
      <c r="Z48" s="96">
        <f>'Op Cost-24'!D41/'Revenue Hours-24'!E40</f>
        <v>27.145188206934915</v>
      </c>
      <c r="AA48" s="96">
        <f>'Op Cost-24'!E41/'Revenue Hours-24'!F40</f>
        <v>30.05751391465677</v>
      </c>
      <c r="AB48" s="97">
        <f t="shared" si="8"/>
        <v>0.97981080740083926</v>
      </c>
      <c r="AC48" s="98">
        <f t="shared" si="9"/>
        <v>5.3029018804884342E-4</v>
      </c>
      <c r="AD48" s="99">
        <f t="shared" si="10"/>
        <v>5.3324559860702485E-4</v>
      </c>
      <c r="AE48" s="95">
        <f>'Op Cost-24'!B41/'Revenue Miles-24'!C40</f>
        <v>2.3158180491694802</v>
      </c>
      <c r="AF48" s="96">
        <f>'Op Cost-24'!C41/'Revenue Miles-24'!D40</f>
        <v>2.3899971762204539</v>
      </c>
      <c r="AG48" s="96">
        <f>'Op Cost-24'!D41/'Revenue Miles-24'!E40</f>
        <v>2.8140786590288722</v>
      </c>
      <c r="AH48" s="96">
        <f>'Op Cost-24'!E41/'Revenue Miles-24'!F40</f>
        <v>2.9091398814868019</v>
      </c>
      <c r="AI48" s="97">
        <f t="shared" si="11"/>
        <v>1.0086373581556125</v>
      </c>
      <c r="AJ48" s="98">
        <f t="shared" si="12"/>
        <v>5.1513465479703028E-4</v>
      </c>
      <c r="AK48" s="99">
        <f t="shared" si="13"/>
        <v>5.157168561506733E-4</v>
      </c>
      <c r="AL48" s="95">
        <f>'Op Cost-24'!B41/'Ridership-24'!B40</f>
        <v>10.962332342783712</v>
      </c>
      <c r="AM48" s="96">
        <f>'Op Cost-24'!C41/'Ridership-24'!C40</f>
        <v>10.693794128576737</v>
      </c>
      <c r="AN48" s="96">
        <f>'Op Cost-24'!D41/'Ridership-24'!D40</f>
        <v>13.129506726457398</v>
      </c>
      <c r="AO48" s="96">
        <f>'Op Cost-24'!E41/'Ridership-24'!E40</f>
        <v>13.683277027027026</v>
      </c>
      <c r="AP48" s="100">
        <f t="shared" si="14"/>
        <v>0.93660009397915378</v>
      </c>
      <c r="AQ48" s="98">
        <f t="shared" si="15"/>
        <v>5.5475550413562602E-4</v>
      </c>
      <c r="AR48" s="99">
        <f t="shared" si="16"/>
        <v>5.8728001060794435E-4</v>
      </c>
      <c r="AT48" s="101">
        <f t="shared" si="27"/>
        <v>0</v>
      </c>
      <c r="AU48" s="102">
        <f t="shared" si="17"/>
        <v>0</v>
      </c>
      <c r="AV48" s="102">
        <f t="shared" si="18"/>
        <v>0</v>
      </c>
      <c r="AW48" s="102">
        <f t="shared" si="19"/>
        <v>0</v>
      </c>
      <c r="AX48" s="103">
        <f t="shared" si="20"/>
        <v>0</v>
      </c>
      <c r="AY48" s="104">
        <f t="shared" si="28"/>
        <v>-1</v>
      </c>
      <c r="AZ48" s="105">
        <f t="shared" si="21"/>
        <v>0</v>
      </c>
      <c r="BA48" s="106">
        <f t="shared" si="21"/>
        <v>0</v>
      </c>
      <c r="BB48" s="106">
        <f t="shared" si="21"/>
        <v>0</v>
      </c>
      <c r="BC48" s="106">
        <f t="shared" si="21"/>
        <v>0</v>
      </c>
      <c r="BD48" s="106">
        <f t="shared" si="21"/>
        <v>0</v>
      </c>
      <c r="BE48" s="107">
        <f t="shared" si="29"/>
        <v>65780.827457874504</v>
      </c>
      <c r="BG48" s="108">
        <f>'Op Cost-24'!E41</f>
        <v>162010</v>
      </c>
      <c r="BH48" s="109">
        <f t="shared" si="22"/>
        <v>0.40602942693583421</v>
      </c>
      <c r="BI48" s="110">
        <f t="shared" si="23"/>
        <v>48603</v>
      </c>
      <c r="BJ48" s="111">
        <f t="shared" si="24"/>
        <v>17177.827457874504</v>
      </c>
      <c r="BK48" s="1">
        <f t="shared" si="30"/>
        <v>0.6622520441772074</v>
      </c>
      <c r="BL48" s="112">
        <f t="shared" si="31"/>
        <v>0.24533816639140527</v>
      </c>
      <c r="BM48" s="112">
        <f t="shared" si="32"/>
        <v>0.34301368230163709</v>
      </c>
      <c r="BN48" s="113">
        <f t="shared" si="33"/>
        <v>1.0303281640078936</v>
      </c>
      <c r="BO48" s="114">
        <f t="shared" si="25"/>
        <v>0</v>
      </c>
      <c r="BP48" s="115">
        <f t="shared" si="34"/>
        <v>3.4409560407469314E-4</v>
      </c>
      <c r="BQ48" s="116">
        <f t="shared" si="35"/>
        <v>0</v>
      </c>
      <c r="BR48" s="117">
        <f t="shared" si="36"/>
        <v>0</v>
      </c>
      <c r="BS48" s="118">
        <f t="shared" si="37"/>
        <v>48603</v>
      </c>
      <c r="BT48" s="119">
        <f t="shared" si="38"/>
        <v>48603</v>
      </c>
      <c r="BU48" s="119">
        <f t="shared" si="39"/>
        <v>48603</v>
      </c>
      <c r="BV48" s="119">
        <f t="shared" si="56"/>
        <v>0</v>
      </c>
      <c r="BW48" s="120">
        <f t="shared" si="40"/>
        <v>0</v>
      </c>
      <c r="BX48" s="121">
        <f t="shared" si="41"/>
        <v>0</v>
      </c>
      <c r="BY48" s="122">
        <f t="shared" si="42"/>
        <v>48603</v>
      </c>
      <c r="BZ48" s="123">
        <f t="shared" si="58"/>
        <v>614246031578.3634</v>
      </c>
      <c r="CA48" s="111">
        <f t="shared" si="57"/>
        <v>614246080181</v>
      </c>
      <c r="CC48" s="124">
        <f t="shared" si="26"/>
        <v>1</v>
      </c>
      <c r="CD48" s="17"/>
      <c r="CE48" s="108">
        <f t="shared" si="44"/>
        <v>162010</v>
      </c>
      <c r="CF48" s="125">
        <f t="shared" si="45"/>
        <v>3791408.4326955127</v>
      </c>
      <c r="CG48" s="110">
        <f t="shared" si="46"/>
        <v>48603</v>
      </c>
      <c r="CH48" s="126">
        <f t="shared" si="47"/>
        <v>614246031578</v>
      </c>
      <c r="CJ48" s="127">
        <f t="shared" si="48"/>
        <v>0</v>
      </c>
      <c r="CK48" s="128" t="e">
        <f t="shared" si="49"/>
        <v>#DIV/0!</v>
      </c>
      <c r="CL48" s="129" t="e">
        <f t="shared" si="50"/>
        <v>#DIV/0!</v>
      </c>
      <c r="CM48" s="130" t="e">
        <f t="shared" si="51"/>
        <v>#DIV/0!</v>
      </c>
      <c r="CO48" s="131" t="e">
        <f t="shared" si="52"/>
        <v>#DIV/0!</v>
      </c>
      <c r="CP48" s="1">
        <f t="shared" si="53"/>
        <v>0</v>
      </c>
      <c r="CQ48" s="132">
        <f t="shared" si="54"/>
        <v>0.3</v>
      </c>
      <c r="CS48" s="104">
        <f t="shared" si="55"/>
        <v>2.7715218075894256E-4</v>
      </c>
    </row>
    <row r="49" spans="1:97">
      <c r="A49" s="133" t="s">
        <v>124</v>
      </c>
      <c r="B49" s="90" t="s">
        <v>129</v>
      </c>
      <c r="C49" s="91">
        <f>'Sizing - Reimb Expen-24'!B42</f>
        <v>1205875</v>
      </c>
      <c r="D49" s="92">
        <f>'Ridership-24'!$E41</f>
        <v>49444</v>
      </c>
      <c r="E49" s="92">
        <f>'Revenue Hours-24'!$F41</f>
        <v>18141</v>
      </c>
      <c r="F49" s="92">
        <f>'Revenue Miles-24'!$F41</f>
        <v>310870</v>
      </c>
      <c r="G49" s="134">
        <f t="shared" si="59"/>
        <v>2.7367531168942466E-3</v>
      </c>
      <c r="H49" s="94">
        <f t="shared" si="60"/>
        <v>2.5836902277601957E-3</v>
      </c>
      <c r="J49" s="95">
        <f>'Ridership-24'!B41/'Revenue Hours-24'!C41</f>
        <v>2.1531983805668018</v>
      </c>
      <c r="K49" s="96">
        <f>'Ridership-24'!C41/'Revenue Hours-24'!D41</f>
        <v>2.3018086155869781</v>
      </c>
      <c r="L49" s="96">
        <f>'Ridership-24'!D41/'Revenue Hours-24'!E41</f>
        <v>1.8714498597475455</v>
      </c>
      <c r="M49" s="96">
        <f>'Ridership-24'!E41/'Revenue Hours-24'!F41</f>
        <v>2.7255388346838654</v>
      </c>
      <c r="N49" s="97">
        <f t="shared" si="2"/>
        <v>1.2621314439470319</v>
      </c>
      <c r="O49" s="98">
        <f t="shared" si="3"/>
        <v>3.2609566778748116E-3</v>
      </c>
      <c r="P49" s="99">
        <f t="shared" si="4"/>
        <v>3.1289893681345445E-3</v>
      </c>
      <c r="Q49" s="95">
        <f>'Ridership-24'!B41/'Revenue Miles-24'!C41</f>
        <v>0.14216405642296373</v>
      </c>
      <c r="R49" s="96">
        <f>'Ridership-24'!C41/'Revenue Miles-24'!D41</f>
        <v>0.15794010138539991</v>
      </c>
      <c r="S49" s="96">
        <f>'Ridership-24'!D41/'Revenue Miles-24'!E41</f>
        <v>0.12054951539089166</v>
      </c>
      <c r="T49" s="96">
        <f>'Ridership-24'!E41/'Revenue Miles-24'!F41</f>
        <v>0.1590504069225078</v>
      </c>
      <c r="U49" s="97">
        <f t="shared" si="5"/>
        <v>1.2117777521158943</v>
      </c>
      <c r="V49" s="98">
        <f t="shared" si="6"/>
        <v>3.1308583363590528E-3</v>
      </c>
      <c r="W49" s="99">
        <f t="shared" si="7"/>
        <v>3.0144887961685973E-3</v>
      </c>
      <c r="X49" s="95">
        <f>'Op Cost-24'!B42/'Revenue Hours-24'!C41</f>
        <v>27.147165991902835</v>
      </c>
      <c r="Y49" s="96">
        <f>'Op Cost-24'!C42/'Revenue Hours-24'!D41</f>
        <v>30.822514523731229</v>
      </c>
      <c r="Z49" s="96">
        <f>'Op Cost-24'!D42/'Revenue Hours-24'!E41</f>
        <v>53.352691093969142</v>
      </c>
      <c r="AA49" s="96">
        <f>'Op Cost-24'!E42/'Revenue Hours-24'!F41</f>
        <v>79.509949837384923</v>
      </c>
      <c r="AB49" s="97">
        <f t="shared" si="8"/>
        <v>1.3396410293256915</v>
      </c>
      <c r="AC49" s="98">
        <f t="shared" si="9"/>
        <v>1.9286436972303668E-3</v>
      </c>
      <c r="AD49" s="99">
        <f t="shared" si="10"/>
        <v>1.9393924043990534E-3</v>
      </c>
      <c r="AE49" s="95">
        <f>'Op Cost-24'!B42/'Revenue Miles-24'!C41</f>
        <v>1.7923807079868379</v>
      </c>
      <c r="AF49" s="96">
        <f>'Op Cost-24'!C42/'Revenue Miles-24'!D41</f>
        <v>2.1149069631011295</v>
      </c>
      <c r="AG49" s="96">
        <f>'Op Cost-24'!D42/'Revenue Miles-24'!E41</f>
        <v>3.4367156686984583</v>
      </c>
      <c r="AH49" s="96">
        <f>'Op Cost-24'!E42/'Revenue Miles-24'!F41</f>
        <v>4.639849454756007</v>
      </c>
      <c r="AI49" s="97">
        <f t="shared" si="11"/>
        <v>1.2854839634662996</v>
      </c>
      <c r="AJ49" s="98">
        <f t="shared" si="12"/>
        <v>2.0098968957911315E-3</v>
      </c>
      <c r="AK49" s="99">
        <f t="shared" si="13"/>
        <v>2.0121684663067544E-3</v>
      </c>
      <c r="AL49" s="95">
        <f>'Op Cost-24'!B42/'Ridership-24'!B41</f>
        <v>12.607833182912154</v>
      </c>
      <c r="AM49" s="96">
        <f>'Op Cost-24'!C42/'Ridership-24'!C41</f>
        <v>13.390563539910664</v>
      </c>
      <c r="AN49" s="96">
        <f>'Op Cost-24'!D42/'Ridership-24'!D41</f>
        <v>28.508747277453804</v>
      </c>
      <c r="AO49" s="96">
        <f>'Op Cost-24'!E42/'Ridership-24'!E41</f>
        <v>29.17219480624545</v>
      </c>
      <c r="AP49" s="100">
        <f t="shared" si="14"/>
        <v>1.0831038405019571</v>
      </c>
      <c r="AQ49" s="98">
        <f t="shared" si="15"/>
        <v>2.3854501582810401E-3</v>
      </c>
      <c r="AR49" s="99">
        <f t="shared" si="16"/>
        <v>2.5253056234977246E-3</v>
      </c>
      <c r="AT49" s="101">
        <f t="shared" si="27"/>
        <v>0</v>
      </c>
      <c r="AU49" s="102">
        <f t="shared" si="17"/>
        <v>0</v>
      </c>
      <c r="AV49" s="102">
        <f t="shared" si="18"/>
        <v>0</v>
      </c>
      <c r="AW49" s="102">
        <f t="shared" si="19"/>
        <v>0</v>
      </c>
      <c r="AX49" s="103">
        <f t="shared" si="20"/>
        <v>0</v>
      </c>
      <c r="AY49" s="104">
        <f t="shared" si="28"/>
        <v>-1</v>
      </c>
      <c r="AZ49" s="105">
        <f t="shared" si="21"/>
        <v>0</v>
      </c>
      <c r="BA49" s="106">
        <f t="shared" si="21"/>
        <v>0</v>
      </c>
      <c r="BB49" s="106">
        <f t="shared" si="21"/>
        <v>0</v>
      </c>
      <c r="BC49" s="106">
        <f t="shared" si="21"/>
        <v>0</v>
      </c>
      <c r="BD49" s="106">
        <f t="shared" si="21"/>
        <v>0</v>
      </c>
      <c r="BE49" s="107">
        <f t="shared" si="29"/>
        <v>327102.57115501608</v>
      </c>
      <c r="BG49" s="108">
        <f>'Op Cost-24'!E42</f>
        <v>1442390</v>
      </c>
      <c r="BH49" s="109">
        <f t="shared" si="22"/>
        <v>0.22677817452631818</v>
      </c>
      <c r="BI49" s="110">
        <f t="shared" si="23"/>
        <v>327102.57115501608</v>
      </c>
      <c r="BJ49" s="111">
        <f t="shared" si="24"/>
        <v>0</v>
      </c>
      <c r="BK49" s="1">
        <f t="shared" si="30"/>
        <v>0.38189272027462073</v>
      </c>
      <c r="BL49" s="112">
        <f t="shared" si="31"/>
        <v>0.30440694203548974</v>
      </c>
      <c r="BM49" s="112">
        <f t="shared" si="32"/>
        <v>0.25660891702880229</v>
      </c>
      <c r="BN49" s="113">
        <f t="shared" si="33"/>
        <v>0.48327751101709554</v>
      </c>
      <c r="BO49" s="114">
        <f t="shared" si="25"/>
        <v>327102.57115501608</v>
      </c>
      <c r="BP49" s="115">
        <f t="shared" si="34"/>
        <v>9.8669248942629545E-4</v>
      </c>
      <c r="BQ49" s="116">
        <f t="shared" si="35"/>
        <v>9.8669248942629545E-4</v>
      </c>
      <c r="BR49" s="117">
        <f t="shared" si="36"/>
        <v>1.6475064993903632E-3</v>
      </c>
      <c r="BS49" s="118">
        <f t="shared" si="37"/>
        <v>347923.80295655283</v>
      </c>
      <c r="BT49" s="119">
        <f t="shared" si="38"/>
        <v>432717</v>
      </c>
      <c r="BU49" s="119">
        <f t="shared" si="39"/>
        <v>347923.80295655283</v>
      </c>
      <c r="BV49" s="119">
        <f t="shared" si="56"/>
        <v>0</v>
      </c>
      <c r="BW49" s="120">
        <f t="shared" si="40"/>
        <v>9.8669248942629545E-4</v>
      </c>
      <c r="BX49" s="121">
        <f t="shared" si="41"/>
        <v>2.2289974729642567E-3</v>
      </c>
      <c r="BY49" s="122">
        <f t="shared" si="42"/>
        <v>353068.90835706651</v>
      </c>
      <c r="BZ49" s="123">
        <f t="shared" si="58"/>
        <v>4462094435159.002</v>
      </c>
      <c r="CA49" s="111">
        <f t="shared" si="57"/>
        <v>4462094762262</v>
      </c>
      <c r="CC49" s="124">
        <f t="shared" si="26"/>
        <v>1</v>
      </c>
      <c r="CD49" s="17"/>
      <c r="CE49" s="108">
        <f t="shared" si="44"/>
        <v>1442390</v>
      </c>
      <c r="CF49" s="125">
        <f t="shared" si="45"/>
        <v>3093542.497009824</v>
      </c>
      <c r="CG49" s="110">
        <f t="shared" si="46"/>
        <v>432717</v>
      </c>
      <c r="CH49" s="126">
        <f t="shared" si="47"/>
        <v>4462094329545</v>
      </c>
      <c r="CJ49" s="127">
        <f t="shared" si="48"/>
        <v>0</v>
      </c>
      <c r="CK49" s="128" t="e">
        <f t="shared" si="49"/>
        <v>#DIV/0!</v>
      </c>
      <c r="CL49" s="129" t="e">
        <f t="shared" si="50"/>
        <v>#DIV/0!</v>
      </c>
      <c r="CM49" s="130" t="e">
        <f t="shared" si="51"/>
        <v>#DIV/0!</v>
      </c>
      <c r="CO49" s="131" t="e">
        <f t="shared" si="52"/>
        <v>#DIV/0!</v>
      </c>
      <c r="CP49" s="1">
        <f t="shared" si="53"/>
        <v>0</v>
      </c>
      <c r="CQ49" s="132">
        <f t="shared" si="54"/>
        <v>0.24478047432183148</v>
      </c>
      <c r="CS49" s="104">
        <f t="shared" si="55"/>
        <v>7.9473254509699167E-4</v>
      </c>
    </row>
    <row r="50" spans="1:97">
      <c r="A50" s="133" t="s">
        <v>124</v>
      </c>
      <c r="B50" s="90" t="s">
        <v>130</v>
      </c>
      <c r="C50" s="91">
        <f>'Sizing - Reimb Expen-24'!B43</f>
        <v>4022350</v>
      </c>
      <c r="D50" s="92">
        <f>'Ridership-24'!$E42</f>
        <v>169413</v>
      </c>
      <c r="E50" s="92">
        <f>'Revenue Hours-24'!$F42</f>
        <v>60519</v>
      </c>
      <c r="F50" s="92">
        <f>'Revenue Miles-24'!$F42</f>
        <v>935668</v>
      </c>
      <c r="G50" s="134">
        <f t="shared" si="59"/>
        <v>8.92314296822053E-3</v>
      </c>
      <c r="H50" s="94">
        <f t="shared" si="60"/>
        <v>8.4240836871911987E-3</v>
      </c>
      <c r="J50" s="95">
        <f>'Ridership-24'!B42/'Revenue Hours-24'!C42</f>
        <v>4.7280595896966418</v>
      </c>
      <c r="K50" s="96">
        <f>'Ridership-24'!C42/'Revenue Hours-24'!D42</f>
        <v>4.6066913646259025</v>
      </c>
      <c r="L50" s="96">
        <f>'Ridership-24'!D42/'Revenue Hours-24'!E42</f>
        <v>2.6052602436323364</v>
      </c>
      <c r="M50" s="96">
        <f>'Ridership-24'!E42/'Revenue Hours-24'!F42</f>
        <v>2.7993357457988401</v>
      </c>
      <c r="N50" s="97">
        <f t="shared" si="2"/>
        <v>0.97105400854216295</v>
      </c>
      <c r="O50" s="98">
        <f t="shared" si="3"/>
        <v>8.1802402327416576E-3</v>
      </c>
      <c r="P50" s="99">
        <f t="shared" si="4"/>
        <v>7.8491949588597783E-3</v>
      </c>
      <c r="Q50" s="95">
        <f>'Ridership-24'!B42/'Revenue Miles-24'!C42</f>
        <v>0.24363623107916568</v>
      </c>
      <c r="R50" s="96">
        <f>'Ridership-24'!C42/'Revenue Miles-24'!D42</f>
        <v>0.25866990351642838</v>
      </c>
      <c r="S50" s="96">
        <f>'Ridership-24'!D42/'Revenue Miles-24'!E42</f>
        <v>0.16890249812434263</v>
      </c>
      <c r="T50" s="96">
        <f>'Ridership-24'!E42/'Revenue Miles-24'!F42</f>
        <v>0.1810610173694088</v>
      </c>
      <c r="U50" s="97">
        <f t="shared" si="5"/>
        <v>1.0591075107965426</v>
      </c>
      <c r="V50" s="98">
        <f t="shared" si="6"/>
        <v>8.9220103046828304E-3</v>
      </c>
      <c r="W50" s="99">
        <f t="shared" si="7"/>
        <v>8.5903919032134582E-3</v>
      </c>
      <c r="X50" s="95">
        <f>'Op Cost-24'!B43/'Revenue Hours-24'!C42</f>
        <v>61.140297948483209</v>
      </c>
      <c r="Y50" s="96">
        <f>'Op Cost-24'!C43/'Revenue Hours-24'!D42</f>
        <v>60.089370965893899</v>
      </c>
      <c r="Z50" s="96">
        <f>'Op Cost-24'!D43/'Revenue Hours-24'!E42</f>
        <v>61.375230712440015</v>
      </c>
      <c r="AA50" s="96">
        <f>'Op Cost-24'!E43/'Revenue Hours-24'!F42</f>
        <v>66.464250896412693</v>
      </c>
      <c r="AB50" s="97">
        <f t="shared" si="8"/>
        <v>0.96052410898235108</v>
      </c>
      <c r="AC50" s="98">
        <f t="shared" si="9"/>
        <v>8.7702990569557739E-3</v>
      </c>
      <c r="AD50" s="99">
        <f t="shared" si="10"/>
        <v>8.819177642710313E-3</v>
      </c>
      <c r="AE50" s="95">
        <f>'Op Cost-24'!B43/'Revenue Miles-24'!C42</f>
        <v>3.1505507654106029</v>
      </c>
      <c r="AF50" s="96">
        <f>'Op Cost-24'!C43/'Revenue Miles-24'!D42</f>
        <v>3.3740727476265127</v>
      </c>
      <c r="AG50" s="96">
        <f>'Op Cost-24'!D43/'Revenue Miles-24'!E42</f>
        <v>3.9790381078535897</v>
      </c>
      <c r="AH50" s="96">
        <f>'Op Cost-24'!E43/'Revenue Miles-24'!F42</f>
        <v>4.2989073047277451</v>
      </c>
      <c r="AI50" s="97">
        <f t="shared" si="11"/>
        <v>1.0378270388481003</v>
      </c>
      <c r="AJ50" s="98">
        <f t="shared" si="12"/>
        <v>8.1170400961428166E-3</v>
      </c>
      <c r="AK50" s="99">
        <f t="shared" si="13"/>
        <v>8.1262139144591371E-3</v>
      </c>
      <c r="AL50" s="95">
        <f>'Op Cost-24'!B43/'Ridership-24'!B42</f>
        <v>12.931372117584932</v>
      </c>
      <c r="AM50" s="96">
        <f>'Op Cost-24'!C43/'Ridership-24'!C42</f>
        <v>13.043932447333294</v>
      </c>
      <c r="AN50" s="96">
        <f>'Op Cost-24'!D43/'Ridership-24'!D42</f>
        <v>23.558195716704567</v>
      </c>
      <c r="AO50" s="96">
        <f>'Op Cost-24'!E43/'Ridership-24'!E42</f>
        <v>23.742865069386646</v>
      </c>
      <c r="AP50" s="100">
        <f t="shared" si="14"/>
        <v>1.0138070034269091</v>
      </c>
      <c r="AQ50" s="98">
        <f t="shared" si="15"/>
        <v>8.3093563752428112E-3</v>
      </c>
      <c r="AR50" s="99">
        <f t="shared" si="16"/>
        <v>8.7965218259551513E-3</v>
      </c>
      <c r="AT50" s="101">
        <f t="shared" si="27"/>
        <v>0</v>
      </c>
      <c r="AU50" s="102">
        <f t="shared" si="17"/>
        <v>0</v>
      </c>
      <c r="AV50" s="102">
        <f t="shared" si="18"/>
        <v>0</v>
      </c>
      <c r="AW50" s="102">
        <f t="shared" si="19"/>
        <v>0</v>
      </c>
      <c r="AX50" s="103">
        <f t="shared" si="20"/>
        <v>0</v>
      </c>
      <c r="AY50" s="104">
        <f t="shared" si="28"/>
        <v>-1</v>
      </c>
      <c r="AZ50" s="105">
        <f t="shared" si="21"/>
        <v>0</v>
      </c>
      <c r="BA50" s="106">
        <f t="shared" si="21"/>
        <v>0</v>
      </c>
      <c r="BB50" s="106">
        <f t="shared" si="21"/>
        <v>0</v>
      </c>
      <c r="BC50" s="106">
        <f t="shared" si="21"/>
        <v>0</v>
      </c>
      <c r="BD50" s="106">
        <f t="shared" si="21"/>
        <v>0</v>
      </c>
      <c r="BE50" s="107">
        <f t="shared" si="29"/>
        <v>1066513.0843081176</v>
      </c>
      <c r="BG50" s="108">
        <f>'Op Cost-24'!E43</f>
        <v>4022350</v>
      </c>
      <c r="BH50" s="109">
        <f t="shared" si="22"/>
        <v>0.26514676353577327</v>
      </c>
      <c r="BI50" s="110">
        <f t="shared" si="23"/>
        <v>1066513.0843081176</v>
      </c>
      <c r="BJ50" s="111">
        <f t="shared" si="24"/>
        <v>0</v>
      </c>
      <c r="BK50" s="1">
        <f t="shared" si="30"/>
        <v>0.44808716334435389</v>
      </c>
      <c r="BL50" s="112">
        <f t="shared" si="31"/>
        <v>0.31264908915088019</v>
      </c>
      <c r="BM50" s="112">
        <f t="shared" si="32"/>
        <v>0.29212041944623385</v>
      </c>
      <c r="BN50" s="113">
        <f t="shared" si="33"/>
        <v>0.59378957239015073</v>
      </c>
      <c r="BO50" s="114">
        <f t="shared" si="25"/>
        <v>1066513.0843081176</v>
      </c>
      <c r="BP50" s="115">
        <f t="shared" si="34"/>
        <v>3.7747237631689497E-3</v>
      </c>
      <c r="BQ50" s="116">
        <f t="shared" si="35"/>
        <v>3.7747237631689497E-3</v>
      </c>
      <c r="BR50" s="117">
        <f t="shared" si="36"/>
        <v>6.3027559243306035E-3</v>
      </c>
      <c r="BS50" s="118">
        <f t="shared" si="37"/>
        <v>1146167.484541171</v>
      </c>
      <c r="BT50" s="119">
        <f t="shared" si="38"/>
        <v>1206705</v>
      </c>
      <c r="BU50" s="119">
        <f t="shared" si="39"/>
        <v>1146167.484541171</v>
      </c>
      <c r="BV50" s="119">
        <f t="shared" si="56"/>
        <v>0</v>
      </c>
      <c r="BW50" s="120">
        <f t="shared" si="40"/>
        <v>3.7747237631689497E-3</v>
      </c>
      <c r="BX50" s="121">
        <f t="shared" si="41"/>
        <v>8.5273272264734523E-3</v>
      </c>
      <c r="BY50" s="122">
        <f t="shared" si="42"/>
        <v>1165850.7717126587</v>
      </c>
      <c r="BZ50" s="123">
        <f t="shared" si="58"/>
        <v>14734053657944.43</v>
      </c>
      <c r="CA50" s="111">
        <f t="shared" si="57"/>
        <v>14734054724458</v>
      </c>
      <c r="CC50" s="124">
        <f t="shared" si="26"/>
        <v>1</v>
      </c>
      <c r="CD50" s="17"/>
      <c r="CE50" s="108">
        <f t="shared" si="44"/>
        <v>4022350</v>
      </c>
      <c r="CF50" s="125">
        <f t="shared" si="45"/>
        <v>3663046.409302522</v>
      </c>
      <c r="CG50" s="110">
        <f t="shared" si="46"/>
        <v>1206705</v>
      </c>
      <c r="CH50" s="126">
        <f t="shared" si="47"/>
        <v>14734053517753</v>
      </c>
      <c r="CJ50" s="127">
        <f t="shared" si="48"/>
        <v>0</v>
      </c>
      <c r="CK50" s="128" t="e">
        <f t="shared" si="49"/>
        <v>#DIV/0!</v>
      </c>
      <c r="CL50" s="129" t="e">
        <f t="shared" si="50"/>
        <v>#DIV/0!</v>
      </c>
      <c r="CM50" s="130" t="e">
        <f t="shared" si="51"/>
        <v>#DIV/0!</v>
      </c>
      <c r="CO50" s="131" t="e">
        <f t="shared" si="52"/>
        <v>#DIV/0!</v>
      </c>
      <c r="CP50" s="1">
        <f t="shared" si="53"/>
        <v>0</v>
      </c>
      <c r="CQ50" s="132">
        <f t="shared" si="54"/>
        <v>0.28984319408123577</v>
      </c>
      <c r="CS50" s="104">
        <f t="shared" si="55"/>
        <v>3.040355384772027E-3</v>
      </c>
    </row>
    <row r="51" spans="1:97" s="171" customFormat="1" ht="15" thickBot="1">
      <c r="A51" s="165"/>
      <c r="B51" s="166" t="s">
        <v>131</v>
      </c>
      <c r="C51" s="167">
        <f>SUM(C11:C50)-C34</f>
        <v>464821573</v>
      </c>
      <c r="D51" s="168">
        <f>SUM(D11:D50)-D34</f>
        <v>38752057</v>
      </c>
      <c r="E51" s="168">
        <f>SUM(E11:E50)-E34</f>
        <v>4348164</v>
      </c>
      <c r="F51" s="168">
        <f>SUM(F11:F50)-F34</f>
        <v>61650078.5</v>
      </c>
      <c r="G51" s="169">
        <f>SUM(G11:G50)</f>
        <v>1.0559286433946775</v>
      </c>
      <c r="H51" s="170">
        <f>SUM(H11:H50)</f>
        <v>0.99999999999999956</v>
      </c>
      <c r="J51" s="172">
        <f>'Ridership-24'!B43/'Revenue Hours-24'!C43</f>
        <v>13.582953416309731</v>
      </c>
      <c r="K51" s="173">
        <f>'Ridership-24'!C43/'Revenue Hours-24'!D43</f>
        <v>13.526760546299428</v>
      </c>
      <c r="L51" s="173">
        <f>'Ridership-24'!D43/'Revenue Hours-24'!E43</f>
        <v>6.9491805201049877</v>
      </c>
      <c r="M51" s="173">
        <f>'Ridership-24'!E43/'Revenue Hours-24'!F43</f>
        <v>8.9536027544539518</v>
      </c>
      <c r="N51" s="174"/>
      <c r="O51" s="175">
        <f>SUM(O11:O50)</f>
        <v>1.0421756977138417</v>
      </c>
      <c r="P51" s="176">
        <f>SUM(P11:P50)</f>
        <v>0.99999999999999989</v>
      </c>
      <c r="Q51" s="172">
        <f>'Ridership-24'!B43/'Revenue Miles-24'!C43</f>
        <v>0.95494323136259107</v>
      </c>
      <c r="R51" s="173">
        <f>'Ridership-24'!C43/'Revenue Miles-24'!D43</f>
        <v>0.94516480852199081</v>
      </c>
      <c r="S51" s="173">
        <f>'Ridership-24'!D43/'Revenue Miles-24'!E43</f>
        <v>0.49283534368231213</v>
      </c>
      <c r="T51" s="173">
        <f>'Ridership-24'!E43/'Revenue Miles-24'!F43</f>
        <v>0.61981636789595917</v>
      </c>
      <c r="U51" s="174"/>
      <c r="V51" s="175">
        <f>SUM(V11:V50)</f>
        <v>1.0386034077613295</v>
      </c>
      <c r="W51" s="176">
        <f>SUM(W11:W50)</f>
        <v>1.0000000000000002</v>
      </c>
      <c r="X51" s="177">
        <f>'Op Cost-24'!B44/'Revenue Hours-24'!C43</f>
        <v>101.23415773619254</v>
      </c>
      <c r="Y51" s="178">
        <f>'Op Cost-24'!C44/'Revenue Hours-24'!D43</f>
        <v>103.16343259700481</v>
      </c>
      <c r="Z51" s="178">
        <f>'Op Cost-24'!D44/'Revenue Hours-24'!E43</f>
        <v>125.95961510933006</v>
      </c>
      <c r="AA51" s="178">
        <f>'Op Cost-24'!E44/'Revenue Hours-24'!F43</f>
        <v>126.23027057650225</v>
      </c>
      <c r="AB51" s="174"/>
      <c r="AC51" s="175">
        <f>SUM(AC11:AC50)</f>
        <v>0.99445769347951163</v>
      </c>
      <c r="AD51" s="176">
        <f>SUM(AD11:AD50)</f>
        <v>1</v>
      </c>
      <c r="AE51" s="177">
        <f>'Op Cost-24'!B44/'Revenue Miles-24'!C43</f>
        <v>7.1172204416743412</v>
      </c>
      <c r="AF51" s="178">
        <f>'Op Cost-24'!C44/'Revenue Miles-24'!D43</f>
        <v>7.2084107413060252</v>
      </c>
      <c r="AG51" s="178">
        <f>'Op Cost-24'!D44/'Revenue Miles-24'!E43</f>
        <v>8.9330461372962819</v>
      </c>
      <c r="AH51" s="178">
        <f>'Op Cost-24'!E44/'Revenue Miles-24'!F43</f>
        <v>8.7383358378650051</v>
      </c>
      <c r="AI51" s="174"/>
      <c r="AJ51" s="175">
        <f>SUM(AJ11:AJ50)</f>
        <v>0.9988710833343929</v>
      </c>
      <c r="AK51" s="176">
        <f>SUM(AK11:AK50)</f>
        <v>1.0000000000000002</v>
      </c>
      <c r="AL51" s="177">
        <f>'Op Cost-24'!B44/'Ridership-24'!B43</f>
        <v>7.453029884843426</v>
      </c>
      <c r="AM51" s="178">
        <f>'Op Cost-24'!C44/'Ridership-24'!C43</f>
        <v>7.6266177880429513</v>
      </c>
      <c r="AN51" s="178">
        <f>'Op Cost-24'!D44/'Ridership-24'!D43</f>
        <v>18.125822857085176</v>
      </c>
      <c r="AO51" s="178">
        <f>'Op Cost-24'!E44/'Ridership-24'!E43</f>
        <v>14.098265696868143</v>
      </c>
      <c r="AP51" s="179"/>
      <c r="AQ51" s="175">
        <f>SUM(AQ11:AQ50)</f>
        <v>0.9446184002778345</v>
      </c>
      <c r="AR51" s="176">
        <f>SUM(AR11:AR50)</f>
        <v>1</v>
      </c>
      <c r="AT51" s="180">
        <f>SUM(AT11:AT50)</f>
        <v>0</v>
      </c>
      <c r="AU51" s="181">
        <f>SUM(AU11:AU50)</f>
        <v>0</v>
      </c>
      <c r="AV51" s="181">
        <f>SUM(AV11:AV50)</f>
        <v>0</v>
      </c>
      <c r="AW51" s="181">
        <f>SUM(AW11:AW50)</f>
        <v>0</v>
      </c>
      <c r="AX51" s="182">
        <f>SUM(AX11:AX50)</f>
        <v>0</v>
      </c>
      <c r="AZ51" s="183">
        <f t="shared" si="21"/>
        <v>0</v>
      </c>
      <c r="BA51" s="184">
        <f t="shared" si="21"/>
        <v>0</v>
      </c>
      <c r="BB51" s="184">
        <f t="shared" si="21"/>
        <v>0</v>
      </c>
      <c r="BC51" s="184">
        <f t="shared" si="21"/>
        <v>0</v>
      </c>
      <c r="BD51" s="184">
        <f t="shared" si="21"/>
        <v>0</v>
      </c>
      <c r="BE51" s="185">
        <f>SUM(BE11:BE50)</f>
        <v>126602859.5999999</v>
      </c>
      <c r="BG51" s="186">
        <f>'Op Cost-24'!E44</f>
        <v>557924668</v>
      </c>
      <c r="BH51" s="187"/>
      <c r="BI51" s="188">
        <f>SUM(BI11:BI50)</f>
        <v>120628140.89100738</v>
      </c>
      <c r="BJ51" s="189">
        <f>SUM(BJ11:BJ50)</f>
        <v>5974718.7089925185</v>
      </c>
      <c r="BO51" s="190">
        <f>SUM(BO11:BO50)</f>
        <v>90560229.496094242</v>
      </c>
      <c r="BP51" s="191">
        <f>SUM(BP11:BP50)</f>
        <v>1.2415403087662358</v>
      </c>
      <c r="BQ51" s="191">
        <f>SUM(BQ11:BQ50)</f>
        <v>0.59890051407469846</v>
      </c>
      <c r="BR51" s="192">
        <f>SUM(BR11:BR50)</f>
        <v>1</v>
      </c>
      <c r="BS51" s="192">
        <f>SUM(BS11:BS50)</f>
        <v>133266167.99999994</v>
      </c>
      <c r="BT51" s="192"/>
      <c r="BU51" s="192"/>
      <c r="BV51" s="192">
        <f>SUM(BV11:BV50)</f>
        <v>2308259.8625252801</v>
      </c>
      <c r="BW51" s="191">
        <f>SUM(BW11:BW50)</f>
        <v>0.44266200450830107</v>
      </c>
      <c r="BX51" s="192">
        <f t="shared" ref="BX51" si="61">IF($BX$52=0,1,BW51/$BX$52)</f>
        <v>1</v>
      </c>
      <c r="BY51" s="193">
        <f>SUM(BY11:BY50)</f>
        <v>133266167.99999991</v>
      </c>
      <c r="BZ51" s="194">
        <f>SUM(BZ11:BZ50)</f>
        <v>1684221443895550.3</v>
      </c>
      <c r="CA51" s="189">
        <f>SUM(CA11:CA50)</f>
        <v>1684221564523693</v>
      </c>
      <c r="CC51" s="195">
        <f>SUM(CC11:CC50)</f>
        <v>39</v>
      </c>
      <c r="CE51" s="196">
        <f>SUM(CE11:CE50)</f>
        <v>557924668</v>
      </c>
      <c r="CF51" s="197"/>
      <c r="CG51" s="198">
        <f>SUM(CG11:CG50)</f>
        <v>167377400.40000004</v>
      </c>
      <c r="CH51" s="199">
        <f t="shared" si="47"/>
        <v>1684221397146292.5</v>
      </c>
      <c r="CI51" s="1"/>
      <c r="CJ51" s="200">
        <f>SUM(CJ11:CJ50)</f>
        <v>0</v>
      </c>
      <c r="CK51" s="201" t="e">
        <f t="shared" si="49"/>
        <v>#DIV/0!</v>
      </c>
      <c r="CL51" s="202" t="e">
        <f t="shared" si="50"/>
        <v>#DIV/0!</v>
      </c>
      <c r="CM51" s="203" t="e">
        <f>ROUND((CL51+CG51),0)+2</f>
        <v>#DIV/0!</v>
      </c>
      <c r="CN51" s="1"/>
      <c r="CO51" s="204" t="e">
        <f>CM51/CE51</f>
        <v>#DIV/0!</v>
      </c>
      <c r="CP51" s="171">
        <f>SUM(CP11:CP50)</f>
        <v>3</v>
      </c>
      <c r="CS51" s="205">
        <f>SUM(CS11:CS50)</f>
        <v>0.99999999999999956</v>
      </c>
    </row>
    <row r="52" spans="1:97">
      <c r="BP52" s="206">
        <f>BP51-BP34</f>
        <v>1.2112626730685891</v>
      </c>
    </row>
    <row r="55" spans="1:97">
      <c r="B55" s="1">
        <v>1</v>
      </c>
      <c r="C55" s="1">
        <f>B55+1</f>
        <v>2</v>
      </c>
      <c r="D55" s="1">
        <f t="shared" ref="D55:BO55" si="62">C55+1</f>
        <v>3</v>
      </c>
      <c r="E55" s="1">
        <f t="shared" si="62"/>
        <v>4</v>
      </c>
      <c r="F55" s="1">
        <f t="shared" si="62"/>
        <v>5</v>
      </c>
      <c r="G55" s="1">
        <f t="shared" si="62"/>
        <v>6</v>
      </c>
      <c r="H55" s="1">
        <f t="shared" si="62"/>
        <v>7</v>
      </c>
      <c r="I55" s="1">
        <f t="shared" si="62"/>
        <v>8</v>
      </c>
      <c r="J55" s="1">
        <f t="shared" si="62"/>
        <v>9</v>
      </c>
      <c r="K55" s="1">
        <f t="shared" si="62"/>
        <v>10</v>
      </c>
      <c r="L55" s="1">
        <f t="shared" si="62"/>
        <v>11</v>
      </c>
      <c r="M55" s="1">
        <f t="shared" si="62"/>
        <v>12</v>
      </c>
      <c r="N55" s="1">
        <f t="shared" si="62"/>
        <v>13</v>
      </c>
      <c r="O55" s="1">
        <f t="shared" si="62"/>
        <v>14</v>
      </c>
      <c r="P55" s="1">
        <f t="shared" si="62"/>
        <v>15</v>
      </c>
      <c r="Q55" s="1">
        <f t="shared" si="62"/>
        <v>16</v>
      </c>
      <c r="R55" s="1">
        <f t="shared" si="62"/>
        <v>17</v>
      </c>
      <c r="S55" s="1">
        <f t="shared" si="62"/>
        <v>18</v>
      </c>
      <c r="T55" s="1">
        <f t="shared" si="62"/>
        <v>19</v>
      </c>
      <c r="U55" s="1">
        <f t="shared" si="62"/>
        <v>20</v>
      </c>
      <c r="V55" s="1">
        <f t="shared" si="62"/>
        <v>21</v>
      </c>
      <c r="W55" s="1">
        <f t="shared" si="62"/>
        <v>22</v>
      </c>
      <c r="X55" s="1">
        <f t="shared" si="62"/>
        <v>23</v>
      </c>
      <c r="Y55" s="1">
        <f t="shared" si="62"/>
        <v>24</v>
      </c>
      <c r="Z55" s="1">
        <f t="shared" si="62"/>
        <v>25</v>
      </c>
      <c r="AA55" s="1">
        <f t="shared" si="62"/>
        <v>26</v>
      </c>
      <c r="AB55" s="1">
        <f t="shared" si="62"/>
        <v>27</v>
      </c>
      <c r="AC55" s="1">
        <f t="shared" si="62"/>
        <v>28</v>
      </c>
      <c r="AD55" s="1">
        <f t="shared" si="62"/>
        <v>29</v>
      </c>
      <c r="AE55" s="1">
        <f t="shared" si="62"/>
        <v>30</v>
      </c>
      <c r="AF55" s="1">
        <f t="shared" si="62"/>
        <v>31</v>
      </c>
      <c r="AG55" s="1">
        <f t="shared" si="62"/>
        <v>32</v>
      </c>
      <c r="AH55" s="1">
        <f t="shared" si="62"/>
        <v>33</v>
      </c>
      <c r="AI55" s="1">
        <f t="shared" si="62"/>
        <v>34</v>
      </c>
      <c r="AJ55" s="1">
        <f t="shared" si="62"/>
        <v>35</v>
      </c>
      <c r="AK55" s="1">
        <f t="shared" si="62"/>
        <v>36</v>
      </c>
      <c r="AL55" s="1">
        <f t="shared" si="62"/>
        <v>37</v>
      </c>
      <c r="AM55" s="1">
        <f t="shared" si="62"/>
        <v>38</v>
      </c>
      <c r="AN55" s="1">
        <f t="shared" si="62"/>
        <v>39</v>
      </c>
      <c r="AO55" s="1">
        <f t="shared" si="62"/>
        <v>40</v>
      </c>
      <c r="AP55" s="1">
        <f t="shared" si="62"/>
        <v>41</v>
      </c>
      <c r="AQ55" s="1">
        <f t="shared" si="62"/>
        <v>42</v>
      </c>
      <c r="AR55" s="1">
        <f t="shared" si="62"/>
        <v>43</v>
      </c>
      <c r="AS55" s="1">
        <f t="shared" si="62"/>
        <v>44</v>
      </c>
      <c r="AT55" s="1">
        <f t="shared" si="62"/>
        <v>45</v>
      </c>
      <c r="AU55" s="1">
        <f t="shared" si="62"/>
        <v>46</v>
      </c>
      <c r="AV55" s="1">
        <f t="shared" si="62"/>
        <v>47</v>
      </c>
      <c r="AW55" s="1">
        <f t="shared" si="62"/>
        <v>48</v>
      </c>
      <c r="AX55" s="1">
        <f t="shared" si="62"/>
        <v>49</v>
      </c>
      <c r="AY55" s="1">
        <f t="shared" si="62"/>
        <v>50</v>
      </c>
      <c r="AZ55" s="1">
        <f t="shared" si="62"/>
        <v>51</v>
      </c>
      <c r="BA55" s="1">
        <f t="shared" si="62"/>
        <v>52</v>
      </c>
      <c r="BB55" s="1">
        <f t="shared" si="62"/>
        <v>53</v>
      </c>
      <c r="BC55" s="1">
        <f t="shared" si="62"/>
        <v>54</v>
      </c>
      <c r="BD55" s="1">
        <f t="shared" si="62"/>
        <v>55</v>
      </c>
      <c r="BE55" s="1">
        <f t="shared" si="62"/>
        <v>56</v>
      </c>
      <c r="BF55" s="1">
        <f t="shared" si="62"/>
        <v>57</v>
      </c>
      <c r="BG55" s="1">
        <f t="shared" si="62"/>
        <v>58</v>
      </c>
      <c r="BH55" s="1">
        <f t="shared" si="62"/>
        <v>59</v>
      </c>
      <c r="BI55" s="1">
        <f t="shared" si="62"/>
        <v>60</v>
      </c>
      <c r="BJ55" s="1">
        <f t="shared" si="62"/>
        <v>61</v>
      </c>
      <c r="BK55" s="1">
        <f t="shared" si="62"/>
        <v>62</v>
      </c>
      <c r="BL55" s="1">
        <f t="shared" si="62"/>
        <v>63</v>
      </c>
      <c r="BM55" s="1">
        <f t="shared" si="62"/>
        <v>64</v>
      </c>
      <c r="BN55" s="1">
        <f t="shared" si="62"/>
        <v>65</v>
      </c>
      <c r="BO55" s="1">
        <f t="shared" si="62"/>
        <v>66</v>
      </c>
      <c r="BP55" s="1">
        <f t="shared" ref="BP55:BQ55" si="63">BO55+1</f>
        <v>67</v>
      </c>
      <c r="BQ55" s="1">
        <f t="shared" si="63"/>
        <v>68</v>
      </c>
    </row>
  </sheetData>
  <autoFilter ref="A10:CO10" xr:uid="{00000000-0001-0000-0F00-000000000000}"/>
  <mergeCells count="1">
    <mergeCell ref="CJ3:CM3"/>
  </mergeCells>
  <conditionalFormatting sqref="BK11:BK50">
    <cfRule type="cellIs" dxfId="11" priority="1" operator="greaterThan">
      <formula>0.93</formula>
    </cfRule>
  </conditionalFormatting>
  <conditionalFormatting sqref="CC51">
    <cfRule type="cellIs" dxfId="10" priority="2" operator="notEqual">
      <formula>0</formula>
    </cfRule>
  </conditionalFormatting>
  <printOptions horizontalCentered="1"/>
  <pageMargins left="0.25" right="0.25" top="0.75" bottom="0.75" header="0.3" footer="0.3"/>
  <pageSetup paperSize="17" scale="16" orientation="landscape" r:id="rId1"/>
  <headerFooter alignWithMargins="0">
    <oddFooter>&amp;L&amp;F&amp;R&amp;D</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7E48-6EB0-48A3-9389-3E381A010FE9}">
  <sheetPr>
    <tabColor theme="7" tint="0.59999389629810485"/>
    <pageSetUpPr fitToPage="1"/>
  </sheetPr>
  <dimension ref="A1:CS55"/>
  <sheetViews>
    <sheetView zoomScale="80" zoomScaleNormal="80" workbookViewId="0">
      <pane xSplit="2" topLeftCell="C1" activePane="topRight" state="frozen"/>
      <selection activeCell="A2" sqref="A2"/>
      <selection pane="topRight" activeCell="A2" sqref="A2"/>
    </sheetView>
  </sheetViews>
  <sheetFormatPr defaultColWidth="9.28515625" defaultRowHeight="14.25"/>
  <cols>
    <col min="1" max="1" width="13.28515625" style="10" customWidth="1"/>
    <col min="2" max="2" width="40.140625" style="1" customWidth="1"/>
    <col min="3" max="3" width="21.28515625" style="1" customWidth="1"/>
    <col min="4" max="4" width="17.42578125" style="1" customWidth="1"/>
    <col min="5" max="5" width="14.28515625" style="1" customWidth="1"/>
    <col min="6" max="6" width="13.5703125" style="1" customWidth="1"/>
    <col min="7" max="7" width="9.28515625" style="1" customWidth="1"/>
    <col min="8" max="8" width="17.42578125" style="4" customWidth="1"/>
    <col min="9" max="9" width="9.28515625" style="1" customWidth="1"/>
    <col min="10" max="10" width="8.7109375" style="1" customWidth="1"/>
    <col min="11" max="11" width="11.5703125" style="1" customWidth="1"/>
    <col min="12" max="13" width="8.7109375" style="1" customWidth="1"/>
    <col min="14" max="16" width="15.7109375" style="1" customWidth="1"/>
    <col min="17" max="20" width="8.7109375" style="1" customWidth="1"/>
    <col min="21" max="22" width="15.7109375" style="1" customWidth="1"/>
    <col min="23" max="23" width="15.7109375" style="5" customWidth="1"/>
    <col min="24" max="27" width="10.7109375" style="1" customWidth="1"/>
    <col min="28" max="29" width="15.7109375" style="1" customWidth="1"/>
    <col min="30" max="30" width="15.7109375" style="5" customWidth="1"/>
    <col min="31" max="34" width="8.7109375" style="1" customWidth="1"/>
    <col min="35" max="36" width="15.7109375" style="1" customWidth="1"/>
    <col min="37" max="37" width="15.7109375" style="5" customWidth="1"/>
    <col min="38" max="40" width="8.7109375" style="1" customWidth="1"/>
    <col min="41" max="41" width="9.28515625" style="1" customWidth="1"/>
    <col min="42" max="43" width="15.7109375" style="1" customWidth="1"/>
    <col min="44" max="44" width="15.7109375" style="5" customWidth="1"/>
    <col min="45" max="45" width="9.28515625" style="1" customWidth="1"/>
    <col min="46" max="50" width="17.7109375" style="1" customWidth="1"/>
    <col min="51" max="51" width="9.28515625" style="1" customWidth="1"/>
    <col min="52" max="52" width="20.28515625" style="1" customWidth="1"/>
    <col min="53" max="57" width="17.7109375" style="1" customWidth="1"/>
    <col min="58" max="58" width="9.28515625" style="1" customWidth="1"/>
    <col min="59" max="59" width="16.5703125" style="6" customWidth="1"/>
    <col min="60" max="60" width="18.5703125" style="1" customWidth="1"/>
    <col min="61" max="61" width="23.5703125" style="1" customWidth="1"/>
    <col min="62" max="62" width="15" style="1" customWidth="1"/>
    <col min="63" max="66" width="9.28515625" style="1" customWidth="1"/>
    <col min="67" max="77" width="21.7109375" style="1" customWidth="1"/>
    <col min="78" max="78" width="22.7109375" style="1" customWidth="1"/>
    <col min="79" max="79" width="22.7109375" style="8" customWidth="1"/>
    <col min="80" max="80" width="10" style="1" customWidth="1"/>
    <col min="81" max="81" width="23.7109375" style="1" customWidth="1"/>
    <col min="82" max="82" width="12.42578125" style="1" customWidth="1"/>
    <col min="83" max="83" width="14.85546875" style="1" customWidth="1"/>
    <col min="84" max="84" width="15.140625" style="1" customWidth="1"/>
    <col min="85" max="86" width="18.28515625" style="1" customWidth="1"/>
    <col min="87" max="87" width="9.28515625" style="1" customWidth="1"/>
    <col min="88" max="89" width="21.7109375" style="1" customWidth="1"/>
    <col min="90" max="90" width="18.42578125" style="1" customWidth="1"/>
    <col min="91" max="91" width="18.42578125" style="8" customWidth="1"/>
    <col min="92" max="92" width="9.28515625" style="1" customWidth="1"/>
    <col min="93" max="93" width="9.28515625" style="9" customWidth="1"/>
    <col min="94" max="16384" width="9.28515625" style="1"/>
  </cols>
  <sheetData>
    <row r="1" spans="1:97" ht="20.25">
      <c r="A1" s="370" t="s">
        <v>439</v>
      </c>
    </row>
    <row r="2" spans="1:97" ht="17.25">
      <c r="A2" s="1149" t="str" cm="1">
        <f t="array" aca="1" ref="A2" ca="1">"Scenario "&amp;MID(CELL("filename",A1),FIND("]",CELL("filename",A1))+1,500)</f>
        <v>Scenario S6C-Avg-24</v>
      </c>
      <c r="B2" s="11"/>
    </row>
    <row r="3" spans="1:97" ht="15" customHeight="1">
      <c r="A3" s="11"/>
      <c r="B3" s="11"/>
      <c r="C3" s="2" t="s">
        <v>0</v>
      </c>
      <c r="F3" s="3"/>
      <c r="BO3" s="7" t="s">
        <v>1</v>
      </c>
      <c r="BP3" s="7"/>
      <c r="BQ3" s="7"/>
      <c r="BR3" s="7"/>
      <c r="BS3" s="7"/>
      <c r="BT3" s="7"/>
      <c r="BU3" s="7"/>
      <c r="BV3" s="7"/>
      <c r="BW3" s="7"/>
      <c r="BX3" s="7"/>
      <c r="CJ3" s="1166" t="s">
        <v>2</v>
      </c>
      <c r="CK3" s="1166"/>
      <c r="CL3" s="1166"/>
      <c r="CM3" s="1166"/>
    </row>
    <row r="4" spans="1:97" ht="15" customHeight="1">
      <c r="A4" s="11"/>
      <c r="B4" s="11"/>
      <c r="C4" s="12">
        <v>5.592864339467718E-2</v>
      </c>
      <c r="D4" s="13"/>
      <c r="E4" s="10"/>
      <c r="F4" s="14"/>
      <c r="H4" s="15"/>
      <c r="L4" s="16"/>
      <c r="N4" s="17"/>
      <c r="O4" s="17"/>
      <c r="R4" s="16"/>
      <c r="Y4" s="16"/>
      <c r="AF4" s="16"/>
      <c r="AM4" s="16"/>
    </row>
    <row r="5" spans="1:97" ht="15" customHeight="1">
      <c r="A5" s="11"/>
      <c r="B5" s="11"/>
      <c r="C5" s="18" t="s">
        <v>3</v>
      </c>
      <c r="D5" s="19"/>
      <c r="E5" s="20"/>
      <c r="F5" s="21"/>
      <c r="H5" s="15"/>
      <c r="L5" s="16"/>
      <c r="N5" s="17"/>
      <c r="O5" s="17"/>
      <c r="R5" s="16"/>
      <c r="Y5" s="16"/>
      <c r="AF5" s="16"/>
      <c r="AM5" s="16"/>
      <c r="AT5" s="22" t="s">
        <v>4</v>
      </c>
      <c r="AU5" s="23"/>
      <c r="AV5" s="23"/>
      <c r="AW5" s="23"/>
      <c r="AX5" s="24"/>
      <c r="AZ5" s="25" t="s">
        <v>5</v>
      </c>
      <c r="BI5" s="25" t="s">
        <v>6</v>
      </c>
      <c r="BO5" s="25" t="s">
        <v>7</v>
      </c>
      <c r="BP5" s="7"/>
      <c r="BQ5" s="7"/>
      <c r="BR5" s="7"/>
      <c r="BS5" s="7"/>
      <c r="BT5" s="7"/>
      <c r="BU5" s="7"/>
      <c r="BV5" s="7"/>
      <c r="BW5" s="7"/>
      <c r="BX5" s="7"/>
      <c r="CK5" s="25" t="s">
        <v>7</v>
      </c>
    </row>
    <row r="6" spans="1:97">
      <c r="B6" s="26"/>
      <c r="C6" s="27">
        <v>0.35</v>
      </c>
      <c r="D6" s="27">
        <v>0.35</v>
      </c>
      <c r="E6" s="27">
        <v>0.15</v>
      </c>
      <c r="F6" s="27">
        <v>0.15</v>
      </c>
      <c r="H6" s="15"/>
      <c r="L6" s="16"/>
      <c r="N6" s="17"/>
      <c r="O6" s="17"/>
      <c r="R6" s="16"/>
      <c r="Y6" s="16"/>
      <c r="AF6" s="16"/>
      <c r="AM6" s="16"/>
      <c r="AT6" s="28">
        <v>0</v>
      </c>
      <c r="AU6" s="28">
        <v>0</v>
      </c>
      <c r="AV6" s="28">
        <v>0</v>
      </c>
      <c r="AW6" s="28">
        <v>0</v>
      </c>
      <c r="AX6" s="28">
        <v>0</v>
      </c>
      <c r="AY6" s="29"/>
      <c r="AZ6" s="30">
        <f>133266168*(1-AY8)</f>
        <v>126602859.59999999</v>
      </c>
      <c r="BA6" s="1" t="s">
        <v>8</v>
      </c>
      <c r="BI6" s="28">
        <v>0.3</v>
      </c>
      <c r="BO6" s="31">
        <f>$BJ$51+AZ8</f>
        <v>12638027.108992519</v>
      </c>
      <c r="BP6" s="32"/>
      <c r="BQ6" s="32"/>
      <c r="BR6" s="32"/>
      <c r="BS6" s="32"/>
      <c r="BT6" s="32"/>
      <c r="BU6" s="33">
        <v>0.3</v>
      </c>
      <c r="BV6" s="32"/>
      <c r="BW6" s="32"/>
      <c r="BX6" s="32"/>
      <c r="CK6" s="31">
        <f>CH51</f>
        <v>1684221397146292.5</v>
      </c>
    </row>
    <row r="7" spans="1:97" ht="15" customHeight="1" thickBot="1">
      <c r="A7" s="34" t="s">
        <v>9</v>
      </c>
      <c r="G7" s="35"/>
      <c r="BO7" s="16">
        <v>0.25</v>
      </c>
      <c r="BP7" s="16">
        <v>0.25</v>
      </c>
      <c r="BQ7" s="16">
        <v>0.5</v>
      </c>
    </row>
    <row r="8" spans="1:97" s="29" customFormat="1">
      <c r="A8" s="36"/>
      <c r="B8" s="37"/>
      <c r="C8" s="38" t="s">
        <v>10</v>
      </c>
      <c r="D8" s="39"/>
      <c r="E8" s="39"/>
      <c r="F8" s="39"/>
      <c r="G8" s="40"/>
      <c r="H8" s="41"/>
      <c r="J8" s="42" t="s">
        <v>11</v>
      </c>
      <c r="K8" s="43"/>
      <c r="L8" s="43"/>
      <c r="M8" s="43"/>
      <c r="N8" s="43"/>
      <c r="O8" s="43"/>
      <c r="P8" s="44"/>
      <c r="Q8" s="42" t="s">
        <v>12</v>
      </c>
      <c r="R8" s="43"/>
      <c r="S8" s="43"/>
      <c r="T8" s="43"/>
      <c r="U8" s="43"/>
      <c r="V8" s="43"/>
      <c r="W8" s="44"/>
      <c r="X8" s="42" t="s">
        <v>13</v>
      </c>
      <c r="Y8" s="43"/>
      <c r="Z8" s="43"/>
      <c r="AA8" s="43"/>
      <c r="AB8" s="43"/>
      <c r="AC8" s="43"/>
      <c r="AD8" s="44"/>
      <c r="AE8" s="42" t="s">
        <v>14</v>
      </c>
      <c r="AF8" s="43"/>
      <c r="AG8" s="43"/>
      <c r="AH8" s="43"/>
      <c r="AI8" s="43"/>
      <c r="AJ8" s="43"/>
      <c r="AK8" s="44"/>
      <c r="AL8" s="42" t="s">
        <v>15</v>
      </c>
      <c r="AM8" s="43"/>
      <c r="AN8" s="43"/>
      <c r="AO8" s="43"/>
      <c r="AP8" s="43"/>
      <c r="AQ8" s="43"/>
      <c r="AR8" s="44"/>
      <c r="AX8" s="45" t="s">
        <v>16</v>
      </c>
      <c r="AY8" s="16">
        <v>0.05</v>
      </c>
      <c r="AZ8" s="46">
        <f>133266168*AY8</f>
        <v>6663308.4000000004</v>
      </c>
      <c r="BA8" s="46"/>
      <c r="BB8" s="46"/>
      <c r="BC8" s="46"/>
      <c r="BD8" s="46"/>
      <c r="BG8" s="47"/>
      <c r="BO8" s="48" t="s">
        <v>17</v>
      </c>
      <c r="BP8" s="48"/>
      <c r="BQ8" s="48"/>
      <c r="BR8" s="48"/>
      <c r="BS8" s="48"/>
      <c r="BT8" s="48"/>
      <c r="BU8" s="48"/>
      <c r="BV8" s="48"/>
      <c r="BW8" s="48"/>
      <c r="BX8" s="48"/>
      <c r="BY8" s="48"/>
      <c r="BZ8" s="48"/>
      <c r="CA8" s="49" t="s">
        <v>18</v>
      </c>
      <c r="CB8" s="50">
        <f>AZ6-CA51</f>
        <v>-1684221437920833.5</v>
      </c>
      <c r="CJ8" s="48" t="s">
        <v>17</v>
      </c>
      <c r="CK8" s="48"/>
      <c r="CL8" s="48"/>
      <c r="CM8" s="49" t="s">
        <v>18</v>
      </c>
      <c r="CO8" s="51"/>
    </row>
    <row r="9" spans="1:97" s="29" customFormat="1" ht="15" thickBot="1">
      <c r="A9" s="52"/>
      <c r="B9" s="53" t="s">
        <v>19</v>
      </c>
      <c r="C9" s="54">
        <f>C$6</f>
        <v>0.35</v>
      </c>
      <c r="D9" s="54">
        <f>D$6</f>
        <v>0.35</v>
      </c>
      <c r="E9" s="54">
        <f>E$6</f>
        <v>0.15</v>
      </c>
      <c r="F9" s="54">
        <f>F$6</f>
        <v>0.15</v>
      </c>
      <c r="G9" s="54"/>
      <c r="H9" s="55"/>
      <c r="J9" s="56" t="s">
        <v>20</v>
      </c>
      <c r="K9" s="57"/>
      <c r="L9" s="57"/>
      <c r="M9" s="57"/>
      <c r="N9" s="57"/>
      <c r="O9" s="57"/>
      <c r="P9" s="58"/>
      <c r="Q9" s="56" t="s">
        <v>21</v>
      </c>
      <c r="R9" s="57"/>
      <c r="S9" s="57"/>
      <c r="T9" s="57"/>
      <c r="U9" s="57"/>
      <c r="V9" s="57"/>
      <c r="W9" s="58"/>
      <c r="X9" s="56" t="s">
        <v>22</v>
      </c>
      <c r="Y9" s="57"/>
      <c r="Z9" s="57"/>
      <c r="AA9" s="57"/>
      <c r="AB9" s="57"/>
      <c r="AC9" s="57"/>
      <c r="AD9" s="58"/>
      <c r="AE9" s="56" t="s">
        <v>23</v>
      </c>
      <c r="AF9" s="57"/>
      <c r="AG9" s="57"/>
      <c r="AH9" s="57"/>
      <c r="AI9" s="57"/>
      <c r="AJ9" s="57"/>
      <c r="AK9" s="58"/>
      <c r="AL9" s="56" t="s">
        <v>24</v>
      </c>
      <c r="AM9" s="57"/>
      <c r="AN9" s="57"/>
      <c r="AO9" s="57"/>
      <c r="AP9" s="57"/>
      <c r="AQ9" s="57"/>
      <c r="AR9" s="58"/>
      <c r="BG9" s="59" t="s">
        <v>25</v>
      </c>
      <c r="BO9" s="59" t="s">
        <v>26</v>
      </c>
      <c r="BP9" s="59"/>
      <c r="BQ9" s="59"/>
      <c r="BR9" s="59"/>
      <c r="BS9" s="59"/>
      <c r="BT9" s="59"/>
      <c r="BU9" s="59"/>
      <c r="BV9" s="59"/>
      <c r="BW9" s="59"/>
      <c r="BX9" s="59"/>
      <c r="CA9" s="60"/>
      <c r="CE9" s="59" t="s">
        <v>27</v>
      </c>
      <c r="CJ9" s="59" t="s">
        <v>28</v>
      </c>
      <c r="CM9" s="60"/>
      <c r="CO9" s="51"/>
    </row>
    <row r="10" spans="1:97" s="45" customFormat="1" ht="101.25" customHeight="1">
      <c r="A10" s="61" t="s">
        <v>29</v>
      </c>
      <c r="B10" s="62" t="s">
        <v>30</v>
      </c>
      <c r="C10" s="63" t="s">
        <v>31</v>
      </c>
      <c r="D10" s="64" t="s">
        <v>32</v>
      </c>
      <c r="E10" s="64" t="s">
        <v>33</v>
      </c>
      <c r="F10" s="64" t="s">
        <v>34</v>
      </c>
      <c r="G10" s="64" t="s">
        <v>35</v>
      </c>
      <c r="H10" s="65" t="s">
        <v>36</v>
      </c>
      <c r="J10" s="66">
        <v>2018</v>
      </c>
      <c r="K10" s="66">
        <v>2019</v>
      </c>
      <c r="L10" s="66">
        <v>2021</v>
      </c>
      <c r="M10" s="66">
        <v>2022</v>
      </c>
      <c r="N10" s="67" t="s">
        <v>37</v>
      </c>
      <c r="O10" s="67" t="s">
        <v>38</v>
      </c>
      <c r="P10" s="68" t="s">
        <v>39</v>
      </c>
      <c r="Q10" s="66">
        <v>2018</v>
      </c>
      <c r="R10" s="66">
        <v>2019</v>
      </c>
      <c r="S10" s="66">
        <v>2021</v>
      </c>
      <c r="T10" s="66">
        <v>2022</v>
      </c>
      <c r="U10" s="67" t="s">
        <v>40</v>
      </c>
      <c r="V10" s="67" t="s">
        <v>41</v>
      </c>
      <c r="W10" s="68" t="s">
        <v>39</v>
      </c>
      <c r="X10" s="66">
        <v>2018</v>
      </c>
      <c r="Y10" s="66">
        <v>2019</v>
      </c>
      <c r="Z10" s="66">
        <v>2021</v>
      </c>
      <c r="AA10" s="66">
        <v>2022</v>
      </c>
      <c r="AB10" s="67" t="s">
        <v>42</v>
      </c>
      <c r="AC10" s="67" t="s">
        <v>43</v>
      </c>
      <c r="AD10" s="68" t="s">
        <v>39</v>
      </c>
      <c r="AE10" s="66">
        <v>2018</v>
      </c>
      <c r="AF10" s="66">
        <v>2019</v>
      </c>
      <c r="AG10" s="66">
        <v>2021</v>
      </c>
      <c r="AH10" s="66">
        <v>2022</v>
      </c>
      <c r="AI10" s="67" t="s">
        <v>44</v>
      </c>
      <c r="AJ10" s="67" t="s">
        <v>45</v>
      </c>
      <c r="AK10" s="68" t="s">
        <v>39</v>
      </c>
      <c r="AL10" s="66">
        <v>2018</v>
      </c>
      <c r="AM10" s="66">
        <v>2019</v>
      </c>
      <c r="AN10" s="66">
        <v>2021</v>
      </c>
      <c r="AO10" s="66">
        <v>2022</v>
      </c>
      <c r="AP10" s="67" t="s">
        <v>46</v>
      </c>
      <c r="AQ10" s="67" t="s">
        <v>47</v>
      </c>
      <c r="AR10" s="68" t="s">
        <v>39</v>
      </c>
      <c r="AT10" s="69" t="s">
        <v>48</v>
      </c>
      <c r="AU10" s="70" t="s">
        <v>49</v>
      </c>
      <c r="AV10" s="70" t="s">
        <v>50</v>
      </c>
      <c r="AW10" s="70" t="s">
        <v>51</v>
      </c>
      <c r="AX10" s="71" t="s">
        <v>52</v>
      </c>
      <c r="AZ10" s="72" t="s">
        <v>53</v>
      </c>
      <c r="BA10" s="73" t="s">
        <v>54</v>
      </c>
      <c r="BB10" s="73" t="s">
        <v>55</v>
      </c>
      <c r="BC10" s="73" t="s">
        <v>56</v>
      </c>
      <c r="BD10" s="73" t="s">
        <v>57</v>
      </c>
      <c r="BE10" s="74" t="s">
        <v>58</v>
      </c>
      <c r="BG10" s="75" t="s">
        <v>59</v>
      </c>
      <c r="BH10" s="76" t="s">
        <v>60</v>
      </c>
      <c r="BI10" s="76" t="s">
        <v>61</v>
      </c>
      <c r="BJ10" s="77" t="s">
        <v>62</v>
      </c>
      <c r="BL10" s="78" t="s">
        <v>63</v>
      </c>
      <c r="BM10" s="78" t="s">
        <v>64</v>
      </c>
      <c r="BN10" s="78" t="s">
        <v>65</v>
      </c>
      <c r="BO10" s="75" t="s">
        <v>66</v>
      </c>
      <c r="BP10" s="79" t="s">
        <v>67</v>
      </c>
      <c r="BQ10" s="79" t="s">
        <v>68</v>
      </c>
      <c r="BR10" s="79" t="s">
        <v>69</v>
      </c>
      <c r="BS10" s="79" t="s">
        <v>70</v>
      </c>
      <c r="BT10" s="79" t="s">
        <v>71</v>
      </c>
      <c r="BU10" s="80" t="s">
        <v>72</v>
      </c>
      <c r="BV10" s="80" t="s">
        <v>73</v>
      </c>
      <c r="BW10" s="79" t="s">
        <v>74</v>
      </c>
      <c r="BX10" s="79" t="s">
        <v>75</v>
      </c>
      <c r="BY10" s="79" t="s">
        <v>76</v>
      </c>
      <c r="BZ10" s="76" t="s">
        <v>77</v>
      </c>
      <c r="CA10" s="81" t="s">
        <v>78</v>
      </c>
      <c r="CC10" s="82" t="s">
        <v>79</v>
      </c>
      <c r="CE10" s="83" t="s">
        <v>59</v>
      </c>
      <c r="CF10" s="84" t="s">
        <v>60</v>
      </c>
      <c r="CG10" s="84" t="s">
        <v>61</v>
      </c>
      <c r="CH10" s="85" t="s">
        <v>62</v>
      </c>
      <c r="CJ10" s="86" t="s">
        <v>66</v>
      </c>
      <c r="CK10" s="87" t="s">
        <v>80</v>
      </c>
      <c r="CL10" s="87" t="s">
        <v>77</v>
      </c>
      <c r="CM10" s="88" t="s">
        <v>78</v>
      </c>
      <c r="CO10" s="51" t="s">
        <v>81</v>
      </c>
    </row>
    <row r="11" spans="1:97">
      <c r="A11" s="89" t="s">
        <v>82</v>
      </c>
      <c r="B11" s="90" t="s">
        <v>83</v>
      </c>
      <c r="C11" s="91">
        <f>'Sizing - Reimb Expen-24'!B4</f>
        <v>2305461</v>
      </c>
      <c r="D11" s="92">
        <f>'Ridership-24'!$E3</f>
        <v>97489</v>
      </c>
      <c r="E11" s="92">
        <f>'Revenue Hours-24'!$F3</f>
        <v>30762</v>
      </c>
      <c r="F11" s="92">
        <f>'Revenue Miles-24'!$F3</f>
        <v>634178</v>
      </c>
      <c r="G11" s="93">
        <f t="shared" ref="G11:G33" si="0">IFERROR($C$9*(C11/C$51),0) + IFERROR($D$9*(D11/D$51),0) + IFERROR($E$9*(E11/E$51),0) + IFERROR($F$9*(F11/F$51),0)</f>
        <v>5.2206751275610704E-3</v>
      </c>
      <c r="H11" s="94">
        <f t="shared" ref="H11:H33" si="1">G11/(SUM($G$11:$G$50)-$G$34)*(1-$G$34)</f>
        <v>4.9286898500722444E-3</v>
      </c>
      <c r="J11" s="95">
        <f>'Ridership-24'!B3/'Revenue Hours-24'!C3</f>
        <v>4.2981751308530205</v>
      </c>
      <c r="K11" s="96">
        <f>'Ridership-24'!C3/'Revenue Hours-24'!D3</f>
        <v>4.5693508022964817</v>
      </c>
      <c r="L11" s="96">
        <f>'Ridership-24'!D3/'Revenue Hours-24'!E3</f>
        <v>3.0233116215289679</v>
      </c>
      <c r="M11" s="96">
        <f>'Ridership-24'!E3/'Revenue Hours-24'!F3</f>
        <v>3.1691372472531043</v>
      </c>
      <c r="N11" s="97">
        <f t="shared" ref="N11:N50" si="2">IF(J11=0,IF(K11=0,1,AVERAGE(1,(L11/K11)/($L$51/$K$51),(M11/L11)/($M$51/$L$51))), AVERAGE((K11/J11)/($K$51/$J$51),(L11/K11)/($L$51/$K$51),(M11/L11)/($M$51/$L$51)))</f>
        <v>1.056331491706916</v>
      </c>
      <c r="O11" s="98">
        <f t="shared" ref="O11:O50" si="3">$H11*N11</f>
        <v>5.2063303014875497E-3</v>
      </c>
      <c r="P11" s="99">
        <f t="shared" ref="P11:P50" si="4">O11/SUM($O$11:$O$50)</f>
        <v>4.9956358730186903E-3</v>
      </c>
      <c r="Q11" s="95">
        <f>'Ridership-24'!B3/'Revenue Miles-24'!C3</f>
        <v>0.20104759295799438</v>
      </c>
      <c r="R11" s="96">
        <f>'Ridership-24'!C3/'Revenue Miles-24'!D3</f>
        <v>0.21529352848722441</v>
      </c>
      <c r="S11" s="96">
        <f>'Ridership-24'!D3/'Revenue Miles-24'!E3</f>
        <v>0.1472857600940598</v>
      </c>
      <c r="T11" s="96">
        <f>'Ridership-24'!E3/'Revenue Miles-24'!F3</f>
        <v>0.15372497942218116</v>
      </c>
      <c r="U11" s="97">
        <f t="shared" ref="U11:U50" si="5">IF(Q11=0,IF(R11=0,1,AVERAGE(1,(S11/R11)/($S$51/$R$51),(T11/S11)/($T$51/$S$51))), AVERAGE((R11/Q11)/($R$51/$Q$51),(S11/R11)/($S$51/$R$51),(T11/S11)/($T$51/$S$51)))</f>
        <v>1.0746120182687253</v>
      </c>
      <c r="V11" s="98">
        <f t="shared" ref="V11:V50" si="6">$H11*U11</f>
        <v>5.2964293472067157E-3</v>
      </c>
      <c r="W11" s="99">
        <f t="shared" ref="W11:W50" si="7">V11/SUM($V$11:$V$50)</f>
        <v>5.0995686203485213E-3</v>
      </c>
      <c r="X11" s="95">
        <f>'Op Cost-24'!B4/'Revenue Hours-24'!C3</f>
        <v>46.229197906351679</v>
      </c>
      <c r="Y11" s="96">
        <f>'Op Cost-24'!C4/'Revenue Hours-24'!D3</f>
        <v>50.181245399676136</v>
      </c>
      <c r="Z11" s="96">
        <f>'Op Cost-24'!D4/'Revenue Hours-24'!E3</f>
        <v>64.628076791223862</v>
      </c>
      <c r="AA11" s="96">
        <f>'Op Cost-24'!E4/'Revenue Hours-24'!F3</f>
        <v>74.945094597230351</v>
      </c>
      <c r="AB11" s="97">
        <f t="shared" ref="AB11:AB50" si="8">IF(X11=0,IF(Y11=0,1,AVERAGE(1,(Z11/Y11)/($Z$51/$Z$51),(AA11/Z11)/($AA$51/$Z$51))), AVERAGE((Y11/X11)/($Y$51/$X$51),(Z11/Y11)/($Z$51/$Y$51),(AA11/Z11)/($AA$51/$Z$51)))</f>
        <v>1.0923828812408631</v>
      </c>
      <c r="AC11" s="98">
        <f t="shared" ref="AC11:AC50" si="9">$H11*(1/AB11)</f>
        <v>4.5118702743433981E-3</v>
      </c>
      <c r="AD11" s="99">
        <f t="shared" ref="AD11:AD50" si="10">AC11/SUM($AC$11:$AC$50)</f>
        <v>4.5370158066320538E-3</v>
      </c>
      <c r="AE11" s="95">
        <f>'Op Cost-24'!B4/'Revenue Miles-24'!C3</f>
        <v>2.1623755851023705</v>
      </c>
      <c r="AF11" s="96">
        <f>'Op Cost-24'!C4/'Revenue Miles-24'!D3</f>
        <v>2.3643834438252824</v>
      </c>
      <c r="AG11" s="96">
        <f>'Op Cost-24'!D4/'Revenue Miles-24'!E3</f>
        <v>3.148466517916789</v>
      </c>
      <c r="AH11" s="96">
        <f>'Op Cost-24'!E4/'Revenue Miles-24'!F3</f>
        <v>3.6353531658304137</v>
      </c>
      <c r="AI11" s="97">
        <f t="shared" ref="AI11:AI50" si="11">IF(AE11=0,IF(AF11=0,1,AVERAGE(1,(AG11/AF11)/($AG$51/$AF$51),(AH11/AG11)/($AH$51/$AG$51))), AVERAGE((AF11/AE11)/($AF$51/$AE$51),(AG11/AF11)/($AG$51/$AF$51),(AH11/AG11)/($AH$51/$AG$51)))</f>
        <v>1.1114980012916114</v>
      </c>
      <c r="AJ11" s="98">
        <f t="shared" ref="AJ11:AJ50" si="12">$H11*(1/AI11)</f>
        <v>4.4342768447130651E-3</v>
      </c>
      <c r="AK11" s="99">
        <f t="shared" ref="AK11:AK50" si="13">AJ11/SUM($AJ$11:$AJ$50)</f>
        <v>4.4392884314067172E-3</v>
      </c>
      <c r="AL11" s="95">
        <f>'Op Cost-24'!B4/'Ridership-24'!B3</f>
        <v>10.755540781600722</v>
      </c>
      <c r="AM11" s="96">
        <f>'Op Cost-24'!C4/'Ridership-24'!C3</f>
        <v>10.982138945089499</v>
      </c>
      <c r="AN11" s="96">
        <f>'Op Cost-24'!D4/'Ridership-24'!D3</f>
        <v>21.37658464678535</v>
      </c>
      <c r="AO11" s="96">
        <f>'Op Cost-24'!E4/'Ridership-24'!E3</f>
        <v>23.64842187323698</v>
      </c>
      <c r="AP11" s="100">
        <f t="shared" ref="AP11:AP50" si="14">IF(AL11=0,IF(AM11=0,1,AVERAGE(1,(AN11/AM11)/($AN$51/$AM$51),(AO11/AN11)/($AO$51/$AN$51))), AVERAGE((AM11/AL11)/($AM$51/$AL$51),(AN11/AM11)/($AN$51/$AM$51),(AO11/AN11)/($AO$51/$AN$51)))</f>
        <v>1.0797154331714658</v>
      </c>
      <c r="AQ11" s="98">
        <f t="shared" ref="AQ11:AQ50" si="15">$H11*(1/AP11)</f>
        <v>4.5648044833397653E-3</v>
      </c>
      <c r="AR11" s="99">
        <f t="shared" ref="AR11:AR50" si="16">AQ11/SUM($AQ$11:$AQ$50)</f>
        <v>4.8324323155224894E-3</v>
      </c>
      <c r="AT11" s="101">
        <f>P11*AT$6</f>
        <v>0</v>
      </c>
      <c r="AU11" s="102">
        <f t="shared" ref="AU11:AU50" si="17">W11*AU$6</f>
        <v>0</v>
      </c>
      <c r="AV11" s="102">
        <f t="shared" ref="AV11:AV50" si="18">AD11*AV$6</f>
        <v>0</v>
      </c>
      <c r="AW11" s="102">
        <f t="shared" ref="AW11:AW50" si="19">AK11*AW$6</f>
        <v>0</v>
      </c>
      <c r="AX11" s="103">
        <f t="shared" ref="AX11:AX50" si="20">AR11*AX$6</f>
        <v>0</v>
      </c>
      <c r="AY11" s="104">
        <f>(SUM(AT11:AX11)-H11)/H11</f>
        <v>-1</v>
      </c>
      <c r="AZ11" s="105">
        <f t="shared" ref="AZ11:BD51" si="21">AT11*$AZ$6</f>
        <v>0</v>
      </c>
      <c r="BA11" s="106">
        <f t="shared" si="21"/>
        <v>0</v>
      </c>
      <c r="BB11" s="106">
        <f t="shared" si="21"/>
        <v>0</v>
      </c>
      <c r="BC11" s="106">
        <f t="shared" si="21"/>
        <v>0</v>
      </c>
      <c r="BD11" s="106">
        <f t="shared" si="21"/>
        <v>0</v>
      </c>
      <c r="BE11" s="107">
        <f>$AZ$6*H11</f>
        <v>623986.22910064133</v>
      </c>
      <c r="BG11" s="108">
        <f>'Op Cost-24'!E4</f>
        <v>2305461</v>
      </c>
      <c r="BH11" s="109">
        <f t="shared" ref="BH11:BH50" si="22">BE11/BG11</f>
        <v>0.27065572963526224</v>
      </c>
      <c r="BI11" s="110">
        <f t="shared" ref="BI11:BI50" si="23">IF(BE11&gt;BG11*$BI$6,BG11*$BI$6,BE11)</f>
        <v>623986.22910064133</v>
      </c>
      <c r="BJ11" s="111">
        <f t="shared" ref="BJ11:BJ50" si="24">BE11-BI11</f>
        <v>0</v>
      </c>
      <c r="BK11" s="1">
        <f>BL11*$BO$7+BM11*$BP$7+BN11*$BQ$7</f>
        <v>0.51487996982290984</v>
      </c>
      <c r="BL11" s="112">
        <f>AVERAGE(M11/$M$51,L11/$L$51,K11/$K$51)</f>
        <v>0.37560401713176822</v>
      </c>
      <c r="BM11" s="112">
        <f>AVERAGE(T11/$T$51, S11/$S$51,R11/$R$51)</f>
        <v>0.25821832602813727</v>
      </c>
      <c r="BN11" s="113">
        <f>AVERAGE((1/AO11)/(1/$AO$51), (1/AN11)/(1/$AN$51), (1/AM11)/(1/$AM$51))</f>
        <v>0.71284876806586706</v>
      </c>
      <c r="BO11" s="114">
        <f t="shared" ref="BO11:BO50" si="25">IF(OR(BJ11&gt;0,BH11&gt;=0.294),0,BI11)</f>
        <v>623986.22910064133</v>
      </c>
      <c r="BP11" s="115">
        <f>(BL11*$BO$7+BM11*$BP$7+BN11*$BQ$7)*H11</f>
        <v>2.537683681271679E-3</v>
      </c>
      <c r="BQ11" s="116">
        <f>IF(BO11=0,0,BP11)</f>
        <v>2.537683681271679E-3</v>
      </c>
      <c r="BR11" s="117">
        <f>BQ11/$BQ$51</f>
        <v>3.9106059141251542E-3</v>
      </c>
      <c r="BS11" s="118">
        <f>$BO$6*BR11+BI11</f>
        <v>673408.57265594148</v>
      </c>
      <c r="BT11" s="119">
        <f>BG11*$BU$6</f>
        <v>691638.29999999993</v>
      </c>
      <c r="BU11" s="119">
        <f>IF(BS11&lt;=BT11,BS11,BT11)</f>
        <v>673408.57265594148</v>
      </c>
      <c r="BV11" s="119">
        <f>BS11-BU11</f>
        <v>0</v>
      </c>
      <c r="BW11" s="120">
        <f>IF(AND(BV11=0, BJ11=0),BP11,0)</f>
        <v>2.537683681271679E-3</v>
      </c>
      <c r="BX11" s="121">
        <f>IF($BW$51=0,1,BW11/$BW$51)</f>
        <v>4.9553080130274405E-3</v>
      </c>
      <c r="BY11" s="122">
        <f>$BV$51*BX11+BU11</f>
        <v>681896.98912629881</v>
      </c>
      <c r="BZ11" s="123">
        <f>BY11*$BO$6</f>
        <v>8617832634118.541</v>
      </c>
      <c r="CA11" s="111">
        <f>ROUND((BZ11+BI11),0)</f>
        <v>8617833258105</v>
      </c>
      <c r="CC11" s="124">
        <f t="shared" ref="CC11:CC50" si="26">IF(CA11&gt;($BI$6*BG11),1,0)</f>
        <v>1</v>
      </c>
      <c r="CD11" s="17"/>
      <c r="CE11" s="108">
        <f>BG11</f>
        <v>2305461</v>
      </c>
      <c r="CF11" s="125">
        <f>CA11/BG11</f>
        <v>3738008.69245023</v>
      </c>
      <c r="CG11" s="110">
        <f>IF(CA11&gt;BG11*$BI$6,BG11*$BI$6,CA11)</f>
        <v>691638.29999999993</v>
      </c>
      <c r="CH11" s="126">
        <f>CA11-CG11</f>
        <v>8617832566466.7002</v>
      </c>
      <c r="CJ11" s="127">
        <f>IF(OR(CH11&gt;0,CF11&gt;=0.294),0,CG11)</f>
        <v>0</v>
      </c>
      <c r="CK11" s="128" t="e">
        <f>CJ11/$CJ$51</f>
        <v>#DIV/0!</v>
      </c>
      <c r="CL11" s="129" t="e">
        <f>CK11*$CK$6</f>
        <v>#DIV/0!</v>
      </c>
      <c r="CM11" s="130" t="e">
        <f>ROUND((CL11+CG11),0)+2</f>
        <v>#DIV/0!</v>
      </c>
      <c r="CO11" s="131" t="e">
        <f>CM11/CE11</f>
        <v>#DIV/0!</v>
      </c>
      <c r="CP11" s="1">
        <f>IF(BY11&lt;=BG11*$BU$6, 0, 1)</f>
        <v>0</v>
      </c>
      <c r="CQ11" s="132">
        <f>BY11/BG11</f>
        <v>0.29577467982598654</v>
      </c>
      <c r="CS11" s="104">
        <f>BP11/$BP$51</f>
        <v>2.1173121037810273E-3</v>
      </c>
    </row>
    <row r="12" spans="1:97">
      <c r="A12" s="133" t="s">
        <v>82</v>
      </c>
      <c r="B12" s="90" t="s">
        <v>84</v>
      </c>
      <c r="C12" s="91">
        <f>'Sizing - Reimb Expen-24'!B5</f>
        <v>453078</v>
      </c>
      <c r="D12" s="92">
        <f>'Ridership-24'!$E4</f>
        <v>35313</v>
      </c>
      <c r="E12" s="92">
        <f>'Revenue Hours-24'!$F4</f>
        <v>7303</v>
      </c>
      <c r="F12" s="92">
        <f>'Revenue Miles-24'!$F4</f>
        <v>84107</v>
      </c>
      <c r="G12" s="134">
        <f t="shared" si="0"/>
        <v>1.1166701187662106E-3</v>
      </c>
      <c r="H12" s="94">
        <f t="shared" si="1"/>
        <v>1.054216273904243E-3</v>
      </c>
      <c r="J12" s="95">
        <f>'Ridership-24'!B4/'Revenue Hours-24'!C4</f>
        <v>7.2127544097693352</v>
      </c>
      <c r="K12" s="96">
        <f>'Ridership-24'!C4/'Revenue Hours-24'!D4</f>
        <v>7.0756269072575293</v>
      </c>
      <c r="L12" s="96">
        <f>'Ridership-24'!D4/'Revenue Hours-24'!E4</f>
        <v>3.8435006435006436</v>
      </c>
      <c r="M12" s="96">
        <f>'Ridership-24'!E4/'Revenue Hours-24'!F4</f>
        <v>4.8354101054361225</v>
      </c>
      <c r="N12" s="97">
        <f t="shared" si="2"/>
        <v>1.0062847146966858</v>
      </c>
      <c r="O12" s="98">
        <f t="shared" si="3"/>
        <v>1.0608417224143344E-3</v>
      </c>
      <c r="P12" s="99">
        <f t="shared" si="4"/>
        <v>1.0179106313277495E-3</v>
      </c>
      <c r="Q12" s="95">
        <f>'Ridership-24'!B4/'Revenue Miles-24'!C4</f>
        <v>0.593228283189001</v>
      </c>
      <c r="R12" s="96">
        <f>'Ridership-24'!C4/'Revenue Miles-24'!D4</f>
        <v>0.61203433791631279</v>
      </c>
      <c r="S12" s="96">
        <f>'Ridership-24'!D4/'Revenue Miles-24'!E4</f>
        <v>0.31931227680003421</v>
      </c>
      <c r="T12" s="96">
        <f>'Ridership-24'!E4/'Revenue Miles-24'!F4</f>
        <v>0.41985803797543603</v>
      </c>
      <c r="U12" s="97">
        <f t="shared" si="5"/>
        <v>1.029481442041561</v>
      </c>
      <c r="V12" s="98">
        <f t="shared" si="6"/>
        <v>1.0852960898826214E-3</v>
      </c>
      <c r="W12" s="99">
        <f t="shared" si="7"/>
        <v>1.0449571817041658E-3</v>
      </c>
      <c r="X12" s="95">
        <f>'Op Cost-24'!B5/'Revenue Hours-24'!C4</f>
        <v>55.602306648575308</v>
      </c>
      <c r="Y12" s="96">
        <f>'Op Cost-24'!C5/'Revenue Hours-24'!D4</f>
        <v>54.185219583388616</v>
      </c>
      <c r="Z12" s="96">
        <f>'Op Cost-24'!D5/'Revenue Hours-24'!E4</f>
        <v>108.14491634491634</v>
      </c>
      <c r="AA12" s="96">
        <f>'Op Cost-24'!E5/'Revenue Hours-24'!F4</f>
        <v>62.039983568396551</v>
      </c>
      <c r="AB12" s="97">
        <f t="shared" si="8"/>
        <v>1.0544549449941367</v>
      </c>
      <c r="AC12" s="98">
        <f t="shared" si="9"/>
        <v>9.9977365453969677E-4</v>
      </c>
      <c r="AD12" s="99">
        <f t="shared" si="10"/>
        <v>1.0053455879471204E-3</v>
      </c>
      <c r="AE12" s="95">
        <f>'Op Cost-24'!B5/'Revenue Miles-24'!C4</f>
        <v>4.5731296312829208</v>
      </c>
      <c r="AF12" s="96">
        <f>'Op Cost-24'!C5/'Revenue Miles-24'!D4</f>
        <v>4.6869649046296509</v>
      </c>
      <c r="AG12" s="96">
        <f>'Op Cost-24'!D5/'Revenue Miles-24'!E4</f>
        <v>8.9845176742296253</v>
      </c>
      <c r="AH12" s="96">
        <f>'Op Cost-24'!E5/'Revenue Miles-24'!F4</f>
        <v>5.3869237994459436</v>
      </c>
      <c r="AI12" s="97">
        <f t="shared" si="11"/>
        <v>1.0572322657484516</v>
      </c>
      <c r="AJ12" s="98">
        <f t="shared" si="12"/>
        <v>9.9714727601311567E-4</v>
      </c>
      <c r="AK12" s="99">
        <f t="shared" si="13"/>
        <v>9.9827424444451536E-4</v>
      </c>
      <c r="AL12" s="95">
        <f>'Op Cost-24'!B5/'Ridership-24'!B4</f>
        <v>7.7088867150758116</v>
      </c>
      <c r="AM12" s="96">
        <f>'Op Cost-24'!C5/'Ridership-24'!C4</f>
        <v>7.6580097132892044</v>
      </c>
      <c r="AN12" s="96">
        <f>'Op Cost-24'!D5/'Ridership-24'!D4</f>
        <v>28.137088132869007</v>
      </c>
      <c r="AO12" s="96">
        <f>'Op Cost-24'!E5/'Ridership-24'!E4</f>
        <v>12.830345765015716</v>
      </c>
      <c r="AP12" s="100">
        <f t="shared" si="14"/>
        <v>1.0343360813707996</v>
      </c>
      <c r="AQ12" s="98">
        <f t="shared" si="15"/>
        <v>1.0192202446492019E-3</v>
      </c>
      <c r="AR12" s="99">
        <f t="shared" si="16"/>
        <v>1.0789756417506002E-3</v>
      </c>
      <c r="AT12" s="101">
        <f t="shared" ref="AT12:AT50" si="27">P12*AT$6</f>
        <v>0</v>
      </c>
      <c r="AU12" s="102">
        <f t="shared" si="17"/>
        <v>0</v>
      </c>
      <c r="AV12" s="102">
        <f t="shared" si="18"/>
        <v>0</v>
      </c>
      <c r="AW12" s="102">
        <f t="shared" si="19"/>
        <v>0</v>
      </c>
      <c r="AX12" s="103">
        <f t="shared" si="20"/>
        <v>0</v>
      </c>
      <c r="AY12" s="104">
        <f t="shared" ref="AY12:AY50" si="28">(SUM(AT12:AX12)-H12)/H12</f>
        <v>-1</v>
      </c>
      <c r="AZ12" s="105">
        <f t="shared" si="21"/>
        <v>0</v>
      </c>
      <c r="BA12" s="106">
        <f t="shared" si="21"/>
        <v>0</v>
      </c>
      <c r="BB12" s="106">
        <f t="shared" si="21"/>
        <v>0</v>
      </c>
      <c r="BC12" s="106">
        <f t="shared" si="21"/>
        <v>0</v>
      </c>
      <c r="BD12" s="106">
        <f t="shared" si="21"/>
        <v>0</v>
      </c>
      <c r="BE12" s="107">
        <f t="shared" ref="BE12:BE50" si="29">$AZ$6*H12</f>
        <v>133466.79491313401</v>
      </c>
      <c r="BG12" s="108">
        <f>'Op Cost-24'!E5</f>
        <v>453078</v>
      </c>
      <c r="BH12" s="109">
        <f t="shared" si="22"/>
        <v>0.29457796430886957</v>
      </c>
      <c r="BI12" s="110">
        <f t="shared" si="23"/>
        <v>133466.79491313401</v>
      </c>
      <c r="BJ12" s="111">
        <f t="shared" si="24"/>
        <v>0</v>
      </c>
      <c r="BK12" s="1">
        <f t="shared" ref="BK12:BK50" si="30">BL12*$BO$7+BM12*$BP$7+BN12*$BQ$7</f>
        <v>0.7555753023515448</v>
      </c>
      <c r="BL12" s="112">
        <f t="shared" ref="BL12:BL50" si="31">AVERAGE(M12/$M$51,L12/$L$51,K12/$K$51)</f>
        <v>0.53874080148987036</v>
      </c>
      <c r="BM12" s="112">
        <f t="shared" ref="BM12:BM50" si="32">AVERAGE(T12/$T$51, S12/$S$51,R12/$R$51)</f>
        <v>0.65761403512593464</v>
      </c>
      <c r="BN12" s="113">
        <f t="shared" ref="BN12:BN50" si="33">AVERAGE((1/AO12)/(1/$AO$51), (1/AN12)/(1/$AN$51), (1/AM12)/(1/$AM$51))</f>
        <v>0.91297318639518721</v>
      </c>
      <c r="BO12" s="114">
        <f t="shared" si="25"/>
        <v>0</v>
      </c>
      <c r="BP12" s="115">
        <f t="shared" ref="BP12:BP50" si="34">(BL12*$BO$7+BM12*$BP$7+BN12*$BQ$7)*H12</f>
        <v>7.9653977989911737E-4</v>
      </c>
      <c r="BQ12" s="116">
        <f t="shared" ref="BQ12:BQ50" si="35">IF(BO12=0,0,BP12)</f>
        <v>0</v>
      </c>
      <c r="BR12" s="117">
        <f t="shared" ref="BR12:BR50" si="36">BQ12/$BQ$51</f>
        <v>0</v>
      </c>
      <c r="BS12" s="118">
        <f t="shared" ref="BS12:BS50" si="37">$BO$6*BR12+BI12</f>
        <v>133466.79491313401</v>
      </c>
      <c r="BT12" s="119">
        <f t="shared" ref="BT12:BT50" si="38">BG12*$BU$6</f>
        <v>135923.4</v>
      </c>
      <c r="BU12" s="119">
        <f t="shared" ref="BU12:BU50" si="39">IF(BS12&lt;=BT12,BS12,BT12)</f>
        <v>133466.79491313401</v>
      </c>
      <c r="BV12" s="119">
        <f>BS12-BU12</f>
        <v>0</v>
      </c>
      <c r="BW12" s="120">
        <f t="shared" ref="BW12:BW50" si="40">IF(AND(BV12=0, BJ12=0),BP12,0)</f>
        <v>7.9653977989911737E-4</v>
      </c>
      <c r="BX12" s="121">
        <f t="shared" ref="BX12:BX50" si="41">IF($BW$51=0,1,BW12/$BW$51)</f>
        <v>1.5553947811380679E-3</v>
      </c>
      <c r="BY12" s="122">
        <f t="shared" ref="BY12:BY50" si="42">$BV$51*BX12+BU12</f>
        <v>136131.17796327139</v>
      </c>
      <c r="BZ12" s="123">
        <f t="shared" ref="BZ12:BZ16" si="43">BY12*$BO$6</f>
        <v>1720429517478.9087</v>
      </c>
      <c r="CA12" s="135">
        <f>ROUND((BZ12+BI12),0)</f>
        <v>1720429650946</v>
      </c>
      <c r="CC12" s="124">
        <f t="shared" si="26"/>
        <v>1</v>
      </c>
      <c r="CD12" s="17"/>
      <c r="CE12" s="108">
        <f t="shared" ref="CE12:CE50" si="44">BG12</f>
        <v>453078</v>
      </c>
      <c r="CF12" s="125">
        <f t="shared" ref="CF12:CF50" si="45">CA12/BG12</f>
        <v>3797204.1258811951</v>
      </c>
      <c r="CG12" s="110">
        <f t="shared" ref="CG12:CG50" si="46">IF(CA12&gt;BG12*$BI$6,BG12*$BI$6,CA12)</f>
        <v>135923.4</v>
      </c>
      <c r="CH12" s="126">
        <f t="shared" ref="CH12:CH51" si="47">CA12-CG12</f>
        <v>1720429515022.6001</v>
      </c>
      <c r="CJ12" s="127">
        <f t="shared" ref="CJ12:CJ50" si="48">IF(OR(CH12&gt;0,CF12&gt;=0.294),0,CG12)</f>
        <v>0</v>
      </c>
      <c r="CK12" s="128" t="e">
        <f t="shared" ref="CK12:CK51" si="49">CJ12/$CJ$51</f>
        <v>#DIV/0!</v>
      </c>
      <c r="CL12" s="129" t="e">
        <f t="shared" ref="CL12:CL51" si="50">CK12*$CK$6</f>
        <v>#DIV/0!</v>
      </c>
      <c r="CM12" s="130" t="e">
        <f t="shared" ref="CM12:CM50" si="51">ROUND((CL12+CG12),0)</f>
        <v>#DIV/0!</v>
      </c>
      <c r="CO12" s="131" t="e">
        <f t="shared" ref="CO12:CO50" si="52">CM12/CE12</f>
        <v>#DIV/0!</v>
      </c>
      <c r="CP12" s="1">
        <f t="shared" ref="CP12:CP50" si="53">IF(BY12&lt;=BG12*$BU$6, 0, 1)</f>
        <v>1</v>
      </c>
      <c r="CQ12" s="132">
        <f t="shared" ref="CQ12:CQ50" si="54">BY12/BG12</f>
        <v>0.30045859203773168</v>
      </c>
      <c r="CS12" s="104">
        <f t="shared" ref="CS12:CS50" si="55">BP12/$BP$51</f>
        <v>6.6459162328629136E-4</v>
      </c>
    </row>
    <row r="13" spans="1:97">
      <c r="A13" s="133" t="s">
        <v>82</v>
      </c>
      <c r="B13" s="90" t="s">
        <v>85</v>
      </c>
      <c r="C13" s="91">
        <f>'Sizing - Reimb Expen-24'!B6</f>
        <v>2625058</v>
      </c>
      <c r="D13" s="92">
        <f>'Ridership-24'!$E5</f>
        <v>135181</v>
      </c>
      <c r="E13" s="92">
        <f>'Revenue Hours-24'!$F5</f>
        <v>44776</v>
      </c>
      <c r="F13" s="92">
        <f>'Revenue Miles-24'!$F5</f>
        <v>440288</v>
      </c>
      <c r="G13" s="93">
        <f t="shared" si="0"/>
        <v>5.8134443520933086E-3</v>
      </c>
      <c r="H13" s="94">
        <f t="shared" si="1"/>
        <v>5.4883062960302794E-3</v>
      </c>
      <c r="J13" s="95">
        <f>'Ridership-24'!B5/'Revenue Hours-24'!C5</f>
        <v>3.509629413481179</v>
      </c>
      <c r="K13" s="96">
        <f>'Ridership-24'!C5/'Revenue Hours-24'!D5</f>
        <v>3.5903165735567972</v>
      </c>
      <c r="L13" s="96">
        <f>'Ridership-24'!D5/'Revenue Hours-24'!E5</f>
        <v>3.0037184124655352</v>
      </c>
      <c r="M13" s="96">
        <f>'Ridership-24'!E5/'Revenue Hours-24'!F5</f>
        <v>3.0190503841343577</v>
      </c>
      <c r="N13" s="97">
        <f t="shared" si="2"/>
        <v>1.1452766111970489</v>
      </c>
      <c r="O13" s="98">
        <f t="shared" si="3"/>
        <v>6.2856288359289863E-3</v>
      </c>
      <c r="P13" s="99">
        <f t="shared" si="4"/>
        <v>6.0312563896062757E-3</v>
      </c>
      <c r="Q13" s="95">
        <f>'Ridership-24'!B5/'Revenue Miles-24'!C5</f>
        <v>0.34036493443752919</v>
      </c>
      <c r="R13" s="96">
        <f>'Ridership-24'!C5/'Revenue Miles-24'!D5</f>
        <v>0.34236028901498144</v>
      </c>
      <c r="S13" s="96">
        <f>'Ridership-24'!D5/'Revenue Miles-24'!E5</f>
        <v>0.30898734605406614</v>
      </c>
      <c r="T13" s="96">
        <f>'Ridership-24'!E5/'Revenue Miles-24'!F5</f>
        <v>0.30702858129224508</v>
      </c>
      <c r="U13" s="97">
        <f t="shared" si="5"/>
        <v>1.179074556111199</v>
      </c>
      <c r="V13" s="98">
        <f t="shared" si="6"/>
        <v>6.4711223097942009E-3</v>
      </c>
      <c r="W13" s="99">
        <f t="shared" si="7"/>
        <v>6.2305999204667166E-3</v>
      </c>
      <c r="X13" s="95">
        <f>'Op Cost-24'!B6/'Revenue Hours-24'!C5</f>
        <v>41.66076118220851</v>
      </c>
      <c r="Y13" s="96">
        <f>'Op Cost-24'!C6/'Revenue Hours-24'!D5</f>
        <v>45.864958582161435</v>
      </c>
      <c r="Z13" s="96">
        <f>'Op Cost-24'!D6/'Revenue Hours-24'!E5</f>
        <v>61.145979308425872</v>
      </c>
      <c r="AA13" s="96">
        <f>'Op Cost-24'!E6/'Revenue Hours-24'!F5</f>
        <v>58.62645167053779</v>
      </c>
      <c r="AB13" s="97">
        <f t="shared" si="8"/>
        <v>1.0429873193694781</v>
      </c>
      <c r="AC13" s="98">
        <f t="shared" si="9"/>
        <v>5.2621026105553713E-3</v>
      </c>
      <c r="AD13" s="99">
        <f t="shared" si="10"/>
        <v>5.2914293338551001E-3</v>
      </c>
      <c r="AE13" s="95">
        <f>'Op Cost-24'!B6/'Revenue Miles-24'!C5</f>
        <v>4.0402733673054803</v>
      </c>
      <c r="AF13" s="96">
        <f>'Op Cost-24'!C6/'Revenue Miles-24'!D5</f>
        <v>4.3735253296321996</v>
      </c>
      <c r="AG13" s="96">
        <f>'Op Cost-24'!D6/'Revenue Miles-24'!E5</f>
        <v>6.2899817073329398</v>
      </c>
      <c r="AH13" s="96">
        <f>'Op Cost-24'!E6/'Revenue Miles-24'!F5</f>
        <v>5.9621384184897162</v>
      </c>
      <c r="AI13" s="97">
        <f t="shared" si="11"/>
        <v>1.0661071555891768</v>
      </c>
      <c r="AJ13" s="98">
        <f t="shared" si="12"/>
        <v>5.1479874863021675E-3</v>
      </c>
      <c r="AK13" s="99">
        <f t="shared" si="13"/>
        <v>5.1538057034520952E-3</v>
      </c>
      <c r="AL13" s="95">
        <f>'Op Cost-24'!B6/'Ridership-24'!B5</f>
        <v>11.87041601092734</v>
      </c>
      <c r="AM13" s="96">
        <f>'Op Cost-24'!C6/'Ridership-24'!C5</f>
        <v>12.774627986836457</v>
      </c>
      <c r="AN13" s="96">
        <f>'Op Cost-24'!D6/'Ridership-24'!D5</f>
        <v>20.356761490913378</v>
      </c>
      <c r="AO13" s="96">
        <f>'Op Cost-24'!E6/'Ridership-24'!E5</f>
        <v>19.418838446231348</v>
      </c>
      <c r="AP13" s="100">
        <f t="shared" si="14"/>
        <v>0.98287116513299766</v>
      </c>
      <c r="AQ13" s="98">
        <f t="shared" si="15"/>
        <v>5.5839529032145592E-3</v>
      </c>
      <c r="AR13" s="99">
        <f t="shared" si="16"/>
        <v>5.911331921516866E-3</v>
      </c>
      <c r="AT13" s="101">
        <f t="shared" si="27"/>
        <v>0</v>
      </c>
      <c r="AU13" s="102">
        <f t="shared" si="17"/>
        <v>0</v>
      </c>
      <c r="AV13" s="102">
        <f t="shared" si="18"/>
        <v>0</v>
      </c>
      <c r="AW13" s="102">
        <f t="shared" si="19"/>
        <v>0</v>
      </c>
      <c r="AX13" s="103">
        <f t="shared" si="20"/>
        <v>0</v>
      </c>
      <c r="AY13" s="104">
        <f t="shared" si="28"/>
        <v>-1</v>
      </c>
      <c r="AZ13" s="105">
        <f t="shared" si="21"/>
        <v>0</v>
      </c>
      <c r="BA13" s="106">
        <f t="shared" si="21"/>
        <v>0</v>
      </c>
      <c r="BB13" s="106">
        <f t="shared" si="21"/>
        <v>0</v>
      </c>
      <c r="BC13" s="106">
        <f t="shared" si="21"/>
        <v>0</v>
      </c>
      <c r="BD13" s="106">
        <f t="shared" si="21"/>
        <v>0</v>
      </c>
      <c r="BE13" s="107">
        <f t="shared" si="29"/>
        <v>694835.27143811749</v>
      </c>
      <c r="BG13" s="108">
        <f>'Op Cost-24'!E6</f>
        <v>2625058</v>
      </c>
      <c r="BH13" s="109">
        <f t="shared" si="22"/>
        <v>0.2646933025625024</v>
      </c>
      <c r="BI13" s="110">
        <f t="shared" si="23"/>
        <v>694835.27143811749</v>
      </c>
      <c r="BJ13" s="111">
        <f t="shared" si="24"/>
        <v>0</v>
      </c>
      <c r="BK13" s="1">
        <f t="shared" si="30"/>
        <v>0.5788540833665704</v>
      </c>
      <c r="BL13" s="112">
        <f t="shared" si="31"/>
        <v>0.34495074512450735</v>
      </c>
      <c r="BM13" s="112">
        <f t="shared" si="32"/>
        <v>0.49484517646488041</v>
      </c>
      <c r="BN13" s="113">
        <f t="shared" si="33"/>
        <v>0.73781020593844693</v>
      </c>
      <c r="BO13" s="114">
        <f t="shared" si="25"/>
        <v>694835.27143811749</v>
      </c>
      <c r="BP13" s="115">
        <f t="shared" si="34"/>
        <v>3.1769285102235846E-3</v>
      </c>
      <c r="BQ13" s="116">
        <f t="shared" si="35"/>
        <v>3.1769285102235846E-3</v>
      </c>
      <c r="BR13" s="117">
        <f t="shared" si="36"/>
        <v>4.8956911030800408E-3</v>
      </c>
      <c r="BS13" s="118">
        <f t="shared" si="37"/>
        <v>756707.14831609651</v>
      </c>
      <c r="BT13" s="119">
        <f t="shared" si="38"/>
        <v>787517.4</v>
      </c>
      <c r="BU13" s="119">
        <f t="shared" si="39"/>
        <v>756707.14831609651</v>
      </c>
      <c r="BV13" s="119">
        <f t="shared" ref="BV13:BV50" si="56">BS13-BU13</f>
        <v>0</v>
      </c>
      <c r="BW13" s="120">
        <f t="shared" si="40"/>
        <v>3.1769285102235846E-3</v>
      </c>
      <c r="BX13" s="121">
        <f t="shared" si="41"/>
        <v>6.203554611517747E-3</v>
      </c>
      <c r="BY13" s="122">
        <f t="shared" si="42"/>
        <v>767333.80462095793</v>
      </c>
      <c r="BZ13" s="123">
        <f t="shared" si="43"/>
        <v>9697585424446.0352</v>
      </c>
      <c r="CA13" s="111">
        <f>ROUND((BZ13+BI13),0)</f>
        <v>9697586119281</v>
      </c>
      <c r="CC13" s="124">
        <f t="shared" si="26"/>
        <v>1</v>
      </c>
      <c r="CD13" s="17"/>
      <c r="CE13" s="108">
        <f t="shared" si="44"/>
        <v>2625058</v>
      </c>
      <c r="CF13" s="125">
        <f t="shared" si="45"/>
        <v>3694236.8965870468</v>
      </c>
      <c r="CG13" s="110">
        <f t="shared" si="46"/>
        <v>787517.4</v>
      </c>
      <c r="CH13" s="126">
        <f t="shared" si="47"/>
        <v>9697585331763.5996</v>
      </c>
      <c r="CJ13" s="127">
        <f t="shared" si="48"/>
        <v>0</v>
      </c>
      <c r="CK13" s="128" t="e">
        <f t="shared" si="49"/>
        <v>#DIV/0!</v>
      </c>
      <c r="CL13" s="129" t="e">
        <f t="shared" si="50"/>
        <v>#DIV/0!</v>
      </c>
      <c r="CM13" s="130" t="e">
        <f t="shared" si="51"/>
        <v>#DIV/0!</v>
      </c>
      <c r="CO13" s="131" t="e">
        <f t="shared" si="52"/>
        <v>#DIV/0!</v>
      </c>
      <c r="CP13" s="1">
        <f t="shared" si="53"/>
        <v>0</v>
      </c>
      <c r="CQ13" s="132">
        <f t="shared" si="54"/>
        <v>0.29231118117045718</v>
      </c>
      <c r="CS13" s="104">
        <f t="shared" si="55"/>
        <v>2.6506649497673516E-3</v>
      </c>
    </row>
    <row r="14" spans="1:97">
      <c r="A14" s="133" t="s">
        <v>82</v>
      </c>
      <c r="B14" s="90" t="s">
        <v>86</v>
      </c>
      <c r="C14" s="91">
        <f>'Sizing - Reimb Expen-24'!B7</f>
        <v>2162547</v>
      </c>
      <c r="D14" s="92">
        <f>'Ridership-24'!$E6</f>
        <v>100658</v>
      </c>
      <c r="E14" s="92">
        <f>'Revenue Hours-24'!$F6</f>
        <v>40013</v>
      </c>
      <c r="F14" s="92">
        <f>'Revenue Miles-24'!$F6</f>
        <v>639628</v>
      </c>
      <c r="G14" s="93">
        <f t="shared" si="0"/>
        <v>5.4740808853634198E-3</v>
      </c>
      <c r="H14" s="94">
        <f t="shared" si="1"/>
        <v>5.1679229676123081E-3</v>
      </c>
      <c r="J14" s="95">
        <f>'Ridership-24'!B6/'Revenue Hours-24'!C6</f>
        <v>1.7480527968917374</v>
      </c>
      <c r="K14" s="96">
        <f>'Ridership-24'!C6/'Revenue Hours-24'!D6</f>
        <v>1.8670980965213595</v>
      </c>
      <c r="L14" s="96">
        <f>'Ridership-24'!D6/'Revenue Hours-24'!E6</f>
        <v>1.3455313359222201</v>
      </c>
      <c r="M14" s="96">
        <f>'Ridership-24'!E6/'Revenue Hours-24'!F6</f>
        <v>2.5156324194636741</v>
      </c>
      <c r="N14" s="97">
        <f t="shared" si="2"/>
        <v>1.3087942373646106</v>
      </c>
      <c r="O14" s="98">
        <f t="shared" si="3"/>
        <v>6.7637477991552061E-3</v>
      </c>
      <c r="P14" s="99">
        <f t="shared" si="4"/>
        <v>6.4900264072482537E-3</v>
      </c>
      <c r="Q14" s="95">
        <f>'Ridership-24'!B6/'Revenue Miles-24'!C6</f>
        <v>0.10544016540836285</v>
      </c>
      <c r="R14" s="96">
        <f>'Ridership-24'!C6/'Revenue Miles-24'!D6</f>
        <v>0.11380730389718556</v>
      </c>
      <c r="S14" s="96">
        <f>'Ridership-24'!D6/'Revenue Miles-24'!E6</f>
        <v>8.6154544217069737E-2</v>
      </c>
      <c r="T14" s="96">
        <f>'Ridership-24'!E6/'Revenue Miles-24'!F6</f>
        <v>0.15736959607772016</v>
      </c>
      <c r="U14" s="97">
        <f t="shared" si="5"/>
        <v>1.331576106473251</v>
      </c>
      <c r="V14" s="98">
        <f t="shared" si="6"/>
        <v>6.8814827437668862E-3</v>
      </c>
      <c r="W14" s="99">
        <f t="shared" si="7"/>
        <v>6.6257078422259971E-3</v>
      </c>
      <c r="X14" s="95">
        <f>'Op Cost-24'!B7/'Revenue Hours-24'!C6</f>
        <v>32.57793351368035</v>
      </c>
      <c r="Y14" s="96">
        <f>'Op Cost-24'!C7/'Revenue Hours-24'!D6</f>
        <v>28.535460118042245</v>
      </c>
      <c r="Z14" s="96">
        <f>'Op Cost-24'!D7/'Revenue Hours-24'!E6</f>
        <v>42.25856741971144</v>
      </c>
      <c r="AA14" s="96">
        <f>'Op Cost-24'!E7/'Revenue Hours-24'!F6</f>
        <v>54.154224876915002</v>
      </c>
      <c r="AB14" s="97">
        <f t="shared" si="8"/>
        <v>1.1170601959171089</v>
      </c>
      <c r="AC14" s="98">
        <f t="shared" si="9"/>
        <v>4.6263603219425719E-3</v>
      </c>
      <c r="AD14" s="99">
        <f t="shared" si="10"/>
        <v>4.6521439295777213E-3</v>
      </c>
      <c r="AE14" s="95">
        <f>'Op Cost-24'!B7/'Revenue Miles-24'!C6</f>
        <v>1.9650566072449389</v>
      </c>
      <c r="AF14" s="96">
        <f>'Op Cost-24'!C7/'Revenue Miles-24'!D6</f>
        <v>1.7393535923745185</v>
      </c>
      <c r="AG14" s="96">
        <f>'Op Cost-24'!D7/'Revenue Miles-24'!E6</f>
        <v>2.7058214982530968</v>
      </c>
      <c r="AH14" s="96">
        <f>'Op Cost-24'!E7/'Revenue Miles-24'!F6</f>
        <v>3.3877081678725758</v>
      </c>
      <c r="AI14" s="97">
        <f t="shared" si="11"/>
        <v>1.1363865749613105</v>
      </c>
      <c r="AJ14" s="98">
        <f t="shared" si="12"/>
        <v>4.5476804121768648E-3</v>
      </c>
      <c r="AK14" s="99">
        <f t="shared" si="13"/>
        <v>4.5528201667386081E-3</v>
      </c>
      <c r="AL14" s="95">
        <f>'Op Cost-24'!B7/'Ridership-24'!B6</f>
        <v>18.63669882946791</v>
      </c>
      <c r="AM14" s="96">
        <f>'Op Cost-24'!C7/'Ridership-24'!C6</f>
        <v>15.283321305510098</v>
      </c>
      <c r="AN14" s="96">
        <f>'Op Cost-24'!D7/'Ridership-24'!D6</f>
        <v>31.406602203543365</v>
      </c>
      <c r="AO14" s="96">
        <f>'Op Cost-24'!E7/'Ridership-24'!E6</f>
        <v>21.527081801744522</v>
      </c>
      <c r="AP14" s="100">
        <f t="shared" si="14"/>
        <v>0.84909631981797562</v>
      </c>
      <c r="AQ14" s="98">
        <f t="shared" si="15"/>
        <v>6.0863801278990088E-3</v>
      </c>
      <c r="AR14" s="99">
        <f t="shared" si="16"/>
        <v>6.4432157219347632E-3</v>
      </c>
      <c r="AT14" s="101">
        <f t="shared" si="27"/>
        <v>0</v>
      </c>
      <c r="AU14" s="102">
        <f t="shared" si="17"/>
        <v>0</v>
      </c>
      <c r="AV14" s="102">
        <f t="shared" si="18"/>
        <v>0</v>
      </c>
      <c r="AW14" s="102">
        <f t="shared" si="19"/>
        <v>0</v>
      </c>
      <c r="AX14" s="103">
        <f t="shared" si="20"/>
        <v>0</v>
      </c>
      <c r="AY14" s="104">
        <f t="shared" si="28"/>
        <v>-1</v>
      </c>
      <c r="AZ14" s="105">
        <f t="shared" si="21"/>
        <v>0</v>
      </c>
      <c r="BA14" s="106">
        <f t="shared" si="21"/>
        <v>0</v>
      </c>
      <c r="BB14" s="106">
        <f t="shared" si="21"/>
        <v>0</v>
      </c>
      <c r="BC14" s="106">
        <f t="shared" si="21"/>
        <v>0</v>
      </c>
      <c r="BD14" s="106">
        <f t="shared" si="21"/>
        <v>0</v>
      </c>
      <c r="BE14" s="107">
        <f t="shared" si="29"/>
        <v>654273.82589223632</v>
      </c>
      <c r="BG14" s="108">
        <f>'Op Cost-24'!E7</f>
        <v>2166873</v>
      </c>
      <c r="BH14" s="109">
        <f t="shared" si="22"/>
        <v>0.30194378068868655</v>
      </c>
      <c r="BI14" s="110">
        <f t="shared" si="23"/>
        <v>650061.9</v>
      </c>
      <c r="BJ14" s="111">
        <f t="shared" si="24"/>
        <v>4211.9258922362933</v>
      </c>
      <c r="BK14" s="1">
        <f t="shared" si="30"/>
        <v>0.38532126988122423</v>
      </c>
      <c r="BL14" s="112">
        <f t="shared" si="31"/>
        <v>0.20420585365577551</v>
      </c>
      <c r="BM14" s="112">
        <f t="shared" si="32"/>
        <v>0.18304039737349401</v>
      </c>
      <c r="BN14" s="113">
        <f t="shared" si="33"/>
        <v>0.57701941424781367</v>
      </c>
      <c r="BO14" s="114">
        <f t="shared" si="25"/>
        <v>0</v>
      </c>
      <c r="BP14" s="115">
        <f t="shared" si="34"/>
        <v>1.9913106405287195E-3</v>
      </c>
      <c r="BQ14" s="116">
        <f t="shared" si="35"/>
        <v>0</v>
      </c>
      <c r="BR14" s="117">
        <f t="shared" si="36"/>
        <v>0</v>
      </c>
      <c r="BS14" s="118">
        <f t="shared" si="37"/>
        <v>650061.9</v>
      </c>
      <c r="BT14" s="119">
        <f t="shared" si="38"/>
        <v>650061.9</v>
      </c>
      <c r="BU14" s="119">
        <f t="shared" si="39"/>
        <v>650061.9</v>
      </c>
      <c r="BV14" s="119">
        <f t="shared" si="56"/>
        <v>0</v>
      </c>
      <c r="BW14" s="120">
        <f t="shared" si="40"/>
        <v>0</v>
      </c>
      <c r="BX14" s="121">
        <f t="shared" si="41"/>
        <v>0</v>
      </c>
      <c r="BY14" s="122">
        <f t="shared" si="42"/>
        <v>650061.9</v>
      </c>
      <c r="BZ14" s="123">
        <f t="shared" si="43"/>
        <v>8215499914723.1846</v>
      </c>
      <c r="CA14" s="111">
        <f t="shared" ref="CA14:CA50" si="57">ROUND((BZ14+BI14),0)</f>
        <v>8215500564785</v>
      </c>
      <c r="CC14" s="124">
        <f t="shared" si="26"/>
        <v>1</v>
      </c>
      <c r="CD14" s="17"/>
      <c r="CE14" s="108">
        <f t="shared" si="44"/>
        <v>2166873</v>
      </c>
      <c r="CF14" s="125">
        <f t="shared" si="45"/>
        <v>3791408.4326977171</v>
      </c>
      <c r="CG14" s="110">
        <f t="shared" si="46"/>
        <v>650061.9</v>
      </c>
      <c r="CH14" s="126">
        <f t="shared" si="47"/>
        <v>8215499914723.0996</v>
      </c>
      <c r="CJ14" s="127">
        <f t="shared" si="48"/>
        <v>0</v>
      </c>
      <c r="CK14" s="128" t="e">
        <f t="shared" si="49"/>
        <v>#DIV/0!</v>
      </c>
      <c r="CL14" s="129" t="e">
        <f t="shared" si="50"/>
        <v>#DIV/0!</v>
      </c>
      <c r="CM14" s="130" t="e">
        <f t="shared" si="51"/>
        <v>#DIV/0!</v>
      </c>
      <c r="CO14" s="131" t="e">
        <f t="shared" si="52"/>
        <v>#DIV/0!</v>
      </c>
      <c r="CP14" s="1">
        <f t="shared" si="53"/>
        <v>0</v>
      </c>
      <c r="CQ14" s="132">
        <f t="shared" si="54"/>
        <v>0.3</v>
      </c>
      <c r="CS14" s="104">
        <f t="shared" si="55"/>
        <v>1.6614466778091827E-3</v>
      </c>
    </row>
    <row r="15" spans="1:97">
      <c r="A15" s="133" t="s">
        <v>82</v>
      </c>
      <c r="B15" s="90" t="s">
        <v>87</v>
      </c>
      <c r="C15" s="91">
        <f>'Sizing - Reimb Expen-24'!B8</f>
        <v>403050</v>
      </c>
      <c r="D15" s="92">
        <f>'Ridership-24'!$E7</f>
        <v>29128</v>
      </c>
      <c r="E15" s="92">
        <f>'Revenue Hours-24'!$F7</f>
        <v>7979</v>
      </c>
      <c r="F15" s="92">
        <f>'Revenue Miles-24'!$F7</f>
        <v>129480</v>
      </c>
      <c r="G15" s="93">
        <f t="shared" si="0"/>
        <v>1.1568552702909459E-3</v>
      </c>
      <c r="H15" s="94">
        <f t="shared" si="1"/>
        <v>1.0921539244195904E-3</v>
      </c>
      <c r="J15" s="95">
        <f>'Ridership-24'!B7/'Revenue Hours-24'!C7</f>
        <v>5.4228308164832351</v>
      </c>
      <c r="K15" s="96">
        <f>'Ridership-24'!C7/'Revenue Hours-24'!D7</f>
        <v>5.5566235366605055</v>
      </c>
      <c r="L15" s="96">
        <f>'Ridership-24'!D7/'Revenue Hours-24'!E7</f>
        <v>3.8071505958829901</v>
      </c>
      <c r="M15" s="96">
        <f>'Ridership-24'!E7/'Revenue Hours-24'!F7</f>
        <v>3.650582779796967</v>
      </c>
      <c r="N15" s="97">
        <f t="shared" si="2"/>
        <v>1.0356052461268719</v>
      </c>
      <c r="O15" s="98">
        <f t="shared" si="3"/>
        <v>1.131040333706979E-3</v>
      </c>
      <c r="P15" s="99">
        <f t="shared" si="4"/>
        <v>1.0852683824695531E-3</v>
      </c>
      <c r="Q15" s="95">
        <f>'Ridership-24'!B7/'Revenue Miles-24'!C7</f>
        <v>0.32596387581156344</v>
      </c>
      <c r="R15" s="96">
        <f>'Ridership-24'!C7/'Revenue Miles-24'!D7</f>
        <v>0.3373331737387037</v>
      </c>
      <c r="S15" s="96">
        <f>'Ridership-24'!D7/'Revenue Miles-24'!E7</f>
        <v>0.2437813629741542</v>
      </c>
      <c r="T15" s="96">
        <f>'Ridership-24'!E7/'Revenue Miles-24'!F7</f>
        <v>0.22496138399752857</v>
      </c>
      <c r="U15" s="97">
        <f t="shared" si="5"/>
        <v>1.0550937211571547</v>
      </c>
      <c r="V15" s="98">
        <f t="shared" si="6"/>
        <v>1.1523247481922555E-3</v>
      </c>
      <c r="W15" s="99">
        <f t="shared" si="7"/>
        <v>1.1094944803580493E-3</v>
      </c>
      <c r="X15" s="95">
        <f>'Op Cost-24'!B8/'Revenue Hours-24'!C7</f>
        <v>40.351676478116204</v>
      </c>
      <c r="Y15" s="96">
        <f>'Op Cost-24'!C8/'Revenue Hours-24'!D7</f>
        <v>38.559704251386322</v>
      </c>
      <c r="Z15" s="96">
        <f>'Op Cost-24'!D8/'Revenue Hours-24'!E7</f>
        <v>43.683519922956542</v>
      </c>
      <c r="AA15" s="96">
        <f>'Op Cost-24'!E8/'Revenue Hours-24'!F7</f>
        <v>59.664118310565236</v>
      </c>
      <c r="AB15" s="97">
        <f t="shared" si="8"/>
        <v>1.0761566622611438</v>
      </c>
      <c r="AC15" s="98">
        <f t="shared" si="9"/>
        <v>1.0148651796893903E-3</v>
      </c>
      <c r="AD15" s="99">
        <f t="shared" si="10"/>
        <v>1.0205212211074307E-3</v>
      </c>
      <c r="AE15" s="95">
        <f>'Op Cost-24'!B8/'Revenue Miles-24'!C7</f>
        <v>2.425520785254931</v>
      </c>
      <c r="AF15" s="96">
        <f>'Op Cost-24'!C8/'Revenue Miles-24'!D7</f>
        <v>2.340894128912562</v>
      </c>
      <c r="AG15" s="96">
        <f>'Op Cost-24'!D8/'Revenue Miles-24'!E7</f>
        <v>2.7971649027603269</v>
      </c>
      <c r="AH15" s="96">
        <f>'Op Cost-24'!E8/'Revenue Miles-24'!F7</f>
        <v>3.6767068273092369</v>
      </c>
      <c r="AI15" s="97">
        <f t="shared" si="11"/>
        <v>1.0869500841393458</v>
      </c>
      <c r="AJ15" s="98">
        <f t="shared" si="12"/>
        <v>1.004787561412597E-3</v>
      </c>
      <c r="AK15" s="99">
        <f t="shared" si="13"/>
        <v>1.0059231648377024E-3</v>
      </c>
      <c r="AL15" s="95">
        <f>'Op Cost-24'!B8/'Ridership-24'!B7</f>
        <v>7.4410723556898102</v>
      </c>
      <c r="AM15" s="96">
        <f>'Op Cost-24'!C8/'Ridership-24'!C7</f>
        <v>6.9394127561429961</v>
      </c>
      <c r="AN15" s="96">
        <f>'Op Cost-24'!D8/'Ridership-24'!D7</f>
        <v>11.474071966103839</v>
      </c>
      <c r="AO15" s="96">
        <f>'Op Cost-24'!E8/'Ridership-24'!E7</f>
        <v>16.343724251579236</v>
      </c>
      <c r="AP15" s="100">
        <f t="shared" si="14"/>
        <v>1.1461309032866442</v>
      </c>
      <c r="AQ15" s="98">
        <f t="shared" si="15"/>
        <v>9.5290504888030723E-4</v>
      </c>
      <c r="AR15" s="99">
        <f t="shared" si="16"/>
        <v>1.0087724827295714E-3</v>
      </c>
      <c r="AT15" s="101">
        <f t="shared" si="27"/>
        <v>0</v>
      </c>
      <c r="AU15" s="102">
        <f t="shared" si="17"/>
        <v>0</v>
      </c>
      <c r="AV15" s="102">
        <f t="shared" si="18"/>
        <v>0</v>
      </c>
      <c r="AW15" s="102">
        <f t="shared" si="19"/>
        <v>0</v>
      </c>
      <c r="AX15" s="103">
        <f t="shared" si="20"/>
        <v>0</v>
      </c>
      <c r="AY15" s="104">
        <f t="shared" si="28"/>
        <v>-1</v>
      </c>
      <c r="AZ15" s="105">
        <f t="shared" si="21"/>
        <v>0</v>
      </c>
      <c r="BA15" s="106">
        <f t="shared" si="21"/>
        <v>0</v>
      </c>
      <c r="BB15" s="106">
        <f t="shared" si="21"/>
        <v>0</v>
      </c>
      <c r="BC15" s="106">
        <f t="shared" si="21"/>
        <v>0</v>
      </c>
      <c r="BD15" s="106">
        <f t="shared" si="21"/>
        <v>0</v>
      </c>
      <c r="BE15" s="107">
        <f t="shared" si="29"/>
        <v>138269.8099548824</v>
      </c>
      <c r="BG15" s="108">
        <f>'Op Cost-24'!E8</f>
        <v>476060</v>
      </c>
      <c r="BH15" s="109">
        <f t="shared" si="22"/>
        <v>0.29044618315943871</v>
      </c>
      <c r="BI15" s="110">
        <f t="shared" si="23"/>
        <v>138269.8099548824</v>
      </c>
      <c r="BJ15" s="111">
        <f t="shared" si="24"/>
        <v>0</v>
      </c>
      <c r="BK15" s="1">
        <f t="shared" si="30"/>
        <v>0.8052990464381895</v>
      </c>
      <c r="BL15" s="112">
        <f t="shared" si="31"/>
        <v>0.45545524140701116</v>
      </c>
      <c r="BM15" s="112">
        <f t="shared" si="32"/>
        <v>0.40483441612032128</v>
      </c>
      <c r="BN15" s="113">
        <f t="shared" si="33"/>
        <v>1.1804532641127128</v>
      </c>
      <c r="BO15" s="114">
        <f t="shared" si="25"/>
        <v>138269.8099548824</v>
      </c>
      <c r="BP15" s="115">
        <f t="shared" si="34"/>
        <v>8.795105138988226E-4</v>
      </c>
      <c r="BQ15" s="116">
        <f t="shared" si="35"/>
        <v>8.795105138988226E-4</v>
      </c>
      <c r="BR15" s="117">
        <f t="shared" si="36"/>
        <v>1.3553379574338571E-3</v>
      </c>
      <c r="BS15" s="118">
        <f t="shared" si="37"/>
        <v>155398.60780277802</v>
      </c>
      <c r="BT15" s="119">
        <f t="shared" si="38"/>
        <v>142818</v>
      </c>
      <c r="BU15" s="119">
        <f t="shared" si="39"/>
        <v>142818</v>
      </c>
      <c r="BV15" s="119">
        <f t="shared" si="56"/>
        <v>12580.607802778017</v>
      </c>
      <c r="BW15" s="120">
        <f t="shared" si="40"/>
        <v>0</v>
      </c>
      <c r="BX15" s="121">
        <f t="shared" si="41"/>
        <v>0</v>
      </c>
      <c r="BY15" s="122">
        <f t="shared" si="42"/>
        <v>142818</v>
      </c>
      <c r="BZ15" s="123">
        <f t="shared" si="43"/>
        <v>1804937755652.0935</v>
      </c>
      <c r="CA15" s="111">
        <f t="shared" si="57"/>
        <v>1804937893922</v>
      </c>
      <c r="CC15" s="124">
        <f t="shared" si="26"/>
        <v>1</v>
      </c>
      <c r="CD15" s="17"/>
      <c r="CE15" s="108">
        <f t="shared" si="44"/>
        <v>476060</v>
      </c>
      <c r="CF15" s="125">
        <f t="shared" si="45"/>
        <v>3791408.4231441417</v>
      </c>
      <c r="CG15" s="110">
        <f t="shared" si="46"/>
        <v>142818</v>
      </c>
      <c r="CH15" s="126">
        <f t="shared" si="47"/>
        <v>1804937751104</v>
      </c>
      <c r="CJ15" s="127">
        <f t="shared" si="48"/>
        <v>0</v>
      </c>
      <c r="CK15" s="128" t="e">
        <f t="shared" si="49"/>
        <v>#DIV/0!</v>
      </c>
      <c r="CL15" s="129" t="e">
        <f t="shared" si="50"/>
        <v>#DIV/0!</v>
      </c>
      <c r="CM15" s="130" t="e">
        <f t="shared" si="51"/>
        <v>#DIV/0!</v>
      </c>
      <c r="CO15" s="131" t="e">
        <f t="shared" si="52"/>
        <v>#DIV/0!</v>
      </c>
      <c r="CP15" s="1">
        <f t="shared" si="53"/>
        <v>0</v>
      </c>
      <c r="CQ15" s="132">
        <f t="shared" si="54"/>
        <v>0.3</v>
      </c>
      <c r="CS15" s="104">
        <f t="shared" si="55"/>
        <v>7.3381811540336158E-4</v>
      </c>
    </row>
    <row r="16" spans="1:97">
      <c r="A16" s="133" t="s">
        <v>88</v>
      </c>
      <c r="B16" s="90" t="s">
        <v>89</v>
      </c>
      <c r="C16" s="91">
        <f>'Sizing - Reimb Expen-24'!B9</f>
        <v>9117656</v>
      </c>
      <c r="D16" s="92">
        <f>'Ridership-24'!$E8</f>
        <v>1154287</v>
      </c>
      <c r="E16" s="92">
        <f>'Revenue Hours-24'!$F8</f>
        <v>58751</v>
      </c>
      <c r="F16" s="92">
        <f>'Revenue Miles-24'!$F8</f>
        <v>807792</v>
      </c>
      <c r="G16" s="93">
        <f t="shared" si="0"/>
        <v>2.1282830958868813E-2</v>
      </c>
      <c r="H16" s="94">
        <f t="shared" si="1"/>
        <v>2.0092511095741034E-2</v>
      </c>
      <c r="J16" s="95">
        <f>'Ridership-24'!B8/'Revenue Hours-24'!C8</f>
        <v>19.767837879488365</v>
      </c>
      <c r="K16" s="96">
        <f>'Ridership-24'!C8/'Revenue Hours-24'!D8</f>
        <v>17.327594346172003</v>
      </c>
      <c r="L16" s="96">
        <f>'Ridership-24'!D8/'Revenue Hours-24'!E8</f>
        <v>8.228226225879153</v>
      </c>
      <c r="M16" s="96">
        <f>'Ridership-24'!E8/'Revenue Hours-24'!F8</f>
        <v>19.647103879082909</v>
      </c>
      <c r="N16" s="97">
        <f t="shared" si="2"/>
        <v>1.2192511161277548</v>
      </c>
      <c r="O16" s="98">
        <f t="shared" si="3"/>
        <v>2.4497816579291554E-2</v>
      </c>
      <c r="P16" s="99">
        <f t="shared" si="4"/>
        <v>2.3506417039881995E-2</v>
      </c>
      <c r="Q16" s="95">
        <f>'Ridership-24'!B8/'Revenue Miles-24'!C8</f>
        <v>2.1316609992044087</v>
      </c>
      <c r="R16" s="96">
        <f>'Ridership-24'!C8/'Revenue Miles-24'!D8</f>
        <v>1.9171644901717197</v>
      </c>
      <c r="S16" s="96">
        <f>'Ridership-24'!D8/'Revenue Miles-24'!E8</f>
        <v>0.84464065708418889</v>
      </c>
      <c r="T16" s="96">
        <f>'Ridership-24'!E8/'Revenue Miles-24'!F8</f>
        <v>1.4289408659654961</v>
      </c>
      <c r="U16" s="97">
        <f t="shared" si="5"/>
        <v>1.0329293204224002</v>
      </c>
      <c r="V16" s="98">
        <f t="shared" si="6"/>
        <v>2.075414383170332E-2</v>
      </c>
      <c r="W16" s="99">
        <f t="shared" si="7"/>
        <v>1.9982741898024476E-2</v>
      </c>
      <c r="X16" s="95">
        <f>'Op Cost-24'!B9/'Revenue Hours-24'!C8</f>
        <v>77.294084219448294</v>
      </c>
      <c r="Y16" s="96">
        <f>'Op Cost-24'!C9/'Revenue Hours-24'!D8</f>
        <v>81.344653948330603</v>
      </c>
      <c r="Z16" s="96">
        <f>'Op Cost-24'!D9/'Revenue Hours-24'!E8</f>
        <v>121.31553469268006</v>
      </c>
      <c r="AA16" s="96">
        <f>'Op Cost-24'!E9/'Revenue Hours-24'!F8</f>
        <v>156.54829705026299</v>
      </c>
      <c r="AB16" s="97">
        <f t="shared" si="8"/>
        <v>1.1806154944392757</v>
      </c>
      <c r="AC16" s="98">
        <f t="shared" si="9"/>
        <v>1.7018674742434934E-2</v>
      </c>
      <c r="AD16" s="99">
        <f t="shared" si="10"/>
        <v>1.7113523133285069E-2</v>
      </c>
      <c r="AE16" s="95">
        <f>'Op Cost-24'!B9/'Revenue Miles-24'!C8</f>
        <v>8.3349927191978441</v>
      </c>
      <c r="AF16" s="96">
        <f>'Op Cost-24'!C9/'Revenue Miles-24'!D8</f>
        <v>9.0001577194989437</v>
      </c>
      <c r="AG16" s="96">
        <f>'Op Cost-24'!D9/'Revenue Miles-24'!E8</f>
        <v>12.453234770704997</v>
      </c>
      <c r="AH16" s="96">
        <f>'Op Cost-24'!E9/'Revenue Miles-24'!F8</f>
        <v>11.385813427218888</v>
      </c>
      <c r="AI16" s="97">
        <f t="shared" si="11"/>
        <v>1.0391119823445312</v>
      </c>
      <c r="AJ16" s="98">
        <f t="shared" si="12"/>
        <v>1.9336232703627027E-2</v>
      </c>
      <c r="AK16" s="99">
        <f t="shared" si="13"/>
        <v>1.9358086369944318E-2</v>
      </c>
      <c r="AL16" s="95">
        <f>'Op Cost-24'!B9/'Ridership-24'!B8</f>
        <v>3.910092984911147</v>
      </c>
      <c r="AM16" s="96">
        <f>'Op Cost-24'!C9/'Ridership-24'!C8</f>
        <v>4.6945151371402689</v>
      </c>
      <c r="AN16" s="96">
        <f>'Op Cost-24'!D9/'Ridership-24'!D8</f>
        <v>14.743825869921071</v>
      </c>
      <c r="AO16" s="96">
        <f>'Op Cost-24'!E9/'Ridership-24'!E8</f>
        <v>7.9680088227624495</v>
      </c>
      <c r="AP16" s="97">
        <f t="shared" si="14"/>
        <v>1.063188575491355</v>
      </c>
      <c r="AQ16" s="98">
        <f t="shared" si="15"/>
        <v>1.8898351204023459E-2</v>
      </c>
      <c r="AR16" s="99">
        <f t="shared" si="16"/>
        <v>2.0006333984670433E-2</v>
      </c>
      <c r="AT16" s="101">
        <f t="shared" si="27"/>
        <v>0</v>
      </c>
      <c r="AU16" s="102">
        <f t="shared" si="17"/>
        <v>0</v>
      </c>
      <c r="AV16" s="102">
        <f t="shared" si="18"/>
        <v>0</v>
      </c>
      <c r="AW16" s="102">
        <f t="shared" si="19"/>
        <v>0</v>
      </c>
      <c r="AX16" s="103">
        <f t="shared" si="20"/>
        <v>0</v>
      </c>
      <c r="AY16" s="104">
        <f t="shared" si="28"/>
        <v>-1</v>
      </c>
      <c r="AZ16" s="105">
        <f t="shared" si="21"/>
        <v>0</v>
      </c>
      <c r="BA16" s="106">
        <f t="shared" si="21"/>
        <v>0</v>
      </c>
      <c r="BB16" s="106">
        <f t="shared" si="21"/>
        <v>0</v>
      </c>
      <c r="BC16" s="106">
        <f t="shared" si="21"/>
        <v>0</v>
      </c>
      <c r="BD16" s="106">
        <f t="shared" si="21"/>
        <v>0</v>
      </c>
      <c r="BE16" s="107">
        <f t="shared" si="29"/>
        <v>2543769.3612655443</v>
      </c>
      <c r="BG16" s="108">
        <f>'Op Cost-24'!E9</f>
        <v>9197369</v>
      </c>
      <c r="BH16" s="109">
        <f t="shared" si="22"/>
        <v>0.27657576435886655</v>
      </c>
      <c r="BI16" s="110">
        <f t="shared" si="23"/>
        <v>2543769.3612655443</v>
      </c>
      <c r="BJ16" s="111">
        <f t="shared" si="24"/>
        <v>0</v>
      </c>
      <c r="BK16" s="1">
        <f t="shared" si="30"/>
        <v>1.6628058995617243</v>
      </c>
      <c r="BL16" s="112">
        <f t="shared" si="31"/>
        <v>1.5531223801588798</v>
      </c>
      <c r="BM16" s="112">
        <f t="shared" si="32"/>
        <v>2.0158857834447512</v>
      </c>
      <c r="BN16" s="113">
        <f t="shared" si="33"/>
        <v>1.5411077173216328</v>
      </c>
      <c r="BO16" s="114">
        <f t="shared" si="25"/>
        <v>2543769.3612655443</v>
      </c>
      <c r="BP16" s="115">
        <f t="shared" si="34"/>
        <v>3.3409945987007597E-2</v>
      </c>
      <c r="BQ16" s="116">
        <f t="shared" si="35"/>
        <v>3.3409945987007597E-2</v>
      </c>
      <c r="BR16" s="117">
        <f t="shared" si="36"/>
        <v>5.1485192315978964E-2</v>
      </c>
      <c r="BS16" s="118">
        <f t="shared" si="37"/>
        <v>3194440.6174665797</v>
      </c>
      <c r="BT16" s="119">
        <f t="shared" si="38"/>
        <v>2759210.6999999997</v>
      </c>
      <c r="BU16" s="119">
        <f t="shared" si="39"/>
        <v>2759210.6999999997</v>
      </c>
      <c r="BV16" s="119">
        <f t="shared" si="56"/>
        <v>435229.91746657994</v>
      </c>
      <c r="BW16" s="120">
        <f t="shared" si="40"/>
        <v>0</v>
      </c>
      <c r="BX16" s="121">
        <f t="shared" si="41"/>
        <v>0</v>
      </c>
      <c r="BY16" s="122">
        <f t="shared" si="42"/>
        <v>2759210.6999999997</v>
      </c>
      <c r="BZ16" s="123">
        <f t="shared" si="43"/>
        <v>34870979626022.223</v>
      </c>
      <c r="CA16" s="111">
        <f>ROUND((BZ16+BI16),0)</f>
        <v>34870982169792</v>
      </c>
      <c r="CC16" s="124">
        <f t="shared" si="26"/>
        <v>1</v>
      </c>
      <c r="CD16" s="17"/>
      <c r="CE16" s="108">
        <f t="shared" si="44"/>
        <v>9197369</v>
      </c>
      <c r="CF16" s="125">
        <f t="shared" si="45"/>
        <v>3791408.4092735653</v>
      </c>
      <c r="CG16" s="110">
        <f t="shared" si="46"/>
        <v>2759210.6999999997</v>
      </c>
      <c r="CH16" s="126">
        <f t="shared" si="47"/>
        <v>34870979410581.301</v>
      </c>
      <c r="CJ16" s="127">
        <f t="shared" si="48"/>
        <v>0</v>
      </c>
      <c r="CK16" s="128" t="e">
        <f t="shared" si="49"/>
        <v>#DIV/0!</v>
      </c>
      <c r="CL16" s="129" t="e">
        <f t="shared" si="50"/>
        <v>#DIV/0!</v>
      </c>
      <c r="CM16" s="130" t="e">
        <f t="shared" si="51"/>
        <v>#DIV/0!</v>
      </c>
      <c r="CO16" s="131" t="e">
        <f t="shared" si="52"/>
        <v>#DIV/0!</v>
      </c>
      <c r="CP16" s="1">
        <f t="shared" si="53"/>
        <v>0</v>
      </c>
      <c r="CQ16" s="132">
        <f t="shared" si="54"/>
        <v>0.3</v>
      </c>
      <c r="CS16" s="104">
        <f t="shared" si="55"/>
        <v>2.7875532142569014E-2</v>
      </c>
    </row>
    <row r="17" spans="1:97" ht="16.5" customHeight="1">
      <c r="A17" s="136"/>
      <c r="B17" s="137"/>
      <c r="C17" s="138"/>
      <c r="D17" s="139"/>
      <c r="E17" s="139"/>
      <c r="F17" s="139"/>
      <c r="G17" s="140"/>
      <c r="H17" s="141"/>
      <c r="J17" s="142"/>
      <c r="K17" s="143"/>
      <c r="L17" s="143"/>
      <c r="M17" s="143"/>
      <c r="N17" s="144"/>
      <c r="O17" s="145"/>
      <c r="P17" s="146"/>
      <c r="Q17" s="142"/>
      <c r="R17" s="143"/>
      <c r="S17" s="143"/>
      <c r="T17" s="143"/>
      <c r="U17" s="144"/>
      <c r="V17" s="145"/>
      <c r="W17" s="146"/>
      <c r="X17" s="142"/>
      <c r="Y17" s="143"/>
      <c r="Z17" s="143"/>
      <c r="AA17" s="143"/>
      <c r="AB17" s="144"/>
      <c r="AC17" s="145"/>
      <c r="AD17" s="146"/>
      <c r="AE17" s="142"/>
      <c r="AF17" s="143"/>
      <c r="AG17" s="143"/>
      <c r="AH17" s="143"/>
      <c r="AI17" s="144"/>
      <c r="AJ17" s="145"/>
      <c r="AK17" s="146"/>
      <c r="AL17" s="142"/>
      <c r="AM17" s="143"/>
      <c r="AN17" s="143"/>
      <c r="AO17" s="143"/>
      <c r="AP17" s="147"/>
      <c r="AQ17" s="145"/>
      <c r="AR17" s="146"/>
      <c r="AT17" s="148"/>
      <c r="AU17" s="149"/>
      <c r="AV17" s="149"/>
      <c r="AW17" s="149"/>
      <c r="AX17" s="150"/>
      <c r="AY17" s="104" t="e">
        <f t="shared" si="28"/>
        <v>#DIV/0!</v>
      </c>
      <c r="AZ17" s="151"/>
      <c r="BA17" s="152"/>
      <c r="BB17" s="152"/>
      <c r="BC17" s="152"/>
      <c r="BD17" s="152"/>
      <c r="BE17" s="107">
        <f t="shared" si="29"/>
        <v>0</v>
      </c>
      <c r="BG17" s="153"/>
      <c r="BH17" s="154"/>
      <c r="BI17" s="155"/>
      <c r="BJ17" s="156"/>
      <c r="BL17" s="112"/>
      <c r="BM17" s="112"/>
      <c r="BN17" s="113"/>
      <c r="BO17" s="157"/>
      <c r="BP17" s="115"/>
      <c r="BQ17" s="116">
        <f t="shared" si="35"/>
        <v>0</v>
      </c>
      <c r="BR17" s="117">
        <f t="shared" si="36"/>
        <v>0</v>
      </c>
      <c r="BS17" s="118">
        <f t="shared" si="37"/>
        <v>0</v>
      </c>
      <c r="BT17" s="119">
        <f t="shared" si="38"/>
        <v>0</v>
      </c>
      <c r="BU17" s="119">
        <f t="shared" si="39"/>
        <v>0</v>
      </c>
      <c r="BV17" s="119">
        <f t="shared" si="56"/>
        <v>0</v>
      </c>
      <c r="BW17" s="120">
        <f t="shared" si="40"/>
        <v>0</v>
      </c>
      <c r="BX17" s="121">
        <f t="shared" si="41"/>
        <v>0</v>
      </c>
      <c r="BY17" s="122">
        <f t="shared" si="42"/>
        <v>0</v>
      </c>
      <c r="BZ17" s="158"/>
      <c r="CA17" s="156"/>
      <c r="CC17" s="159"/>
      <c r="CD17" s="17"/>
      <c r="CE17" s="153"/>
      <c r="CF17" s="160"/>
      <c r="CG17" s="155">
        <f t="shared" si="46"/>
        <v>0</v>
      </c>
      <c r="CH17" s="161">
        <f t="shared" si="47"/>
        <v>0</v>
      </c>
      <c r="CJ17" s="127"/>
      <c r="CK17" s="128" t="e">
        <f t="shared" si="49"/>
        <v>#DIV/0!</v>
      </c>
      <c r="CL17" s="129" t="e">
        <f t="shared" si="50"/>
        <v>#DIV/0!</v>
      </c>
      <c r="CM17" s="162"/>
      <c r="CO17" s="131"/>
      <c r="CP17" s="1">
        <f t="shared" si="53"/>
        <v>0</v>
      </c>
      <c r="CQ17" s="132"/>
      <c r="CS17" s="104">
        <f t="shared" si="55"/>
        <v>0</v>
      </c>
    </row>
    <row r="18" spans="1:97">
      <c r="A18" s="133" t="s">
        <v>90</v>
      </c>
      <c r="B18" s="90" t="s">
        <v>91</v>
      </c>
      <c r="C18" s="91">
        <f>'Sizing - Reimb Expen-24'!B11</f>
        <v>4295390</v>
      </c>
      <c r="D18" s="92">
        <f>'Ridership-24'!$E10</f>
        <v>179874</v>
      </c>
      <c r="E18" s="92">
        <f>'Revenue Hours-24'!$F10</f>
        <v>40268</v>
      </c>
      <c r="F18" s="92">
        <f>'Revenue Miles-24'!$F10</f>
        <v>598250</v>
      </c>
      <c r="G18" s="134">
        <f t="shared" si="0"/>
        <v>7.7036447428633177E-3</v>
      </c>
      <c r="H18" s="94">
        <f t="shared" si="1"/>
        <v>7.2727903432004319E-3</v>
      </c>
      <c r="J18" s="95">
        <f>'Ridership-24'!B10/'Revenue Hours-24'!C10</f>
        <v>6.326061550447994</v>
      </c>
      <c r="K18" s="96">
        <f>'Ridership-24'!C10/'Revenue Hours-24'!D10</f>
        <v>5.5934530095036958</v>
      </c>
      <c r="L18" s="96">
        <f>'Ridership-24'!D10/'Revenue Hours-24'!E10</f>
        <v>3.4815432129025932</v>
      </c>
      <c r="M18" s="96">
        <f>'Ridership-24'!E10/'Revenue Hours-24'!F10</f>
        <v>4.4669216251117509</v>
      </c>
      <c r="N18" s="97">
        <f t="shared" si="2"/>
        <v>1.0317484320832804</v>
      </c>
      <c r="O18" s="98">
        <f t="shared" si="3"/>
        <v>7.5036900334674679E-3</v>
      </c>
      <c r="P18" s="99">
        <f t="shared" si="4"/>
        <v>7.2000239978036937E-3</v>
      </c>
      <c r="Q18" s="95">
        <f>'Ridership-24'!B10/'Revenue Miles-24'!C10</f>
        <v>0.39410887442709325</v>
      </c>
      <c r="R18" s="96">
        <f>'Ridership-24'!C10/'Revenue Miles-24'!D10</f>
        <v>0.3427235145820865</v>
      </c>
      <c r="S18" s="96">
        <f>'Ridership-24'!D10/'Revenue Miles-24'!E10</f>
        <v>0.23255357049300571</v>
      </c>
      <c r="T18" s="96">
        <f>'Ridership-24'!E10/'Revenue Miles-24'!F10</f>
        <v>0.30066694525699961</v>
      </c>
      <c r="U18" s="97">
        <f t="shared" si="5"/>
        <v>1.0693183510750313</v>
      </c>
      <c r="V18" s="98">
        <f t="shared" si="6"/>
        <v>7.7769281775054962E-3</v>
      </c>
      <c r="W18" s="99">
        <f t="shared" si="7"/>
        <v>7.4878708459741837E-3</v>
      </c>
      <c r="X18" s="95">
        <f>'Op Cost-24'!B11/'Revenue Hours-24'!C10</f>
        <v>73.36560186988703</v>
      </c>
      <c r="Y18" s="96">
        <f>'Op Cost-24'!C11/'Revenue Hours-24'!D10</f>
        <v>71.54291748378337</v>
      </c>
      <c r="Z18" s="96">
        <f>'Op Cost-24'!D11/'Revenue Hours-24'!E10</f>
        <v>97.854576204715912</v>
      </c>
      <c r="AA18" s="96">
        <f>'Op Cost-24'!E11/'Revenue Hours-24'!F10</f>
        <v>112.67122777391477</v>
      </c>
      <c r="AB18" s="97">
        <f t="shared" si="8"/>
        <v>1.0753667804942089</v>
      </c>
      <c r="AC18" s="98">
        <f t="shared" si="9"/>
        <v>6.7630788630629437E-3</v>
      </c>
      <c r="AD18" s="99">
        <f t="shared" si="10"/>
        <v>6.8007708195203182E-3</v>
      </c>
      <c r="AE18" s="95">
        <f>'Op Cost-24'!B11/'Revenue Miles-24'!C10</f>
        <v>4.5706217911458378</v>
      </c>
      <c r="AF18" s="96">
        <f>'Op Cost-24'!C11/'Revenue Miles-24'!D10</f>
        <v>4.38359633697433</v>
      </c>
      <c r="AG18" s="96">
        <f>'Op Cost-24'!D11/'Revenue Miles-24'!E10</f>
        <v>6.5363057971394145</v>
      </c>
      <c r="AH18" s="96">
        <f>'Op Cost-24'!E11/'Revenue Miles-24'!F10</f>
        <v>7.5838612620142083</v>
      </c>
      <c r="AI18" s="97">
        <f t="shared" si="11"/>
        <v>1.1120931991872134</v>
      </c>
      <c r="AJ18" s="98">
        <f t="shared" si="12"/>
        <v>6.5397309762489676E-3</v>
      </c>
      <c r="AK18" s="99">
        <f t="shared" si="13"/>
        <v>6.5471221315350223E-3</v>
      </c>
      <c r="AL18" s="95">
        <f>'Op Cost-24'!B11/'Ridership-24'!B10</f>
        <v>11.597358211712544</v>
      </c>
      <c r="AM18" s="96">
        <f>'Op Cost-24'!C11/'Ridership-24'!C10</f>
        <v>12.790474392513282</v>
      </c>
      <c r="AN18" s="96">
        <f>'Op Cost-24'!D11/'Ridership-24'!D10</f>
        <v>28.106667136018022</v>
      </c>
      <c r="AO18" s="96">
        <f>'Op Cost-24'!E11/'Ridership-24'!E10</f>
        <v>25.223461978940815</v>
      </c>
      <c r="AP18" s="100">
        <f t="shared" si="14"/>
        <v>1.0520580090790668</v>
      </c>
      <c r="AQ18" s="98">
        <f t="shared" si="15"/>
        <v>6.9129176152242476E-3</v>
      </c>
      <c r="AR18" s="99">
        <f t="shared" si="16"/>
        <v>7.3182118971967898E-3</v>
      </c>
      <c r="AT18" s="101">
        <f t="shared" si="27"/>
        <v>0</v>
      </c>
      <c r="AU18" s="102">
        <f t="shared" si="17"/>
        <v>0</v>
      </c>
      <c r="AV18" s="102">
        <f t="shared" si="18"/>
        <v>0</v>
      </c>
      <c r="AW18" s="102">
        <f t="shared" si="19"/>
        <v>0</v>
      </c>
      <c r="AX18" s="103">
        <f t="shared" si="20"/>
        <v>0</v>
      </c>
      <c r="AY18" s="104">
        <f t="shared" si="28"/>
        <v>-1</v>
      </c>
      <c r="AZ18" s="105">
        <f t="shared" si="21"/>
        <v>0</v>
      </c>
      <c r="BA18" s="106">
        <f t="shared" si="21"/>
        <v>0</v>
      </c>
      <c r="BB18" s="106">
        <f t="shared" si="21"/>
        <v>0</v>
      </c>
      <c r="BC18" s="106">
        <f t="shared" si="21"/>
        <v>0</v>
      </c>
      <c r="BD18" s="106">
        <f t="shared" si="21"/>
        <v>0</v>
      </c>
      <c r="BE18" s="107">
        <f t="shared" si="29"/>
        <v>920756.05472044006</v>
      </c>
      <c r="BG18" s="108">
        <f>'Op Cost-24'!E11</f>
        <v>4537045</v>
      </c>
      <c r="BH18" s="109">
        <f t="shared" si="22"/>
        <v>0.20294179465278392</v>
      </c>
      <c r="BI18" s="110">
        <f t="shared" si="23"/>
        <v>920756.05472044006</v>
      </c>
      <c r="BJ18" s="111">
        <f t="shared" si="24"/>
        <v>0</v>
      </c>
      <c r="BK18" s="1">
        <f t="shared" si="30"/>
        <v>0.52776477658919685</v>
      </c>
      <c r="BL18" s="112">
        <f t="shared" si="31"/>
        <v>0.47113575696301152</v>
      </c>
      <c r="BM18" s="112">
        <f t="shared" si="32"/>
        <v>0.43985540077006724</v>
      </c>
      <c r="BN18" s="113">
        <f t="shared" si="33"/>
        <v>0.60003397431185446</v>
      </c>
      <c r="BO18" s="114">
        <f t="shared" si="25"/>
        <v>920756.05472044006</v>
      </c>
      <c r="BP18" s="115">
        <f t="shared" si="34"/>
        <v>3.8383225706592442E-3</v>
      </c>
      <c r="BQ18" s="116">
        <f t="shared" si="35"/>
        <v>3.8383225706592442E-3</v>
      </c>
      <c r="BR18" s="117">
        <f t="shared" si="36"/>
        <v>5.9149085663892671E-3</v>
      </c>
      <c r="BS18" s="118">
        <f t="shared" si="37"/>
        <v>995508.82952967973</v>
      </c>
      <c r="BT18" s="119">
        <f t="shared" si="38"/>
        <v>1361113.5</v>
      </c>
      <c r="BU18" s="119">
        <f t="shared" si="39"/>
        <v>995508.82952967973</v>
      </c>
      <c r="BV18" s="119">
        <f t="shared" si="56"/>
        <v>0</v>
      </c>
      <c r="BW18" s="120">
        <f t="shared" si="40"/>
        <v>3.8383225706592442E-3</v>
      </c>
      <c r="BX18" s="121">
        <f t="shared" si="41"/>
        <v>7.495051779440271E-3</v>
      </c>
      <c r="BY18" s="122">
        <f t="shared" si="42"/>
        <v>1008347.81366619</v>
      </c>
      <c r="BZ18" s="123">
        <f t="shared" ref="BZ18:BZ50" si="58">BY18*$BO$6</f>
        <v>12743527004406.646</v>
      </c>
      <c r="CA18" s="111">
        <f t="shared" si="57"/>
        <v>12743527925163</v>
      </c>
      <c r="CC18" s="124">
        <f t="shared" si="26"/>
        <v>1</v>
      </c>
      <c r="CD18" s="17"/>
      <c r="CE18" s="108">
        <f t="shared" si="44"/>
        <v>4537045</v>
      </c>
      <c r="CF18" s="125">
        <f t="shared" si="45"/>
        <v>2808772.6538226972</v>
      </c>
      <c r="CG18" s="110">
        <f t="shared" si="46"/>
        <v>1361113.5</v>
      </c>
      <c r="CH18" s="126">
        <f t="shared" si="47"/>
        <v>12743526564049.5</v>
      </c>
      <c r="CJ18" s="127">
        <f t="shared" si="48"/>
        <v>0</v>
      </c>
      <c r="CK18" s="128" t="e">
        <f t="shared" si="49"/>
        <v>#DIV/0!</v>
      </c>
      <c r="CL18" s="129" t="e">
        <f t="shared" si="50"/>
        <v>#DIV/0!</v>
      </c>
      <c r="CM18" s="130" t="e">
        <f t="shared" si="51"/>
        <v>#DIV/0!</v>
      </c>
      <c r="CO18" s="131" t="e">
        <f t="shared" si="52"/>
        <v>#DIV/0!</v>
      </c>
      <c r="CP18" s="1">
        <f t="shared" si="53"/>
        <v>0</v>
      </c>
      <c r="CQ18" s="132">
        <f t="shared" si="54"/>
        <v>0.22224769947536116</v>
      </c>
      <c r="CS18" s="104">
        <f t="shared" si="55"/>
        <v>3.2024979697233879E-3</v>
      </c>
    </row>
    <row r="19" spans="1:97">
      <c r="A19" s="133" t="s">
        <v>92</v>
      </c>
      <c r="B19" s="90" t="s">
        <v>93</v>
      </c>
      <c r="C19" s="91">
        <f>'Sizing - Reimb Expen-24'!B12</f>
        <v>1722873</v>
      </c>
      <c r="D19" s="92">
        <f>'Ridership-24'!$E11</f>
        <v>75266</v>
      </c>
      <c r="E19" s="92">
        <f>'Revenue Hours-24'!$F11</f>
        <v>21618</v>
      </c>
      <c r="F19" s="92">
        <f>'Revenue Miles-24'!$F11</f>
        <v>415022</v>
      </c>
      <c r="G19" s="134">
        <f t="shared" si="0"/>
        <v>3.7326174064224856E-3</v>
      </c>
      <c r="H19" s="94">
        <f t="shared" si="1"/>
        <v>3.5238571785699158E-3</v>
      </c>
      <c r="J19" s="95">
        <f>'Ridership-24'!B11/'Revenue Hours-24'!C11</f>
        <v>7.655356409905596</v>
      </c>
      <c r="K19" s="96">
        <f>'Ridership-24'!C11/'Revenue Hours-24'!D11</f>
        <v>6.7021276595744679</v>
      </c>
      <c r="L19" s="96">
        <f>'Ridership-24'!D11/'Revenue Hours-24'!E11</f>
        <v>5.361326293975428</v>
      </c>
      <c r="M19" s="96">
        <f>'Ridership-24'!E11/'Revenue Hours-24'!F11</f>
        <v>3.4816356739753909</v>
      </c>
      <c r="N19" s="97">
        <f t="shared" si="2"/>
        <v>0.98008321006467869</v>
      </c>
      <c r="O19" s="98">
        <f t="shared" si="3"/>
        <v>3.4536732553822648E-3</v>
      </c>
      <c r="P19" s="99">
        <f t="shared" si="4"/>
        <v>3.3139069189181639E-3</v>
      </c>
      <c r="Q19" s="95">
        <f>'Ridership-24'!B11/'Revenue Miles-24'!C11</f>
        <v>0.43287508026520399</v>
      </c>
      <c r="R19" s="96">
        <f>'Ridership-24'!C11/'Revenue Miles-24'!D11</f>
        <v>0.35838935027674113</v>
      </c>
      <c r="S19" s="96">
        <f>'Ridership-24'!D11/'Revenue Miles-24'!E11</f>
        <v>0.29459705668644059</v>
      </c>
      <c r="T19" s="96">
        <f>'Ridership-24'!E11/'Revenue Miles-24'!F11</f>
        <v>0.18135424146189841</v>
      </c>
      <c r="U19" s="97">
        <f t="shared" si="5"/>
        <v>0.96747421208448736</v>
      </c>
      <c r="V19" s="98">
        <f t="shared" si="6"/>
        <v>3.4092409473351938E-3</v>
      </c>
      <c r="W19" s="99">
        <f t="shared" si="7"/>
        <v>3.2825243224299484E-3</v>
      </c>
      <c r="X19" s="95">
        <f>'Op Cost-24'!B12/'Revenue Hours-24'!C11</f>
        <v>69.455055411136954</v>
      </c>
      <c r="Y19" s="96">
        <f>'Op Cost-24'!C12/'Revenue Hours-24'!D11</f>
        <v>66.919313392948922</v>
      </c>
      <c r="Z19" s="96">
        <f>'Op Cost-24'!D12/'Revenue Hours-24'!E11</f>
        <v>71.305225243005879</v>
      </c>
      <c r="AA19" s="96">
        <f>'Op Cost-24'!E12/'Revenue Hours-24'!F11</f>
        <v>79.874363955962622</v>
      </c>
      <c r="AB19" s="97">
        <f t="shared" si="8"/>
        <v>0.97864829271439469</v>
      </c>
      <c r="AC19" s="98">
        <f t="shared" si="9"/>
        <v>3.6007391059724725E-3</v>
      </c>
      <c r="AD19" s="99">
        <f t="shared" si="10"/>
        <v>3.6208067267033085E-3</v>
      </c>
      <c r="AE19" s="95">
        <f>'Op Cost-24'!B12/'Revenue Miles-24'!C11</f>
        <v>3.9273628915588081</v>
      </c>
      <c r="AF19" s="96">
        <f>'Op Cost-24'!C12/'Revenue Miles-24'!D11</f>
        <v>3.578441125871858</v>
      </c>
      <c r="AG19" s="96">
        <f>'Op Cost-24'!D12/'Revenue Miles-24'!E11</f>
        <v>3.9181180795800845</v>
      </c>
      <c r="AH19" s="96">
        <f>'Op Cost-24'!E12/'Revenue Miles-24'!F11</f>
        <v>4.1605601630756928</v>
      </c>
      <c r="AI19" s="97">
        <f t="shared" si="11"/>
        <v>0.95623417116569043</v>
      </c>
      <c r="AJ19" s="98">
        <f t="shared" si="12"/>
        <v>3.6851404026632759E-3</v>
      </c>
      <c r="AK19" s="99">
        <f t="shared" si="13"/>
        <v>3.6893053209245807E-3</v>
      </c>
      <c r="AL19" s="95">
        <f>'Op Cost-24'!B12/'Ridership-24'!B11</f>
        <v>9.0727396207531328</v>
      </c>
      <c r="AM19" s="96">
        <f>'Op Cost-24'!C12/'Ridership-24'!C11</f>
        <v>9.9847864427574571</v>
      </c>
      <c r="AN19" s="96">
        <f>'Op Cost-24'!D12/'Ridership-24'!D11</f>
        <v>13.299922693220932</v>
      </c>
      <c r="AO19" s="96">
        <f>'Op Cost-24'!E12/'Ridership-24'!E11</f>
        <v>22.941620386363031</v>
      </c>
      <c r="AP19" s="100">
        <f t="shared" si="14"/>
        <v>1.2845529000575469</v>
      </c>
      <c r="AQ19" s="98">
        <f t="shared" si="15"/>
        <v>2.7432557883852429E-3</v>
      </c>
      <c r="AR19" s="99">
        <f t="shared" si="16"/>
        <v>2.9040888760777758E-3</v>
      </c>
      <c r="AT19" s="101">
        <f t="shared" si="27"/>
        <v>0</v>
      </c>
      <c r="AU19" s="102">
        <f t="shared" si="17"/>
        <v>0</v>
      </c>
      <c r="AV19" s="102">
        <f t="shared" si="18"/>
        <v>0</v>
      </c>
      <c r="AW19" s="102">
        <f t="shared" si="19"/>
        <v>0</v>
      </c>
      <c r="AX19" s="103">
        <f t="shared" si="20"/>
        <v>0</v>
      </c>
      <c r="AY19" s="104">
        <f t="shared" si="28"/>
        <v>-1</v>
      </c>
      <c r="AZ19" s="105">
        <f t="shared" si="21"/>
        <v>0</v>
      </c>
      <c r="BA19" s="106">
        <f t="shared" si="21"/>
        <v>0</v>
      </c>
      <c r="BB19" s="106">
        <f t="shared" si="21"/>
        <v>0</v>
      </c>
      <c r="BC19" s="106">
        <f t="shared" si="21"/>
        <v>0</v>
      </c>
      <c r="BD19" s="106">
        <f t="shared" si="21"/>
        <v>0</v>
      </c>
      <c r="BE19" s="107">
        <f t="shared" si="29"/>
        <v>446130.39562893915</v>
      </c>
      <c r="BG19" s="108">
        <f>'Op Cost-24'!E12</f>
        <v>1726724</v>
      </c>
      <c r="BH19" s="109">
        <f t="shared" si="22"/>
        <v>0.25836809798725169</v>
      </c>
      <c r="BI19" s="110">
        <f t="shared" si="23"/>
        <v>446130.39562893915</v>
      </c>
      <c r="BJ19" s="111">
        <f t="shared" si="24"/>
        <v>0</v>
      </c>
      <c r="BK19" s="1">
        <f t="shared" si="30"/>
        <v>0.70064762556268523</v>
      </c>
      <c r="BL19" s="112">
        <f t="shared" si="31"/>
        <v>0.55194320407029318</v>
      </c>
      <c r="BM19" s="112">
        <f t="shared" si="32"/>
        <v>0.42317831978679149</v>
      </c>
      <c r="BN19" s="113">
        <f t="shared" si="33"/>
        <v>0.91373448919682809</v>
      </c>
      <c r="BO19" s="114">
        <f t="shared" si="25"/>
        <v>446130.39562893915</v>
      </c>
      <c r="BP19" s="115">
        <f t="shared" si="34"/>
        <v>2.4689821649870347E-3</v>
      </c>
      <c r="BQ19" s="116">
        <f t="shared" si="35"/>
        <v>2.4689821649870347E-3</v>
      </c>
      <c r="BR19" s="117">
        <f t="shared" si="36"/>
        <v>3.8047359202110728E-3</v>
      </c>
      <c r="BS19" s="118">
        <f t="shared" si="37"/>
        <v>494214.75133112428</v>
      </c>
      <c r="BT19" s="119">
        <f t="shared" si="38"/>
        <v>518017.19999999995</v>
      </c>
      <c r="BU19" s="119">
        <f t="shared" si="39"/>
        <v>494214.75133112428</v>
      </c>
      <c r="BV19" s="119">
        <f t="shared" si="56"/>
        <v>0</v>
      </c>
      <c r="BW19" s="120">
        <f t="shared" si="40"/>
        <v>2.4689821649870347E-3</v>
      </c>
      <c r="BX19" s="121">
        <f t="shared" si="41"/>
        <v>4.8211552907378623E-3</v>
      </c>
      <c r="BY19" s="122">
        <f t="shared" si="42"/>
        <v>502473.36489630752</v>
      </c>
      <c r="BZ19" s="123">
        <f t="shared" si="58"/>
        <v>6350272007106.2246</v>
      </c>
      <c r="CA19" s="111">
        <f t="shared" si="57"/>
        <v>6350272453237</v>
      </c>
      <c r="CC19" s="124">
        <f t="shared" si="26"/>
        <v>1</v>
      </c>
      <c r="CD19" s="17"/>
      <c r="CE19" s="108">
        <f t="shared" si="44"/>
        <v>1726724</v>
      </c>
      <c r="CF19" s="125">
        <f t="shared" si="45"/>
        <v>3677641.8543073474</v>
      </c>
      <c r="CG19" s="110">
        <f t="shared" si="46"/>
        <v>518017.19999999995</v>
      </c>
      <c r="CH19" s="126">
        <f t="shared" si="47"/>
        <v>6350271935219.7998</v>
      </c>
      <c r="CJ19" s="127">
        <f t="shared" si="48"/>
        <v>0</v>
      </c>
      <c r="CK19" s="128" t="e">
        <f t="shared" si="49"/>
        <v>#DIV/0!</v>
      </c>
      <c r="CL19" s="129" t="e">
        <f t="shared" si="50"/>
        <v>#DIV/0!</v>
      </c>
      <c r="CM19" s="130" t="e">
        <f t="shared" si="51"/>
        <v>#DIV/0!</v>
      </c>
      <c r="CO19" s="131" t="e">
        <f t="shared" si="52"/>
        <v>#DIV/0!</v>
      </c>
      <c r="CP19" s="1">
        <f t="shared" si="53"/>
        <v>0</v>
      </c>
      <c r="CQ19" s="132">
        <f t="shared" si="54"/>
        <v>0.29099807780300008</v>
      </c>
      <c r="CS19" s="104">
        <f>BP19/$BP$51</f>
        <v>2.0599911094226235E-3</v>
      </c>
    </row>
    <row r="20" spans="1:97">
      <c r="A20" s="133" t="s">
        <v>92</v>
      </c>
      <c r="B20" s="90" t="s">
        <v>94</v>
      </c>
      <c r="C20" s="91">
        <f>'Sizing - Reimb Expen-24'!B13</f>
        <v>161701</v>
      </c>
      <c r="D20" s="92">
        <f>'Ridership-24'!$E12</f>
        <v>5437</v>
      </c>
      <c r="E20" s="92">
        <f>'Revenue Hours-24'!$F12</f>
        <v>3090</v>
      </c>
      <c r="F20" s="92">
        <f>'Revenue Miles-24'!$F12</f>
        <v>52366</v>
      </c>
      <c r="G20" s="134">
        <f t="shared" si="0"/>
        <v>4.0487067568259309E-4</v>
      </c>
      <c r="H20" s="94">
        <f t="shared" si="1"/>
        <v>3.8222680804137919E-4</v>
      </c>
      <c r="J20" s="95">
        <f>'Ridership-24'!B12/'Revenue Hours-24'!C12</f>
        <v>1.4845748683220465</v>
      </c>
      <c r="K20" s="96">
        <f>'Ridership-24'!C12/'Revenue Hours-24'!D12</f>
        <v>2.5672572178477688</v>
      </c>
      <c r="L20" s="96">
        <f>'Ridership-24'!D12/'Revenue Hours-24'!E12</f>
        <v>1.3415032679738561</v>
      </c>
      <c r="M20" s="96">
        <f>'Ridership-24'!E12/'Revenue Hours-24'!F12</f>
        <v>1.759546925566343</v>
      </c>
      <c r="N20" s="97">
        <f t="shared" si="2"/>
        <v>1.2572030407161214</v>
      </c>
      <c r="O20" s="98">
        <f t="shared" si="3"/>
        <v>4.8053670531283916E-4</v>
      </c>
      <c r="P20" s="99">
        <f t="shared" si="4"/>
        <v>4.6108991638066761E-4</v>
      </c>
      <c r="Q20" s="95">
        <f>'Ridership-24'!B12/'Revenue Miles-24'!C12</f>
        <v>0.10409137671792978</v>
      </c>
      <c r="R20" s="96">
        <f>'Ridership-24'!C12/'Revenue Miles-24'!D12</f>
        <v>0.14723314580314975</v>
      </c>
      <c r="S20" s="96">
        <f>'Ridership-24'!D12/'Revenue Miles-24'!E12</f>
        <v>8.4451119157340354E-2</v>
      </c>
      <c r="T20" s="96">
        <f>'Ridership-24'!E12/'Revenue Miles-24'!F12</f>
        <v>0.10382691059084138</v>
      </c>
      <c r="U20" s="97">
        <f t="shared" si="5"/>
        <v>1.1688954873954811</v>
      </c>
      <c r="V20" s="98">
        <f t="shared" si="6"/>
        <v>4.4678319108114691E-4</v>
      </c>
      <c r="W20" s="99">
        <f t="shared" si="7"/>
        <v>4.3017689691984666E-4</v>
      </c>
      <c r="X20" s="95">
        <f>'Op Cost-24'!B13/'Revenue Hours-24'!C12</f>
        <v>60.401805869074494</v>
      </c>
      <c r="Y20" s="96">
        <f>'Op Cost-24'!C13/'Revenue Hours-24'!D12</f>
        <v>44.952755905511808</v>
      </c>
      <c r="Z20" s="96">
        <f>'Op Cost-24'!D13/'Revenue Hours-24'!E12</f>
        <v>49.306209150326801</v>
      </c>
      <c r="AA20" s="96">
        <f>'Op Cost-24'!E13/'Revenue Hours-24'!F12</f>
        <v>54.219417475728157</v>
      </c>
      <c r="AB20" s="97">
        <f t="shared" si="8"/>
        <v>0.90864591691387275</v>
      </c>
      <c r="AC20" s="98">
        <f t="shared" si="9"/>
        <v>4.2065539604203064E-4</v>
      </c>
      <c r="AD20" s="99">
        <f t="shared" si="10"/>
        <v>4.2299979053930185E-4</v>
      </c>
      <c r="AE20" s="95">
        <f>'Op Cost-24'!B13/'Revenue Miles-24'!C12</f>
        <v>4.2350892927800787</v>
      </c>
      <c r="AF20" s="96">
        <f>'Op Cost-24'!C13/'Revenue Miles-24'!D12</f>
        <v>2.5780570869475228</v>
      </c>
      <c r="AG20" s="96">
        <f>'Op Cost-24'!D13/'Revenue Miles-24'!E12</f>
        <v>3.103954081632653</v>
      </c>
      <c r="AH20" s="96">
        <f>'Op Cost-24'!E13/'Revenue Miles-24'!F12</f>
        <v>3.1993660008402398</v>
      </c>
      <c r="AI20" s="97">
        <f t="shared" si="11"/>
        <v>0.87542903217382262</v>
      </c>
      <c r="AJ20" s="98">
        <f t="shared" si="12"/>
        <v>4.3661655484768681E-4</v>
      </c>
      <c r="AK20" s="99">
        <f t="shared" si="13"/>
        <v>4.3711001562903419E-4</v>
      </c>
      <c r="AL20" s="95">
        <f>'Op Cost-24'!B13/'Ridership-24'!B12</f>
        <v>40.686264571718198</v>
      </c>
      <c r="AM20" s="96">
        <f>'Op Cost-24'!C13/'Ridership-24'!C12</f>
        <v>17.510031948881789</v>
      </c>
      <c r="AN20" s="96">
        <f>'Op Cost-24'!D13/'Ridership-24'!D12</f>
        <v>36.754445797807549</v>
      </c>
      <c r="AO20" s="96">
        <f>'Op Cost-24'!E13/'Ridership-24'!E12</f>
        <v>30.814419716755562</v>
      </c>
      <c r="AP20" s="100">
        <f t="shared" si="14"/>
        <v>0.79388736805371352</v>
      </c>
      <c r="AQ20" s="98">
        <f t="shared" si="15"/>
        <v>4.8146226205669789E-4</v>
      </c>
      <c r="AR20" s="99">
        <f t="shared" si="16"/>
        <v>5.0968969259447886E-4</v>
      </c>
      <c r="AT20" s="101">
        <f t="shared" si="27"/>
        <v>0</v>
      </c>
      <c r="AU20" s="102">
        <f t="shared" si="17"/>
        <v>0</v>
      </c>
      <c r="AV20" s="102">
        <f t="shared" si="18"/>
        <v>0</v>
      </c>
      <c r="AW20" s="102">
        <f t="shared" si="19"/>
        <v>0</v>
      </c>
      <c r="AX20" s="103">
        <f t="shared" si="20"/>
        <v>0</v>
      </c>
      <c r="AY20" s="104">
        <f t="shared" si="28"/>
        <v>-1</v>
      </c>
      <c r="AZ20" s="105">
        <f t="shared" si="21"/>
        <v>0</v>
      </c>
      <c r="BA20" s="106">
        <f t="shared" si="21"/>
        <v>0</v>
      </c>
      <c r="BB20" s="106">
        <f t="shared" si="21"/>
        <v>0</v>
      </c>
      <c r="BC20" s="106">
        <f t="shared" si="21"/>
        <v>0</v>
      </c>
      <c r="BD20" s="106">
        <f t="shared" si="21"/>
        <v>0</v>
      </c>
      <c r="BE20" s="107">
        <f t="shared" si="29"/>
        <v>48391.006913818877</v>
      </c>
      <c r="BG20" s="108">
        <f>'Op Cost-24'!E13</f>
        <v>167538</v>
      </c>
      <c r="BH20" s="109">
        <f t="shared" si="22"/>
        <v>0.28883600683915817</v>
      </c>
      <c r="BI20" s="110">
        <f t="shared" si="23"/>
        <v>48391.006913818877</v>
      </c>
      <c r="BJ20" s="111">
        <f t="shared" si="24"/>
        <v>0</v>
      </c>
      <c r="BK20" s="1">
        <f t="shared" si="30"/>
        <v>0.32053973166218086</v>
      </c>
      <c r="BL20" s="112">
        <f t="shared" si="31"/>
        <v>0.19311803854655565</v>
      </c>
      <c r="BM20" s="112">
        <f t="shared" si="32"/>
        <v>0.1648817174741056</v>
      </c>
      <c r="BN20" s="113">
        <f t="shared" si="33"/>
        <v>0.46207958531403115</v>
      </c>
      <c r="BO20" s="114">
        <f t="shared" si="25"/>
        <v>48391.006913818877</v>
      </c>
      <c r="BP20" s="115">
        <f t="shared" si="34"/>
        <v>1.225188784836756E-4</v>
      </c>
      <c r="BQ20" s="116">
        <f t="shared" si="35"/>
        <v>1.225188784836756E-4</v>
      </c>
      <c r="BR20" s="117">
        <f t="shared" si="36"/>
        <v>1.8880329897938487E-4</v>
      </c>
      <c r="BS20" s="118">
        <f t="shared" si="37"/>
        <v>50777.108124587561</v>
      </c>
      <c r="BT20" s="119">
        <f t="shared" si="38"/>
        <v>50261.4</v>
      </c>
      <c r="BU20" s="119">
        <f t="shared" si="39"/>
        <v>50261.4</v>
      </c>
      <c r="BV20" s="119">
        <f t="shared" si="56"/>
        <v>515.70812458755972</v>
      </c>
      <c r="BW20" s="120">
        <f t="shared" si="40"/>
        <v>0</v>
      </c>
      <c r="BX20" s="121">
        <f t="shared" si="41"/>
        <v>0</v>
      </c>
      <c r="BY20" s="122">
        <f t="shared" si="42"/>
        <v>50261.4</v>
      </c>
      <c r="BZ20" s="123">
        <f t="shared" si="58"/>
        <v>635204935735.91663</v>
      </c>
      <c r="CA20" s="111">
        <f t="shared" si="57"/>
        <v>635204984127</v>
      </c>
      <c r="CC20" s="124">
        <f t="shared" si="26"/>
        <v>1</v>
      </c>
      <c r="CD20" s="17"/>
      <c r="CE20" s="108">
        <f t="shared" si="44"/>
        <v>167538</v>
      </c>
      <c r="CF20" s="125">
        <f t="shared" si="45"/>
        <v>3791408.4215342193</v>
      </c>
      <c r="CG20" s="110">
        <f t="shared" si="46"/>
        <v>50261.4</v>
      </c>
      <c r="CH20" s="126">
        <f t="shared" si="47"/>
        <v>635204933865.59998</v>
      </c>
      <c r="CJ20" s="127">
        <f t="shared" si="48"/>
        <v>0</v>
      </c>
      <c r="CK20" s="128" t="e">
        <f t="shared" si="49"/>
        <v>#DIV/0!</v>
      </c>
      <c r="CL20" s="129" t="e">
        <f t="shared" si="50"/>
        <v>#DIV/0!</v>
      </c>
      <c r="CM20" s="130" t="e">
        <f t="shared" si="51"/>
        <v>#DIV/0!</v>
      </c>
      <c r="CO20" s="131" t="e">
        <f t="shared" si="52"/>
        <v>#DIV/0!</v>
      </c>
      <c r="CP20" s="1">
        <f t="shared" si="53"/>
        <v>0</v>
      </c>
      <c r="CQ20" s="132">
        <f t="shared" si="54"/>
        <v>0.3</v>
      </c>
      <c r="CS20" s="104">
        <f t="shared" si="55"/>
        <v>1.0222341983346319E-4</v>
      </c>
    </row>
    <row r="21" spans="1:97">
      <c r="A21" s="133" t="s">
        <v>92</v>
      </c>
      <c r="B21" s="90" t="s">
        <v>95</v>
      </c>
      <c r="C21" s="91">
        <f>'Sizing - Reimb Expen-24'!B14</f>
        <v>99106247</v>
      </c>
      <c r="D21" s="92">
        <f>'Ridership-24'!$E13</f>
        <v>6381801</v>
      </c>
      <c r="E21" s="92">
        <f>'Revenue Hours-24'!$F13</f>
        <v>886831</v>
      </c>
      <c r="F21" s="92">
        <f>'Revenue Miles-24'!$F13</f>
        <v>12904187</v>
      </c>
      <c r="G21" s="134">
        <f t="shared" si="0"/>
        <v>0.19425404876544911</v>
      </c>
      <c r="H21" s="94">
        <f t="shared" si="1"/>
        <v>0.18338968334407399</v>
      </c>
      <c r="J21" s="95">
        <f>'Ridership-24'!B13/'Revenue Hours-24'!C13</f>
        <v>12.656717268983227</v>
      </c>
      <c r="K21" s="96">
        <f>'Ridership-24'!C13/'Revenue Hours-24'!D13</f>
        <v>12.193537039037592</v>
      </c>
      <c r="L21" s="96">
        <f>'Ridership-24'!D13/'Revenue Hours-24'!E13</f>
        <v>6.640780447028594</v>
      </c>
      <c r="M21" s="96">
        <f>'Ridership-24'!E13/'Revenue Hours-24'!F13</f>
        <v>7.1961861955660096</v>
      </c>
      <c r="N21" s="97">
        <f t="shared" si="2"/>
        <v>0.95618600608247295</v>
      </c>
      <c r="O21" s="98">
        <f t="shared" si="3"/>
        <v>0.17535464887349952</v>
      </c>
      <c r="P21" s="99">
        <f t="shared" si="4"/>
        <v>0.16825824019708432</v>
      </c>
      <c r="Q21" s="95">
        <f>'Ridership-24'!B13/'Revenue Miles-24'!C13</f>
        <v>0.95192676699971746</v>
      </c>
      <c r="R21" s="96">
        <f>'Ridership-24'!C13/'Revenue Miles-24'!D13</f>
        <v>0.90434093823673278</v>
      </c>
      <c r="S21" s="96">
        <f>'Ridership-24'!D13/'Revenue Miles-24'!E13</f>
        <v>0.46622665154015291</v>
      </c>
      <c r="T21" s="96">
        <f>'Ridership-24'!E13/'Revenue Miles-24'!F13</f>
        <v>0.49455273703023678</v>
      </c>
      <c r="U21" s="97">
        <f t="shared" si="5"/>
        <v>0.93066455285606553</v>
      </c>
      <c r="V21" s="98">
        <f t="shared" si="6"/>
        <v>0.17067427764782805</v>
      </c>
      <c r="W21" s="99">
        <f t="shared" si="7"/>
        <v>0.16433055810562958</v>
      </c>
      <c r="X21" s="95">
        <f>'Op Cost-24'!B14/'Revenue Hours-24'!C13</f>
        <v>88.602471990302604</v>
      </c>
      <c r="Y21" s="96">
        <f>'Op Cost-24'!C14/'Revenue Hours-24'!D13</f>
        <v>89.156752379659721</v>
      </c>
      <c r="Z21" s="96">
        <f>'Op Cost-24'!D14/'Revenue Hours-24'!E13</f>
        <v>107.97198556298591</v>
      </c>
      <c r="AA21" s="96">
        <f>'Op Cost-24'!E14/'Revenue Hours-24'!F13</f>
        <v>112.49719845156518</v>
      </c>
      <c r="AB21" s="97">
        <f t="shared" si="8"/>
        <v>1.0063255941642135</v>
      </c>
      <c r="AC21" s="98">
        <f t="shared" si="9"/>
        <v>0.18223692650526807</v>
      </c>
      <c r="AD21" s="99">
        <f t="shared" si="10"/>
        <v>0.1832525684100634</v>
      </c>
      <c r="AE21" s="95">
        <f>'Op Cost-24'!B14/'Revenue Miles-24'!C13</f>
        <v>6.6638973532737733</v>
      </c>
      <c r="AF21" s="96">
        <f>'Op Cost-24'!C14/'Revenue Miles-24'!D13</f>
        <v>6.6123636512548227</v>
      </c>
      <c r="AG21" s="96">
        <f>'Op Cost-24'!D14/'Revenue Miles-24'!E13</f>
        <v>7.5803465708156237</v>
      </c>
      <c r="AH21" s="96">
        <f>'Op Cost-24'!E14/'Revenue Miles-24'!F13</f>
        <v>7.7312893094311175</v>
      </c>
      <c r="AI21" s="97">
        <f t="shared" si="11"/>
        <v>0.98247248937261578</v>
      </c>
      <c r="AJ21" s="98">
        <f t="shared" si="12"/>
        <v>0.18666139289170569</v>
      </c>
      <c r="AK21" s="99">
        <f t="shared" si="13"/>
        <v>0.18687235620897127</v>
      </c>
      <c r="AL21" s="95">
        <f>'Op Cost-24'!B14/'Ridership-24'!B13</f>
        <v>7.0004306888827621</v>
      </c>
      <c r="AM21" s="96">
        <f>'Op Cost-24'!C14/'Ridership-24'!C13</f>
        <v>7.311803957639567</v>
      </c>
      <c r="AN21" s="96">
        <f>'Op Cost-24'!D14/'Ridership-24'!D13</f>
        <v>16.258930170067252</v>
      </c>
      <c r="AO21" s="96">
        <f>'Op Cost-24'!E14/'Ridership-24'!E13</f>
        <v>15.632891561488677</v>
      </c>
      <c r="AP21" s="97">
        <f t="shared" si="14"/>
        <v>1.0641680221867109</v>
      </c>
      <c r="AQ21" s="98">
        <f t="shared" si="15"/>
        <v>0.1723315111153545</v>
      </c>
      <c r="AR21" s="99">
        <f t="shared" si="16"/>
        <v>0.18243505638326307</v>
      </c>
      <c r="AT21" s="101">
        <f t="shared" si="27"/>
        <v>0</v>
      </c>
      <c r="AU21" s="102">
        <f t="shared" si="17"/>
        <v>0</v>
      </c>
      <c r="AV21" s="102">
        <f t="shared" si="18"/>
        <v>0</v>
      </c>
      <c r="AW21" s="102">
        <f t="shared" si="19"/>
        <v>0</v>
      </c>
      <c r="AX21" s="103">
        <f t="shared" si="20"/>
        <v>0</v>
      </c>
      <c r="AY21" s="104">
        <f t="shared" si="28"/>
        <v>-1</v>
      </c>
      <c r="AZ21" s="105">
        <f t="shared" si="21"/>
        <v>0</v>
      </c>
      <c r="BA21" s="106">
        <f t="shared" si="21"/>
        <v>0</v>
      </c>
      <c r="BB21" s="106">
        <f t="shared" si="21"/>
        <v>0</v>
      </c>
      <c r="BC21" s="106">
        <f t="shared" si="21"/>
        <v>0</v>
      </c>
      <c r="BD21" s="106">
        <f t="shared" si="21"/>
        <v>0</v>
      </c>
      <c r="BE21" s="107">
        <f t="shared" si="29"/>
        <v>23217658.332498256</v>
      </c>
      <c r="BG21" s="108">
        <f>'Op Cost-24'!E14</f>
        <v>99766003</v>
      </c>
      <c r="BH21" s="109">
        <f t="shared" si="22"/>
        <v>0.23272114381988679</v>
      </c>
      <c r="BI21" s="110">
        <f t="shared" si="23"/>
        <v>23217658.332498256</v>
      </c>
      <c r="BJ21" s="111">
        <f t="shared" si="24"/>
        <v>0</v>
      </c>
      <c r="BK21" s="1">
        <f t="shared" si="30"/>
        <v>0.95674336611472599</v>
      </c>
      <c r="BL21" s="112">
        <f t="shared" si="31"/>
        <v>0.88692611795611309</v>
      </c>
      <c r="BM21" s="112">
        <f t="shared" si="32"/>
        <v>0.90023955314371251</v>
      </c>
      <c r="BN21" s="113">
        <f t="shared" si="33"/>
        <v>1.0199038966795391</v>
      </c>
      <c r="BO21" s="114">
        <f t="shared" si="25"/>
        <v>23217658.332498256</v>
      </c>
      <c r="BP21" s="115">
        <f t="shared" si="34"/>
        <v>0.17545686295332305</v>
      </c>
      <c r="BQ21" s="116">
        <f t="shared" si="35"/>
        <v>0.17545686295332305</v>
      </c>
      <c r="BR21" s="117">
        <f t="shared" si="36"/>
        <v>0.27038147071004265</v>
      </c>
      <c r="BS21" s="118">
        <f t="shared" si="37"/>
        <v>26634746.68910104</v>
      </c>
      <c r="BT21" s="119">
        <f t="shared" si="38"/>
        <v>29929800.899999999</v>
      </c>
      <c r="BU21" s="119">
        <f t="shared" si="39"/>
        <v>26634746.68910104</v>
      </c>
      <c r="BV21" s="119">
        <f t="shared" si="56"/>
        <v>0</v>
      </c>
      <c r="BW21" s="120">
        <f t="shared" si="40"/>
        <v>0.17545686295332305</v>
      </c>
      <c r="BX21" s="121">
        <f t="shared" si="41"/>
        <v>0.34261275562034021</v>
      </c>
      <c r="BY21" s="122">
        <f t="shared" si="42"/>
        <v>27221640.531041134</v>
      </c>
      <c r="BZ21" s="123">
        <f t="shared" si="58"/>
        <v>344027830982547.38</v>
      </c>
      <c r="CA21" s="111">
        <f>ROUND((BZ21+BI21),0)</f>
        <v>344027854200206</v>
      </c>
      <c r="CC21" s="124">
        <f t="shared" si="26"/>
        <v>1</v>
      </c>
      <c r="CD21" s="17"/>
      <c r="CE21" s="108">
        <f t="shared" si="44"/>
        <v>99766003</v>
      </c>
      <c r="CF21" s="125">
        <f t="shared" si="45"/>
        <v>3448347.5718698082</v>
      </c>
      <c r="CG21" s="110">
        <f t="shared" si="46"/>
        <v>29929800.899999999</v>
      </c>
      <c r="CH21" s="126">
        <f t="shared" si="47"/>
        <v>344027824270405.13</v>
      </c>
      <c r="CJ21" s="127">
        <f t="shared" si="48"/>
        <v>0</v>
      </c>
      <c r="CK21" s="128" t="e">
        <f t="shared" si="49"/>
        <v>#DIV/0!</v>
      </c>
      <c r="CL21" s="129" t="e">
        <f t="shared" si="50"/>
        <v>#DIV/0!</v>
      </c>
      <c r="CM21" s="130" t="e">
        <f t="shared" si="51"/>
        <v>#DIV/0!</v>
      </c>
      <c r="CO21" s="131" t="e">
        <f t="shared" si="52"/>
        <v>#DIV/0!</v>
      </c>
      <c r="CP21" s="1">
        <f t="shared" si="53"/>
        <v>0</v>
      </c>
      <c r="CQ21" s="132">
        <f t="shared" si="54"/>
        <v>0.27285487753820442</v>
      </c>
      <c r="CS21" s="104">
        <f t="shared" si="55"/>
        <v>0.14639213798165579</v>
      </c>
    </row>
    <row r="22" spans="1:97">
      <c r="A22" s="133" t="s">
        <v>92</v>
      </c>
      <c r="B22" s="90" t="s">
        <v>96</v>
      </c>
      <c r="C22" s="91">
        <f>'Sizing - Reimb Expen-24'!B15</f>
        <v>1199104</v>
      </c>
      <c r="D22" s="92">
        <f>'Ridership-24'!$E14</f>
        <v>63727</v>
      </c>
      <c r="E22" s="92">
        <f>'Revenue Hours-24'!$F14</f>
        <v>20345</v>
      </c>
      <c r="F22" s="92">
        <f>'Revenue Miles-24'!$F14</f>
        <v>483018</v>
      </c>
      <c r="G22" s="134">
        <f t="shared" si="0"/>
        <v>3.3555387419838289E-3</v>
      </c>
      <c r="H22" s="94">
        <f t="shared" si="1"/>
        <v>3.1678680122863906E-3</v>
      </c>
      <c r="J22" s="95">
        <f>'Ridership-24'!B14/'Revenue Hours-24'!C14</f>
        <v>5.3304602970841737</v>
      </c>
      <c r="K22" s="96">
        <f>'Ridership-24'!C14/'Revenue Hours-24'!D14</f>
        <v>5.1587647801630121</v>
      </c>
      <c r="L22" s="96">
        <f>'Ridership-24'!D14/'Revenue Hours-24'!E14</f>
        <v>2.5445369916707494</v>
      </c>
      <c r="M22" s="96">
        <f>'Ridership-24'!E14/'Revenue Hours-24'!F14</f>
        <v>3.1323175227328584</v>
      </c>
      <c r="N22" s="97">
        <f t="shared" si="2"/>
        <v>0.96244724110818003</v>
      </c>
      <c r="O22" s="98">
        <f t="shared" si="3"/>
        <v>3.0489058286198908E-3</v>
      </c>
      <c r="P22" s="99">
        <f t="shared" si="4"/>
        <v>2.9255199821950299E-3</v>
      </c>
      <c r="Q22" s="95">
        <f>'Ridership-24'!B14/'Revenue Miles-24'!C14</f>
        <v>0.21260136238851965</v>
      </c>
      <c r="R22" s="96">
        <f>'Ridership-24'!C14/'Revenue Miles-24'!D14</f>
        <v>0.22008311029377553</v>
      </c>
      <c r="S22" s="96">
        <f>'Ridership-24'!D14/'Revenue Miles-24'!E14</f>
        <v>0.1120356208297289</v>
      </c>
      <c r="T22" s="96">
        <f>'Ridership-24'!E14/'Revenue Miles-24'!F14</f>
        <v>0.13193504175827817</v>
      </c>
      <c r="U22" s="97">
        <f t="shared" si="5"/>
        <v>0.98618094333957085</v>
      </c>
      <c r="V22" s="98">
        <f t="shared" si="6"/>
        <v>3.1240910647318439E-3</v>
      </c>
      <c r="W22" s="99">
        <f t="shared" si="7"/>
        <v>3.007973054378576E-3</v>
      </c>
      <c r="X22" s="95">
        <f>'Op Cost-24'!B15/'Revenue Hours-24'!C14</f>
        <v>53.481447521242131</v>
      </c>
      <c r="Y22" s="96">
        <f>'Op Cost-24'!C15/'Revenue Hours-24'!D14</f>
        <v>42.671162897485935</v>
      </c>
      <c r="Z22" s="96">
        <f>'Op Cost-24'!D15/'Revenue Hours-24'!E14</f>
        <v>48.696570308672221</v>
      </c>
      <c r="AA22" s="96">
        <f>'Op Cost-24'!E15/'Revenue Hours-24'!F14</f>
        <v>59.030916687146721</v>
      </c>
      <c r="AB22" s="97">
        <f t="shared" si="8"/>
        <v>0.9757458596773475</v>
      </c>
      <c r="AC22" s="98">
        <f t="shared" si="9"/>
        <v>3.2466117902195534E-3</v>
      </c>
      <c r="AD22" s="99">
        <f t="shared" si="10"/>
        <v>3.2647057904092143E-3</v>
      </c>
      <c r="AE22" s="95">
        <f>'Op Cost-24'!B15/'Revenue Miles-24'!C14</f>
        <v>2.1330669345283084</v>
      </c>
      <c r="AF22" s="96">
        <f>'Op Cost-24'!C15/'Revenue Miles-24'!D14</f>
        <v>1.8204362188489445</v>
      </c>
      <c r="AG22" s="96">
        <f>'Op Cost-24'!D15/'Revenue Miles-24'!E14</f>
        <v>2.1441034281165527</v>
      </c>
      <c r="AH22" s="96">
        <f>'Op Cost-24'!E15/'Revenue Miles-24'!F14</f>
        <v>2.4864166552799274</v>
      </c>
      <c r="AI22" s="97">
        <f t="shared" si="11"/>
        <v>0.99284699161436885</v>
      </c>
      <c r="AJ22" s="98">
        <f t="shared" si="12"/>
        <v>3.1906910521382944E-3</v>
      </c>
      <c r="AK22" s="99">
        <f t="shared" si="13"/>
        <v>3.1942971474229215E-3</v>
      </c>
      <c r="AL22" s="95">
        <f>'Op Cost-24'!B15/'Ridership-24'!B14</f>
        <v>10.033176225043292</v>
      </c>
      <c r="AM22" s="96">
        <f>'Op Cost-24'!C15/'Ridership-24'!C14</f>
        <v>8.2715852952957416</v>
      </c>
      <c r="AN22" s="96">
        <f>'Op Cost-24'!D15/'Ridership-24'!D14</f>
        <v>19.13769399622598</v>
      </c>
      <c r="AO22" s="96">
        <f>'Op Cost-24'!E15/'Ridership-24'!E14</f>
        <v>18.84576396189998</v>
      </c>
      <c r="AP22" s="100">
        <f t="shared" si="14"/>
        <v>1.0150741605069409</v>
      </c>
      <c r="AQ22" s="98">
        <f t="shared" si="15"/>
        <v>3.1208242072720254E-3</v>
      </c>
      <c r="AR22" s="99">
        <f t="shared" si="16"/>
        <v>3.3037935809360876E-3</v>
      </c>
      <c r="AT22" s="101">
        <f t="shared" si="27"/>
        <v>0</v>
      </c>
      <c r="AU22" s="102">
        <f t="shared" si="17"/>
        <v>0</v>
      </c>
      <c r="AV22" s="102">
        <f t="shared" si="18"/>
        <v>0</v>
      </c>
      <c r="AW22" s="102">
        <f t="shared" si="19"/>
        <v>0</v>
      </c>
      <c r="AX22" s="103">
        <f t="shared" si="20"/>
        <v>0</v>
      </c>
      <c r="AY22" s="104">
        <f t="shared" si="28"/>
        <v>-1</v>
      </c>
      <c r="AZ22" s="105">
        <f t="shared" si="21"/>
        <v>0</v>
      </c>
      <c r="BA22" s="106">
        <f t="shared" si="21"/>
        <v>0</v>
      </c>
      <c r="BB22" s="106">
        <f t="shared" si="21"/>
        <v>0</v>
      </c>
      <c r="BC22" s="106">
        <f t="shared" si="21"/>
        <v>0</v>
      </c>
      <c r="BD22" s="106">
        <f t="shared" si="21"/>
        <v>0</v>
      </c>
      <c r="BE22" s="107">
        <f t="shared" si="29"/>
        <v>401061.14919082494</v>
      </c>
      <c r="BG22" s="108">
        <f>'Op Cost-24'!E15</f>
        <v>1200984</v>
      </c>
      <c r="BH22" s="109">
        <f t="shared" si="22"/>
        <v>0.33394379041754507</v>
      </c>
      <c r="BI22" s="110">
        <f t="shared" si="23"/>
        <v>360295.2</v>
      </c>
      <c r="BJ22" s="111">
        <f t="shared" si="24"/>
        <v>40765.949190824933</v>
      </c>
      <c r="BK22" s="1">
        <f t="shared" si="30"/>
        <v>0.58374151688748688</v>
      </c>
      <c r="BL22" s="112">
        <f t="shared" si="31"/>
        <v>0.36579237705526796</v>
      </c>
      <c r="BM22" s="112">
        <f t="shared" si="32"/>
        <v>0.22434725881954989</v>
      </c>
      <c r="BN22" s="113">
        <f t="shared" si="33"/>
        <v>0.87241321583756493</v>
      </c>
      <c r="BO22" s="114">
        <f t="shared" si="25"/>
        <v>0</v>
      </c>
      <c r="BP22" s="115">
        <f t="shared" si="34"/>
        <v>1.8492160787914056E-3</v>
      </c>
      <c r="BQ22" s="116">
        <f t="shared" si="35"/>
        <v>0</v>
      </c>
      <c r="BR22" s="117">
        <f t="shared" si="36"/>
        <v>0</v>
      </c>
      <c r="BS22" s="118">
        <f t="shared" si="37"/>
        <v>360295.2</v>
      </c>
      <c r="BT22" s="119">
        <f t="shared" si="38"/>
        <v>360295.2</v>
      </c>
      <c r="BU22" s="119">
        <f t="shared" si="39"/>
        <v>360295.2</v>
      </c>
      <c r="BV22" s="119">
        <f t="shared" si="56"/>
        <v>0</v>
      </c>
      <c r="BW22" s="120">
        <f t="shared" si="40"/>
        <v>0</v>
      </c>
      <c r="BX22" s="121">
        <f t="shared" si="41"/>
        <v>0</v>
      </c>
      <c r="BY22" s="122">
        <f t="shared" si="42"/>
        <v>360295.2</v>
      </c>
      <c r="BZ22" s="123">
        <f t="shared" si="58"/>
        <v>4553420504839.8818</v>
      </c>
      <c r="CA22" s="111">
        <f t="shared" si="57"/>
        <v>4553420865135</v>
      </c>
      <c r="CC22" s="124">
        <f t="shared" si="26"/>
        <v>1</v>
      </c>
      <c r="CD22" s="17"/>
      <c r="CE22" s="108">
        <f t="shared" si="44"/>
        <v>1200984</v>
      </c>
      <c r="CF22" s="125">
        <f t="shared" si="45"/>
        <v>3791408.4326976878</v>
      </c>
      <c r="CG22" s="110">
        <f t="shared" si="46"/>
        <v>360295.2</v>
      </c>
      <c r="CH22" s="126">
        <f t="shared" si="47"/>
        <v>4553420504839.7998</v>
      </c>
      <c r="CJ22" s="127">
        <f t="shared" si="48"/>
        <v>0</v>
      </c>
      <c r="CK22" s="128" t="e">
        <f t="shared" si="49"/>
        <v>#DIV/0!</v>
      </c>
      <c r="CL22" s="129" t="e">
        <f t="shared" si="50"/>
        <v>#DIV/0!</v>
      </c>
      <c r="CM22" s="130" t="e">
        <f t="shared" si="51"/>
        <v>#DIV/0!</v>
      </c>
      <c r="CO22" s="131" t="e">
        <f t="shared" si="52"/>
        <v>#DIV/0!</v>
      </c>
      <c r="CP22" s="1">
        <f t="shared" si="53"/>
        <v>0</v>
      </c>
      <c r="CQ22" s="132">
        <f t="shared" si="54"/>
        <v>0.3</v>
      </c>
      <c r="CS22" s="104">
        <f t="shared" si="55"/>
        <v>1.5428903196356891E-3</v>
      </c>
    </row>
    <row r="23" spans="1:97">
      <c r="A23" s="133" t="s">
        <v>92</v>
      </c>
      <c r="B23" s="90" t="s">
        <v>97</v>
      </c>
      <c r="C23" s="91">
        <f>'Sizing - Reimb Expen-24'!B16</f>
        <v>67079</v>
      </c>
      <c r="D23" s="92">
        <f>'Ridership-24'!$E15</f>
        <v>3001</v>
      </c>
      <c r="E23" s="92">
        <f>'Revenue Hours-24'!$F15</f>
        <v>880</v>
      </c>
      <c r="F23" s="92">
        <f>'Revenue Miles-24'!$F15</f>
        <v>6777</v>
      </c>
      <c r="G23" s="93">
        <f t="shared" si="0"/>
        <v>1.2445998923312263E-4</v>
      </c>
      <c r="H23" s="94">
        <f t="shared" si="1"/>
        <v>1.174991108783979E-4</v>
      </c>
      <c r="J23" s="95">
        <f>'Ridership-24'!B15/'Revenue Hours-24'!C15</f>
        <v>8.7948148148148153</v>
      </c>
      <c r="K23" s="96">
        <f>'Ridership-24'!C15/'Revenue Hours-24'!D15</f>
        <v>8.9790310918293557</v>
      </c>
      <c r="L23" s="96">
        <f>'Ridership-24'!D15/'Revenue Hours-24'!E15</f>
        <v>1.0119225037257824</v>
      </c>
      <c r="M23" s="96">
        <f>'Ridership-24'!E15/'Revenue Hours-24'!F15</f>
        <v>3.4102272727272727</v>
      </c>
      <c r="N23" s="97">
        <f t="shared" si="2"/>
        <v>1.2867202290035118</v>
      </c>
      <c r="O23" s="98">
        <f t="shared" si="3"/>
        <v>1.5118848285716117E-4</v>
      </c>
      <c r="P23" s="99">
        <f t="shared" si="4"/>
        <v>1.4507005218871853E-4</v>
      </c>
      <c r="Q23" s="95">
        <f>'Ridership-24'!B15/'Revenue Miles-24'!C15</f>
        <v>0.80829191912315335</v>
      </c>
      <c r="R23" s="96">
        <f>'Ridership-24'!C15/'Revenue Miles-24'!D15</f>
        <v>0.71335018382352944</v>
      </c>
      <c r="S23" s="96">
        <f>'Ridership-24'!D15/'Revenue Miles-24'!E15</f>
        <v>0.14279705573080967</v>
      </c>
      <c r="T23" s="96">
        <f>'Ridership-24'!E15/'Revenue Miles-24'!F15</f>
        <v>0.44282130736314002</v>
      </c>
      <c r="U23" s="97">
        <f t="shared" si="5"/>
        <v>1.2471062801138642</v>
      </c>
      <c r="V23" s="98">
        <f t="shared" si="6"/>
        <v>1.4653387908424527E-4</v>
      </c>
      <c r="W23" s="99">
        <f t="shared" si="7"/>
        <v>1.4108742373577756E-4</v>
      </c>
      <c r="X23" s="95">
        <f>'Op Cost-24'!B16/'Revenue Hours-24'!C15</f>
        <v>61.958518518518517</v>
      </c>
      <c r="Y23" s="96">
        <f>'Op Cost-24'!C16/'Revenue Hours-24'!D15</f>
        <v>67.96963123644251</v>
      </c>
      <c r="Z23" s="96">
        <f>'Op Cost-24'!D16/'Revenue Hours-24'!E15</f>
        <v>58.488077496274215</v>
      </c>
      <c r="AA23" s="96">
        <f>'Op Cost-24'!E16/'Revenue Hours-24'!F15</f>
        <v>76.226136363636357</v>
      </c>
      <c r="AB23" s="97">
        <f t="shared" si="8"/>
        <v>1.0272513597950881</v>
      </c>
      <c r="AC23" s="98">
        <f t="shared" si="9"/>
        <v>1.1438204462619173E-4</v>
      </c>
      <c r="AD23" s="99">
        <f t="shared" si="10"/>
        <v>1.150195180510696E-4</v>
      </c>
      <c r="AE23" s="95">
        <f>'Op Cost-24'!B16/'Revenue Miles-24'!C15</f>
        <v>5.6943290897950849</v>
      </c>
      <c r="AF23" s="96">
        <f>'Op Cost-24'!C16/'Revenue Miles-24'!D15</f>
        <v>5.399931066176471</v>
      </c>
      <c r="AG23" s="96">
        <f>'Op Cost-24'!D16/'Revenue Miles-24'!E15</f>
        <v>8.2535226077812833</v>
      </c>
      <c r="AH23" s="96">
        <f>'Op Cost-24'!E16/'Revenue Miles-24'!F15</f>
        <v>9.8980374797107871</v>
      </c>
      <c r="AI23" s="97">
        <f t="shared" si="11"/>
        <v>1.1318796204022947</v>
      </c>
      <c r="AJ23" s="98">
        <f t="shared" si="12"/>
        <v>1.0380884041064027E-4</v>
      </c>
      <c r="AK23" s="99">
        <f t="shared" si="13"/>
        <v>1.0392616438961232E-4</v>
      </c>
      <c r="AL23" s="95">
        <f>'Op Cost-24'!B16/'Ridership-24'!B15</f>
        <v>7.0448917712456831</v>
      </c>
      <c r="AM23" s="96">
        <f>'Op Cost-24'!C16/'Ridership-24'!C15</f>
        <v>7.5698180061201485</v>
      </c>
      <c r="AN23" s="96">
        <f>'Op Cost-24'!D16/'Ridership-24'!D15</f>
        <v>57.798969072164951</v>
      </c>
      <c r="AO23" s="96">
        <f>'Op Cost-24'!E16/'Ridership-24'!E15</f>
        <v>22.352215928023991</v>
      </c>
      <c r="AP23" s="100">
        <f t="shared" si="14"/>
        <v>1.5866490338867194</v>
      </c>
      <c r="AQ23" s="98">
        <f t="shared" si="15"/>
        <v>7.4054884457066945E-5</v>
      </c>
      <c r="AR23" s="99">
        <f t="shared" si="16"/>
        <v>7.8396614373894965E-5</v>
      </c>
      <c r="AT23" s="101">
        <f t="shared" si="27"/>
        <v>0</v>
      </c>
      <c r="AU23" s="102">
        <f t="shared" si="17"/>
        <v>0</v>
      </c>
      <c r="AV23" s="102">
        <f t="shared" si="18"/>
        <v>0</v>
      </c>
      <c r="AW23" s="102">
        <f t="shared" si="19"/>
        <v>0</v>
      </c>
      <c r="AX23" s="103">
        <f t="shared" si="20"/>
        <v>0</v>
      </c>
      <c r="AY23" s="104">
        <f t="shared" si="28"/>
        <v>-1</v>
      </c>
      <c r="AZ23" s="105">
        <f t="shared" si="21"/>
        <v>0</v>
      </c>
      <c r="BA23" s="106">
        <f t="shared" si="21"/>
        <v>0</v>
      </c>
      <c r="BB23" s="106">
        <f t="shared" si="21"/>
        <v>0</v>
      </c>
      <c r="BC23" s="106">
        <f t="shared" si="21"/>
        <v>0</v>
      </c>
      <c r="BD23" s="106">
        <f t="shared" si="21"/>
        <v>0</v>
      </c>
      <c r="BE23" s="107">
        <f t="shared" si="29"/>
        <v>14875.723437662642</v>
      </c>
      <c r="BG23" s="108">
        <f>'Op Cost-24'!E16</f>
        <v>67079</v>
      </c>
      <c r="BH23" s="109">
        <f t="shared" si="22"/>
        <v>0.22176423974213452</v>
      </c>
      <c r="BI23" s="110">
        <f t="shared" si="23"/>
        <v>14875.723437662642</v>
      </c>
      <c r="BJ23" s="111">
        <f t="shared" si="24"/>
        <v>0</v>
      </c>
      <c r="BK23" s="1">
        <f t="shared" si="30"/>
        <v>0.57107403885179187</v>
      </c>
      <c r="BL23" s="112">
        <f t="shared" si="31"/>
        <v>0.39676426130625492</v>
      </c>
      <c r="BM23" s="112">
        <f t="shared" si="32"/>
        <v>0.58630726114106679</v>
      </c>
      <c r="BN23" s="113">
        <f t="shared" si="33"/>
        <v>0.65061231647992301</v>
      </c>
      <c r="BO23" s="114">
        <f t="shared" si="25"/>
        <v>14875.723437662642</v>
      </c>
      <c r="BP23" s="115">
        <f t="shared" si="34"/>
        <v>6.7100691810821199E-5</v>
      </c>
      <c r="BQ23" s="116">
        <f t="shared" si="35"/>
        <v>6.7100691810821199E-5</v>
      </c>
      <c r="BR23" s="117">
        <f t="shared" si="36"/>
        <v>1.0340310109327381E-4</v>
      </c>
      <c r="BS23" s="118">
        <f t="shared" si="37"/>
        <v>16182.53463243333</v>
      </c>
      <c r="BT23" s="119">
        <f t="shared" si="38"/>
        <v>20123.7</v>
      </c>
      <c r="BU23" s="119">
        <f t="shared" si="39"/>
        <v>16182.53463243333</v>
      </c>
      <c r="BV23" s="119">
        <f t="shared" si="56"/>
        <v>0</v>
      </c>
      <c r="BW23" s="120">
        <f t="shared" si="40"/>
        <v>6.7100691810821199E-5</v>
      </c>
      <c r="BX23" s="121">
        <f t="shared" si="41"/>
        <v>1.3102680931581788E-4</v>
      </c>
      <c r="BY23" s="122">
        <f t="shared" si="42"/>
        <v>16406.982865183094</v>
      </c>
      <c r="BZ23" s="123">
        <f t="shared" si="58"/>
        <v>207351894226.95969</v>
      </c>
      <c r="CA23" s="111">
        <f t="shared" si="57"/>
        <v>207351909103</v>
      </c>
      <c r="CC23" s="124">
        <f t="shared" si="26"/>
        <v>1</v>
      </c>
      <c r="CD23" s="17"/>
      <c r="CE23" s="108">
        <f t="shared" si="44"/>
        <v>67079</v>
      </c>
      <c r="CF23" s="125">
        <f t="shared" si="45"/>
        <v>3091159.8131009704</v>
      </c>
      <c r="CG23" s="110">
        <f t="shared" si="46"/>
        <v>20123.7</v>
      </c>
      <c r="CH23" s="126">
        <f t="shared" si="47"/>
        <v>207351888979.29999</v>
      </c>
      <c r="CJ23" s="127">
        <f t="shared" si="48"/>
        <v>0</v>
      </c>
      <c r="CK23" s="128" t="e">
        <f t="shared" si="49"/>
        <v>#DIV/0!</v>
      </c>
      <c r="CL23" s="129" t="e">
        <f t="shared" si="50"/>
        <v>#DIV/0!</v>
      </c>
      <c r="CM23" s="130" t="e">
        <f t="shared" si="51"/>
        <v>#DIV/0!</v>
      </c>
      <c r="CO23" s="131" t="e">
        <f t="shared" si="52"/>
        <v>#DIV/0!</v>
      </c>
      <c r="CP23" s="1">
        <f t="shared" si="53"/>
        <v>0</v>
      </c>
      <c r="CQ23" s="132">
        <f t="shared" si="54"/>
        <v>0.24459194181760452</v>
      </c>
      <c r="CS23" s="104">
        <f t="shared" si="55"/>
        <v>5.5985349155863584E-5</v>
      </c>
    </row>
    <row r="24" spans="1:97">
      <c r="A24" s="133" t="s">
        <v>92</v>
      </c>
      <c r="B24" s="90" t="s">
        <v>98</v>
      </c>
      <c r="C24" s="91">
        <f>'Sizing - Reimb Expen-24'!B17</f>
        <v>7123342</v>
      </c>
      <c r="D24" s="92">
        <f>'Ridership-24'!$E16</f>
        <v>1544283</v>
      </c>
      <c r="E24" s="92">
        <f>'Revenue Hours-24'!$F16</f>
        <v>79332</v>
      </c>
      <c r="F24" s="92">
        <f>'Revenue Miles-24'!$F16</f>
        <v>1099092</v>
      </c>
      <c r="G24" s="134">
        <f t="shared" si="0"/>
        <v>2.4722263263895098E-2</v>
      </c>
      <c r="H24" s="94">
        <f t="shared" si="1"/>
        <v>2.3339580617899373E-2</v>
      </c>
      <c r="J24" s="95">
        <f>'Ridership-24'!B16/'Revenue Hours-24'!C16</f>
        <v>23.927803085810158</v>
      </c>
      <c r="K24" s="96">
        <f>'Ridership-24'!C16/'Revenue Hours-24'!D16</f>
        <v>23.310953988801508</v>
      </c>
      <c r="L24" s="96">
        <f>'Ridership-24'!D16/'Revenue Hours-24'!E16</f>
        <v>14.316342020333447</v>
      </c>
      <c r="M24" s="96">
        <f>'Ridership-24'!E16/'Revenue Hours-24'!F16</f>
        <v>19.466079261836335</v>
      </c>
      <c r="N24" s="97">
        <f t="shared" si="2"/>
        <v>1.076344980447</v>
      </c>
      <c r="O24" s="98">
        <f t="shared" si="3"/>
        <v>2.5121440443814081E-2</v>
      </c>
      <c r="P24" s="99">
        <f t="shared" si="4"/>
        <v>2.4104803536410875E-2</v>
      </c>
      <c r="Q24" s="95">
        <f>'Ridership-24'!B16/'Revenue Miles-24'!C16</f>
        <v>1.6630463742338306</v>
      </c>
      <c r="R24" s="96">
        <f>'Ridership-24'!C16/'Revenue Miles-24'!D16</f>
        <v>1.6285925776934442</v>
      </c>
      <c r="S24" s="96">
        <f>'Ridership-24'!D16/'Revenue Miles-24'!E16</f>
        <v>1.0462325686324412</v>
      </c>
      <c r="T24" s="96">
        <f>'Ridership-24'!E16/'Revenue Miles-24'!F16</f>
        <v>1.4050534441156883</v>
      </c>
      <c r="U24" s="97">
        <f t="shared" si="5"/>
        <v>1.0964259555786009</v>
      </c>
      <c r="V24" s="98">
        <f t="shared" si="6"/>
        <v>2.5590121981784113E-2</v>
      </c>
      <c r="W24" s="99">
        <f t="shared" si="7"/>
        <v>2.4638973635704369E-2</v>
      </c>
      <c r="X24" s="95">
        <f>'Op Cost-24'!B17/'Revenue Hours-24'!C16</f>
        <v>80.153154301126648</v>
      </c>
      <c r="Y24" s="96">
        <f>'Op Cost-24'!C17/'Revenue Hours-24'!D16</f>
        <v>79.983720905617247</v>
      </c>
      <c r="Z24" s="96">
        <f>'Op Cost-24'!D17/'Revenue Hours-24'!E16</f>
        <v>90.654407919074401</v>
      </c>
      <c r="AA24" s="96">
        <f>'Op Cost-24'!E17/'Revenue Hours-24'!F16</f>
        <v>94.089194776382797</v>
      </c>
      <c r="AB24" s="97">
        <f t="shared" si="8"/>
        <v>0.98105796356384378</v>
      </c>
      <c r="AC24" s="98">
        <f t="shared" si="9"/>
        <v>2.3790215751488077E-2</v>
      </c>
      <c r="AD24" s="99">
        <f t="shared" si="10"/>
        <v>2.3922803259984249E-2</v>
      </c>
      <c r="AE24" s="95">
        <f>'Op Cost-24'!B17/'Revenue Miles-24'!C16</f>
        <v>5.5708588108092147</v>
      </c>
      <c r="AF24" s="96">
        <f>'Op Cost-24'!C17/'Revenue Miles-24'!D16</f>
        <v>5.5879692553882192</v>
      </c>
      <c r="AG24" s="96">
        <f>'Op Cost-24'!D17/'Revenue Miles-24'!E16</f>
        <v>6.6249879976545323</v>
      </c>
      <c r="AH24" s="96">
        <f>'Op Cost-24'!E17/'Revenue Miles-24'!F16</f>
        <v>6.7913186521237527</v>
      </c>
      <c r="AI24" s="97">
        <f t="shared" si="11"/>
        <v>0.99833996202258612</v>
      </c>
      <c r="AJ24" s="98">
        <f t="shared" si="12"/>
        <v>2.3378389632540169E-2</v>
      </c>
      <c r="AK24" s="99">
        <f t="shared" si="13"/>
        <v>2.3404811714540109E-2</v>
      </c>
      <c r="AL24" s="95">
        <f>'Op Cost-24'!B17/'Ridership-24'!B16</f>
        <v>3.3497916216411721</v>
      </c>
      <c r="AM24" s="96">
        <f>'Op Cost-24'!C17/'Ridership-24'!C16</f>
        <v>3.4311646337614974</v>
      </c>
      <c r="AN24" s="96">
        <f>'Op Cost-24'!D17/'Ridership-24'!D16</f>
        <v>6.3322326185221254</v>
      </c>
      <c r="AO24" s="96">
        <f>'Op Cost-24'!E17/'Ridership-24'!E16</f>
        <v>4.833494896984555</v>
      </c>
      <c r="AP24" s="97">
        <f t="shared" si="14"/>
        <v>0.9196236726899828</v>
      </c>
      <c r="AQ24" s="98">
        <f t="shared" si="15"/>
        <v>2.5379490884166758E-2</v>
      </c>
      <c r="AR24" s="99">
        <f t="shared" si="16"/>
        <v>2.6867453435908142E-2</v>
      </c>
      <c r="AT24" s="101">
        <f t="shared" si="27"/>
        <v>0</v>
      </c>
      <c r="AU24" s="102">
        <f t="shared" si="17"/>
        <v>0</v>
      </c>
      <c r="AV24" s="102">
        <f t="shared" si="18"/>
        <v>0</v>
      </c>
      <c r="AW24" s="102">
        <f t="shared" si="19"/>
        <v>0</v>
      </c>
      <c r="AX24" s="103">
        <f t="shared" si="20"/>
        <v>0</v>
      </c>
      <c r="AY24" s="104">
        <f t="shared" si="28"/>
        <v>-1</v>
      </c>
      <c r="AZ24" s="105">
        <f t="shared" si="21"/>
        <v>0</v>
      </c>
      <c r="BA24" s="106">
        <f t="shared" si="21"/>
        <v>0</v>
      </c>
      <c r="BB24" s="106">
        <f t="shared" si="21"/>
        <v>0</v>
      </c>
      <c r="BC24" s="106">
        <f t="shared" si="21"/>
        <v>0</v>
      </c>
      <c r="BD24" s="106">
        <f t="shared" si="21"/>
        <v>0</v>
      </c>
      <c r="BE24" s="107">
        <f t="shared" si="29"/>
        <v>2954857.6480907956</v>
      </c>
      <c r="BG24" s="108">
        <f>'Op Cost-24'!E17</f>
        <v>7464284</v>
      </c>
      <c r="BH24" s="109">
        <f t="shared" si="22"/>
        <v>0.39586618731157547</v>
      </c>
      <c r="BI24" s="110">
        <f t="shared" si="23"/>
        <v>2239285.1999999997</v>
      </c>
      <c r="BJ24" s="111">
        <f t="shared" si="24"/>
        <v>715572.44809079589</v>
      </c>
      <c r="BK24" s="1">
        <f t="shared" si="30"/>
        <v>2.3395359634942765</v>
      </c>
      <c r="BL24" s="112">
        <f t="shared" si="31"/>
        <v>1.9858584169295506</v>
      </c>
      <c r="BM24" s="112">
        <f t="shared" si="32"/>
        <v>2.0376163795760163</v>
      </c>
      <c r="BN24" s="113">
        <f t="shared" si="33"/>
        <v>2.6673345287357697</v>
      </c>
      <c r="BO24" s="114">
        <f t="shared" si="25"/>
        <v>0</v>
      </c>
      <c r="BP24" s="115">
        <f t="shared" si="34"/>
        <v>5.4603788228449551E-2</v>
      </c>
      <c r="BQ24" s="116">
        <f t="shared" si="35"/>
        <v>0</v>
      </c>
      <c r="BR24" s="117">
        <f t="shared" si="36"/>
        <v>0</v>
      </c>
      <c r="BS24" s="118">
        <f t="shared" si="37"/>
        <v>2239285.1999999997</v>
      </c>
      <c r="BT24" s="119">
        <f t="shared" si="38"/>
        <v>2239285.1999999997</v>
      </c>
      <c r="BU24" s="119">
        <f t="shared" si="39"/>
        <v>2239285.1999999997</v>
      </c>
      <c r="BV24" s="119">
        <f t="shared" si="56"/>
        <v>0</v>
      </c>
      <c r="BW24" s="120">
        <f t="shared" si="40"/>
        <v>0</v>
      </c>
      <c r="BX24" s="121">
        <f t="shared" si="41"/>
        <v>0</v>
      </c>
      <c r="BY24" s="122">
        <f t="shared" si="42"/>
        <v>2239285.1999999997</v>
      </c>
      <c r="BZ24" s="123">
        <f t="shared" si="58"/>
        <v>28300147062365.73</v>
      </c>
      <c r="CA24" s="111">
        <f t="shared" si="57"/>
        <v>28300149301651</v>
      </c>
      <c r="CC24" s="124">
        <f t="shared" si="26"/>
        <v>1</v>
      </c>
      <c r="CD24" s="17"/>
      <c r="CE24" s="108">
        <f t="shared" si="44"/>
        <v>7464284</v>
      </c>
      <c r="CF24" s="125">
        <f t="shared" si="45"/>
        <v>3791408.4326977646</v>
      </c>
      <c r="CG24" s="110">
        <f t="shared" si="46"/>
        <v>2239285.1999999997</v>
      </c>
      <c r="CH24" s="126">
        <f t="shared" si="47"/>
        <v>28300147062365.801</v>
      </c>
      <c r="CJ24" s="127">
        <f t="shared" si="48"/>
        <v>0</v>
      </c>
      <c r="CK24" s="128" t="e">
        <f t="shared" si="49"/>
        <v>#DIV/0!</v>
      </c>
      <c r="CL24" s="129" t="e">
        <f t="shared" si="50"/>
        <v>#DIV/0!</v>
      </c>
      <c r="CM24" s="130" t="e">
        <f t="shared" si="51"/>
        <v>#DIV/0!</v>
      </c>
      <c r="CO24" s="131" t="e">
        <f t="shared" si="52"/>
        <v>#DIV/0!</v>
      </c>
      <c r="CP24" s="1">
        <f t="shared" si="53"/>
        <v>0</v>
      </c>
      <c r="CQ24" s="132">
        <f t="shared" si="54"/>
        <v>0.3</v>
      </c>
      <c r="CS24" s="104">
        <f t="shared" si="55"/>
        <v>4.5558578707672631E-2</v>
      </c>
    </row>
    <row r="25" spans="1:97">
      <c r="A25" s="133" t="s">
        <v>99</v>
      </c>
      <c r="B25" s="90" t="s">
        <v>100</v>
      </c>
      <c r="C25" s="91">
        <f>'Sizing - Reimb Expen-24'!B18</f>
        <v>3168403</v>
      </c>
      <c r="D25" s="92">
        <f>'Ridership-24'!$E17</f>
        <v>228559</v>
      </c>
      <c r="E25" s="92">
        <f>'Revenue Hours-24'!$F17</f>
        <v>35273</v>
      </c>
      <c r="F25" s="92">
        <f>'Revenue Miles-24'!$F17</f>
        <v>531990</v>
      </c>
      <c r="G25" s="93">
        <f t="shared" si="0"/>
        <v>6.9612310347670747E-3</v>
      </c>
      <c r="H25" s="94">
        <f t="shared" si="1"/>
        <v>6.5718988266356242E-3</v>
      </c>
      <c r="J25" s="95">
        <f>'Ridership-24'!B17/'Revenue Hours-24'!C17</f>
        <v>8.9080882352941178</v>
      </c>
      <c r="K25" s="96">
        <f>'Ridership-24'!C17/'Revenue Hours-24'!D17</f>
        <v>8.8925454444382677</v>
      </c>
      <c r="L25" s="96">
        <f>'Ridership-24'!D17/'Revenue Hours-24'!E17</f>
        <v>5.7639186016175321</v>
      </c>
      <c r="M25" s="96">
        <f>'Ridership-24'!E17/'Revenue Hours-24'!F17</f>
        <v>6.4797153630255435</v>
      </c>
      <c r="N25" s="97">
        <f t="shared" si="2"/>
        <v>1.0455356770573143</v>
      </c>
      <c r="O25" s="98">
        <f t="shared" si="3"/>
        <v>6.8711546892586467E-3</v>
      </c>
      <c r="P25" s="99">
        <f t="shared" si="4"/>
        <v>6.593086659314247E-3</v>
      </c>
      <c r="Q25" s="95">
        <f>'Ridership-24'!B17/'Revenue Miles-24'!C17</f>
        <v>0.57308420056764431</v>
      </c>
      <c r="R25" s="96">
        <f>'Ridership-24'!C17/'Revenue Miles-24'!D17</f>
        <v>0.59288580032429927</v>
      </c>
      <c r="S25" s="96">
        <f>'Ridership-24'!D17/'Revenue Miles-24'!E17</f>
        <v>0.39323250859241093</v>
      </c>
      <c r="T25" s="96">
        <f>'Ridership-24'!E17/'Revenue Miles-24'!F17</f>
        <v>0.42963025620782347</v>
      </c>
      <c r="U25" s="97">
        <f t="shared" si="5"/>
        <v>1.0619919413280272</v>
      </c>
      <c r="V25" s="98">
        <f t="shared" si="6"/>
        <v>6.9793035931101505E-3</v>
      </c>
      <c r="W25" s="99">
        <f t="shared" si="7"/>
        <v>6.7198928300782066E-3</v>
      </c>
      <c r="X25" s="95">
        <f>'Op Cost-24'!B18/'Revenue Hours-24'!C17</f>
        <v>71.858939628482972</v>
      </c>
      <c r="Y25" s="96">
        <f>'Op Cost-24'!C18/'Revenue Hours-24'!D17</f>
        <v>81.611429206737455</v>
      </c>
      <c r="Z25" s="96">
        <f>'Op Cost-24'!D18/'Revenue Hours-24'!E17</f>
        <v>72.997808505087406</v>
      </c>
      <c r="AA25" s="96">
        <f>'Op Cost-24'!E18/'Revenue Hours-24'!F17</f>
        <v>89.842457403679873</v>
      </c>
      <c r="AB25" s="97">
        <f t="shared" si="8"/>
        <v>1.0250571937013797</v>
      </c>
      <c r="AC25" s="98">
        <f t="shared" si="9"/>
        <v>6.4112508716759019E-3</v>
      </c>
      <c r="AD25" s="99">
        <f t="shared" si="10"/>
        <v>6.4469820221748726E-3</v>
      </c>
      <c r="AE25" s="95">
        <f>'Op Cost-24'!B18/'Revenue Miles-24'!C17</f>
        <v>4.6229024548125279</v>
      </c>
      <c r="AF25" s="96">
        <f>'Op Cost-24'!C18/'Revenue Miles-24'!D17</f>
        <v>5.4412156590224692</v>
      </c>
      <c r="AG25" s="96">
        <f>'Op Cost-24'!D18/'Revenue Miles-24'!E17</f>
        <v>4.9801382261276927</v>
      </c>
      <c r="AH25" s="96">
        <f>'Op Cost-24'!E18/'Revenue Miles-24'!F17</f>
        <v>5.9569033252504751</v>
      </c>
      <c r="AI25" s="97">
        <f t="shared" si="11"/>
        <v>1.0411556949490044</v>
      </c>
      <c r="AJ25" s="98">
        <f t="shared" si="12"/>
        <v>6.3121191753722425E-3</v>
      </c>
      <c r="AK25" s="99">
        <f t="shared" si="13"/>
        <v>6.3192530854946465E-3</v>
      </c>
      <c r="AL25" s="95">
        <f>'Op Cost-24'!B18/'Ridership-24'!B17</f>
        <v>8.0667072137628431</v>
      </c>
      <c r="AM25" s="96">
        <f>'Op Cost-24'!C18/'Ridership-24'!C17</f>
        <v>9.1775105021004197</v>
      </c>
      <c r="AN25" s="96">
        <f>'Op Cost-24'!D18/'Ridership-24'!D17</f>
        <v>12.664614743969837</v>
      </c>
      <c r="AO25" s="96">
        <f>'Op Cost-24'!E18/'Ridership-24'!E17</f>
        <v>13.865185794477576</v>
      </c>
      <c r="AP25" s="100">
        <f t="shared" si="14"/>
        <v>1.033331970083422</v>
      </c>
      <c r="AQ25" s="98">
        <f t="shared" si="15"/>
        <v>6.3599104807577642E-3</v>
      </c>
      <c r="AR25" s="99">
        <f t="shared" si="16"/>
        <v>6.7327827606228768E-3</v>
      </c>
      <c r="AT25" s="101">
        <f t="shared" si="27"/>
        <v>0</v>
      </c>
      <c r="AU25" s="102">
        <f t="shared" si="17"/>
        <v>0</v>
      </c>
      <c r="AV25" s="102">
        <f t="shared" si="18"/>
        <v>0</v>
      </c>
      <c r="AW25" s="102">
        <f t="shared" si="19"/>
        <v>0</v>
      </c>
      <c r="AX25" s="103">
        <f t="shared" si="20"/>
        <v>0</v>
      </c>
      <c r="AY25" s="104">
        <f t="shared" si="28"/>
        <v>-1</v>
      </c>
      <c r="AZ25" s="105">
        <f t="shared" si="21"/>
        <v>0</v>
      </c>
      <c r="BA25" s="106">
        <f t="shared" si="21"/>
        <v>0</v>
      </c>
      <c r="BB25" s="106">
        <f t="shared" si="21"/>
        <v>0</v>
      </c>
      <c r="BC25" s="106">
        <f t="shared" si="21"/>
        <v>0</v>
      </c>
      <c r="BD25" s="106">
        <f t="shared" si="21"/>
        <v>0</v>
      </c>
      <c r="BE25" s="107">
        <f t="shared" si="29"/>
        <v>832021.18445395457</v>
      </c>
      <c r="BG25" s="108">
        <f>'Op Cost-24'!E18</f>
        <v>3169013</v>
      </c>
      <c r="BH25" s="109">
        <f t="shared" si="22"/>
        <v>0.26254899694446016</v>
      </c>
      <c r="BI25" s="110">
        <f t="shared" si="23"/>
        <v>832021.18445395457</v>
      </c>
      <c r="BJ25" s="111">
        <f t="shared" si="24"/>
        <v>0</v>
      </c>
      <c r="BK25" s="1">
        <f t="shared" si="30"/>
        <v>0.90724668721498769</v>
      </c>
      <c r="BL25" s="112">
        <f t="shared" si="31"/>
        <v>0.73684725072115043</v>
      </c>
      <c r="BM25" s="112">
        <f t="shared" si="32"/>
        <v>0.70611288698750263</v>
      </c>
      <c r="BN25" s="113">
        <f t="shared" si="33"/>
        <v>1.0930133055756488</v>
      </c>
      <c r="BO25" s="114">
        <f t="shared" si="25"/>
        <v>832021.18445395457</v>
      </c>
      <c r="BP25" s="115">
        <f t="shared" si="34"/>
        <v>5.9623334391772347E-3</v>
      </c>
      <c r="BQ25" s="116">
        <f t="shared" si="35"/>
        <v>5.9623334391772347E-3</v>
      </c>
      <c r="BR25" s="117">
        <f t="shared" si="36"/>
        <v>9.1880389117482229E-3</v>
      </c>
      <c r="BS25" s="118">
        <f t="shared" si="37"/>
        <v>948139.86929910677</v>
      </c>
      <c r="BT25" s="119">
        <f t="shared" si="38"/>
        <v>950703.89999999991</v>
      </c>
      <c r="BU25" s="119">
        <f t="shared" si="39"/>
        <v>948139.86929910677</v>
      </c>
      <c r="BV25" s="119">
        <f>BS25-BU25</f>
        <v>0</v>
      </c>
      <c r="BW25" s="120">
        <f t="shared" si="40"/>
        <v>5.9623334391772347E-3</v>
      </c>
      <c r="BX25" s="121">
        <f t="shared" si="41"/>
        <v>1.1642585277882535E-2</v>
      </c>
      <c r="BY25" s="122">
        <f t="shared" si="42"/>
        <v>968083.5564262243</v>
      </c>
      <c r="BZ25" s="123">
        <f t="shared" si="58"/>
        <v>12234666229884.512</v>
      </c>
      <c r="CA25" s="111">
        <f t="shared" si="57"/>
        <v>12234667061906</v>
      </c>
      <c r="CC25" s="124">
        <f t="shared" si="26"/>
        <v>1</v>
      </c>
      <c r="CD25" s="17"/>
      <c r="CE25" s="108">
        <f t="shared" si="44"/>
        <v>3169013</v>
      </c>
      <c r="CF25" s="125">
        <f t="shared" si="45"/>
        <v>3860718.482980663</v>
      </c>
      <c r="CG25" s="110">
        <f t="shared" si="46"/>
        <v>950703.89999999991</v>
      </c>
      <c r="CH25" s="126">
        <f t="shared" si="47"/>
        <v>12234666111202.1</v>
      </c>
      <c r="CJ25" s="127">
        <f t="shared" si="48"/>
        <v>0</v>
      </c>
      <c r="CK25" s="128" t="e">
        <f t="shared" si="49"/>
        <v>#DIV/0!</v>
      </c>
      <c r="CL25" s="129" t="e">
        <f t="shared" si="50"/>
        <v>#DIV/0!</v>
      </c>
      <c r="CM25" s="130" t="e">
        <f t="shared" si="51"/>
        <v>#DIV/0!</v>
      </c>
      <c r="CO25" s="131" t="e">
        <f t="shared" si="52"/>
        <v>#DIV/0!</v>
      </c>
      <c r="CP25" s="1">
        <f t="shared" si="53"/>
        <v>1</v>
      </c>
      <c r="CQ25" s="132">
        <f t="shared" si="54"/>
        <v>0.30548424901577376</v>
      </c>
      <c r="CS25" s="104">
        <f t="shared" si="55"/>
        <v>4.9746628591716933E-3</v>
      </c>
    </row>
    <row r="26" spans="1:97">
      <c r="A26" s="133" t="s">
        <v>99</v>
      </c>
      <c r="B26" s="90" t="s">
        <v>101</v>
      </c>
      <c r="C26" s="91">
        <f>'Sizing - Reimb Expen-24'!B19</f>
        <v>605988</v>
      </c>
      <c r="D26" s="92">
        <f>'Ridership-24'!$E18</f>
        <v>77681</v>
      </c>
      <c r="E26" s="92">
        <f>'Revenue Hours-24'!$F18</f>
        <v>11837</v>
      </c>
      <c r="F26" s="92">
        <f>'Revenue Miles-24'!$F18</f>
        <v>174059</v>
      </c>
      <c r="G26" s="93">
        <f t="shared" si="0"/>
        <v>1.9897381227359252E-3</v>
      </c>
      <c r="H26" s="94">
        <f t="shared" si="1"/>
        <v>1.8784547688206325E-3</v>
      </c>
      <c r="J26" s="95">
        <f>'Ridership-24'!B18/'Revenue Hours-24'!C18</f>
        <v>10.856297723051524</v>
      </c>
      <c r="K26" s="96">
        <f>'Ridership-24'!C18/'Revenue Hours-24'!D18</f>
        <v>12.121389319430746</v>
      </c>
      <c r="L26" s="96">
        <f>'Ridership-24'!D18/'Revenue Hours-24'!E18</f>
        <v>6.5520235467255334</v>
      </c>
      <c r="M26" s="96">
        <f>'Ridership-24'!E18/'Revenue Hours-24'!F18</f>
        <v>6.5625580805947452</v>
      </c>
      <c r="N26" s="97">
        <f t="shared" si="2"/>
        <v>0.98357091089663873</v>
      </c>
      <c r="O26" s="98">
        <f t="shared" si="3"/>
        <v>1.8475934680470445E-3</v>
      </c>
      <c r="P26" s="99">
        <f t="shared" si="4"/>
        <v>1.7728234040574919E-3</v>
      </c>
      <c r="Q26" s="95">
        <f>'Ridership-24'!B18/'Revenue Miles-24'!C18</f>
        <v>0.71788643403976582</v>
      </c>
      <c r="R26" s="96">
        <f>'Ridership-24'!C18/'Revenue Miles-24'!D18</f>
        <v>0.79351997048242784</v>
      </c>
      <c r="S26" s="96">
        <f>'Ridership-24'!D18/'Revenue Miles-24'!E18</f>
        <v>0.47317713453679738</v>
      </c>
      <c r="T26" s="96">
        <f>'Ridership-24'!E18/'Revenue Miles-24'!F18</f>
        <v>0.44629120011030743</v>
      </c>
      <c r="U26" s="97">
        <f t="shared" si="5"/>
        <v>1.0034455573175893</v>
      </c>
      <c r="V26" s="98">
        <f t="shared" si="6"/>
        <v>1.8849270923951031E-3</v>
      </c>
      <c r="W26" s="99">
        <f t="shared" si="7"/>
        <v>1.8148670400167397E-3</v>
      </c>
      <c r="X26" s="95">
        <f>'Op Cost-24'!B19/'Revenue Hours-24'!C18</f>
        <v>48.505056063837102</v>
      </c>
      <c r="Y26" s="96">
        <f>'Op Cost-24'!C19/'Revenue Hours-24'!D18</f>
        <v>47.958362688459914</v>
      </c>
      <c r="Z26" s="96">
        <f>'Op Cost-24'!D19/'Revenue Hours-24'!E18</f>
        <v>45.519278881530539</v>
      </c>
      <c r="AA26" s="96">
        <f>'Op Cost-24'!E19/'Revenue Hours-24'!F18</f>
        <v>51.194390470558417</v>
      </c>
      <c r="AB26" s="97">
        <f t="shared" si="8"/>
        <v>0.956622704001726</v>
      </c>
      <c r="AC26" s="98">
        <f t="shared" si="9"/>
        <v>1.9636318069419807E-3</v>
      </c>
      <c r="AD26" s="99">
        <f t="shared" si="10"/>
        <v>1.9745755096643902E-3</v>
      </c>
      <c r="AE26" s="95">
        <f>'Op Cost-24'!B19/'Revenue Miles-24'!C18</f>
        <v>3.2074582531602962</v>
      </c>
      <c r="AF26" s="96">
        <f>'Op Cost-24'!C19/'Revenue Miles-24'!D18</f>
        <v>3.1395673830827415</v>
      </c>
      <c r="AG26" s="96">
        <f>'Op Cost-24'!D19/'Revenue Miles-24'!E18</f>
        <v>3.2873328054671349</v>
      </c>
      <c r="AH26" s="96">
        <f>'Op Cost-24'!E19/'Revenue Miles-24'!F18</f>
        <v>3.4815091434513583</v>
      </c>
      <c r="AI26" s="97">
        <f t="shared" si="11"/>
        <v>0.96467791237883294</v>
      </c>
      <c r="AJ26" s="98">
        <f t="shared" si="12"/>
        <v>1.9472351804847336E-3</v>
      </c>
      <c r="AK26" s="99">
        <f t="shared" si="13"/>
        <v>1.949435931195994E-3</v>
      </c>
      <c r="AL26" s="95">
        <f>'Op Cost-24'!B19/'Ridership-24'!B18</f>
        <v>4.4679187418418689</v>
      </c>
      <c r="AM26" s="96">
        <f>'Op Cost-24'!C19/'Ridership-24'!C18</f>
        <v>3.95650708220237</v>
      </c>
      <c r="AN26" s="96">
        <f>'Op Cost-24'!D19/'Ridership-24'!D18</f>
        <v>6.9473619190943596</v>
      </c>
      <c r="AO26" s="96">
        <f>'Op Cost-24'!E19/'Ridership-24'!E18</f>
        <v>7.8009809348489334</v>
      </c>
      <c r="AP26" s="100">
        <f t="shared" si="14"/>
        <v>1.0159518574690711</v>
      </c>
      <c r="AQ26" s="98">
        <f t="shared" si="15"/>
        <v>1.8489604158018077E-3</v>
      </c>
      <c r="AR26" s="99">
        <f t="shared" si="16"/>
        <v>1.9573622695238466E-3</v>
      </c>
      <c r="AT26" s="101">
        <f t="shared" si="27"/>
        <v>0</v>
      </c>
      <c r="AU26" s="102">
        <f t="shared" si="17"/>
        <v>0</v>
      </c>
      <c r="AV26" s="102">
        <f t="shared" si="18"/>
        <v>0</v>
      </c>
      <c r="AW26" s="102">
        <f t="shared" si="19"/>
        <v>0</v>
      </c>
      <c r="AX26" s="103">
        <f t="shared" si="20"/>
        <v>0</v>
      </c>
      <c r="AY26" s="104">
        <f t="shared" si="28"/>
        <v>-1</v>
      </c>
      <c r="AZ26" s="105">
        <f t="shared" si="21"/>
        <v>0</v>
      </c>
      <c r="BA26" s="106">
        <f t="shared" si="21"/>
        <v>0</v>
      </c>
      <c r="BB26" s="106">
        <f t="shared" si="21"/>
        <v>0</v>
      </c>
      <c r="BC26" s="106">
        <f t="shared" si="21"/>
        <v>0</v>
      </c>
      <c r="BD26" s="106">
        <f t="shared" si="21"/>
        <v>0</v>
      </c>
      <c r="BE26" s="107">
        <f t="shared" si="29"/>
        <v>237817.74536194897</v>
      </c>
      <c r="BG26" s="108">
        <f>'Op Cost-24'!E19</f>
        <v>605988</v>
      </c>
      <c r="BH26" s="109">
        <f t="shared" si="22"/>
        <v>0.39244629491334643</v>
      </c>
      <c r="BI26" s="110">
        <f t="shared" si="23"/>
        <v>181796.4</v>
      </c>
      <c r="BJ26" s="111">
        <f t="shared" si="24"/>
        <v>56021.345361948974</v>
      </c>
      <c r="BK26" s="1">
        <f t="shared" si="30"/>
        <v>1.4816141075309821</v>
      </c>
      <c r="BL26" s="112">
        <f t="shared" si="31"/>
        <v>0.85730147260113043</v>
      </c>
      <c r="BM26" s="112">
        <f t="shared" si="32"/>
        <v>0.8399023483973781</v>
      </c>
      <c r="BN26" s="113">
        <f t="shared" si="33"/>
        <v>2.1146263045627101</v>
      </c>
      <c r="BO26" s="114">
        <f t="shared" si="25"/>
        <v>0</v>
      </c>
      <c r="BP26" s="115">
        <f t="shared" si="34"/>
        <v>2.7831450858434989E-3</v>
      </c>
      <c r="BQ26" s="116">
        <f t="shared" si="35"/>
        <v>0</v>
      </c>
      <c r="BR26" s="117">
        <f t="shared" si="36"/>
        <v>0</v>
      </c>
      <c r="BS26" s="118">
        <f t="shared" si="37"/>
        <v>181796.4</v>
      </c>
      <c r="BT26" s="119">
        <f t="shared" si="38"/>
        <v>181796.4</v>
      </c>
      <c r="BU26" s="119">
        <f t="shared" si="39"/>
        <v>181796.4</v>
      </c>
      <c r="BV26" s="119">
        <f t="shared" si="56"/>
        <v>0</v>
      </c>
      <c r="BW26" s="120">
        <f t="shared" si="40"/>
        <v>0</v>
      </c>
      <c r="BX26" s="121">
        <f t="shared" si="41"/>
        <v>0</v>
      </c>
      <c r="BY26" s="122">
        <f t="shared" si="42"/>
        <v>181796.4</v>
      </c>
      <c r="BZ26" s="123">
        <f t="shared" si="58"/>
        <v>2297547831517.2476</v>
      </c>
      <c r="CA26" s="111">
        <f t="shared" si="57"/>
        <v>2297548013314</v>
      </c>
      <c r="CC26" s="124">
        <f t="shared" si="26"/>
        <v>1</v>
      </c>
      <c r="CD26" s="17"/>
      <c r="CE26" s="108">
        <f t="shared" si="44"/>
        <v>605988</v>
      </c>
      <c r="CF26" s="125">
        <f t="shared" si="45"/>
        <v>3791408.4326983374</v>
      </c>
      <c r="CG26" s="110">
        <f t="shared" si="46"/>
        <v>181796.4</v>
      </c>
      <c r="CH26" s="126">
        <f t="shared" si="47"/>
        <v>2297547831517.6001</v>
      </c>
      <c r="CJ26" s="127">
        <f t="shared" si="48"/>
        <v>0</v>
      </c>
      <c r="CK26" s="128" t="e">
        <f t="shared" si="49"/>
        <v>#DIV/0!</v>
      </c>
      <c r="CL26" s="129" t="e">
        <f t="shared" si="50"/>
        <v>#DIV/0!</v>
      </c>
      <c r="CM26" s="130" t="e">
        <f t="shared" si="51"/>
        <v>#DIV/0!</v>
      </c>
      <c r="CO26" s="131" t="e">
        <f t="shared" si="52"/>
        <v>#DIV/0!</v>
      </c>
      <c r="CP26" s="1">
        <f t="shared" si="53"/>
        <v>0</v>
      </c>
      <c r="CQ26" s="132">
        <f t="shared" si="54"/>
        <v>0.3</v>
      </c>
      <c r="CS26" s="104">
        <f t="shared" si="55"/>
        <v>2.3221124131129474E-3</v>
      </c>
    </row>
    <row r="27" spans="1:97">
      <c r="A27" s="133" t="s">
        <v>99</v>
      </c>
      <c r="B27" s="90" t="s">
        <v>102</v>
      </c>
      <c r="C27" s="91">
        <f>'Sizing - Reimb Expen-24'!B20</f>
        <v>7645579</v>
      </c>
      <c r="D27" s="92">
        <f>'Ridership-24'!$E19</f>
        <v>445943</v>
      </c>
      <c r="E27" s="92">
        <f>'Revenue Hours-24'!$F19</f>
        <v>74332</v>
      </c>
      <c r="F27" s="92">
        <f>'Revenue Miles-24'!$F19</f>
        <v>1073547</v>
      </c>
      <c r="G27" s="93">
        <f t="shared" si="0"/>
        <v>1.4960892233227486E-2</v>
      </c>
      <c r="H27" s="94">
        <f t="shared" si="1"/>
        <v>1.4124149826649104E-2</v>
      </c>
      <c r="J27" s="95">
        <f>'Ridership-24'!B19/'Revenue Hours-24'!C19</f>
        <v>22.056571921738222</v>
      </c>
      <c r="K27" s="96">
        <f>'Ridership-24'!C19/'Revenue Hours-24'!D19</f>
        <v>21.272344057919085</v>
      </c>
      <c r="L27" s="96">
        <f>'Ridership-24'!D19/'Revenue Hours-24'!E19</f>
        <v>6.2106387495687709</v>
      </c>
      <c r="M27" s="96">
        <f>'Ridership-24'!E19/'Revenue Hours-24'!F19</f>
        <v>5.9993407953505891</v>
      </c>
      <c r="N27" s="97">
        <f t="shared" si="2"/>
        <v>0.76216084942828932</v>
      </c>
      <c r="O27" s="98">
        <f t="shared" si="3"/>
        <v>1.0764874029331307E-2</v>
      </c>
      <c r="P27" s="99">
        <f t="shared" si="4"/>
        <v>1.0329231484619691E-2</v>
      </c>
      <c r="Q27" s="95">
        <f>'Ridership-24'!B19/'Revenue Miles-24'!C19</f>
        <v>1.8438212046014921</v>
      </c>
      <c r="R27" s="96">
        <f>'Ridership-24'!C19/'Revenue Miles-24'!D19</f>
        <v>1.6130997617774709</v>
      </c>
      <c r="S27" s="96">
        <f>'Ridership-24'!D19/'Revenue Miles-24'!E19</f>
        <v>0.43710720015539234</v>
      </c>
      <c r="T27" s="96">
        <f>'Ridership-24'!E19/'Revenue Miles-24'!F19</f>
        <v>0.41539215330115964</v>
      </c>
      <c r="U27" s="97">
        <f t="shared" si="5"/>
        <v>0.71974151668977804</v>
      </c>
      <c r="V27" s="98">
        <f t="shared" si="6"/>
        <v>1.0165737018186093E-2</v>
      </c>
      <c r="W27" s="99">
        <f t="shared" si="7"/>
        <v>9.7878910681584944E-3</v>
      </c>
      <c r="X27" s="95">
        <f>'Op Cost-24'!B20/'Revenue Hours-24'!C19</f>
        <v>79.05589855938392</v>
      </c>
      <c r="Y27" s="96">
        <f>'Op Cost-24'!C20/'Revenue Hours-24'!D19</f>
        <v>85.260382965718563</v>
      </c>
      <c r="Z27" s="96">
        <f>'Op Cost-24'!D20/'Revenue Hours-24'!E19</f>
        <v>88.890998593530242</v>
      </c>
      <c r="AA27" s="96">
        <f>'Op Cost-24'!E20/'Revenue Hours-24'!F19</f>
        <v>103.53699617930367</v>
      </c>
      <c r="AB27" s="97">
        <f t="shared" si="8"/>
        <v>1.0248251681607927</v>
      </c>
      <c r="AC27" s="98">
        <f t="shared" si="9"/>
        <v>1.3782009132345056E-2</v>
      </c>
      <c r="AD27" s="99">
        <f t="shared" si="10"/>
        <v>1.3858818955005653E-2</v>
      </c>
      <c r="AE27" s="95">
        <f>'Op Cost-24'!B20/'Revenue Miles-24'!C19</f>
        <v>6.6086852766524222</v>
      </c>
      <c r="AF27" s="96">
        <f>'Op Cost-24'!C20/'Revenue Miles-24'!D19</f>
        <v>6.465366631744411</v>
      </c>
      <c r="AG27" s="96">
        <f>'Op Cost-24'!D20/'Revenue Miles-24'!E19</f>
        <v>6.2561834749980854</v>
      </c>
      <c r="AH27" s="96">
        <f>'Op Cost-24'!E20/'Revenue Miles-24'!F19</f>
        <v>7.168863589577354</v>
      </c>
      <c r="AI27" s="97">
        <f t="shared" si="11"/>
        <v>0.9727281441536425</v>
      </c>
      <c r="AJ27" s="98">
        <f t="shared" si="12"/>
        <v>1.4520141019398934E-2</v>
      </c>
      <c r="AK27" s="99">
        <f t="shared" si="13"/>
        <v>1.4536551574732106E-2</v>
      </c>
      <c r="AL27" s="95">
        <f>'Op Cost-24'!B20/'Ridership-24'!B19</f>
        <v>3.5842332543739066</v>
      </c>
      <c r="AM27" s="96">
        <f>'Op Cost-24'!C20/'Ridership-24'!C19</f>
        <v>4.008038922912144</v>
      </c>
      <c r="AN27" s="96">
        <f>'Op Cost-24'!D20/'Ridership-24'!D19</f>
        <v>14.312698287225656</v>
      </c>
      <c r="AO27" s="96">
        <f>'Op Cost-24'!E20/'Ridership-24'!E19</f>
        <v>17.258062129016487</v>
      </c>
      <c r="AP27" s="97">
        <f t="shared" si="14"/>
        <v>1.3818582831318029</v>
      </c>
      <c r="AQ27" s="98">
        <f t="shared" si="15"/>
        <v>1.0221127592504309E-2</v>
      </c>
      <c r="AR27" s="99">
        <f t="shared" si="16"/>
        <v>1.0820377402661259E-2</v>
      </c>
      <c r="AT27" s="101">
        <f t="shared" si="27"/>
        <v>0</v>
      </c>
      <c r="AU27" s="102">
        <f t="shared" si="17"/>
        <v>0</v>
      </c>
      <c r="AV27" s="102">
        <f t="shared" si="18"/>
        <v>0</v>
      </c>
      <c r="AW27" s="102">
        <f t="shared" si="19"/>
        <v>0</v>
      </c>
      <c r="AX27" s="103">
        <f t="shared" si="20"/>
        <v>0</v>
      </c>
      <c r="AY27" s="104">
        <f t="shared" si="28"/>
        <v>-1</v>
      </c>
      <c r="AZ27" s="105">
        <f t="shared" si="21"/>
        <v>0</v>
      </c>
      <c r="BA27" s="106">
        <f t="shared" si="21"/>
        <v>0</v>
      </c>
      <c r="BB27" s="106">
        <f t="shared" si="21"/>
        <v>0</v>
      </c>
      <c r="BC27" s="106">
        <f t="shared" si="21"/>
        <v>0</v>
      </c>
      <c r="BD27" s="106">
        <f t="shared" si="21"/>
        <v>0</v>
      </c>
      <c r="BE27" s="107">
        <f t="shared" si="29"/>
        <v>1788157.7574726208</v>
      </c>
      <c r="BG27" s="108">
        <f>'Op Cost-24'!E20</f>
        <v>7696112</v>
      </c>
      <c r="BH27" s="109">
        <f t="shared" si="22"/>
        <v>0.23234559963168686</v>
      </c>
      <c r="BI27" s="110">
        <f t="shared" si="23"/>
        <v>1788157.7574726208</v>
      </c>
      <c r="BJ27" s="111">
        <f t="shared" si="24"/>
        <v>0</v>
      </c>
      <c r="BK27" s="1">
        <f t="shared" si="30"/>
        <v>1.1977072451009931</v>
      </c>
      <c r="BL27" s="112">
        <f t="shared" si="31"/>
        <v>1.0454606700470699</v>
      </c>
      <c r="BM27" s="112">
        <f t="shared" si="32"/>
        <v>1.0879318237111935</v>
      </c>
      <c r="BN27" s="113">
        <f t="shared" si="33"/>
        <v>1.3287182433228544</v>
      </c>
      <c r="BO27" s="114">
        <f t="shared" si="25"/>
        <v>1788157.7574726208</v>
      </c>
      <c r="BP27" s="115">
        <f t="shared" si="34"/>
        <v>1.6916596578269567E-2</v>
      </c>
      <c r="BQ27" s="116">
        <f t="shared" si="35"/>
        <v>1.6916596578269567E-2</v>
      </c>
      <c r="BR27" s="117">
        <f t="shared" si="36"/>
        <v>2.6068711050976721E-2</v>
      </c>
      <c r="BS27" s="118">
        <f t="shared" si="37"/>
        <v>2117614.8344313577</v>
      </c>
      <c r="BT27" s="119">
        <f t="shared" si="38"/>
        <v>2308833.6</v>
      </c>
      <c r="BU27" s="119">
        <f t="shared" si="39"/>
        <v>2117614.8344313577</v>
      </c>
      <c r="BV27" s="119">
        <f t="shared" si="56"/>
        <v>0</v>
      </c>
      <c r="BW27" s="120">
        <f t="shared" si="40"/>
        <v>1.6916596578269567E-2</v>
      </c>
      <c r="BX27" s="121">
        <f t="shared" si="41"/>
        <v>3.3032858742837706E-2</v>
      </c>
      <c r="BY27" s="122">
        <f t="shared" si="42"/>
        <v>2174199.9470981248</v>
      </c>
      <c r="BZ27" s="123">
        <f t="shared" si="58"/>
        <v>27477597871796.203</v>
      </c>
      <c r="CA27" s="111">
        <f t="shared" si="57"/>
        <v>27477599659954</v>
      </c>
      <c r="CC27" s="124">
        <f t="shared" si="26"/>
        <v>1</v>
      </c>
      <c r="CD27" s="17"/>
      <c r="CE27" s="108">
        <f t="shared" si="44"/>
        <v>7696112</v>
      </c>
      <c r="CF27" s="125">
        <f t="shared" si="45"/>
        <v>3570322.2172382628</v>
      </c>
      <c r="CG27" s="110">
        <f t="shared" si="46"/>
        <v>2308833.6</v>
      </c>
      <c r="CH27" s="126">
        <f t="shared" si="47"/>
        <v>27477597351120.398</v>
      </c>
      <c r="CJ27" s="127">
        <f t="shared" si="48"/>
        <v>0</v>
      </c>
      <c r="CK27" s="128" t="e">
        <f t="shared" si="49"/>
        <v>#DIV/0!</v>
      </c>
      <c r="CL27" s="129" t="e">
        <f t="shared" si="50"/>
        <v>#DIV/0!</v>
      </c>
      <c r="CM27" s="130" t="e">
        <f t="shared" si="51"/>
        <v>#DIV/0!</v>
      </c>
      <c r="CO27" s="131" t="e">
        <f t="shared" si="52"/>
        <v>#DIV/0!</v>
      </c>
      <c r="CP27" s="1">
        <f t="shared" si="53"/>
        <v>0</v>
      </c>
      <c r="CQ27" s="132">
        <f t="shared" si="54"/>
        <v>0.28250627681849289</v>
      </c>
      <c r="CS27" s="104">
        <f t="shared" si="55"/>
        <v>1.4114333852673853E-2</v>
      </c>
    </row>
    <row r="28" spans="1:97">
      <c r="A28" s="133" t="s">
        <v>99</v>
      </c>
      <c r="B28" s="90" t="s">
        <v>103</v>
      </c>
      <c r="C28" s="91">
        <f>'Sizing - Reimb Expen-24'!B21</f>
        <v>107836</v>
      </c>
      <c r="D28" s="92">
        <f>'Ridership-24'!$E20</f>
        <v>14878</v>
      </c>
      <c r="E28" s="92">
        <f>'Revenue Hours-24'!$F20</f>
        <v>3043</v>
      </c>
      <c r="F28" s="92">
        <f>'Revenue Miles-24'!$F20</f>
        <v>48696</v>
      </c>
      <c r="G28" s="134">
        <f t="shared" si="0"/>
        <v>4.3902978316868741E-4</v>
      </c>
      <c r="H28" s="94">
        <f t="shared" si="1"/>
        <v>4.1447544298620325E-4</v>
      </c>
      <c r="J28" s="95">
        <f>'Ridership-24'!B20/'Revenue Hours-24'!C20</f>
        <v>6.4826216484607748</v>
      </c>
      <c r="K28" s="96">
        <f>'Ridership-24'!C20/'Revenue Hours-24'!D20</f>
        <v>5.9558432934926957</v>
      </c>
      <c r="L28" s="96">
        <f>'Ridership-24'!D20/'Revenue Hours-24'!E20</f>
        <v>4.686815011624045</v>
      </c>
      <c r="M28" s="96">
        <f>'Ridership-24'!E20/'Revenue Hours-24'!F20</f>
        <v>4.8892540256325994</v>
      </c>
      <c r="N28" s="97">
        <f t="shared" si="2"/>
        <v>1.08799560674147</v>
      </c>
      <c r="O28" s="98">
        <f t="shared" si="3"/>
        <v>4.5094746107121375E-4</v>
      </c>
      <c r="P28" s="99">
        <f t="shared" si="4"/>
        <v>4.3269811612421031E-4</v>
      </c>
      <c r="Q28" s="95">
        <f>'Ridership-24'!B20/'Revenue Miles-24'!C20</f>
        <v>0.40805950867834895</v>
      </c>
      <c r="R28" s="96">
        <f>'Ridership-24'!C20/'Revenue Miles-24'!D20</f>
        <v>0.37067112984544176</v>
      </c>
      <c r="S28" s="96">
        <f>'Ridership-24'!D20/'Revenue Miles-24'!E20</f>
        <v>0.28707433174661295</v>
      </c>
      <c r="T28" s="96">
        <f>'Ridership-24'!E20/'Revenue Miles-24'!F20</f>
        <v>0.30552817479875144</v>
      </c>
      <c r="U28" s="97">
        <f t="shared" si="5"/>
        <v>1.0831024445606128</v>
      </c>
      <c r="V28" s="98">
        <f t="shared" si="6"/>
        <v>4.4891936550869963E-4</v>
      </c>
      <c r="W28" s="99">
        <f t="shared" si="7"/>
        <v>4.322336727898172E-4</v>
      </c>
      <c r="X28" s="95">
        <f>'Op Cost-24'!B21/'Revenue Hours-24'!C20</f>
        <v>33.555445216815627</v>
      </c>
      <c r="Y28" s="96">
        <f>'Op Cost-24'!C21/'Revenue Hours-24'!D20</f>
        <v>35.128818061088978</v>
      </c>
      <c r="Z28" s="96">
        <f>'Op Cost-24'!D21/'Revenue Hours-24'!E20</f>
        <v>38.42344735968117</v>
      </c>
      <c r="AA28" s="96">
        <f>'Op Cost-24'!E21/'Revenue Hours-24'!F20</f>
        <v>35.43739730529083</v>
      </c>
      <c r="AB28" s="97">
        <f t="shared" si="8"/>
        <v>0.9478174478679624</v>
      </c>
      <c r="AC28" s="98">
        <f t="shared" si="9"/>
        <v>4.3729459076590307E-4</v>
      </c>
      <c r="AD28" s="99">
        <f t="shared" si="10"/>
        <v>4.3973171873792986E-4</v>
      </c>
      <c r="AE28" s="95">
        <f>'Op Cost-24'!B21/'Revenue Miles-24'!C20</f>
        <v>2.1122038630633635</v>
      </c>
      <c r="AF28" s="96">
        <f>'Op Cost-24'!C21/'Revenue Miles-24'!D20</f>
        <v>2.1862963881312507</v>
      </c>
      <c r="AG28" s="96">
        <f>'Op Cost-24'!D21/'Revenue Miles-24'!E20</f>
        <v>2.3534928190731925</v>
      </c>
      <c r="AH28" s="96">
        <f>'Op Cost-24'!E21/'Revenue Miles-24'!F20</f>
        <v>2.2144734680466569</v>
      </c>
      <c r="AI28" s="97">
        <f t="shared" si="11"/>
        <v>0.95084288699013142</v>
      </c>
      <c r="AJ28" s="98">
        <f t="shared" si="12"/>
        <v>4.3590318511843161E-4</v>
      </c>
      <c r="AK28" s="99">
        <f t="shared" si="13"/>
        <v>4.3639583965461934E-4</v>
      </c>
      <c r="AL28" s="95">
        <f>'Op Cost-24'!B21/'Ridership-24'!B20</f>
        <v>5.1762152777777777</v>
      </c>
      <c r="AM28" s="96">
        <f>'Op Cost-24'!C21/'Ridership-24'!C20</f>
        <v>5.8982106025976924</v>
      </c>
      <c r="AN28" s="96">
        <f>'Op Cost-24'!D21/'Ridership-24'!D20</f>
        <v>8.1982001133786842</v>
      </c>
      <c r="AO28" s="96">
        <f>'Op Cost-24'!E21/'Ridership-24'!E20</f>
        <v>7.2480172066137918</v>
      </c>
      <c r="AP28" s="100">
        <f t="shared" si="14"/>
        <v>0.94501573326470911</v>
      </c>
      <c r="AQ28" s="98">
        <f t="shared" si="15"/>
        <v>4.3859105028265619E-4</v>
      </c>
      <c r="AR28" s="99">
        <f t="shared" si="16"/>
        <v>4.643050041727498E-4</v>
      </c>
      <c r="AT28" s="101">
        <f t="shared" si="27"/>
        <v>0</v>
      </c>
      <c r="AU28" s="102">
        <f t="shared" si="17"/>
        <v>0</v>
      </c>
      <c r="AV28" s="102">
        <f t="shared" si="18"/>
        <v>0</v>
      </c>
      <c r="AW28" s="102">
        <f t="shared" si="19"/>
        <v>0</v>
      </c>
      <c r="AX28" s="103">
        <f t="shared" si="20"/>
        <v>0</v>
      </c>
      <c r="AY28" s="104">
        <f t="shared" si="28"/>
        <v>-1</v>
      </c>
      <c r="AZ28" s="105">
        <f t="shared" si="21"/>
        <v>0</v>
      </c>
      <c r="BA28" s="106">
        <f t="shared" si="21"/>
        <v>0</v>
      </c>
      <c r="BB28" s="106">
        <f t="shared" si="21"/>
        <v>0</v>
      </c>
      <c r="BC28" s="106">
        <f t="shared" si="21"/>
        <v>0</v>
      </c>
      <c r="BD28" s="106">
        <f t="shared" si="21"/>
        <v>0</v>
      </c>
      <c r="BE28" s="107">
        <f t="shared" si="29"/>
        <v>52473.776316030089</v>
      </c>
      <c r="BG28" s="108">
        <f>'Op Cost-24'!E21</f>
        <v>107836</v>
      </c>
      <c r="BH28" s="109">
        <f t="shared" si="22"/>
        <v>0.48660722129928863</v>
      </c>
      <c r="BI28" s="110">
        <f t="shared" si="23"/>
        <v>32350.799999999999</v>
      </c>
      <c r="BJ28" s="111">
        <f t="shared" si="24"/>
        <v>20122.97631603009</v>
      </c>
      <c r="BK28" s="1">
        <f t="shared" si="30"/>
        <v>1.1688862412192749</v>
      </c>
      <c r="BL28" s="112">
        <f t="shared" si="31"/>
        <v>0.55360257767264309</v>
      </c>
      <c r="BM28" s="112">
        <f t="shared" si="32"/>
        <v>0.48920166157678285</v>
      </c>
      <c r="BN28" s="113">
        <f t="shared" si="33"/>
        <v>1.8163703628138366</v>
      </c>
      <c r="BO28" s="114">
        <f t="shared" si="25"/>
        <v>0</v>
      </c>
      <c r="BP28" s="115">
        <f t="shared" si="34"/>
        <v>4.8447464262983697E-4</v>
      </c>
      <c r="BQ28" s="116">
        <f t="shared" si="35"/>
        <v>0</v>
      </c>
      <c r="BR28" s="117">
        <f t="shared" si="36"/>
        <v>0</v>
      </c>
      <c r="BS28" s="118">
        <f t="shared" si="37"/>
        <v>32350.799999999999</v>
      </c>
      <c r="BT28" s="119">
        <f t="shared" si="38"/>
        <v>32350.799999999999</v>
      </c>
      <c r="BU28" s="119">
        <f t="shared" si="39"/>
        <v>32350.799999999999</v>
      </c>
      <c r="BV28" s="119">
        <f t="shared" si="56"/>
        <v>0</v>
      </c>
      <c r="BW28" s="120">
        <f t="shared" si="40"/>
        <v>0</v>
      </c>
      <c r="BX28" s="121">
        <f t="shared" si="41"/>
        <v>0</v>
      </c>
      <c r="BY28" s="122">
        <f t="shared" si="42"/>
        <v>32350.799999999999</v>
      </c>
      <c r="BZ28" s="123">
        <f t="shared" si="58"/>
        <v>408850287397.59515</v>
      </c>
      <c r="CA28" s="111">
        <f t="shared" si="57"/>
        <v>408850319748</v>
      </c>
      <c r="CC28" s="124">
        <f t="shared" si="26"/>
        <v>1</v>
      </c>
      <c r="CD28" s="17"/>
      <c r="CE28" s="108">
        <f t="shared" si="44"/>
        <v>107836</v>
      </c>
      <c r="CF28" s="125">
        <f t="shared" si="45"/>
        <v>3791408.432694091</v>
      </c>
      <c r="CG28" s="110">
        <f t="shared" si="46"/>
        <v>32350.799999999999</v>
      </c>
      <c r="CH28" s="126">
        <f t="shared" si="47"/>
        <v>408850287397.20001</v>
      </c>
      <c r="CJ28" s="127">
        <f t="shared" si="48"/>
        <v>0</v>
      </c>
      <c r="CK28" s="128" t="e">
        <f t="shared" si="49"/>
        <v>#DIV/0!</v>
      </c>
      <c r="CL28" s="129" t="e">
        <f t="shared" si="50"/>
        <v>#DIV/0!</v>
      </c>
      <c r="CM28" s="130" t="e">
        <f t="shared" si="51"/>
        <v>#DIV/0!</v>
      </c>
      <c r="CO28" s="131" t="e">
        <f t="shared" si="52"/>
        <v>#DIV/0!</v>
      </c>
      <c r="CP28" s="1">
        <f t="shared" si="53"/>
        <v>0</v>
      </c>
      <c r="CQ28" s="132">
        <f t="shared" si="54"/>
        <v>0.3</v>
      </c>
      <c r="CS28" s="104">
        <f t="shared" si="55"/>
        <v>4.0422060179742445E-4</v>
      </c>
    </row>
    <row r="29" spans="1:97">
      <c r="A29" s="133" t="s">
        <v>104</v>
      </c>
      <c r="B29" s="90" t="s">
        <v>105</v>
      </c>
      <c r="C29" s="91">
        <f>'Sizing - Reimb Expen-24'!B22</f>
        <v>15647246</v>
      </c>
      <c r="D29" s="92">
        <f>'Ridership-24'!$E21</f>
        <v>421563</v>
      </c>
      <c r="E29" s="92">
        <f>'Revenue Hours-24'!$F21</f>
        <v>98775</v>
      </c>
      <c r="F29" s="92">
        <f>'Revenue Miles-24'!$F21</f>
        <v>2248360.5</v>
      </c>
      <c r="G29" s="134">
        <f t="shared" si="0"/>
        <v>2.4467410815003868E-2</v>
      </c>
      <c r="H29" s="94">
        <f t="shared" si="1"/>
        <v>2.3098981720740441E-2</v>
      </c>
      <c r="J29" s="95">
        <f>'Ridership-24'!B21/'Revenue Hours-24'!C21</f>
        <v>9.2001258890004944</v>
      </c>
      <c r="K29" s="96">
        <f>'Ridership-24'!C21/'Revenue Hours-24'!D21</f>
        <v>9.5977192221126977</v>
      </c>
      <c r="L29" s="96">
        <f>'Ridership-24'!D21/'Revenue Hours-24'!E21</f>
        <v>3.470492023892092</v>
      </c>
      <c r="M29" s="96">
        <f>'Ridership-24'!E21/'Revenue Hours-24'!F21</f>
        <v>4.2679119210326499</v>
      </c>
      <c r="N29" s="97">
        <f t="shared" si="2"/>
        <v>0.90195672942429905</v>
      </c>
      <c r="O29" s="98">
        <f t="shared" si="3"/>
        <v>2.0834282005870716E-2</v>
      </c>
      <c r="P29" s="99">
        <f t="shared" si="4"/>
        <v>1.9991141658334224E-2</v>
      </c>
      <c r="Q29" s="95">
        <f>'Ridership-24'!B21/'Revenue Miles-24'!C21</f>
        <v>0.3814515427407344</v>
      </c>
      <c r="R29" s="96">
        <f>'Ridership-24'!C21/'Revenue Miles-24'!D21</f>
        <v>0.37124438856652447</v>
      </c>
      <c r="S29" s="96">
        <f>'Ridership-24'!D21/'Revenue Miles-24'!E21</f>
        <v>0.16305901321605187</v>
      </c>
      <c r="T29" s="96">
        <f>'Ridership-24'!E21/'Revenue Miles-24'!F21</f>
        <v>0.18749795684455406</v>
      </c>
      <c r="U29" s="97">
        <f t="shared" si="5"/>
        <v>0.91332005834349295</v>
      </c>
      <c r="V29" s="98">
        <f t="shared" si="6"/>
        <v>2.1096763332861937E-2</v>
      </c>
      <c r="W29" s="99">
        <f t="shared" si="7"/>
        <v>2.0312626720853166E-2</v>
      </c>
      <c r="X29" s="95">
        <f>'Op Cost-24'!B22/'Revenue Hours-24'!C21</f>
        <v>93.378558519513959</v>
      </c>
      <c r="Y29" s="96">
        <f>'Op Cost-24'!C22/'Revenue Hours-24'!D21</f>
        <v>112.24563612250527</v>
      </c>
      <c r="Z29" s="96">
        <f>'Op Cost-24'!D22/'Revenue Hours-24'!E21</f>
        <v>179.69728056645377</v>
      </c>
      <c r="AA29" s="96">
        <f>'Op Cost-24'!E22/'Revenue Hours-24'!F21</f>
        <v>158.41301948873704</v>
      </c>
      <c r="AB29" s="97">
        <f t="shared" si="8"/>
        <v>1.1234756688906935</v>
      </c>
      <c r="AC29" s="98">
        <f t="shared" si="9"/>
        <v>2.0560286582394879E-2</v>
      </c>
      <c r="AD29" s="99">
        <f t="shared" si="10"/>
        <v>2.0674873066199948E-2</v>
      </c>
      <c r="AE29" s="95">
        <f>'Op Cost-24'!B22/'Revenue Miles-24'!C21</f>
        <v>3.8716204143206845</v>
      </c>
      <c r="AF29" s="96">
        <f>'Op Cost-24'!C22/'Revenue Miles-24'!D21</f>
        <v>4.3417151082679135</v>
      </c>
      <c r="AG29" s="96">
        <f>'Op Cost-24'!D22/'Revenue Miles-24'!E21</f>
        <v>8.4429703468712045</v>
      </c>
      <c r="AH29" s="96">
        <f>'Op Cost-24'!E22/'Revenue Miles-24'!F21</f>
        <v>6.9594026402794391</v>
      </c>
      <c r="AI29" s="97">
        <f t="shared" si="11"/>
        <v>1.1730229212345462</v>
      </c>
      <c r="AJ29" s="98">
        <f t="shared" si="12"/>
        <v>1.9691841738633677E-2</v>
      </c>
      <c r="AK29" s="99">
        <f t="shared" si="13"/>
        <v>1.9714097311636182E-2</v>
      </c>
      <c r="AL29" s="95">
        <f>'Op Cost-24'!B22/'Ridership-24'!B21</f>
        <v>10.149704432974739</v>
      </c>
      <c r="AM29" s="96">
        <f>'Op Cost-24'!C22/'Ridership-24'!C21</f>
        <v>11.695032280575219</v>
      </c>
      <c r="AN29" s="96">
        <f>'Op Cost-24'!D22/'Ridership-24'!D21</f>
        <v>51.778617939287642</v>
      </c>
      <c r="AO29" s="96">
        <f>'Op Cost-24'!E22/'Ridership-24'!E21</f>
        <v>37.117218541475417</v>
      </c>
      <c r="AP29" s="97">
        <f t="shared" si="14"/>
        <v>1.303510424877655</v>
      </c>
      <c r="AQ29" s="98">
        <f t="shared" si="15"/>
        <v>1.7720596076482065E-2</v>
      </c>
      <c r="AR29" s="99">
        <f t="shared" si="16"/>
        <v>1.875952879095942E-2</v>
      </c>
      <c r="AT29" s="101">
        <f t="shared" si="27"/>
        <v>0</v>
      </c>
      <c r="AU29" s="102">
        <f t="shared" si="17"/>
        <v>0</v>
      </c>
      <c r="AV29" s="102">
        <f t="shared" si="18"/>
        <v>0</v>
      </c>
      <c r="AW29" s="102">
        <f t="shared" si="19"/>
        <v>0</v>
      </c>
      <c r="AX29" s="103">
        <f t="shared" si="20"/>
        <v>0</v>
      </c>
      <c r="AY29" s="104">
        <f t="shared" si="28"/>
        <v>-1</v>
      </c>
      <c r="AZ29" s="105">
        <f t="shared" si="21"/>
        <v>0</v>
      </c>
      <c r="BA29" s="106">
        <f t="shared" si="21"/>
        <v>0</v>
      </c>
      <c r="BB29" s="106">
        <f t="shared" si="21"/>
        <v>0</v>
      </c>
      <c r="BC29" s="106">
        <f t="shared" si="21"/>
        <v>0</v>
      </c>
      <c r="BD29" s="106">
        <f t="shared" si="21"/>
        <v>0</v>
      </c>
      <c r="BE29" s="107">
        <f t="shared" si="29"/>
        <v>2924397.1396938683</v>
      </c>
      <c r="BG29" s="108">
        <f>'Op Cost-24'!E22</f>
        <v>15647246</v>
      </c>
      <c r="BH29" s="109">
        <f t="shared" si="22"/>
        <v>0.18689532584161253</v>
      </c>
      <c r="BI29" s="110">
        <f t="shared" si="23"/>
        <v>2924397.1396938683</v>
      </c>
      <c r="BJ29" s="111">
        <f t="shared" si="24"/>
        <v>0</v>
      </c>
      <c r="BK29" s="1">
        <f t="shared" si="30"/>
        <v>0.45631680719801038</v>
      </c>
      <c r="BL29" s="112">
        <f t="shared" si="31"/>
        <v>0.56187190734995884</v>
      </c>
      <c r="BM29" s="112">
        <f t="shared" si="32"/>
        <v>0.34204912257142456</v>
      </c>
      <c r="BN29" s="113">
        <f t="shared" si="33"/>
        <v>0.46067309943532903</v>
      </c>
      <c r="BO29" s="114">
        <f t="shared" si="25"/>
        <v>2924397.1396938683</v>
      </c>
      <c r="BP29" s="115">
        <f t="shared" si="34"/>
        <v>1.0540453588333481E-2</v>
      </c>
      <c r="BQ29" s="116">
        <f t="shared" si="35"/>
        <v>1.0540453588333481E-2</v>
      </c>
      <c r="BR29" s="117">
        <f t="shared" si="36"/>
        <v>1.6242985855290975E-2</v>
      </c>
      <c r="BS29" s="118">
        <f t="shared" si="37"/>
        <v>3129676.4352640179</v>
      </c>
      <c r="BT29" s="119">
        <f t="shared" si="38"/>
        <v>4694173.8</v>
      </c>
      <c r="BU29" s="119">
        <f t="shared" si="39"/>
        <v>3129676.4352640179</v>
      </c>
      <c r="BV29" s="119">
        <f t="shared" si="56"/>
        <v>0</v>
      </c>
      <c r="BW29" s="120">
        <f t="shared" si="40"/>
        <v>1.0540453588333481E-2</v>
      </c>
      <c r="BX29" s="121">
        <f t="shared" si="41"/>
        <v>2.0582231943517382E-2</v>
      </c>
      <c r="BY29" s="122">
        <f t="shared" si="42"/>
        <v>3164933.6899425881</v>
      </c>
      <c r="BZ29" s="123">
        <f t="shared" si="58"/>
        <v>39998517771658.148</v>
      </c>
      <c r="CA29" s="111">
        <f t="shared" si="57"/>
        <v>39998520696055</v>
      </c>
      <c r="CC29" s="124">
        <f t="shared" si="26"/>
        <v>1</v>
      </c>
      <c r="CD29" s="17"/>
      <c r="CE29" s="108">
        <f t="shared" si="44"/>
        <v>15647246</v>
      </c>
      <c r="CF29" s="125">
        <f t="shared" si="45"/>
        <v>2556265.8563721054</v>
      </c>
      <c r="CG29" s="110">
        <f t="shared" si="46"/>
        <v>4694173.8</v>
      </c>
      <c r="CH29" s="126">
        <f t="shared" si="47"/>
        <v>39998516001881.203</v>
      </c>
      <c r="CJ29" s="127">
        <f t="shared" si="48"/>
        <v>0</v>
      </c>
      <c r="CK29" s="128" t="e">
        <f t="shared" si="49"/>
        <v>#DIV/0!</v>
      </c>
      <c r="CL29" s="129" t="e">
        <f t="shared" si="50"/>
        <v>#DIV/0!</v>
      </c>
      <c r="CM29" s="130" t="e">
        <f t="shared" si="51"/>
        <v>#DIV/0!</v>
      </c>
      <c r="CO29" s="131" t="e">
        <f t="shared" si="52"/>
        <v>#DIV/0!</v>
      </c>
      <c r="CP29" s="1">
        <f t="shared" si="53"/>
        <v>0</v>
      </c>
      <c r="CQ29" s="132">
        <f t="shared" si="54"/>
        <v>0.20226777862012191</v>
      </c>
      <c r="CS29" s="104">
        <f t="shared" si="55"/>
        <v>8.7944096920452176E-3</v>
      </c>
    </row>
    <row r="30" spans="1:97">
      <c r="A30" s="133" t="s">
        <v>104</v>
      </c>
      <c r="B30" s="90" t="s">
        <v>106</v>
      </c>
      <c r="C30" s="91">
        <f>'Sizing - Reimb Expen-24'!B23</f>
        <v>26239078</v>
      </c>
      <c r="D30" s="92">
        <f>'Ridership-24'!$E22</f>
        <v>1815957</v>
      </c>
      <c r="E30" s="92">
        <f>'Revenue Hours-24'!$F22</f>
        <v>204460</v>
      </c>
      <c r="F30" s="92">
        <f>'Revenue Miles-24'!$F22</f>
        <v>2083544</v>
      </c>
      <c r="G30" s="134">
        <f t="shared" si="0"/>
        <v>4.8281511950908233E-2</v>
      </c>
      <c r="H30" s="94">
        <f t="shared" si="1"/>
        <v>4.5581192486450026E-2</v>
      </c>
      <c r="J30" s="95">
        <f>'Ridership-24'!B22/'Revenue Hours-24'!C22</f>
        <v>13.865819939305384</v>
      </c>
      <c r="K30" s="96">
        <f>'Ridership-24'!C22/'Revenue Hours-24'!D22</f>
        <v>12.903471027599291</v>
      </c>
      <c r="L30" s="96">
        <f>'Ridership-24'!D22/'Revenue Hours-24'!E22</f>
        <v>7.8216167510040826</v>
      </c>
      <c r="M30" s="96">
        <f>'Ridership-24'!E22/'Revenue Hours-24'!F22</f>
        <v>8.8817225863249529</v>
      </c>
      <c r="N30" s="97">
        <f t="shared" si="2"/>
        <v>0.99856691724436875</v>
      </c>
      <c r="O30" s="98">
        <f t="shared" si="3"/>
        <v>4.5515870865516582E-2</v>
      </c>
      <c r="P30" s="99">
        <f t="shared" si="4"/>
        <v>4.367389391765901E-2</v>
      </c>
      <c r="Q30" s="95">
        <f>'Ridership-24'!B22/'Revenue Miles-24'!C22</f>
        <v>1.3701537016658529</v>
      </c>
      <c r="R30" s="96">
        <f>'Ridership-24'!C22/'Revenue Miles-24'!D22</f>
        <v>1.2587048387152435</v>
      </c>
      <c r="S30" s="96">
        <f>'Ridership-24'!D22/'Revenue Miles-24'!E22</f>
        <v>0.78433143162528551</v>
      </c>
      <c r="T30" s="96">
        <f>'Ridership-24'!E22/'Revenue Miles-24'!F22</f>
        <v>0.87157122671755427</v>
      </c>
      <c r="U30" s="97">
        <f t="shared" si="5"/>
        <v>1.0022577420680119</v>
      </c>
      <c r="V30" s="98">
        <f t="shared" si="6"/>
        <v>4.568410306223683E-2</v>
      </c>
      <c r="W30" s="99">
        <f t="shared" si="7"/>
        <v>4.3986090090641229E-2</v>
      </c>
      <c r="X30" s="95">
        <f>'Op Cost-24'!B23/'Revenue Hours-24'!C22</f>
        <v>71.878358997414864</v>
      </c>
      <c r="Y30" s="96">
        <f>'Op Cost-24'!C23/'Revenue Hours-24'!D22</f>
        <v>70.784446046283321</v>
      </c>
      <c r="Z30" s="96">
        <f>'Op Cost-24'!D23/'Revenue Hours-24'!E22</f>
        <v>115.12446224595757</v>
      </c>
      <c r="AA30" s="96">
        <f>'Op Cost-24'!E23/'Revenue Hours-24'!F22</f>
        <v>128.33355179497212</v>
      </c>
      <c r="AB30" s="97">
        <f t="shared" si="8"/>
        <v>1.1369244024920826</v>
      </c>
      <c r="AC30" s="98">
        <f t="shared" si="9"/>
        <v>4.0091665185951052E-2</v>
      </c>
      <c r="AD30" s="99">
        <f t="shared" si="10"/>
        <v>4.0315103848886903E-2</v>
      </c>
      <c r="AE30" s="95">
        <f>'Op Cost-24'!B23/'Revenue Miles-24'!C22</f>
        <v>7.1026740633492365</v>
      </c>
      <c r="AF30" s="96">
        <f>'Op Cost-24'!C23/'Revenue Miles-24'!D22</f>
        <v>6.9048649432129956</v>
      </c>
      <c r="AG30" s="96">
        <f>'Op Cost-24'!D23/'Revenue Miles-24'!E22</f>
        <v>11.544382339734495</v>
      </c>
      <c r="AH30" s="96">
        <f>'Op Cost-24'!E23/'Revenue Miles-24'!F22</f>
        <v>12.593483986899244</v>
      </c>
      <c r="AI30" s="97">
        <f t="shared" si="11"/>
        <v>1.1413899080937748</v>
      </c>
      <c r="AJ30" s="98">
        <f t="shared" si="12"/>
        <v>3.9934812953248175E-2</v>
      </c>
      <c r="AK30" s="99">
        <f t="shared" si="13"/>
        <v>3.9979946981685888E-2</v>
      </c>
      <c r="AL30" s="95">
        <f>'Op Cost-24'!B23/'Ridership-24'!B22</f>
        <v>5.1838520413539744</v>
      </c>
      <c r="AM30" s="96">
        <f>'Op Cost-24'!C23/'Ridership-24'!C22</f>
        <v>5.485690315023156</v>
      </c>
      <c r="AN30" s="96">
        <f>'Op Cost-24'!D23/'Ridership-24'!D22</f>
        <v>14.718755202519828</v>
      </c>
      <c r="AO30" s="96">
        <f>'Op Cost-24'!E23/'Ridership-24'!E22</f>
        <v>14.449173631313958</v>
      </c>
      <c r="AP30" s="97">
        <f t="shared" si="14"/>
        <v>1.1417394937986716</v>
      </c>
      <c r="AQ30" s="98">
        <f t="shared" si="15"/>
        <v>3.9922585435664695E-2</v>
      </c>
      <c r="AR30" s="99">
        <f t="shared" si="16"/>
        <v>4.2263188419707387E-2</v>
      </c>
      <c r="AT30" s="101">
        <f t="shared" si="27"/>
        <v>0</v>
      </c>
      <c r="AU30" s="102">
        <f t="shared" si="17"/>
        <v>0</v>
      </c>
      <c r="AV30" s="102">
        <f t="shared" si="18"/>
        <v>0</v>
      </c>
      <c r="AW30" s="102">
        <f t="shared" si="19"/>
        <v>0</v>
      </c>
      <c r="AX30" s="103">
        <f t="shared" si="20"/>
        <v>0</v>
      </c>
      <c r="AY30" s="104">
        <f t="shared" si="28"/>
        <v>-1</v>
      </c>
      <c r="AZ30" s="105">
        <f t="shared" si="21"/>
        <v>0</v>
      </c>
      <c r="BA30" s="106">
        <f t="shared" si="21"/>
        <v>0</v>
      </c>
      <c r="BB30" s="106">
        <f t="shared" si="21"/>
        <v>0</v>
      </c>
      <c r="BC30" s="106">
        <f t="shared" si="21"/>
        <v>0</v>
      </c>
      <c r="BD30" s="106">
        <f t="shared" si="21"/>
        <v>0</v>
      </c>
      <c r="BE30" s="107">
        <f t="shared" si="29"/>
        <v>5770709.3127626069</v>
      </c>
      <c r="BG30" s="108">
        <f>'Op Cost-24'!E23</f>
        <v>26239078</v>
      </c>
      <c r="BH30" s="109">
        <f t="shared" si="22"/>
        <v>0.2199280520741852</v>
      </c>
      <c r="BI30" s="110">
        <f t="shared" si="23"/>
        <v>5770709.3127626069</v>
      </c>
      <c r="BJ30" s="111">
        <f t="shared" si="24"/>
        <v>0</v>
      </c>
      <c r="BK30" s="1">
        <f t="shared" si="30"/>
        <v>1.2163123264398563</v>
      </c>
      <c r="BL30" s="112">
        <f t="shared" si="31"/>
        <v>1.0238129564106229</v>
      </c>
      <c r="BM30" s="112">
        <f t="shared" si="32"/>
        <v>1.4431248539786969</v>
      </c>
      <c r="BN30" s="113">
        <f t="shared" si="33"/>
        <v>1.1991557476850525</v>
      </c>
      <c r="BO30" s="114">
        <f t="shared" si="25"/>
        <v>5770709.3127626069</v>
      </c>
      <c r="BP30" s="115">
        <f t="shared" si="34"/>
        <v>5.5440966275096933E-2</v>
      </c>
      <c r="BQ30" s="116">
        <f t="shared" si="35"/>
        <v>5.5440966275096933E-2</v>
      </c>
      <c r="BR30" s="117">
        <f t="shared" si="36"/>
        <v>8.5435301570588568E-2</v>
      </c>
      <c r="BS30" s="118">
        <f t="shared" si="37"/>
        <v>6850442.970076656</v>
      </c>
      <c r="BT30" s="119">
        <f t="shared" si="38"/>
        <v>7871723.3999999994</v>
      </c>
      <c r="BU30" s="119">
        <f t="shared" si="39"/>
        <v>6850442.970076656</v>
      </c>
      <c r="BV30" s="119">
        <f t="shared" si="56"/>
        <v>0</v>
      </c>
      <c r="BW30" s="120">
        <f t="shared" si="40"/>
        <v>5.5440966275096933E-2</v>
      </c>
      <c r="BX30" s="121">
        <f t="shared" si="41"/>
        <v>0.1082589869101815</v>
      </c>
      <c r="BY30" s="122">
        <f t="shared" si="42"/>
        <v>7035890.0432226006</v>
      </c>
      <c r="BZ30" s="123">
        <f t="shared" si="58"/>
        <v>88919769102137.766</v>
      </c>
      <c r="CA30" s="111">
        <f t="shared" si="57"/>
        <v>88919774872847</v>
      </c>
      <c r="CC30" s="124">
        <f t="shared" si="26"/>
        <v>1</v>
      </c>
      <c r="CD30" s="17"/>
      <c r="CE30" s="108">
        <f t="shared" si="44"/>
        <v>26239078</v>
      </c>
      <c r="CF30" s="125">
        <f t="shared" si="45"/>
        <v>3388830.0066354084</v>
      </c>
      <c r="CG30" s="110">
        <f t="shared" si="46"/>
        <v>7871723.3999999994</v>
      </c>
      <c r="CH30" s="126">
        <f t="shared" si="47"/>
        <v>88919767001123.594</v>
      </c>
      <c r="CJ30" s="127">
        <f t="shared" si="48"/>
        <v>0</v>
      </c>
      <c r="CK30" s="128" t="e">
        <f t="shared" si="49"/>
        <v>#DIV/0!</v>
      </c>
      <c r="CL30" s="129" t="e">
        <f t="shared" si="50"/>
        <v>#DIV/0!</v>
      </c>
      <c r="CM30" s="130" t="e">
        <f t="shared" si="51"/>
        <v>#DIV/0!</v>
      </c>
      <c r="CO30" s="131" t="e">
        <f t="shared" si="52"/>
        <v>#DIV/0!</v>
      </c>
      <c r="CP30" s="1">
        <f t="shared" si="53"/>
        <v>0</v>
      </c>
      <c r="CQ30" s="132">
        <f t="shared" si="54"/>
        <v>0.26814547535635974</v>
      </c>
      <c r="CS30" s="104">
        <f t="shared" si="55"/>
        <v>4.6257076800349801E-2</v>
      </c>
    </row>
    <row r="31" spans="1:97">
      <c r="A31" s="133" t="s">
        <v>104</v>
      </c>
      <c r="B31" s="90" t="s">
        <v>107</v>
      </c>
      <c r="C31" s="91">
        <f>'Sizing - Reimb Expen-24'!B24</f>
        <v>27236031</v>
      </c>
      <c r="D31" s="92">
        <f>'Ridership-24'!$E23</f>
        <v>3047077</v>
      </c>
      <c r="E31" s="92">
        <f>'Revenue Hours-24'!$F23</f>
        <v>276476</v>
      </c>
      <c r="F31" s="92">
        <f>'Revenue Miles-24'!$F23</f>
        <v>2503129</v>
      </c>
      <c r="G31" s="134">
        <f t="shared" si="0"/>
        <v>6.3656643721171927E-2</v>
      </c>
      <c r="H31" s="94">
        <f t="shared" si="1"/>
        <v>6.0096413994788461E-2</v>
      </c>
      <c r="J31" s="95">
        <f>'Ridership-24'!B23/'Revenue Hours-24'!C23</f>
        <v>16.336445534406419</v>
      </c>
      <c r="K31" s="96">
        <f>'Ridership-24'!C23/'Revenue Hours-24'!D23</f>
        <v>15.892603773584906</v>
      </c>
      <c r="L31" s="96">
        <f>'Ridership-24'!D23/'Revenue Hours-24'!E23</f>
        <v>7.2218469159098948</v>
      </c>
      <c r="M31" s="96">
        <f>'Ridership-24'!E23/'Revenue Hours-24'!F23</f>
        <v>11.021126607734487</v>
      </c>
      <c r="N31" s="97">
        <f t="shared" si="2"/>
        <v>1.0152818096633436</v>
      </c>
      <c r="O31" s="98">
        <f t="shared" si="3"/>
        <v>6.1014795954906317E-2</v>
      </c>
      <c r="P31" s="99">
        <f t="shared" si="4"/>
        <v>5.8545594652370823E-2</v>
      </c>
      <c r="Q31" s="95">
        <f>'Ridership-24'!B23/'Revenue Miles-24'!C23</f>
        <v>1.802680802858009</v>
      </c>
      <c r="R31" s="96">
        <f>'Ridership-24'!C23/'Revenue Miles-24'!D23</f>
        <v>1.6926824335930128</v>
      </c>
      <c r="S31" s="96">
        <f>'Ridership-24'!D23/'Revenue Miles-24'!E23</f>
        <v>0.80452628182287345</v>
      </c>
      <c r="T31" s="96">
        <f>'Ridership-24'!E23/'Revenue Miles-24'!F23</f>
        <v>1.2173072182855937</v>
      </c>
      <c r="U31" s="97">
        <f t="shared" si="5"/>
        <v>1.0211052742749469</v>
      </c>
      <c r="V31" s="98">
        <f t="shared" si="6"/>
        <v>6.1364765295089232E-2</v>
      </c>
      <c r="W31" s="99">
        <f t="shared" si="7"/>
        <v>5.9083924466759329E-2</v>
      </c>
      <c r="X31" s="95">
        <f>'Op Cost-24'!B24/'Revenue Hours-24'!C23</f>
        <v>76.667882499885891</v>
      </c>
      <c r="Y31" s="96">
        <f>'Op Cost-24'!C24/'Revenue Hours-24'!D23</f>
        <v>83.128810327706063</v>
      </c>
      <c r="Z31" s="96">
        <f>'Op Cost-24'!D24/'Revenue Hours-24'!E23</f>
        <v>113.69054841372804</v>
      </c>
      <c r="AA31" s="96">
        <f>'Op Cost-24'!E24/'Revenue Hours-24'!F23</f>
        <v>98.632543150219192</v>
      </c>
      <c r="AB31" s="97">
        <f t="shared" si="8"/>
        <v>1.0166046781627676</v>
      </c>
      <c r="AC31" s="98">
        <f t="shared" si="9"/>
        <v>5.9114831247281042E-2</v>
      </c>
      <c r="AD31" s="99">
        <f t="shared" si="10"/>
        <v>5.9444289721812038E-2</v>
      </c>
      <c r="AE31" s="95">
        <f>'Op Cost-24'!B24/'Revenue Miles-24'!C23</f>
        <v>8.4600851321810815</v>
      </c>
      <c r="AF31" s="96">
        <f>'Op Cost-24'!C24/'Revenue Miles-24'!D23</f>
        <v>8.8538466680374093</v>
      </c>
      <c r="AG31" s="96">
        <f>'Op Cost-24'!D24/'Revenue Miles-24'!E23</f>
        <v>12.665324432756394</v>
      </c>
      <c r="AH31" s="96">
        <f>'Op Cost-24'!E24/'Revenue Miles-24'!F23</f>
        <v>10.894177247756708</v>
      </c>
      <c r="AI31" s="97">
        <f t="shared" si="11"/>
        <v>1.0223143327218718</v>
      </c>
      <c r="AJ31" s="98">
        <f t="shared" si="12"/>
        <v>5.8784673237226477E-2</v>
      </c>
      <c r="AK31" s="99">
        <f t="shared" si="13"/>
        <v>5.8851111237491982E-2</v>
      </c>
      <c r="AL31" s="95">
        <f>'Op Cost-24'!B24/'Ridership-24'!B23</f>
        <v>4.6930577608461137</v>
      </c>
      <c r="AM31" s="96">
        <f>'Op Cost-24'!C24/'Ridership-24'!C23</f>
        <v>5.2306602185523836</v>
      </c>
      <c r="AN31" s="96">
        <f>'Op Cost-24'!D24/'Ridership-24'!D23</f>
        <v>15.742586313102974</v>
      </c>
      <c r="AO31" s="96">
        <f>'Op Cost-24'!E24/'Ridership-24'!E23</f>
        <v>8.9494065952386492</v>
      </c>
      <c r="AP31" s="97">
        <f t="shared" si="14"/>
        <v>1.0288072437017239</v>
      </c>
      <c r="AQ31" s="98">
        <f t="shared" si="15"/>
        <v>5.8413676966889497E-2</v>
      </c>
      <c r="AR31" s="99">
        <f t="shared" si="16"/>
        <v>6.1838385690675367E-2</v>
      </c>
      <c r="AT31" s="101">
        <f t="shared" si="27"/>
        <v>0</v>
      </c>
      <c r="AU31" s="102">
        <f t="shared" si="17"/>
        <v>0</v>
      </c>
      <c r="AV31" s="102">
        <f t="shared" si="18"/>
        <v>0</v>
      </c>
      <c r="AW31" s="102">
        <f t="shared" si="19"/>
        <v>0</v>
      </c>
      <c r="AX31" s="103">
        <f t="shared" si="20"/>
        <v>0</v>
      </c>
      <c r="AY31" s="104">
        <f t="shared" si="28"/>
        <v>-1</v>
      </c>
      <c r="AZ31" s="105">
        <f t="shared" si="21"/>
        <v>0</v>
      </c>
      <c r="BA31" s="106">
        <f t="shared" si="21"/>
        <v>0</v>
      </c>
      <c r="BB31" s="106">
        <f t="shared" si="21"/>
        <v>0</v>
      </c>
      <c r="BC31" s="106">
        <f t="shared" si="21"/>
        <v>0</v>
      </c>
      <c r="BD31" s="106">
        <f t="shared" si="21"/>
        <v>0</v>
      </c>
      <c r="BE31" s="107">
        <f t="shared" si="29"/>
        <v>7608377.8634456787</v>
      </c>
      <c r="BG31" s="108">
        <f>'Op Cost-24'!E24</f>
        <v>27269531</v>
      </c>
      <c r="BH31" s="109">
        <f t="shared" si="22"/>
        <v>0.27900655363107196</v>
      </c>
      <c r="BI31" s="110">
        <f t="shared" si="23"/>
        <v>7608377.8634456787</v>
      </c>
      <c r="BJ31" s="111">
        <f t="shared" si="24"/>
        <v>0</v>
      </c>
      <c r="BK31" s="1">
        <f t="shared" si="30"/>
        <v>1.4334933198357167</v>
      </c>
      <c r="BL31" s="112">
        <f t="shared" si="31"/>
        <v>1.1483511489448774</v>
      </c>
      <c r="BM31" s="112">
        <f t="shared" si="32"/>
        <v>1.7957702709275882</v>
      </c>
      <c r="BN31" s="113">
        <f t="shared" si="33"/>
        <v>1.3949259297352006</v>
      </c>
      <c r="BO31" s="114">
        <f t="shared" si="25"/>
        <v>7608377.8634456787</v>
      </c>
      <c r="BP31" s="115">
        <f t="shared" si="34"/>
        <v>8.6147808007610932E-2</v>
      </c>
      <c r="BQ31" s="116">
        <f t="shared" si="35"/>
        <v>8.6147808007610932E-2</v>
      </c>
      <c r="BR31" s="117">
        <f t="shared" si="36"/>
        <v>0.13275497256405885</v>
      </c>
      <c r="BS31" s="118">
        <f t="shared" si="37"/>
        <v>9286138.8055638131</v>
      </c>
      <c r="BT31" s="119">
        <f t="shared" si="38"/>
        <v>8180859.2999999998</v>
      </c>
      <c r="BU31" s="119">
        <f t="shared" si="39"/>
        <v>8180859.2999999998</v>
      </c>
      <c r="BV31" s="119">
        <f t="shared" si="56"/>
        <v>1105279.5055638133</v>
      </c>
      <c r="BW31" s="120">
        <f t="shared" si="40"/>
        <v>0</v>
      </c>
      <c r="BX31" s="121">
        <f t="shared" si="41"/>
        <v>0</v>
      </c>
      <c r="BY31" s="122">
        <f t="shared" si="42"/>
        <v>8180859.2999999998</v>
      </c>
      <c r="BZ31" s="123">
        <f t="shared" si="58"/>
        <v>103389921608253.56</v>
      </c>
      <c r="CA31" s="111">
        <f t="shared" si="57"/>
        <v>103389929216631</v>
      </c>
      <c r="CC31" s="124">
        <f t="shared" si="26"/>
        <v>1</v>
      </c>
      <c r="CD31" s="17"/>
      <c r="CE31" s="108">
        <f t="shared" si="44"/>
        <v>27269531</v>
      </c>
      <c r="CF31" s="125">
        <f t="shared" si="45"/>
        <v>3791408.4117042939</v>
      </c>
      <c r="CG31" s="110">
        <f t="shared" si="46"/>
        <v>8180859.2999999998</v>
      </c>
      <c r="CH31" s="126">
        <f t="shared" si="47"/>
        <v>103389921035771.7</v>
      </c>
      <c r="CJ31" s="127">
        <f t="shared" si="48"/>
        <v>0</v>
      </c>
      <c r="CK31" s="128" t="e">
        <f t="shared" si="49"/>
        <v>#DIV/0!</v>
      </c>
      <c r="CL31" s="129" t="e">
        <f t="shared" si="50"/>
        <v>#DIV/0!</v>
      </c>
      <c r="CM31" s="130" t="e">
        <f t="shared" si="51"/>
        <v>#DIV/0!</v>
      </c>
      <c r="CO31" s="131" t="e">
        <f t="shared" si="52"/>
        <v>#DIV/0!</v>
      </c>
      <c r="CP31" s="1">
        <f t="shared" si="53"/>
        <v>0</v>
      </c>
      <c r="CQ31" s="132">
        <f t="shared" si="54"/>
        <v>0.3</v>
      </c>
      <c r="CS31" s="104">
        <f t="shared" si="55"/>
        <v>7.1877278462583599E-2</v>
      </c>
    </row>
    <row r="32" spans="1:97">
      <c r="A32" s="133" t="s">
        <v>104</v>
      </c>
      <c r="B32" s="90" t="s">
        <v>108</v>
      </c>
      <c r="C32" s="91">
        <f>'Sizing - Reimb Expen-24'!B25</f>
        <v>5244294</v>
      </c>
      <c r="D32" s="92">
        <f>'Ridership-24'!$E24</f>
        <v>471899</v>
      </c>
      <c r="E32" s="92">
        <f>'Revenue Hours-24'!$F24</f>
        <v>35046</v>
      </c>
      <c r="F32" s="92">
        <f>'Revenue Miles-24'!$F24</f>
        <v>434291</v>
      </c>
      <c r="G32" s="134">
        <f t="shared" si="0"/>
        <v>1.0476581378686624E-2</v>
      </c>
      <c r="H32" s="94">
        <f t="shared" si="1"/>
        <v>9.890640394762739E-3</v>
      </c>
      <c r="J32" s="95">
        <f>'Ridership-24'!B24/'Revenue Hours-24'!C24</f>
        <v>18.030378842030022</v>
      </c>
      <c r="K32" s="96">
        <f>'Ridership-24'!C24/'Revenue Hours-24'!D24</f>
        <v>17.559390774078722</v>
      </c>
      <c r="L32" s="96">
        <f>'Ridership-24'!D24/'Revenue Hours-24'!E24</f>
        <v>9.5356184364060681</v>
      </c>
      <c r="M32" s="96">
        <f>'Ridership-24'!E24/'Revenue Hours-24'!F24</f>
        <v>13.465131541402728</v>
      </c>
      <c r="N32" s="97">
        <f t="shared" si="2"/>
        <v>1.0436502726700094</v>
      </c>
      <c r="O32" s="98">
        <f t="shared" si="3"/>
        <v>1.0322369544875143E-2</v>
      </c>
      <c r="P32" s="99">
        <f t="shared" si="4"/>
        <v>9.904634667185875E-3</v>
      </c>
      <c r="Q32" s="95">
        <f>'Ridership-24'!B24/'Revenue Miles-24'!C24</f>
        <v>1.3764010967774205</v>
      </c>
      <c r="R32" s="96">
        <f>'Ridership-24'!C24/'Revenue Miles-24'!D24</f>
        <v>1.3807895890071515</v>
      </c>
      <c r="S32" s="96">
        <f>'Ridership-24'!D24/'Revenue Miles-24'!E24</f>
        <v>0.74451206457520036</v>
      </c>
      <c r="T32" s="96">
        <f>'Ridership-24'!E24/'Revenue Miles-24'!F24</f>
        <v>1.0865963144527517</v>
      </c>
      <c r="U32" s="97">
        <f t="shared" si="5"/>
        <v>1.0693702541727059</v>
      </c>
      <c r="V32" s="98">
        <f t="shared" si="6"/>
        <v>1.0576756632878263E-2</v>
      </c>
      <c r="W32" s="99">
        <f t="shared" si="7"/>
        <v>1.0183633669829818E-2</v>
      </c>
      <c r="X32" s="95">
        <f>'Op Cost-24'!B25/'Revenue Hours-24'!C24</f>
        <v>116.72551822730522</v>
      </c>
      <c r="Y32" s="96">
        <f>'Op Cost-24'!C25/'Revenue Hours-24'!D24</f>
        <v>115.9866367111137</v>
      </c>
      <c r="Z32" s="96">
        <f>'Op Cost-24'!D25/'Revenue Hours-24'!E24</f>
        <v>133.20037922987166</v>
      </c>
      <c r="AA32" s="96">
        <f>'Op Cost-24'!E25/'Revenue Hours-24'!F24</f>
        <v>152.54685270786965</v>
      </c>
      <c r="AB32" s="97">
        <f t="shared" si="8"/>
        <v>1.0194822652763735</v>
      </c>
      <c r="AC32" s="98">
        <f t="shared" si="9"/>
        <v>9.7016306527720371E-3</v>
      </c>
      <c r="AD32" s="99">
        <f t="shared" si="10"/>
        <v>9.7556997310031014E-3</v>
      </c>
      <c r="AE32" s="95">
        <f>'Op Cost-24'!B25/'Revenue Miles-24'!C24</f>
        <v>8.9105799005988615</v>
      </c>
      <c r="AF32" s="96">
        <f>'Op Cost-24'!C25/'Revenue Miles-24'!D24</f>
        <v>9.1206547251673182</v>
      </c>
      <c r="AG32" s="96">
        <f>'Op Cost-24'!D25/'Revenue Miles-24'!E24</f>
        <v>10.399880196968939</v>
      </c>
      <c r="AH32" s="96">
        <f>'Op Cost-24'!E25/'Revenue Miles-24'!F24</f>
        <v>12.310080107577638</v>
      </c>
      <c r="AI32" s="97">
        <f t="shared" si="11"/>
        <v>1.0469308779778348</v>
      </c>
      <c r="AJ32" s="98">
        <f t="shared" si="12"/>
        <v>9.4472716421037106E-3</v>
      </c>
      <c r="AK32" s="99">
        <f t="shared" si="13"/>
        <v>9.4579488782147881E-3</v>
      </c>
      <c r="AL32" s="95">
        <f>'Op Cost-24'!B25/'Ridership-24'!B24</f>
        <v>6.4738250510416462</v>
      </c>
      <c r="AM32" s="96">
        <f>'Op Cost-24'!C25/'Ridership-24'!C24</f>
        <v>6.6053907110680559</v>
      </c>
      <c r="AN32" s="96">
        <f>'Op Cost-24'!D25/'Ridership-24'!D24</f>
        <v>13.968719503427852</v>
      </c>
      <c r="AO32" s="96">
        <f>'Op Cost-24'!E25/'Ridership-24'!E24</f>
        <v>11.329028033541075</v>
      </c>
      <c r="AP32" s="100">
        <f t="shared" si="14"/>
        <v>0.97654005192677629</v>
      </c>
      <c r="AQ32" s="98">
        <f t="shared" si="15"/>
        <v>1.0128248580534788E-2</v>
      </c>
      <c r="AR32" s="99">
        <f t="shared" si="16"/>
        <v>1.0722053029621096E-2</v>
      </c>
      <c r="AT32" s="101">
        <f t="shared" si="27"/>
        <v>0</v>
      </c>
      <c r="AU32" s="102">
        <f t="shared" si="17"/>
        <v>0</v>
      </c>
      <c r="AV32" s="102">
        <f t="shared" si="18"/>
        <v>0</v>
      </c>
      <c r="AW32" s="102">
        <f t="shared" si="19"/>
        <v>0</v>
      </c>
      <c r="AX32" s="103">
        <f t="shared" si="20"/>
        <v>0</v>
      </c>
      <c r="AY32" s="104">
        <f t="shared" si="28"/>
        <v>-1</v>
      </c>
      <c r="AZ32" s="105">
        <f t="shared" si="21"/>
        <v>0</v>
      </c>
      <c r="BA32" s="106">
        <f t="shared" si="21"/>
        <v>0</v>
      </c>
      <c r="BB32" s="106">
        <f t="shared" si="21"/>
        <v>0</v>
      </c>
      <c r="BC32" s="106">
        <f t="shared" si="21"/>
        <v>0</v>
      </c>
      <c r="BD32" s="106">
        <f t="shared" si="21"/>
        <v>0</v>
      </c>
      <c r="BE32" s="107">
        <f t="shared" si="29"/>
        <v>1252183.3572522355</v>
      </c>
      <c r="BG32" s="108">
        <f>'Op Cost-24'!E25</f>
        <v>5346157</v>
      </c>
      <c r="BH32" s="109">
        <f t="shared" si="22"/>
        <v>0.23422120922603573</v>
      </c>
      <c r="BI32" s="110">
        <f t="shared" si="23"/>
        <v>1252183.3572522355</v>
      </c>
      <c r="BJ32" s="111">
        <f t="shared" si="24"/>
        <v>0</v>
      </c>
      <c r="BK32" s="1">
        <f t="shared" si="30"/>
        <v>1.3576786721876268</v>
      </c>
      <c r="BL32" s="112">
        <f t="shared" si="31"/>
        <v>1.3913980718624959</v>
      </c>
      <c r="BM32" s="112">
        <f t="shared" si="32"/>
        <v>1.5748877208629182</v>
      </c>
      <c r="BN32" s="113">
        <f t="shared" si="33"/>
        <v>1.2322144480125463</v>
      </c>
      <c r="BO32" s="114">
        <f t="shared" si="25"/>
        <v>1252183.3572522355</v>
      </c>
      <c r="BP32" s="115">
        <f t="shared" si="34"/>
        <v>1.3428311518246781E-2</v>
      </c>
      <c r="BQ32" s="116">
        <f t="shared" si="35"/>
        <v>1.3428311518246781E-2</v>
      </c>
      <c r="BR32" s="117">
        <f t="shared" si="36"/>
        <v>2.0693215166066582E-2</v>
      </c>
      <c r="BS32" s="118">
        <f t="shared" si="37"/>
        <v>1513704.7714932002</v>
      </c>
      <c r="BT32" s="119">
        <f t="shared" si="38"/>
        <v>1603847.0999999999</v>
      </c>
      <c r="BU32" s="119">
        <f t="shared" si="39"/>
        <v>1513704.7714932002</v>
      </c>
      <c r="BV32" s="119">
        <f t="shared" si="56"/>
        <v>0</v>
      </c>
      <c r="BW32" s="120">
        <f t="shared" si="40"/>
        <v>1.3428311518246781E-2</v>
      </c>
      <c r="BX32" s="121">
        <f t="shared" si="41"/>
        <v>2.6221321498372026E-2</v>
      </c>
      <c r="BY32" s="122">
        <f t="shared" si="42"/>
        <v>1558621.7568140244</v>
      </c>
      <c r="BZ32" s="123">
        <f t="shared" si="58"/>
        <v>19697904015281.188</v>
      </c>
      <c r="CA32" s="111">
        <f t="shared" si="57"/>
        <v>19697905267465</v>
      </c>
      <c r="CC32" s="124">
        <f t="shared" si="26"/>
        <v>1</v>
      </c>
      <c r="CD32" s="17"/>
      <c r="CE32" s="108">
        <f t="shared" si="44"/>
        <v>5346157</v>
      </c>
      <c r="CF32" s="125">
        <f t="shared" si="45"/>
        <v>3684498.0922679598</v>
      </c>
      <c r="CG32" s="110">
        <f t="shared" si="46"/>
        <v>1603847.0999999999</v>
      </c>
      <c r="CH32" s="126">
        <f t="shared" si="47"/>
        <v>19697903663617.898</v>
      </c>
      <c r="CJ32" s="127">
        <f t="shared" si="48"/>
        <v>0</v>
      </c>
      <c r="CK32" s="128" t="e">
        <f t="shared" si="49"/>
        <v>#DIV/0!</v>
      </c>
      <c r="CL32" s="129" t="e">
        <f t="shared" si="50"/>
        <v>#DIV/0!</v>
      </c>
      <c r="CM32" s="130" t="e">
        <f t="shared" si="51"/>
        <v>#DIV/0!</v>
      </c>
      <c r="CO32" s="131" t="e">
        <f t="shared" si="52"/>
        <v>#DIV/0!</v>
      </c>
      <c r="CP32" s="1">
        <f t="shared" si="53"/>
        <v>0</v>
      </c>
      <c r="CQ32" s="132">
        <f t="shared" si="54"/>
        <v>0.29154058827939855</v>
      </c>
      <c r="CS32" s="104">
        <f t="shared" si="55"/>
        <v>1.1203889090179412E-2</v>
      </c>
    </row>
    <row r="33" spans="1:97">
      <c r="A33" s="133" t="s">
        <v>104</v>
      </c>
      <c r="B33" s="90" t="s">
        <v>109</v>
      </c>
      <c r="C33" s="91">
        <f>'Sizing - Reimb Expen-24'!B26</f>
        <v>103337911</v>
      </c>
      <c r="D33" s="92">
        <f>'Ridership-24'!$E25</f>
        <v>5191499</v>
      </c>
      <c r="E33" s="92">
        <f>'Revenue Hours-24'!$F25</f>
        <v>842949</v>
      </c>
      <c r="F33" s="92">
        <f>'Revenue Miles-24'!$F25</f>
        <v>10941805</v>
      </c>
      <c r="G33" s="134">
        <f t="shared" si="0"/>
        <v>0.18040139335856201</v>
      </c>
      <c r="H33" s="94">
        <f t="shared" si="1"/>
        <v>0.17031178816150802</v>
      </c>
      <c r="J33" s="95">
        <f>'Ridership-24'!B25/'Revenue Hours-24'!C25</f>
        <v>11.061264869468026</v>
      </c>
      <c r="K33" s="96">
        <f>'Ridership-24'!C25/'Revenue Hours-24'!D25</f>
        <v>10.935817531005453</v>
      </c>
      <c r="L33" s="96">
        <f>'Ridership-24'!D25/'Revenue Hours-24'!E25</f>
        <v>5.8735316212753474</v>
      </c>
      <c r="M33" s="96">
        <f>'Ridership-24'!E25/'Revenue Hours-24'!F25</f>
        <v>6.1587343955565519</v>
      </c>
      <c r="N33" s="97">
        <f t="shared" si="2"/>
        <v>0.95068239501028584</v>
      </c>
      <c r="O33" s="98">
        <f t="shared" si="3"/>
        <v>0.1619124186678669</v>
      </c>
      <c r="P33" s="99">
        <f t="shared" si="4"/>
        <v>0.15536000217913781</v>
      </c>
      <c r="Q33" s="95">
        <f>'Ridership-24'!B25/'Revenue Miles-24'!C25</f>
        <v>0.83785839609808965</v>
      </c>
      <c r="R33" s="96">
        <f>'Ridership-24'!C25/'Revenue Miles-24'!D25</f>
        <v>0.82322383518472986</v>
      </c>
      <c r="S33" s="96">
        <f>'Ridership-24'!D25/'Revenue Miles-24'!E25</f>
        <v>0.454872375587629</v>
      </c>
      <c r="T33" s="96">
        <f>'Ridership-24'!E25/'Revenue Miles-24'!F25</f>
        <v>0.47446458788106716</v>
      </c>
      <c r="U33" s="97">
        <f t="shared" si="5"/>
        <v>0.96058791074745009</v>
      </c>
      <c r="V33" s="98">
        <f t="shared" si="6"/>
        <v>0.1635994447657253</v>
      </c>
      <c r="W33" s="99">
        <f t="shared" si="7"/>
        <v>0.15751868667401903</v>
      </c>
      <c r="X33" s="95">
        <f>'Op Cost-24'!B26/'Revenue Hours-24'!C25</f>
        <v>114.34052079729622</v>
      </c>
      <c r="Y33" s="96">
        <f>'Op Cost-24'!C26/'Revenue Hours-24'!D25</f>
        <v>111.12397982480542</v>
      </c>
      <c r="Z33" s="96">
        <f>'Op Cost-24'!D26/'Revenue Hours-24'!E25</f>
        <v>123.96447205256577</v>
      </c>
      <c r="AA33" s="96">
        <f>'Op Cost-24'!E26/'Revenue Hours-24'!F25</f>
        <v>123.17011468072208</v>
      </c>
      <c r="AB33" s="97">
        <f t="shared" si="8"/>
        <v>0.95293795539383053</v>
      </c>
      <c r="AC33" s="98">
        <f t="shared" si="9"/>
        <v>0.17872285094481466</v>
      </c>
      <c r="AD33" s="99">
        <f t="shared" si="10"/>
        <v>0.17971890822170689</v>
      </c>
      <c r="AE33" s="95">
        <f>'Op Cost-24'!B26/'Revenue Miles-24'!C25</f>
        <v>8.6609593473056652</v>
      </c>
      <c r="AF33" s="96">
        <f>'Op Cost-24'!C26/'Revenue Miles-24'!D25</f>
        <v>8.3651641583266318</v>
      </c>
      <c r="AG33" s="96">
        <f>'Op Cost-24'!D26/'Revenue Miles-24'!E25</f>
        <v>9.6003592943580749</v>
      </c>
      <c r="AH33" s="96">
        <f>'Op Cost-24'!E26/'Revenue Miles-24'!F25</f>
        <v>9.4889394391510358</v>
      </c>
      <c r="AI33" s="97">
        <f t="shared" si="11"/>
        <v>0.96337874086375253</v>
      </c>
      <c r="AJ33" s="98">
        <f t="shared" si="12"/>
        <v>0.1767859108130295</v>
      </c>
      <c r="AK33" s="99">
        <f t="shared" si="13"/>
        <v>0.17698571293393497</v>
      </c>
      <c r="AL33" s="95">
        <f>'Op Cost-24'!B26/'Ridership-24'!B25</f>
        <v>10.337020417339961</v>
      </c>
      <c r="AM33" s="96">
        <f>'Op Cost-24'!C26/'Ridership-24'!C25</f>
        <v>10.161469822420175</v>
      </c>
      <c r="AN33" s="96">
        <f>'Op Cost-24'!D26/'Ridership-24'!D25</f>
        <v>21.10561073742015</v>
      </c>
      <c r="AO33" s="96">
        <f>'Op Cost-24'!E26/'Ridership-24'!E25</f>
        <v>19.999257439903197</v>
      </c>
      <c r="AP33" s="97">
        <f t="shared" si="14"/>
        <v>1.0176178200882871</v>
      </c>
      <c r="AQ33" s="98">
        <f t="shared" si="15"/>
        <v>0.16736321318226524</v>
      </c>
      <c r="AR33" s="99">
        <f t="shared" si="16"/>
        <v>0.17717547438525416</v>
      </c>
      <c r="AT33" s="101">
        <f t="shared" si="27"/>
        <v>0</v>
      </c>
      <c r="AU33" s="102">
        <f t="shared" si="17"/>
        <v>0</v>
      </c>
      <c r="AV33" s="102">
        <f t="shared" si="18"/>
        <v>0</v>
      </c>
      <c r="AW33" s="102">
        <f t="shared" si="19"/>
        <v>0</v>
      </c>
      <c r="AX33" s="103">
        <f t="shared" si="20"/>
        <v>0</v>
      </c>
      <c r="AY33" s="104">
        <f t="shared" si="28"/>
        <v>-1</v>
      </c>
      <c r="AZ33" s="105">
        <f t="shared" si="21"/>
        <v>0</v>
      </c>
      <c r="BA33" s="106">
        <f t="shared" si="21"/>
        <v>0</v>
      </c>
      <c r="BB33" s="106">
        <f t="shared" si="21"/>
        <v>0</v>
      </c>
      <c r="BC33" s="106">
        <f t="shared" si="21"/>
        <v>0</v>
      </c>
      <c r="BD33" s="106">
        <f t="shared" si="21"/>
        <v>0</v>
      </c>
      <c r="BE33" s="107">
        <f t="shared" si="29"/>
        <v>21561959.404836342</v>
      </c>
      <c r="BG33" s="108">
        <f>'Op Cost-24'!E26</f>
        <v>103826125</v>
      </c>
      <c r="BH33" s="109">
        <f t="shared" si="22"/>
        <v>0.20767373726830643</v>
      </c>
      <c r="BI33" s="110">
        <f t="shared" si="23"/>
        <v>21561959.404836342</v>
      </c>
      <c r="BJ33" s="111">
        <f t="shared" si="24"/>
        <v>0</v>
      </c>
      <c r="BK33" s="1">
        <f t="shared" si="30"/>
        <v>0.79413017290325394</v>
      </c>
      <c r="BL33" s="112">
        <f t="shared" si="31"/>
        <v>0.78050665474851899</v>
      </c>
      <c r="BM33" s="112">
        <f t="shared" si="32"/>
        <v>0.85314896755623792</v>
      </c>
      <c r="BN33" s="113">
        <f t="shared" si="33"/>
        <v>0.77143253465412931</v>
      </c>
      <c r="BO33" s="114">
        <f t="shared" si="25"/>
        <v>21561959.404836342</v>
      </c>
      <c r="BP33" s="115">
        <f t="shared" si="34"/>
        <v>0.13524972978016073</v>
      </c>
      <c r="BQ33" s="116">
        <f t="shared" si="35"/>
        <v>0.13524972978016073</v>
      </c>
      <c r="BR33" s="117">
        <f t="shared" si="36"/>
        <v>0.2084217182249759</v>
      </c>
      <c r="BS33" s="118">
        <f t="shared" si="37"/>
        <v>24195998.729866385</v>
      </c>
      <c r="BT33" s="119">
        <f t="shared" si="38"/>
        <v>31147837.5</v>
      </c>
      <c r="BU33" s="119">
        <f t="shared" si="39"/>
        <v>24195998.729866385</v>
      </c>
      <c r="BV33" s="119">
        <f t="shared" si="56"/>
        <v>0</v>
      </c>
      <c r="BW33" s="120">
        <f t="shared" si="40"/>
        <v>0.13524972978016073</v>
      </c>
      <c r="BX33" s="121">
        <f t="shared" si="41"/>
        <v>0.26410071305797067</v>
      </c>
      <c r="BY33" s="122">
        <f t="shared" si="42"/>
        <v>24648401.857312903</v>
      </c>
      <c r="BZ33" s="123">
        <f t="shared" si="58"/>
        <v>311507170866062</v>
      </c>
      <c r="CA33" s="111">
        <f>ROUND((BZ33+BI33),0)</f>
        <v>311507192428021</v>
      </c>
      <c r="CC33" s="124">
        <f t="shared" si="26"/>
        <v>1</v>
      </c>
      <c r="CD33" s="17"/>
      <c r="CE33" s="108">
        <f t="shared" si="44"/>
        <v>103826125</v>
      </c>
      <c r="CF33" s="125">
        <f t="shared" si="45"/>
        <v>3000277.5546907969</v>
      </c>
      <c r="CG33" s="110">
        <f t="shared" si="46"/>
        <v>31147837.5</v>
      </c>
      <c r="CH33" s="126">
        <f t="shared" si="47"/>
        <v>311507161280183.5</v>
      </c>
      <c r="CJ33" s="127">
        <f t="shared" si="48"/>
        <v>0</v>
      </c>
      <c r="CK33" s="128" t="e">
        <f t="shared" si="49"/>
        <v>#DIV/0!</v>
      </c>
      <c r="CL33" s="129" t="e">
        <f t="shared" si="50"/>
        <v>#DIV/0!</v>
      </c>
      <c r="CM33" s="130" t="e">
        <f t="shared" si="51"/>
        <v>#DIV/0!</v>
      </c>
      <c r="CO33" s="131" t="e">
        <f t="shared" si="52"/>
        <v>#DIV/0!</v>
      </c>
      <c r="CP33" s="1">
        <f t="shared" si="53"/>
        <v>0</v>
      </c>
      <c r="CQ33" s="132">
        <f t="shared" si="54"/>
        <v>0.23740076842233016</v>
      </c>
      <c r="CS33" s="104">
        <f t="shared" si="55"/>
        <v>0.11284538416275131</v>
      </c>
    </row>
    <row r="34" spans="1:97">
      <c r="A34" s="133" t="s">
        <v>104</v>
      </c>
      <c r="B34" s="90" t="s">
        <v>110</v>
      </c>
      <c r="C34" s="91">
        <f>'Sizing - Reimb Expen-24'!B27</f>
        <v>60655515</v>
      </c>
      <c r="D34" s="92">
        <f>'Ridership-24'!$E26</f>
        <v>821936</v>
      </c>
      <c r="E34" s="92">
        <f>'Revenue Hours-24'!$F26</f>
        <v>71732</v>
      </c>
      <c r="F34" s="92">
        <f>'Revenue Miles-24'!$F26</f>
        <v>2197853</v>
      </c>
      <c r="G34" s="163">
        <f>$C$4</f>
        <v>5.592864339467718E-2</v>
      </c>
      <c r="H34" s="164">
        <f>$C$4</f>
        <v>5.592864339467718E-2</v>
      </c>
      <c r="J34" s="95">
        <f>'Ridership-24'!B26/'Revenue Hours-24'!C26</f>
        <v>59.097809306301592</v>
      </c>
      <c r="K34" s="96">
        <f>'Ridership-24'!C26/'Revenue Hours-24'!D26</f>
        <v>55.342163410837145</v>
      </c>
      <c r="L34" s="96">
        <f>'Ridership-24'!D26/'Revenue Hours-24'!E26</f>
        <v>6.8452722063037248</v>
      </c>
      <c r="M34" s="96">
        <f>'Ridership-24'!E26/'Revenue Hours-24'!F26</f>
        <v>11.458428595327051</v>
      </c>
      <c r="N34" s="97">
        <f t="shared" si="2"/>
        <v>0.8267628961688408</v>
      </c>
      <c r="O34" s="98">
        <f t="shared" si="3"/>
        <v>4.6239727191777616E-2</v>
      </c>
      <c r="P34" s="99">
        <f t="shared" si="4"/>
        <v>4.4368456579069092E-2</v>
      </c>
      <c r="Q34" s="95">
        <f>'Ridership-24'!B26/'Revenue Miles-24'!C26</f>
        <v>1.9169269798702158</v>
      </c>
      <c r="R34" s="96">
        <f>'Ridership-24'!C26/'Revenue Miles-24'!D26</f>
        <v>1.7949837852981274</v>
      </c>
      <c r="S34" s="96">
        <f>'Ridership-24'!D26/'Revenue Miles-24'!E26</f>
        <v>0.21891420471730516</v>
      </c>
      <c r="T34" s="96">
        <f>'Ridership-24'!E26/'Revenue Miles-24'!F26</f>
        <v>0.3739722356317734</v>
      </c>
      <c r="U34" s="97">
        <f t="shared" si="5"/>
        <v>0.84609812474829893</v>
      </c>
      <c r="V34" s="98">
        <f t="shared" si="6"/>
        <v>4.7321120295952694E-2</v>
      </c>
      <c r="W34" s="99">
        <f t="shared" si="7"/>
        <v>4.5562261727940583E-2</v>
      </c>
      <c r="X34" s="95">
        <f>'Op Cost-24'!B27/'Revenue Hours-24'!C26</f>
        <v>1005.9172333720352</v>
      </c>
      <c r="Y34" s="96">
        <f>'Op Cost-24'!C27/'Revenue Hours-24'!D26</f>
        <v>972.50946617787372</v>
      </c>
      <c r="Z34" s="96">
        <f>'Op Cost-24'!D27/'Revenue Hours-24'!E26</f>
        <v>1634.8335704410204</v>
      </c>
      <c r="AA34" s="96">
        <f>'Op Cost-24'!E27/'Revenue Hours-24'!F26</f>
        <v>1144.3562566218702</v>
      </c>
      <c r="AB34" s="97">
        <f t="shared" si="8"/>
        <v>1.0080005539781249</v>
      </c>
      <c r="AC34" s="98">
        <f t="shared" si="9"/>
        <v>5.5484734779114926E-2</v>
      </c>
      <c r="AD34" s="99">
        <f t="shared" si="10"/>
        <v>5.5793962018614578E-2</v>
      </c>
      <c r="AE34" s="95">
        <f>'Op Cost-24'!B27/'Revenue Miles-24'!C26</f>
        <v>32.628449460336377</v>
      </c>
      <c r="AF34" s="96">
        <f>'Op Cost-24'!C27/'Revenue Miles-24'!D26</f>
        <v>31.54265419440377</v>
      </c>
      <c r="AG34" s="96">
        <f>'Op Cost-24'!D27/'Revenue Miles-24'!E26</f>
        <v>52.282550661560784</v>
      </c>
      <c r="AH34" s="96">
        <f>'Op Cost-24'!E27/'Revenue Miles-24'!F26</f>
        <v>37.348704849687401</v>
      </c>
      <c r="AI34" s="97">
        <f t="shared" si="11"/>
        <v>1.0074292279502493</v>
      </c>
      <c r="AJ34" s="98">
        <f t="shared" si="12"/>
        <v>5.5516200883382702E-2</v>
      </c>
      <c r="AK34" s="99">
        <f t="shared" si="13"/>
        <v>5.5578944880515173E-2</v>
      </c>
      <c r="AL34" s="95">
        <f>'Op Cost-24'!B27/'Ridership-24'!B26</f>
        <v>17.021227100964204</v>
      </c>
      <c r="AM34" s="96">
        <f>'Op Cost-24'!C27/'Ridership-24'!C26</f>
        <v>17.572668038984474</v>
      </c>
      <c r="AN34" s="96">
        <f>'Op Cost-24'!D27/'Ridership-24'!D26</f>
        <v>238.82667060858773</v>
      </c>
      <c r="AO34" s="96">
        <f>'Op Cost-24'!E27/'Ridership-24'!E26</f>
        <v>99.870261188219033</v>
      </c>
      <c r="AP34" s="97">
        <f t="shared" si="14"/>
        <v>2.4216650482883781</v>
      </c>
      <c r="AQ34" s="98">
        <f t="shared" si="15"/>
        <v>2.3095119382512165E-2</v>
      </c>
      <c r="AR34" s="99">
        <f t="shared" si="16"/>
        <v>2.4449152563320115E-2</v>
      </c>
      <c r="AT34" s="101">
        <f t="shared" si="27"/>
        <v>0</v>
      </c>
      <c r="AU34" s="102">
        <f t="shared" si="17"/>
        <v>0</v>
      </c>
      <c r="AV34" s="102">
        <f t="shared" si="18"/>
        <v>0</v>
      </c>
      <c r="AW34" s="102">
        <f t="shared" si="19"/>
        <v>0</v>
      </c>
      <c r="AX34" s="103">
        <f t="shared" si="20"/>
        <v>0</v>
      </c>
      <c r="AY34" s="104">
        <f t="shared" si="28"/>
        <v>-1</v>
      </c>
      <c r="AZ34" s="105">
        <f t="shared" si="21"/>
        <v>0</v>
      </c>
      <c r="BA34" s="106">
        <f t="shared" si="21"/>
        <v>0</v>
      </c>
      <c r="BB34" s="106">
        <f t="shared" si="21"/>
        <v>0</v>
      </c>
      <c r="BC34" s="106">
        <f t="shared" si="21"/>
        <v>0</v>
      </c>
      <c r="BD34" s="106">
        <f t="shared" si="21"/>
        <v>0</v>
      </c>
      <c r="BE34" s="107">
        <f t="shared" si="29"/>
        <v>7080726.1873147823</v>
      </c>
      <c r="BG34" s="108">
        <f>'Op Cost-24'!E27</f>
        <v>82086963</v>
      </c>
      <c r="BH34" s="109">
        <f t="shared" si="22"/>
        <v>8.6258839754064023E-2</v>
      </c>
      <c r="BI34" s="110">
        <f t="shared" si="23"/>
        <v>7080726.1873147823</v>
      </c>
      <c r="BJ34" s="111">
        <f t="shared" si="24"/>
        <v>0</v>
      </c>
      <c r="BK34" s="1">
        <f t="shared" si="30"/>
        <v>0.88374333501590352</v>
      </c>
      <c r="BL34" s="112">
        <f t="shared" si="31"/>
        <v>2.1187043525116742</v>
      </c>
      <c r="BM34" s="112">
        <f t="shared" si="32"/>
        <v>0.98222521909793759</v>
      </c>
      <c r="BN34" s="113">
        <f t="shared" si="33"/>
        <v>0.21702188422700117</v>
      </c>
      <c r="BO34" s="114">
        <f t="shared" si="25"/>
        <v>7080726.1873147823</v>
      </c>
      <c r="BP34" s="115">
        <f t="shared" si="34"/>
        <v>4.9426565836527193E-2</v>
      </c>
      <c r="BQ34" s="116">
        <f t="shared" si="35"/>
        <v>4.9426565836527193E-2</v>
      </c>
      <c r="BR34" s="117">
        <f t="shared" si="36"/>
        <v>7.6167026687250283E-2</v>
      </c>
      <c r="BS34" s="118">
        <f t="shared" si="37"/>
        <v>8043327.1353996079</v>
      </c>
      <c r="BT34" s="119">
        <f t="shared" si="38"/>
        <v>24626088.899999999</v>
      </c>
      <c r="BU34" s="119">
        <f t="shared" si="39"/>
        <v>8043327.1353996079</v>
      </c>
      <c r="BV34" s="119">
        <f t="shared" si="56"/>
        <v>0</v>
      </c>
      <c r="BW34" s="120">
        <f t="shared" si="40"/>
        <v>4.9426565836527193E-2</v>
      </c>
      <c r="BX34" s="121">
        <f t="shared" si="41"/>
        <v>9.6514730954740488E-2</v>
      </c>
      <c r="BY34" s="122">
        <f t="shared" si="42"/>
        <v>8208656.3600844331</v>
      </c>
      <c r="BZ34" s="123">
        <f t="shared" si="58"/>
        <v>103741221607150.92</v>
      </c>
      <c r="CA34" s="111">
        <f>ROUND((BZ34+BI34),0)</f>
        <v>103741228687877</v>
      </c>
      <c r="CC34" s="124">
        <f t="shared" si="26"/>
        <v>1</v>
      </c>
      <c r="CD34" s="17"/>
      <c r="CE34" s="108">
        <f t="shared" si="44"/>
        <v>82086963</v>
      </c>
      <c r="CF34" s="125">
        <f t="shared" si="45"/>
        <v>1263796.6480484484</v>
      </c>
      <c r="CG34" s="110">
        <f t="shared" si="46"/>
        <v>24626088.899999999</v>
      </c>
      <c r="CH34" s="126">
        <f t="shared" si="47"/>
        <v>103741204061788.09</v>
      </c>
      <c r="CJ34" s="127">
        <f t="shared" si="48"/>
        <v>0</v>
      </c>
      <c r="CK34" s="128" t="e">
        <f t="shared" si="49"/>
        <v>#DIV/0!</v>
      </c>
      <c r="CL34" s="129" t="e">
        <f t="shared" si="50"/>
        <v>#DIV/0!</v>
      </c>
      <c r="CM34" s="130" t="e">
        <f t="shared" si="51"/>
        <v>#DIV/0!</v>
      </c>
      <c r="CO34" s="131" t="e">
        <f t="shared" si="52"/>
        <v>#DIV/0!</v>
      </c>
      <c r="CP34" s="1">
        <f t="shared" si="53"/>
        <v>0</v>
      </c>
      <c r="CQ34" s="132">
        <f t="shared" si="54"/>
        <v>9.9999513443863597E-2</v>
      </c>
      <c r="CS34" s="104">
        <f t="shared" si="55"/>
        <v>4.1238971927961526E-2</v>
      </c>
    </row>
    <row r="35" spans="1:97">
      <c r="A35" s="133" t="s">
        <v>104</v>
      </c>
      <c r="B35" s="90" t="s">
        <v>111</v>
      </c>
      <c r="C35" s="91">
        <f>'Sizing - Reimb Expen-24'!B28</f>
        <v>33464344</v>
      </c>
      <c r="D35" s="92">
        <f>'Ridership-24'!$E27</f>
        <v>1220283</v>
      </c>
      <c r="E35" s="92">
        <f>'Revenue Hours-24'!$F27</f>
        <v>217350</v>
      </c>
      <c r="F35" s="92">
        <f>'Revenue Miles-24'!$F27</f>
        <v>5217740</v>
      </c>
      <c r="G35" s="134">
        <f t="shared" ref="G35:G50" si="59">IFERROR($C$9*(C35/C$51),0) + IFERROR($D$9*(D35/D$51),0) + IFERROR($E$9*(E35/E$51),0) + IFERROR($F$9*(F35/F$51),0)</f>
        <v>5.6412417842223256E-2</v>
      </c>
      <c r="H35" s="94">
        <f t="shared" ref="H35:H50" si="60">G35/(SUM($G$11:$G$50)-$G$34)*(1-$G$34)</f>
        <v>5.3257347841694003E-2</v>
      </c>
      <c r="J35" s="95">
        <f>'Ridership-24'!B27/'Revenue Hours-24'!C27</f>
        <v>10.344199378821216</v>
      </c>
      <c r="K35" s="96">
        <f>'Ridership-24'!C27/'Revenue Hours-24'!D27</f>
        <v>10.619348493496171</v>
      </c>
      <c r="L35" s="96">
        <f>'Ridership-24'!D27/'Revenue Hours-24'!E27</f>
        <v>3.1822121529637459</v>
      </c>
      <c r="M35" s="96">
        <f>'Ridership-24'!E27/'Revenue Hours-24'!F27</f>
        <v>5.6143685300207036</v>
      </c>
      <c r="N35" s="97">
        <f t="shared" si="2"/>
        <v>0.99449719814170712</v>
      </c>
      <c r="O35" s="98">
        <f t="shared" si="3"/>
        <v>5.296428320902298E-2</v>
      </c>
      <c r="P35" s="99">
        <f t="shared" si="4"/>
        <v>5.0820877252470531E-2</v>
      </c>
      <c r="Q35" s="95">
        <f>'Ridership-24'!B27/'Revenue Miles-24'!C27</f>
        <v>0.49586520195533368</v>
      </c>
      <c r="R35" s="96">
        <f>'Ridership-24'!C27/'Revenue Miles-24'!D27</f>
        <v>0.5403360203480656</v>
      </c>
      <c r="S35" s="96">
        <f>'Ridership-24'!D27/'Revenue Miles-24'!E27</f>
        <v>0.14309026388335411</v>
      </c>
      <c r="T35" s="96">
        <f>'Ridership-24'!E27/'Revenue Miles-24'!F27</f>
        <v>0.23387194455837201</v>
      </c>
      <c r="U35" s="97">
        <f t="shared" si="5"/>
        <v>0.96947249754369602</v>
      </c>
      <c r="V35" s="98">
        <f t="shared" si="6"/>
        <v>5.1631534024640456E-2</v>
      </c>
      <c r="W35" s="99">
        <f t="shared" si="7"/>
        <v>4.9712463524388274E-2</v>
      </c>
      <c r="X35" s="95">
        <f>'Op Cost-24'!B28/'Revenue Hours-24'!C27</f>
        <v>132.85237039556537</v>
      </c>
      <c r="Y35" s="96">
        <f>'Op Cost-24'!C28/'Revenue Hours-24'!D27</f>
        <v>147.42823097382487</v>
      </c>
      <c r="Z35" s="96">
        <f>'Op Cost-24'!D28/'Revenue Hours-24'!E27</f>
        <v>162.67460550900779</v>
      </c>
      <c r="AA35" s="96">
        <f>'Op Cost-24'!E28/'Revenue Hours-24'!F27</f>
        <v>182.82648723257418</v>
      </c>
      <c r="AB35" s="97">
        <f t="shared" si="8"/>
        <v>1.0380499392550568</v>
      </c>
      <c r="AC35" s="98">
        <f t="shared" si="9"/>
        <v>5.1305188534487511E-2</v>
      </c>
      <c r="AD35" s="99">
        <f t="shared" si="10"/>
        <v>5.1591122348277681E-2</v>
      </c>
      <c r="AE35" s="95">
        <f>'Op Cost-24'!B28/'Revenue Miles-24'!C27</f>
        <v>6.3684839264910691</v>
      </c>
      <c r="AF35" s="96">
        <f>'Op Cost-24'!C28/'Revenue Miles-24'!D27</f>
        <v>7.5014755999523217</v>
      </c>
      <c r="AG35" s="96">
        <f>'Op Cost-24'!D28/'Revenue Miles-24'!E27</f>
        <v>7.31477070368339</v>
      </c>
      <c r="AH35" s="96">
        <f>'Op Cost-24'!E28/'Revenue Miles-24'!F27</f>
        <v>7.6158139347686928</v>
      </c>
      <c r="AI35" s="97">
        <f t="shared" si="11"/>
        <v>1.00473780092762</v>
      </c>
      <c r="AJ35" s="98">
        <f t="shared" si="12"/>
        <v>5.3006214947346836E-2</v>
      </c>
      <c r="AK35" s="99">
        <f t="shared" si="13"/>
        <v>5.3066122177051651E-2</v>
      </c>
      <c r="AL35" s="95">
        <f>'Op Cost-24'!B28/'Ridership-24'!B27</f>
        <v>12.843175728763333</v>
      </c>
      <c r="AM35" s="96">
        <f>'Op Cost-24'!C28/'Ridership-24'!C27</f>
        <v>13.882982657939651</v>
      </c>
      <c r="AN35" s="96">
        <f>'Op Cost-24'!D28/'Ridership-24'!D27</f>
        <v>51.119974938660576</v>
      </c>
      <c r="AO35" s="96">
        <f>'Op Cost-24'!E28/'Ridership-24'!E27</f>
        <v>32.564033916722593</v>
      </c>
      <c r="AP35" s="97">
        <f t="shared" si="14"/>
        <v>1.141557882420283</v>
      </c>
      <c r="AQ35" s="98">
        <f t="shared" si="15"/>
        <v>4.6653217205929159E-2</v>
      </c>
      <c r="AR35" s="99">
        <f t="shared" si="16"/>
        <v>4.9388427318594844E-2</v>
      </c>
      <c r="AT35" s="101">
        <f t="shared" si="27"/>
        <v>0</v>
      </c>
      <c r="AU35" s="102">
        <f t="shared" si="17"/>
        <v>0</v>
      </c>
      <c r="AV35" s="102">
        <f t="shared" si="18"/>
        <v>0</v>
      </c>
      <c r="AW35" s="102">
        <f t="shared" si="19"/>
        <v>0</v>
      </c>
      <c r="AX35" s="103">
        <f t="shared" si="20"/>
        <v>0</v>
      </c>
      <c r="AY35" s="104">
        <f t="shared" si="28"/>
        <v>-1</v>
      </c>
      <c r="AZ35" s="105">
        <f t="shared" si="21"/>
        <v>0</v>
      </c>
      <c r="BA35" s="106">
        <f t="shared" si="21"/>
        <v>0</v>
      </c>
      <c r="BB35" s="106">
        <f t="shared" si="21"/>
        <v>0</v>
      </c>
      <c r="BC35" s="106">
        <f t="shared" si="21"/>
        <v>0</v>
      </c>
      <c r="BD35" s="106">
        <f t="shared" si="21"/>
        <v>0</v>
      </c>
      <c r="BE35" s="107">
        <f t="shared" si="29"/>
        <v>6742532.5314703481</v>
      </c>
      <c r="BG35" s="108">
        <f>'Op Cost-24'!E28</f>
        <v>39737337</v>
      </c>
      <c r="BH35" s="109">
        <f t="shared" si="22"/>
        <v>0.16967751340434181</v>
      </c>
      <c r="BI35" s="110">
        <f t="shared" si="23"/>
        <v>6742532.5314703481</v>
      </c>
      <c r="BJ35" s="111">
        <f t="shared" si="24"/>
        <v>0</v>
      </c>
      <c r="BK35" s="1">
        <f t="shared" si="30"/>
        <v>0.48192648381211645</v>
      </c>
      <c r="BL35" s="112">
        <f t="shared" si="31"/>
        <v>0.62334659523086478</v>
      </c>
      <c r="BM35" s="112">
        <f t="shared" si="32"/>
        <v>0.41311664334062864</v>
      </c>
      <c r="BN35" s="113">
        <f t="shared" si="33"/>
        <v>0.44562134833848627</v>
      </c>
      <c r="BO35" s="114">
        <f t="shared" si="25"/>
        <v>6742532.5314703481</v>
      </c>
      <c r="BP35" s="115">
        <f t="shared" si="34"/>
        <v>2.5666126382506399E-2</v>
      </c>
      <c r="BQ35" s="116">
        <f t="shared" si="35"/>
        <v>2.5666126382506399E-2</v>
      </c>
      <c r="BR35" s="117">
        <f t="shared" si="36"/>
        <v>3.955185839939511E-2</v>
      </c>
      <c r="BS35" s="118">
        <f t="shared" si="37"/>
        <v>7242389.9901329372</v>
      </c>
      <c r="BT35" s="119">
        <f t="shared" si="38"/>
        <v>11921201.1</v>
      </c>
      <c r="BU35" s="119">
        <f t="shared" si="39"/>
        <v>7242389.9901329372</v>
      </c>
      <c r="BV35" s="119">
        <f t="shared" si="56"/>
        <v>0</v>
      </c>
      <c r="BW35" s="120">
        <f t="shared" si="40"/>
        <v>2.5666126382506399E-2</v>
      </c>
      <c r="BX35" s="121">
        <f t="shared" si="41"/>
        <v>5.0117972805371461E-2</v>
      </c>
      <c r="BY35" s="122">
        <f t="shared" si="42"/>
        <v>7328241.8130072383</v>
      </c>
      <c r="BZ35" s="123">
        <f t="shared" si="58"/>
        <v>92614518694037.969</v>
      </c>
      <c r="CA35" s="111">
        <f t="shared" si="57"/>
        <v>92614525436571</v>
      </c>
      <c r="CC35" s="124">
        <f t="shared" si="26"/>
        <v>1</v>
      </c>
      <c r="CD35" s="17"/>
      <c r="CE35" s="108">
        <f t="shared" si="44"/>
        <v>39737337</v>
      </c>
      <c r="CF35" s="125">
        <f t="shared" si="45"/>
        <v>2330667.6397709036</v>
      </c>
      <c r="CG35" s="110">
        <f t="shared" si="46"/>
        <v>11921201.1</v>
      </c>
      <c r="CH35" s="126">
        <f t="shared" si="47"/>
        <v>92614513515369.906</v>
      </c>
      <c r="CJ35" s="127">
        <f t="shared" si="48"/>
        <v>0</v>
      </c>
      <c r="CK35" s="128" t="e">
        <f t="shared" si="49"/>
        <v>#DIV/0!</v>
      </c>
      <c r="CL35" s="129" t="e">
        <f t="shared" si="50"/>
        <v>#DIV/0!</v>
      </c>
      <c r="CM35" s="130" t="e">
        <f t="shared" si="51"/>
        <v>#DIV/0!</v>
      </c>
      <c r="CO35" s="131" t="e">
        <f t="shared" si="52"/>
        <v>#DIV/0!</v>
      </c>
      <c r="CP35" s="1">
        <f t="shared" si="53"/>
        <v>0</v>
      </c>
      <c r="CQ35" s="132">
        <f t="shared" si="54"/>
        <v>0.18441703360764305</v>
      </c>
      <c r="CS35" s="104">
        <f t="shared" si="55"/>
        <v>2.1414489302946534E-2</v>
      </c>
    </row>
    <row r="36" spans="1:97">
      <c r="A36" s="133" t="s">
        <v>112</v>
      </c>
      <c r="B36" s="90" t="s">
        <v>113</v>
      </c>
      <c r="C36" s="91">
        <f>'Sizing - Reimb Expen-24'!B29</f>
        <v>4066652</v>
      </c>
      <c r="D36" s="92">
        <f>'Ridership-24'!$E28</f>
        <v>404081</v>
      </c>
      <c r="E36" s="92">
        <f>'Revenue Hours-24'!$F28</f>
        <v>47286</v>
      </c>
      <c r="F36" s="92">
        <f>'Revenue Miles-24'!$F28</f>
        <v>554292</v>
      </c>
      <c r="G36" s="93">
        <f t="shared" si="59"/>
        <v>9.6915468053750155E-3</v>
      </c>
      <c r="H36" s="94">
        <f t="shared" si="60"/>
        <v>9.1495117401543709E-3</v>
      </c>
      <c r="J36" s="95">
        <f>'Ridership-24'!B28/'Revenue Hours-24'!C28</f>
        <v>5.8235136133212473</v>
      </c>
      <c r="K36" s="96">
        <f>'Ridership-24'!C28/'Revenue Hours-24'!D28</f>
        <v>7.2311072676573369</v>
      </c>
      <c r="L36" s="96">
        <f>'Ridership-24'!D28/'Revenue Hours-24'!E28</f>
        <v>7.0651748073074137</v>
      </c>
      <c r="M36" s="96">
        <f>'Ridership-24'!E28/'Revenue Hours-24'!F28</f>
        <v>8.5454680032144825</v>
      </c>
      <c r="N36" s="97">
        <f t="shared" si="2"/>
        <v>1.3624910960990697</v>
      </c>
      <c r="O36" s="98">
        <f t="shared" si="3"/>
        <v>1.2466128279614236E-2</v>
      </c>
      <c r="P36" s="99">
        <f t="shared" si="4"/>
        <v>1.196163785718707E-2</v>
      </c>
      <c r="Q36" s="95">
        <f>'Ridership-24'!B28/'Revenue Miles-24'!C28</f>
        <v>0.5399100487106463</v>
      </c>
      <c r="R36" s="96">
        <f>'Ridership-24'!C28/'Revenue Miles-24'!D28</f>
        <v>0.68740479018609113</v>
      </c>
      <c r="S36" s="96">
        <f>'Ridership-24'!D28/'Revenue Miles-24'!E28</f>
        <v>0.60435953803758868</v>
      </c>
      <c r="T36" s="96">
        <f>'Ridership-24'!E28/'Revenue Miles-24'!F28</f>
        <v>0.7290038463481342</v>
      </c>
      <c r="U36" s="97">
        <f t="shared" si="5"/>
        <v>1.3105322544942031</v>
      </c>
      <c r="V36" s="98">
        <f t="shared" si="6"/>
        <v>1.1990730248345688E-2</v>
      </c>
      <c r="W36" s="99">
        <f t="shared" si="7"/>
        <v>1.1545051902141602E-2</v>
      </c>
      <c r="X36" s="95">
        <f>'Op Cost-24'!B29/'Revenue Hours-24'!C28</f>
        <v>60.12394668815255</v>
      </c>
      <c r="Y36" s="96">
        <f>'Op Cost-24'!C29/'Revenue Hours-24'!D28</f>
        <v>63.118368571529423</v>
      </c>
      <c r="Z36" s="96">
        <f>'Op Cost-24'!D29/'Revenue Hours-24'!E28</f>
        <v>99.128071370778855</v>
      </c>
      <c r="AA36" s="96">
        <f>'Op Cost-24'!E29/'Revenue Hours-24'!F28</f>
        <v>86.295224802267057</v>
      </c>
      <c r="AB36" s="97">
        <f t="shared" si="8"/>
        <v>1.0617091010611783</v>
      </c>
      <c r="AC36" s="98">
        <f t="shared" si="9"/>
        <v>8.6177199865852452E-3</v>
      </c>
      <c r="AD36" s="99">
        <f t="shared" si="10"/>
        <v>8.665748219446795E-3</v>
      </c>
      <c r="AE36" s="95">
        <f>'Op Cost-24'!B29/'Revenue Miles-24'!C28</f>
        <v>5.5742160387195172</v>
      </c>
      <c r="AF36" s="96">
        <f>'Op Cost-24'!C29/'Revenue Miles-24'!D28</f>
        <v>6.0001694483031685</v>
      </c>
      <c r="AG36" s="96">
        <f>'Op Cost-24'!D29/'Revenue Miles-24'!E28</f>
        <v>8.4794781522232086</v>
      </c>
      <c r="AH36" s="96">
        <f>'Op Cost-24'!E29/'Revenue Miles-24'!F28</f>
        <v>7.3617443513527165</v>
      </c>
      <c r="AI36" s="97">
        <f t="shared" si="11"/>
        <v>1.0302319714596049</v>
      </c>
      <c r="AJ36" s="98">
        <f t="shared" si="12"/>
        <v>8.8810209677259288E-3</v>
      </c>
      <c r="AK36" s="99">
        <f t="shared" si="13"/>
        <v>8.8910582315383964E-3</v>
      </c>
      <c r="AL36" s="95">
        <f>'Op Cost-24'!B29/'Ridership-24'!B28</f>
        <v>10.324342086299829</v>
      </c>
      <c r="AM36" s="96">
        <f>'Op Cost-24'!C29/'Ridership-24'!C28</f>
        <v>8.7287280129060925</v>
      </c>
      <c r="AN36" s="96">
        <f>'Op Cost-24'!D29/'Ridership-24'!D28</f>
        <v>14.030519282870687</v>
      </c>
      <c r="AO36" s="96">
        <f>'Op Cost-24'!E29/'Ridership-24'!E28</f>
        <v>10.098361467131589</v>
      </c>
      <c r="AP36" s="100">
        <f t="shared" si="14"/>
        <v>0.80929745558716537</v>
      </c>
      <c r="AQ36" s="98">
        <f t="shared" si="15"/>
        <v>1.130549920426498E-2</v>
      </c>
      <c r="AR36" s="99">
        <f t="shared" si="16"/>
        <v>1.1968324141197934E-2</v>
      </c>
      <c r="AT36" s="101">
        <f t="shared" si="27"/>
        <v>0</v>
      </c>
      <c r="AU36" s="102">
        <f t="shared" si="17"/>
        <v>0</v>
      </c>
      <c r="AV36" s="102">
        <f t="shared" si="18"/>
        <v>0</v>
      </c>
      <c r="AW36" s="102">
        <f t="shared" si="19"/>
        <v>0</v>
      </c>
      <c r="AX36" s="103">
        <f t="shared" si="20"/>
        <v>0</v>
      </c>
      <c r="AY36" s="104">
        <f t="shared" si="28"/>
        <v>-1</v>
      </c>
      <c r="AZ36" s="105">
        <f t="shared" si="21"/>
        <v>0</v>
      </c>
      <c r="BA36" s="106">
        <f t="shared" si="21"/>
        <v>0</v>
      </c>
      <c r="BB36" s="106">
        <f t="shared" si="21"/>
        <v>0</v>
      </c>
      <c r="BC36" s="106">
        <f t="shared" si="21"/>
        <v>0</v>
      </c>
      <c r="BD36" s="106">
        <f t="shared" si="21"/>
        <v>0</v>
      </c>
      <c r="BE36" s="107">
        <f t="shared" si="29"/>
        <v>1158354.3502473154</v>
      </c>
      <c r="BG36" s="108">
        <f>'Op Cost-24'!E29</f>
        <v>4080556</v>
      </c>
      <c r="BH36" s="109">
        <f t="shared" si="22"/>
        <v>0.28387169548642766</v>
      </c>
      <c r="BI36" s="110">
        <f t="shared" si="23"/>
        <v>1158354.3502473154</v>
      </c>
      <c r="BJ36" s="111">
        <f t="shared" si="24"/>
        <v>0</v>
      </c>
      <c r="BK36" s="1">
        <f t="shared" si="30"/>
        <v>1.0632382290870586</v>
      </c>
      <c r="BL36" s="112">
        <f t="shared" si="31"/>
        <v>0.8352287987399486</v>
      </c>
      <c r="BM36" s="112">
        <f t="shared" si="32"/>
        <v>1.0432458773490656</v>
      </c>
      <c r="BN36" s="113">
        <f t="shared" si="33"/>
        <v>1.18723912012961</v>
      </c>
      <c r="BO36" s="114">
        <f t="shared" si="25"/>
        <v>1158354.3502473154</v>
      </c>
      <c r="BP36" s="115">
        <f t="shared" si="34"/>
        <v>9.7281106596129856E-3</v>
      </c>
      <c r="BQ36" s="116">
        <f t="shared" si="35"/>
        <v>9.7281106596129856E-3</v>
      </c>
      <c r="BR36" s="117">
        <f t="shared" si="36"/>
        <v>1.4991154082561841E-2</v>
      </c>
      <c r="BS36" s="118">
        <f t="shared" si="37"/>
        <v>1347812.9619378159</v>
      </c>
      <c r="BT36" s="119">
        <f t="shared" si="38"/>
        <v>1224166.8</v>
      </c>
      <c r="BU36" s="119">
        <f t="shared" si="39"/>
        <v>1224166.8</v>
      </c>
      <c r="BV36" s="119">
        <f t="shared" si="56"/>
        <v>123646.16193781584</v>
      </c>
      <c r="BW36" s="120">
        <f t="shared" si="40"/>
        <v>0</v>
      </c>
      <c r="BX36" s="121">
        <f t="shared" si="41"/>
        <v>0</v>
      </c>
      <c r="BY36" s="122">
        <f t="shared" si="42"/>
        <v>1224166.8</v>
      </c>
      <c r="BZ36" s="123">
        <f t="shared" si="58"/>
        <v>15471053204328.623</v>
      </c>
      <c r="CA36" s="111">
        <f t="shared" si="57"/>
        <v>15471054362683</v>
      </c>
      <c r="CC36" s="124">
        <f t="shared" si="26"/>
        <v>1</v>
      </c>
      <c r="CD36" s="17"/>
      <c r="CE36" s="108">
        <f t="shared" si="44"/>
        <v>4080556</v>
      </c>
      <c r="CF36" s="125">
        <f t="shared" si="45"/>
        <v>3791408.4165694579</v>
      </c>
      <c r="CG36" s="110">
        <f t="shared" si="46"/>
        <v>1224166.8</v>
      </c>
      <c r="CH36" s="126">
        <f t="shared" si="47"/>
        <v>15471053138516.199</v>
      </c>
      <c r="CJ36" s="127">
        <f t="shared" si="48"/>
        <v>0</v>
      </c>
      <c r="CK36" s="128" t="e">
        <f t="shared" si="49"/>
        <v>#DIV/0!</v>
      </c>
      <c r="CL36" s="129" t="e">
        <f t="shared" si="50"/>
        <v>#DIV/0!</v>
      </c>
      <c r="CM36" s="130" t="e">
        <f t="shared" si="51"/>
        <v>#DIV/0!</v>
      </c>
      <c r="CO36" s="131" t="e">
        <f t="shared" si="52"/>
        <v>#DIV/0!</v>
      </c>
      <c r="CP36" s="1">
        <f t="shared" si="53"/>
        <v>0</v>
      </c>
      <c r="CQ36" s="132">
        <f t="shared" si="54"/>
        <v>0.3</v>
      </c>
      <c r="CS36" s="104">
        <f t="shared" si="55"/>
        <v>8.1166327381661917E-3</v>
      </c>
    </row>
    <row r="37" spans="1:97">
      <c r="A37" s="133" t="s">
        <v>112</v>
      </c>
      <c r="B37" s="90" t="s">
        <v>114</v>
      </c>
      <c r="C37" s="91">
        <f>'Sizing - Reimb Expen-24'!B30</f>
        <v>57445154</v>
      </c>
      <c r="D37" s="92">
        <f>'Ridership-24'!$E29</f>
        <v>8838099</v>
      </c>
      <c r="E37" s="92">
        <f>'Revenue Hours-24'!$F29</f>
        <v>589217</v>
      </c>
      <c r="F37" s="92">
        <f>'Revenue Miles-24'!$F29</f>
        <v>7359404</v>
      </c>
      <c r="G37" s="134">
        <f t="shared" si="59"/>
        <v>0.16131111546406862</v>
      </c>
      <c r="H37" s="94">
        <f t="shared" si="60"/>
        <v>0.15228920361168105</v>
      </c>
      <c r="J37" s="95">
        <f>'Ridership-24'!B29/'Revenue Hours-24'!C29</f>
        <v>14.064279158532678</v>
      </c>
      <c r="K37" s="96">
        <f>'Ridership-24'!C29/'Revenue Hours-24'!D29</f>
        <v>15.08483737680125</v>
      </c>
      <c r="L37" s="96">
        <f>'Ridership-24'!D29/'Revenue Hours-24'!E29</f>
        <v>12.685908078458269</v>
      </c>
      <c r="M37" s="96">
        <f>'Ridership-24'!E29/'Revenue Hours-24'!F29</f>
        <v>14.999735241854868</v>
      </c>
      <c r="N37" s="97">
        <f t="shared" si="2"/>
        <v>1.2105616251265683</v>
      </c>
      <c r="O37" s="98">
        <f t="shared" si="3"/>
        <v>0.18435546581338746</v>
      </c>
      <c r="P37" s="99">
        <f t="shared" si="4"/>
        <v>0.17689480403140947</v>
      </c>
      <c r="Q37" s="95">
        <f>'Ridership-24'!B29/'Revenue Miles-24'!C29</f>
        <v>1.1305960147789027</v>
      </c>
      <c r="R37" s="96">
        <f>'Ridership-24'!C29/'Revenue Miles-24'!D29</f>
        <v>1.1884855709632467</v>
      </c>
      <c r="S37" s="96">
        <f>'Ridership-24'!D29/'Revenue Miles-24'!E29</f>
        <v>1.0554722157446399</v>
      </c>
      <c r="T37" s="96">
        <f>'Ridership-24'!E29/'Revenue Miles-24'!F29</f>
        <v>1.2009259173704827</v>
      </c>
      <c r="U37" s="97">
        <f t="shared" si="5"/>
        <v>1.2233193409195682</v>
      </c>
      <c r="V37" s="98">
        <f t="shared" si="6"/>
        <v>0.1862983281914076</v>
      </c>
      <c r="W37" s="99">
        <f t="shared" si="7"/>
        <v>0.17937388496824463</v>
      </c>
      <c r="X37" s="95">
        <f>'Op Cost-24'!B30/'Revenue Hours-24'!C29</f>
        <v>85.845490006118709</v>
      </c>
      <c r="Y37" s="96">
        <f>'Op Cost-24'!C30/'Revenue Hours-24'!D29</f>
        <v>87.19640419871854</v>
      </c>
      <c r="Z37" s="96">
        <f>'Op Cost-24'!D30/'Revenue Hours-24'!E29</f>
        <v>106.94058914595765</v>
      </c>
      <c r="AA37" s="96">
        <f>'Op Cost-24'!E30/'Revenue Hours-24'!F29</f>
        <v>99.059409351732896</v>
      </c>
      <c r="AB37" s="97">
        <f t="shared" si="8"/>
        <v>0.97517721343486441</v>
      </c>
      <c r="AC37" s="98">
        <f t="shared" si="9"/>
        <v>0.15616567072488616</v>
      </c>
      <c r="AD37" s="99">
        <f t="shared" si="10"/>
        <v>0.15703601244058712</v>
      </c>
      <c r="AE37" s="95">
        <f>'Op Cost-24'!B30/'Revenue Miles-24'!C29</f>
        <v>6.9009273631188233</v>
      </c>
      <c r="AF37" s="96">
        <f>'Op Cost-24'!C30/'Revenue Miles-24'!D29</f>
        <v>6.8699228000581352</v>
      </c>
      <c r="AG37" s="96">
        <f>'Op Cost-24'!D30/'Revenue Miles-24'!E29</f>
        <v>8.897496330640184</v>
      </c>
      <c r="AH37" s="96">
        <f>'Op Cost-24'!E30/'Revenue Miles-24'!F29</f>
        <v>7.9310074565820816</v>
      </c>
      <c r="AI37" s="97">
        <f t="shared" si="11"/>
        <v>0.97974863423532932</v>
      </c>
      <c r="AJ37" s="98">
        <f t="shared" si="12"/>
        <v>0.15543701546523631</v>
      </c>
      <c r="AK37" s="99">
        <f t="shared" si="13"/>
        <v>0.15561268922348062</v>
      </c>
      <c r="AL37" s="95">
        <f>'Op Cost-24'!B30/'Ridership-24'!B29</f>
        <v>6.1037959385239438</v>
      </c>
      <c r="AM37" s="96">
        <f>'Op Cost-24'!C30/'Ridership-24'!C29</f>
        <v>5.7804006778897481</v>
      </c>
      <c r="AN37" s="96">
        <f>'Op Cost-24'!D30/'Ridership-24'!D29</f>
        <v>8.4298726180707302</v>
      </c>
      <c r="AO37" s="96">
        <f>'Op Cost-24'!E30/'Ridership-24'!E29</f>
        <v>6.6040771889973175</v>
      </c>
      <c r="AP37" s="97">
        <f t="shared" si="14"/>
        <v>0.84876555859417591</v>
      </c>
      <c r="AQ37" s="98">
        <f t="shared" si="15"/>
        <v>0.17942434406023744</v>
      </c>
      <c r="AR37" s="99">
        <f t="shared" si="16"/>
        <v>0.18994373178361179</v>
      </c>
      <c r="AT37" s="101">
        <f t="shared" si="27"/>
        <v>0</v>
      </c>
      <c r="AU37" s="102">
        <f t="shared" si="17"/>
        <v>0</v>
      </c>
      <c r="AV37" s="102">
        <f t="shared" si="18"/>
        <v>0</v>
      </c>
      <c r="AW37" s="102">
        <f t="shared" si="19"/>
        <v>0</v>
      </c>
      <c r="AX37" s="103">
        <f t="shared" si="20"/>
        <v>0</v>
      </c>
      <c r="AY37" s="104">
        <f t="shared" si="28"/>
        <v>-1</v>
      </c>
      <c r="AZ37" s="105">
        <f t="shared" si="21"/>
        <v>0</v>
      </c>
      <c r="BA37" s="106">
        <f t="shared" si="21"/>
        <v>0</v>
      </c>
      <c r="BB37" s="106">
        <f t="shared" si="21"/>
        <v>0</v>
      </c>
      <c r="BC37" s="106">
        <f t="shared" si="21"/>
        <v>0</v>
      </c>
      <c r="BD37" s="106">
        <f t="shared" si="21"/>
        <v>0</v>
      </c>
      <c r="BE37" s="107">
        <f t="shared" si="29"/>
        <v>19280248.663445469</v>
      </c>
      <c r="BG37" s="108">
        <f>'Op Cost-24'!E30</f>
        <v>58367488</v>
      </c>
      <c r="BH37" s="109">
        <f t="shared" si="22"/>
        <v>0.33032514031519516</v>
      </c>
      <c r="BI37" s="110">
        <f t="shared" si="23"/>
        <v>17510246.399999999</v>
      </c>
      <c r="BJ37" s="111">
        <f t="shared" si="24"/>
        <v>1770002.2634454705</v>
      </c>
      <c r="BK37" s="1">
        <f t="shared" si="30"/>
        <v>1.7634444590057217</v>
      </c>
      <c r="BL37" s="112">
        <f t="shared" si="31"/>
        <v>1.5386614130497034</v>
      </c>
      <c r="BM37" s="112">
        <f t="shared" si="32"/>
        <v>1.7788736988451179</v>
      </c>
      <c r="BN37" s="113">
        <f t="shared" si="33"/>
        <v>1.8681213620640325</v>
      </c>
      <c r="BO37" s="114">
        <f t="shared" si="25"/>
        <v>0</v>
      </c>
      <c r="BP37" s="115">
        <f t="shared" si="34"/>
        <v>0.26855355227541311</v>
      </c>
      <c r="BQ37" s="116">
        <f t="shared" si="35"/>
        <v>0</v>
      </c>
      <c r="BR37" s="117">
        <f t="shared" si="36"/>
        <v>0</v>
      </c>
      <c r="BS37" s="118">
        <f t="shared" si="37"/>
        <v>17510246.399999999</v>
      </c>
      <c r="BT37" s="119">
        <f t="shared" si="38"/>
        <v>17510246.399999999</v>
      </c>
      <c r="BU37" s="119">
        <f t="shared" si="39"/>
        <v>17510246.399999999</v>
      </c>
      <c r="BV37" s="119">
        <f t="shared" si="56"/>
        <v>0</v>
      </c>
      <c r="BW37" s="120">
        <f t="shared" si="40"/>
        <v>0</v>
      </c>
      <c r="BX37" s="121">
        <f t="shared" si="41"/>
        <v>0</v>
      </c>
      <c r="BY37" s="122">
        <f t="shared" si="42"/>
        <v>17510246.399999999</v>
      </c>
      <c r="BZ37" s="123">
        <f t="shared" si="58"/>
        <v>221294968688338.66</v>
      </c>
      <c r="CA37" s="111">
        <f>ROUND((BZ37+BI37),0)</f>
        <v>221294986198585</v>
      </c>
      <c r="CC37" s="124">
        <f t="shared" si="26"/>
        <v>1</v>
      </c>
      <c r="CD37" s="17"/>
      <c r="CE37" s="108">
        <f t="shared" si="44"/>
        <v>58367488</v>
      </c>
      <c r="CF37" s="125">
        <f t="shared" si="45"/>
        <v>3791408.4326977548</v>
      </c>
      <c r="CG37" s="110">
        <f t="shared" si="46"/>
        <v>17510246.399999999</v>
      </c>
      <c r="CH37" s="126">
        <f t="shared" si="47"/>
        <v>221294968688338.59</v>
      </c>
      <c r="CJ37" s="127">
        <f t="shared" si="48"/>
        <v>0</v>
      </c>
      <c r="CK37" s="128" t="e">
        <f t="shared" si="49"/>
        <v>#DIV/0!</v>
      </c>
      <c r="CL37" s="129" t="e">
        <f t="shared" si="50"/>
        <v>#DIV/0!</v>
      </c>
      <c r="CM37" s="130" t="e">
        <f t="shared" si="51"/>
        <v>#DIV/0!</v>
      </c>
      <c r="CO37" s="131" t="e">
        <f t="shared" si="52"/>
        <v>#DIV/0!</v>
      </c>
      <c r="CP37" s="1">
        <f t="shared" si="53"/>
        <v>0</v>
      </c>
      <c r="CQ37" s="132">
        <f t="shared" si="54"/>
        <v>0.3</v>
      </c>
      <c r="CS37" s="104">
        <f t="shared" si="55"/>
        <v>0.22406720386095616</v>
      </c>
    </row>
    <row r="38" spans="1:97">
      <c r="A38" s="133" t="s">
        <v>115</v>
      </c>
      <c r="B38" s="90" t="s">
        <v>116</v>
      </c>
      <c r="C38" s="91">
        <f>'Sizing - Reimb Expen-24'!B31</f>
        <v>9821438</v>
      </c>
      <c r="D38" s="92">
        <f>'Ridership-24'!$E30</f>
        <v>3267836</v>
      </c>
      <c r="E38" s="92">
        <f>'Revenue Hours-24'!$F30</f>
        <v>100136</v>
      </c>
      <c r="F38" s="92">
        <f>'Revenue Miles-24'!$F30</f>
        <v>1050017</v>
      </c>
      <c r="G38" s="134">
        <f t="shared" si="59"/>
        <v>4.2918895386578282E-2</v>
      </c>
      <c r="H38" s="94">
        <f t="shared" si="60"/>
        <v>4.0518499791608868E-2</v>
      </c>
      <c r="J38" s="95">
        <f>'Ridership-24'!B30/'Revenue Hours-24'!C30</f>
        <v>38.430821690741176</v>
      </c>
      <c r="K38" s="96">
        <f>'Ridership-24'!C30/'Revenue Hours-24'!D30</f>
        <v>41.020012326113751</v>
      </c>
      <c r="L38" s="96">
        <f>'Ridership-24'!D30/'Revenue Hours-24'!E30</f>
        <v>7.7359808402431227</v>
      </c>
      <c r="M38" s="96">
        <f>'Ridership-24'!E30/'Revenue Hours-24'!F30</f>
        <v>32.633977790205321</v>
      </c>
      <c r="N38" s="97">
        <f t="shared" si="2"/>
        <v>1.570997120982047</v>
      </c>
      <c r="O38" s="98">
        <f t="shared" si="3"/>
        <v>6.3654446519129201E-2</v>
      </c>
      <c r="P38" s="99">
        <f t="shared" si="4"/>
        <v>6.1078421478033065E-2</v>
      </c>
      <c r="Q38" s="95">
        <f>'Ridership-24'!B30/'Revenue Miles-24'!C30</f>
        <v>3.9038389560856674</v>
      </c>
      <c r="R38" s="96">
        <f>'Ridership-24'!C30/'Revenue Miles-24'!D30</f>
        <v>4.0590237544714967</v>
      </c>
      <c r="S38" s="96">
        <f>'Ridership-24'!D30/'Revenue Miles-24'!E30</f>
        <v>0.74890286156611607</v>
      </c>
      <c r="T38" s="96">
        <f>'Ridership-24'!E30/'Revenue Miles-24'!F30</f>
        <v>3.1121743743196539</v>
      </c>
      <c r="U38" s="97">
        <f t="shared" si="5"/>
        <v>1.5695446744042203</v>
      </c>
      <c r="V38" s="98">
        <f t="shared" si="6"/>
        <v>6.3595595562768212E-2</v>
      </c>
      <c r="W38" s="99">
        <f t="shared" si="7"/>
        <v>6.1231837954244847E-2</v>
      </c>
      <c r="X38" s="95">
        <f>'Op Cost-24'!B31/'Revenue Hours-24'!C30</f>
        <v>85.193729576130707</v>
      </c>
      <c r="Y38" s="96">
        <f>'Op Cost-24'!C31/'Revenue Hours-24'!D30</f>
        <v>80.165865469272759</v>
      </c>
      <c r="Z38" s="96">
        <f>'Op Cost-24'!D31/'Revenue Hours-24'!E30</f>
        <v>94.638769882541524</v>
      </c>
      <c r="AA38" s="96">
        <f>'Op Cost-24'!E31/'Revenue Hours-24'!F30</f>
        <v>99.879114404410004</v>
      </c>
      <c r="AB38" s="97">
        <f t="shared" si="8"/>
        <v>0.98112606835854699</v>
      </c>
      <c r="AC38" s="98">
        <f t="shared" si="9"/>
        <v>4.1297954562962043E-2</v>
      </c>
      <c r="AD38" s="99">
        <f t="shared" si="10"/>
        <v>4.1528116111671357E-2</v>
      </c>
      <c r="AE38" s="95">
        <f>'Op Cost-24'!B31/'Revenue Miles-24'!C30</f>
        <v>8.6540590521293268</v>
      </c>
      <c r="AF38" s="96">
        <f>'Op Cost-24'!C31/'Revenue Miles-24'!D30</f>
        <v>7.9325951842875142</v>
      </c>
      <c r="AG38" s="96">
        <f>'Op Cost-24'!D31/'Revenue Miles-24'!E30</f>
        <v>9.1617659148578081</v>
      </c>
      <c r="AH38" s="96">
        <f>'Op Cost-24'!E31/'Revenue Miles-24'!F30</f>
        <v>9.5250791177666656</v>
      </c>
      <c r="AI38" s="97">
        <f t="shared" si="11"/>
        <v>0.96661079663279281</v>
      </c>
      <c r="AJ38" s="98">
        <f t="shared" si="12"/>
        <v>4.1918112163402098E-2</v>
      </c>
      <c r="AK38" s="99">
        <f t="shared" si="13"/>
        <v>4.1965487701849047E-2</v>
      </c>
      <c r="AL38" s="95">
        <f>'Op Cost-24'!B31/'Ridership-24'!B30</f>
        <v>2.216807391257412</v>
      </c>
      <c r="AM38" s="96">
        <f>'Op Cost-24'!C31/'Ridership-24'!C30</f>
        <v>1.9543111014191081</v>
      </c>
      <c r="AN38" s="96">
        <f>'Op Cost-24'!D31/'Ridership-24'!D30</f>
        <v>12.233583799771571</v>
      </c>
      <c r="AO38" s="96">
        <f>'Op Cost-24'!E31/'Ridership-24'!E30</f>
        <v>3.0605865777841972</v>
      </c>
      <c r="AP38" s="97">
        <f t="shared" si="14"/>
        <v>1.2723471939974662</v>
      </c>
      <c r="AQ38" s="98">
        <f t="shared" si="15"/>
        <v>3.1845474240649409E-2</v>
      </c>
      <c r="AR38" s="99">
        <f t="shared" si="16"/>
        <v>3.3712527970324216E-2</v>
      </c>
      <c r="AT38" s="101">
        <f t="shared" si="27"/>
        <v>0</v>
      </c>
      <c r="AU38" s="102">
        <f t="shared" si="17"/>
        <v>0</v>
      </c>
      <c r="AV38" s="102">
        <f t="shared" si="18"/>
        <v>0</v>
      </c>
      <c r="AW38" s="102">
        <f t="shared" si="19"/>
        <v>0</v>
      </c>
      <c r="AX38" s="103">
        <f t="shared" si="20"/>
        <v>0</v>
      </c>
      <c r="AY38" s="104">
        <f t="shared" si="28"/>
        <v>-1</v>
      </c>
      <c r="AZ38" s="105">
        <f t="shared" si="21"/>
        <v>0</v>
      </c>
      <c r="BA38" s="106">
        <f t="shared" si="21"/>
        <v>0</v>
      </c>
      <c r="BB38" s="106">
        <f t="shared" si="21"/>
        <v>0</v>
      </c>
      <c r="BC38" s="106">
        <f t="shared" si="21"/>
        <v>0</v>
      </c>
      <c r="BD38" s="106">
        <f t="shared" si="21"/>
        <v>0</v>
      </c>
      <c r="BE38" s="107">
        <f t="shared" si="29"/>
        <v>5129757.9403196862</v>
      </c>
      <c r="BG38" s="108">
        <f>'Op Cost-24'!E31</f>
        <v>10001495</v>
      </c>
      <c r="BH38" s="109">
        <f t="shared" si="22"/>
        <v>0.51289911561418433</v>
      </c>
      <c r="BI38" s="110">
        <f t="shared" si="23"/>
        <v>3000448.5</v>
      </c>
      <c r="BJ38" s="111">
        <f t="shared" si="24"/>
        <v>2129309.4403196862</v>
      </c>
      <c r="BK38" s="1">
        <f t="shared" si="30"/>
        <v>3.2172273321665985</v>
      </c>
      <c r="BL38" s="112">
        <f t="shared" si="31"/>
        <v>2.5968391844087431</v>
      </c>
      <c r="BM38" s="112">
        <f t="shared" si="32"/>
        <v>3.6117392594565096</v>
      </c>
      <c r="BN38" s="113">
        <f t="shared" si="33"/>
        <v>3.3301654424005704</v>
      </c>
      <c r="BO38" s="114">
        <f t="shared" si="25"/>
        <v>0</v>
      </c>
      <c r="BP38" s="115">
        <f t="shared" si="34"/>
        <v>0.13035722498795069</v>
      </c>
      <c r="BQ38" s="116">
        <f t="shared" si="35"/>
        <v>0</v>
      </c>
      <c r="BR38" s="117">
        <f t="shared" si="36"/>
        <v>0</v>
      </c>
      <c r="BS38" s="118">
        <f t="shared" si="37"/>
        <v>3000448.5</v>
      </c>
      <c r="BT38" s="119">
        <f t="shared" si="38"/>
        <v>3000448.5</v>
      </c>
      <c r="BU38" s="119">
        <f t="shared" si="39"/>
        <v>3000448.5</v>
      </c>
      <c r="BV38" s="119">
        <f t="shared" si="56"/>
        <v>0</v>
      </c>
      <c r="BW38" s="120">
        <f t="shared" si="40"/>
        <v>0</v>
      </c>
      <c r="BX38" s="121">
        <f t="shared" si="41"/>
        <v>0</v>
      </c>
      <c r="BY38" s="122">
        <f t="shared" si="42"/>
        <v>3000448.5</v>
      </c>
      <c r="BZ38" s="123">
        <f t="shared" si="58"/>
        <v>37919749482135.938</v>
      </c>
      <c r="CA38" s="111">
        <f t="shared" si="57"/>
        <v>37919752482584</v>
      </c>
      <c r="CC38" s="124">
        <f t="shared" si="26"/>
        <v>1</v>
      </c>
      <c r="CD38" s="17"/>
      <c r="CE38" s="108">
        <f t="shared" si="44"/>
        <v>10001495</v>
      </c>
      <c r="CF38" s="125">
        <f t="shared" si="45"/>
        <v>3791408.4326977115</v>
      </c>
      <c r="CG38" s="110">
        <f t="shared" si="46"/>
        <v>3000448.5</v>
      </c>
      <c r="CH38" s="126">
        <f t="shared" si="47"/>
        <v>37919749482135.5</v>
      </c>
      <c r="CJ38" s="127">
        <f t="shared" si="48"/>
        <v>0</v>
      </c>
      <c r="CK38" s="128" t="e">
        <f t="shared" si="49"/>
        <v>#DIV/0!</v>
      </c>
      <c r="CL38" s="129" t="e">
        <f t="shared" si="50"/>
        <v>#DIV/0!</v>
      </c>
      <c r="CM38" s="130" t="e">
        <f t="shared" si="51"/>
        <v>#DIV/0!</v>
      </c>
      <c r="CO38" s="131" t="e">
        <f t="shared" si="52"/>
        <v>#DIV/0!</v>
      </c>
      <c r="CP38" s="1">
        <f t="shared" si="53"/>
        <v>0</v>
      </c>
      <c r="CQ38" s="132">
        <f t="shared" si="54"/>
        <v>0.3</v>
      </c>
      <c r="CS38" s="104">
        <f t="shared" si="55"/>
        <v>0.1087633310326457</v>
      </c>
    </row>
    <row r="39" spans="1:97">
      <c r="A39" s="133" t="s">
        <v>115</v>
      </c>
      <c r="B39" s="90" t="s">
        <v>117</v>
      </c>
      <c r="C39" s="91">
        <f>'Sizing - Reimb Expen-24'!B32</f>
        <v>1758084</v>
      </c>
      <c r="D39" s="92">
        <f>'Ridership-24'!$E31</f>
        <v>125489</v>
      </c>
      <c r="E39" s="92">
        <f>'Revenue Hours-24'!$F31</f>
        <v>31063</v>
      </c>
      <c r="F39" s="92">
        <f>'Revenue Miles-24'!$F31</f>
        <v>373643</v>
      </c>
      <c r="G39" s="134">
        <f t="shared" si="59"/>
        <v>4.4378819736475023E-3</v>
      </c>
      <c r="H39" s="94">
        <f t="shared" si="60"/>
        <v>4.1896772553157036E-3</v>
      </c>
      <c r="J39" s="95">
        <f>'Ridership-24'!B31/'Revenue Hours-24'!C31</f>
        <v>10.469111047455362</v>
      </c>
      <c r="K39" s="96">
        <f>'Ridership-24'!C31/'Revenue Hours-24'!D31</f>
        <v>8.58772210149559</v>
      </c>
      <c r="L39" s="96">
        <f>'Ridership-24'!D31/'Revenue Hours-24'!E31</f>
        <v>3.353975911522431</v>
      </c>
      <c r="M39" s="96">
        <f>'Ridership-24'!E31/'Revenue Hours-24'!F31</f>
        <v>4.039822296622992</v>
      </c>
      <c r="N39" s="97">
        <f t="shared" si="2"/>
        <v>0.83958861914202576</v>
      </c>
      <c r="O39" s="98">
        <f t="shared" si="3"/>
        <v>3.5176053414412642E-3</v>
      </c>
      <c r="P39" s="99">
        <f t="shared" si="4"/>
        <v>3.3752517441709914E-3</v>
      </c>
      <c r="Q39" s="95">
        <f>'Ridership-24'!B31/'Revenue Miles-24'!C31</f>
        <v>0.95972094977446065</v>
      </c>
      <c r="R39" s="96">
        <f>'Ridership-24'!C31/'Revenue Miles-24'!D31</f>
        <v>0.78227240838260248</v>
      </c>
      <c r="S39" s="96">
        <f>'Ridership-24'!D31/'Revenue Miles-24'!E31</f>
        <v>0.29134203947124609</v>
      </c>
      <c r="T39" s="96">
        <f>'Ridership-24'!E31/'Revenue Miles-24'!F31</f>
        <v>0.3358526722031458</v>
      </c>
      <c r="U39" s="97">
        <f t="shared" si="5"/>
        <v>0.81813252123285196</v>
      </c>
      <c r="V39" s="98">
        <f t="shared" si="6"/>
        <v>3.4277112160433719E-3</v>
      </c>
      <c r="W39" s="99">
        <f t="shared" si="7"/>
        <v>3.3003080775862986E-3</v>
      </c>
      <c r="X39" s="95">
        <f>'Op Cost-24'!B32/'Revenue Hours-24'!C31</f>
        <v>45.655272287469366</v>
      </c>
      <c r="Y39" s="96">
        <f>'Op Cost-24'!C32/'Revenue Hours-24'!D31</f>
        <v>50.245430141889301</v>
      </c>
      <c r="Z39" s="96">
        <f>'Op Cost-24'!D32/'Revenue Hours-24'!E31</f>
        <v>54.975878704341831</v>
      </c>
      <c r="AA39" s="96">
        <f>'Op Cost-24'!E32/'Revenue Hours-24'!F31</f>
        <v>56.597366641985644</v>
      </c>
      <c r="AB39" s="97">
        <f t="shared" si="8"/>
        <v>1.0011244458616895</v>
      </c>
      <c r="AC39" s="98">
        <f t="shared" si="9"/>
        <v>4.1849714814520961E-3</v>
      </c>
      <c r="AD39" s="99">
        <f t="shared" si="10"/>
        <v>4.2082951430636372E-3</v>
      </c>
      <c r="AE39" s="95">
        <f>'Op Cost-24'!B32/'Revenue Miles-24'!C31</f>
        <v>4.1852953018959314</v>
      </c>
      <c r="AF39" s="96">
        <f>'Op Cost-24'!C32/'Revenue Miles-24'!D31</f>
        <v>4.5769545384416093</v>
      </c>
      <c r="AG39" s="96">
        <f>'Op Cost-24'!D32/'Revenue Miles-24'!E31</f>
        <v>4.775462032515458</v>
      </c>
      <c r="AH39" s="96">
        <f>'Op Cost-24'!E32/'Revenue Miles-24'!F31</f>
        <v>4.7052507339893959</v>
      </c>
      <c r="AI39" s="97">
        <f t="shared" si="11"/>
        <v>0.97631099927011855</v>
      </c>
      <c r="AJ39" s="98">
        <f t="shared" si="12"/>
        <v>4.291334685820266E-3</v>
      </c>
      <c r="AK39" s="99">
        <f t="shared" si="13"/>
        <v>4.2961847203495948E-3</v>
      </c>
      <c r="AL39" s="95">
        <f>'Op Cost-24'!B32/'Ridership-24'!B31</f>
        <v>4.3609502354611482</v>
      </c>
      <c r="AM39" s="96">
        <f>'Op Cost-24'!C32/'Ridership-24'!C31</f>
        <v>5.8508449095178374</v>
      </c>
      <c r="AN39" s="96">
        <f>'Op Cost-24'!D32/'Ridership-24'!D31</f>
        <v>16.391256274523233</v>
      </c>
      <c r="AO39" s="96">
        <f>'Op Cost-24'!E32/'Ridership-24'!E31</f>
        <v>14.009865406529656</v>
      </c>
      <c r="AP39" s="100">
        <f t="shared" si="14"/>
        <v>1.1962544231491588</v>
      </c>
      <c r="AQ39" s="98">
        <f t="shared" si="15"/>
        <v>3.5023295832723542E-3</v>
      </c>
      <c r="AR39" s="99">
        <f t="shared" si="16"/>
        <v>3.7076660609641275E-3</v>
      </c>
      <c r="AT39" s="101">
        <f t="shared" si="27"/>
        <v>0</v>
      </c>
      <c r="AU39" s="102">
        <f t="shared" si="17"/>
        <v>0</v>
      </c>
      <c r="AV39" s="102">
        <f t="shared" si="18"/>
        <v>0</v>
      </c>
      <c r="AW39" s="102">
        <f t="shared" si="19"/>
        <v>0</v>
      </c>
      <c r="AX39" s="103">
        <f t="shared" si="20"/>
        <v>0</v>
      </c>
      <c r="AY39" s="104">
        <f t="shared" si="28"/>
        <v>-1</v>
      </c>
      <c r="AZ39" s="105">
        <f t="shared" si="21"/>
        <v>0</v>
      </c>
      <c r="BA39" s="106">
        <f t="shared" si="21"/>
        <v>0</v>
      </c>
      <c r="BB39" s="106">
        <f t="shared" si="21"/>
        <v>0</v>
      </c>
      <c r="BC39" s="106">
        <f t="shared" si="21"/>
        <v>0</v>
      </c>
      <c r="BD39" s="106">
        <f t="shared" si="21"/>
        <v>0</v>
      </c>
      <c r="BE39" s="107">
        <f t="shared" si="29"/>
        <v>530425.12132404733</v>
      </c>
      <c r="BG39" s="108">
        <f>'Op Cost-24'!E32</f>
        <v>1758084</v>
      </c>
      <c r="BH39" s="109">
        <f t="shared" si="22"/>
        <v>0.30170635835605542</v>
      </c>
      <c r="BI39" s="110">
        <f t="shared" si="23"/>
        <v>527425.19999999995</v>
      </c>
      <c r="BJ39" s="111">
        <f t="shared" si="24"/>
        <v>2999.9213240473764</v>
      </c>
      <c r="BK39" s="1">
        <f t="shared" si="30"/>
        <v>0.86338810651448705</v>
      </c>
      <c r="BL39" s="112">
        <f t="shared" si="31"/>
        <v>0.52290254148373216</v>
      </c>
      <c r="BM39" s="112">
        <f t="shared" si="32"/>
        <v>0.65355680519039516</v>
      </c>
      <c r="BN39" s="113">
        <f t="shared" si="33"/>
        <v>1.1385465396919103</v>
      </c>
      <c r="BO39" s="114">
        <f t="shared" si="25"/>
        <v>0</v>
      </c>
      <c r="BP39" s="115">
        <f t="shared" si="34"/>
        <v>3.6173175123738383E-3</v>
      </c>
      <c r="BQ39" s="116">
        <f t="shared" si="35"/>
        <v>0</v>
      </c>
      <c r="BR39" s="117">
        <f t="shared" si="36"/>
        <v>0</v>
      </c>
      <c r="BS39" s="118">
        <f t="shared" si="37"/>
        <v>527425.19999999995</v>
      </c>
      <c r="BT39" s="119">
        <f t="shared" si="38"/>
        <v>527425.19999999995</v>
      </c>
      <c r="BU39" s="119">
        <f t="shared" si="39"/>
        <v>527425.19999999995</v>
      </c>
      <c r="BV39" s="119">
        <f t="shared" si="56"/>
        <v>0</v>
      </c>
      <c r="BW39" s="120">
        <f t="shared" si="40"/>
        <v>0</v>
      </c>
      <c r="BX39" s="121">
        <f t="shared" si="41"/>
        <v>0</v>
      </c>
      <c r="BY39" s="122">
        <f t="shared" si="42"/>
        <v>527425.19999999995</v>
      </c>
      <c r="BZ39" s="123">
        <f t="shared" si="58"/>
        <v>6665613975565.8008</v>
      </c>
      <c r="CA39" s="111">
        <f t="shared" si="57"/>
        <v>6665614502991</v>
      </c>
      <c r="CC39" s="124">
        <f t="shared" si="26"/>
        <v>1</v>
      </c>
      <c r="CD39" s="17"/>
      <c r="CE39" s="108">
        <f t="shared" si="44"/>
        <v>1758084</v>
      </c>
      <c r="CF39" s="125">
        <f t="shared" si="45"/>
        <v>3791408.4326977553</v>
      </c>
      <c r="CG39" s="110">
        <f t="shared" si="46"/>
        <v>527425.19999999995</v>
      </c>
      <c r="CH39" s="126">
        <f t="shared" si="47"/>
        <v>6665613975565.7998</v>
      </c>
      <c r="CJ39" s="127">
        <f t="shared" si="48"/>
        <v>0</v>
      </c>
      <c r="CK39" s="128" t="e">
        <f t="shared" si="49"/>
        <v>#DIV/0!</v>
      </c>
      <c r="CL39" s="129" t="e">
        <f t="shared" si="50"/>
        <v>#DIV/0!</v>
      </c>
      <c r="CM39" s="130" t="e">
        <f t="shared" si="51"/>
        <v>#DIV/0!</v>
      </c>
      <c r="CO39" s="131" t="e">
        <f t="shared" si="52"/>
        <v>#DIV/0!</v>
      </c>
      <c r="CP39" s="1">
        <f t="shared" si="53"/>
        <v>0</v>
      </c>
      <c r="CQ39" s="132">
        <f t="shared" si="54"/>
        <v>0.3</v>
      </c>
      <c r="CS39" s="104">
        <f t="shared" si="55"/>
        <v>3.0181027717095716E-3</v>
      </c>
    </row>
    <row r="40" spans="1:97">
      <c r="A40" s="133" t="s">
        <v>115</v>
      </c>
      <c r="B40" s="90" t="s">
        <v>118</v>
      </c>
      <c r="C40" s="91">
        <f>'Sizing - Reimb Expen-24'!B33</f>
        <v>10624308</v>
      </c>
      <c r="D40" s="92">
        <f>'Ridership-24'!$E32</f>
        <v>1134478</v>
      </c>
      <c r="E40" s="92">
        <f>'Revenue Hours-24'!$F32</f>
        <v>155800</v>
      </c>
      <c r="F40" s="92">
        <f>'Revenue Miles-24'!$F32</f>
        <v>2582667</v>
      </c>
      <c r="G40" s="134">
        <f t="shared" si="59"/>
        <v>2.990475036668868E-2</v>
      </c>
      <c r="H40" s="94">
        <f t="shared" si="60"/>
        <v>2.8232218247623293E-2</v>
      </c>
      <c r="J40" s="95">
        <f>'Ridership-24'!B32/'Revenue Hours-24'!C32</f>
        <v>13.489683908981412</v>
      </c>
      <c r="K40" s="96">
        <f>'Ridership-24'!C32/'Revenue Hours-24'!D32</f>
        <v>13.061303342191943</v>
      </c>
      <c r="L40" s="96">
        <f>'Ridership-24'!D32/'Revenue Hours-24'!E32</f>
        <v>7.5369057433360815</v>
      </c>
      <c r="M40" s="96">
        <f>'Ridership-24'!E32/'Revenue Hours-24'!F32</f>
        <v>7.2816302952503209</v>
      </c>
      <c r="N40" s="97">
        <f t="shared" si="2"/>
        <v>0.94844527831451908</v>
      </c>
      <c r="O40" s="98">
        <f t="shared" si="3"/>
        <v>2.677671409330332E-2</v>
      </c>
      <c r="P40" s="99">
        <f t="shared" si="4"/>
        <v>2.5693090092238566E-2</v>
      </c>
      <c r="Q40" s="95">
        <f>'Ridership-24'!B32/'Revenue Miles-24'!C32</f>
        <v>0.84707708145185789</v>
      </c>
      <c r="R40" s="96">
        <f>'Ridership-24'!C32/'Revenue Miles-24'!D32</f>
        <v>0.76270122520155903</v>
      </c>
      <c r="S40" s="96">
        <f>'Ridership-24'!D32/'Revenue Miles-24'!E32</f>
        <v>0.4322966250764449</v>
      </c>
      <c r="T40" s="96">
        <f>'Ridership-24'!E32/'Revenue Miles-24'!F32</f>
        <v>0.43926607650153893</v>
      </c>
      <c r="U40" s="97">
        <f t="shared" si="5"/>
        <v>0.93488870997493956</v>
      </c>
      <c r="V40" s="98">
        <f t="shared" si="6"/>
        <v>2.6393982097251488E-2</v>
      </c>
      <c r="W40" s="99">
        <f t="shared" si="7"/>
        <v>2.5412955416873436E-2</v>
      </c>
      <c r="X40" s="95">
        <f>'Op Cost-24'!B33/'Revenue Hours-24'!C32</f>
        <v>62.404362121162798</v>
      </c>
      <c r="Y40" s="96">
        <f>'Op Cost-24'!C33/'Revenue Hours-24'!D32</f>
        <v>69.193957147306961</v>
      </c>
      <c r="Z40" s="96">
        <f>'Op Cost-24'!D33/'Revenue Hours-24'!E32</f>
        <v>71.568899422918378</v>
      </c>
      <c r="AA40" s="96">
        <f>'Op Cost-24'!E33/'Revenue Hours-24'!F32</f>
        <v>68.191964056482675</v>
      </c>
      <c r="AB40" s="97">
        <f t="shared" si="8"/>
        <v>0.9619893036190682</v>
      </c>
      <c r="AC40" s="98">
        <f t="shared" si="9"/>
        <v>2.934774653045704E-2</v>
      </c>
      <c r="AD40" s="99">
        <f t="shared" si="10"/>
        <v>2.951130724100701E-2</v>
      </c>
      <c r="AE40" s="95">
        <f>'Op Cost-24'!B33/'Revenue Miles-24'!C32</f>
        <v>3.9186466704578953</v>
      </c>
      <c r="AF40" s="96">
        <f>'Op Cost-24'!C33/'Revenue Miles-24'!D32</f>
        <v>4.0405091674364728</v>
      </c>
      <c r="AG40" s="96">
        <f>'Op Cost-24'!D33/'Revenue Miles-24'!E32</f>
        <v>4.104999416812201</v>
      </c>
      <c r="AH40" s="96">
        <f>'Op Cost-24'!E33/'Revenue Miles-24'!F32</f>
        <v>4.1136964231161048</v>
      </c>
      <c r="AI40" s="97">
        <f t="shared" si="11"/>
        <v>0.95410645766052327</v>
      </c>
      <c r="AJ40" s="98">
        <f t="shared" si="12"/>
        <v>2.9590218178429398E-2</v>
      </c>
      <c r="AK40" s="99">
        <f t="shared" si="13"/>
        <v>2.9623660822828583E-2</v>
      </c>
      <c r="AL40" s="95">
        <f>'Op Cost-24'!B33/'Ridership-24'!B32</f>
        <v>4.6260803842567482</v>
      </c>
      <c r="AM40" s="96">
        <f>'Op Cost-24'!C33/'Ridership-24'!C32</f>
        <v>5.2976303615726961</v>
      </c>
      <c r="AN40" s="96">
        <f>'Op Cost-24'!D33/'Ridership-24'!D32</f>
        <v>9.4957933481120662</v>
      </c>
      <c r="AO40" s="96">
        <f>'Op Cost-24'!E33/'Ridership-24'!E32</f>
        <v>9.3649308316247648</v>
      </c>
      <c r="AP40" s="97">
        <f t="shared" si="14"/>
        <v>1.0470853269200342</v>
      </c>
      <c r="AQ40" s="98">
        <f t="shared" si="15"/>
        <v>2.6962672020882386E-2</v>
      </c>
      <c r="AR40" s="99">
        <f t="shared" si="16"/>
        <v>2.8543454174672047E-2</v>
      </c>
      <c r="AT40" s="101">
        <f t="shared" si="27"/>
        <v>0</v>
      </c>
      <c r="AU40" s="102">
        <f t="shared" si="17"/>
        <v>0</v>
      </c>
      <c r="AV40" s="102">
        <f t="shared" si="18"/>
        <v>0</v>
      </c>
      <c r="AW40" s="102">
        <f t="shared" si="19"/>
        <v>0</v>
      </c>
      <c r="AX40" s="103">
        <f t="shared" si="20"/>
        <v>0</v>
      </c>
      <c r="AY40" s="104">
        <f t="shared" si="28"/>
        <v>-1</v>
      </c>
      <c r="AZ40" s="105">
        <f t="shared" si="21"/>
        <v>0</v>
      </c>
      <c r="BA40" s="106">
        <f t="shared" si="21"/>
        <v>0</v>
      </c>
      <c r="BB40" s="106">
        <f t="shared" si="21"/>
        <v>0</v>
      </c>
      <c r="BC40" s="106">
        <f t="shared" si="21"/>
        <v>0</v>
      </c>
      <c r="BD40" s="106">
        <f t="shared" si="21"/>
        <v>0</v>
      </c>
      <c r="BE40" s="107">
        <f t="shared" si="29"/>
        <v>3574279.5630004099</v>
      </c>
      <c r="BG40" s="108">
        <f>'Op Cost-24'!E33</f>
        <v>10624308</v>
      </c>
      <c r="BH40" s="109">
        <f t="shared" si="22"/>
        <v>0.3364246935424321</v>
      </c>
      <c r="BI40" s="110">
        <f t="shared" si="23"/>
        <v>3187292.4</v>
      </c>
      <c r="BJ40" s="111">
        <f t="shared" si="24"/>
        <v>386987.16300040996</v>
      </c>
      <c r="BK40" s="1">
        <f t="shared" si="30"/>
        <v>1.2470014187831375</v>
      </c>
      <c r="BL40" s="112">
        <f t="shared" si="31"/>
        <v>0.95447575182849942</v>
      </c>
      <c r="BM40" s="112">
        <f t="shared" si="32"/>
        <v>0.79760549045020446</v>
      </c>
      <c r="BN40" s="113">
        <f t="shared" si="33"/>
        <v>1.617962216426923</v>
      </c>
      <c r="BO40" s="114">
        <f t="shared" si="25"/>
        <v>0</v>
      </c>
      <c r="BP40" s="115">
        <f t="shared" si="34"/>
        <v>3.520561621018143E-2</v>
      </c>
      <c r="BQ40" s="116">
        <f t="shared" si="35"/>
        <v>0</v>
      </c>
      <c r="BR40" s="117">
        <f t="shared" si="36"/>
        <v>0</v>
      </c>
      <c r="BS40" s="118">
        <f t="shared" si="37"/>
        <v>3187292.4</v>
      </c>
      <c r="BT40" s="119">
        <f t="shared" si="38"/>
        <v>3187292.4</v>
      </c>
      <c r="BU40" s="119">
        <f t="shared" si="39"/>
        <v>3187292.4</v>
      </c>
      <c r="BV40" s="119">
        <f t="shared" si="56"/>
        <v>0</v>
      </c>
      <c r="BW40" s="120">
        <f t="shared" si="40"/>
        <v>0</v>
      </c>
      <c r="BX40" s="121">
        <f t="shared" si="41"/>
        <v>0</v>
      </c>
      <c r="BY40" s="122">
        <f t="shared" si="42"/>
        <v>3187292.4</v>
      </c>
      <c r="BZ40" s="123">
        <f t="shared" si="58"/>
        <v>40281087755485.828</v>
      </c>
      <c r="CA40" s="111">
        <f t="shared" si="57"/>
        <v>40281090942778</v>
      </c>
      <c r="CC40" s="124">
        <f t="shared" si="26"/>
        <v>1</v>
      </c>
      <c r="CD40" s="17"/>
      <c r="CE40" s="108">
        <f t="shared" si="44"/>
        <v>10624308</v>
      </c>
      <c r="CF40" s="125">
        <f t="shared" si="45"/>
        <v>3791408.4326977343</v>
      </c>
      <c r="CG40" s="110">
        <f t="shared" si="46"/>
        <v>3187292.4</v>
      </c>
      <c r="CH40" s="126">
        <f t="shared" si="47"/>
        <v>40281087755485.602</v>
      </c>
      <c r="CJ40" s="127">
        <f t="shared" si="48"/>
        <v>0</v>
      </c>
      <c r="CK40" s="128" t="e">
        <f t="shared" si="49"/>
        <v>#DIV/0!</v>
      </c>
      <c r="CL40" s="129" t="e">
        <f t="shared" si="50"/>
        <v>#DIV/0!</v>
      </c>
      <c r="CM40" s="130" t="e">
        <f t="shared" si="51"/>
        <v>#DIV/0!</v>
      </c>
      <c r="CO40" s="131" t="e">
        <f t="shared" si="52"/>
        <v>#DIV/0!</v>
      </c>
      <c r="CP40" s="1">
        <f t="shared" si="53"/>
        <v>0</v>
      </c>
      <c r="CQ40" s="132">
        <f t="shared" si="54"/>
        <v>0.3</v>
      </c>
      <c r="CS40" s="104">
        <f t="shared" si="55"/>
        <v>2.9373746567788427E-2</v>
      </c>
    </row>
    <row r="41" spans="1:97">
      <c r="A41" s="133" t="s">
        <v>115</v>
      </c>
      <c r="B41" s="90" t="s">
        <v>119</v>
      </c>
      <c r="C41" s="91">
        <f>'Sizing - Reimb Expen-24'!B34</f>
        <v>741857</v>
      </c>
      <c r="D41" s="92">
        <f>'Ridership-24'!$E33</f>
        <v>29480</v>
      </c>
      <c r="E41" s="92">
        <f>'Revenue Hours-24'!$F33</f>
        <v>19090</v>
      </c>
      <c r="F41" s="92">
        <f>'Revenue Miles-24'!$F33</f>
        <v>220116</v>
      </c>
      <c r="G41" s="134">
        <f t="shared" si="59"/>
        <v>2.0189733452389809E-3</v>
      </c>
      <c r="H41" s="94">
        <f t="shared" si="60"/>
        <v>1.9060549049897506E-3</v>
      </c>
      <c r="J41" s="95">
        <f>'Ridership-24'!B33/'Revenue Hours-24'!C33</f>
        <v>7.7063312747903803</v>
      </c>
      <c r="K41" s="96">
        <f>'Ridership-24'!C33/'Revenue Hours-24'!D33</f>
        <v>3.4694402420574888</v>
      </c>
      <c r="L41" s="96">
        <f>'Ridership-24'!D33/'Revenue Hours-24'!E33</f>
        <v>2.0660778541053322</v>
      </c>
      <c r="M41" s="96">
        <f>'Ridership-24'!E33/'Revenue Hours-24'!F33</f>
        <v>1.5442640125720273</v>
      </c>
      <c r="N41" s="97">
        <f t="shared" si="2"/>
        <v>0.73045267772485667</v>
      </c>
      <c r="O41" s="98">
        <f t="shared" si="3"/>
        <v>1.3922829092403606E-3</v>
      </c>
      <c r="P41" s="99">
        <f t="shared" si="4"/>
        <v>1.3359387599370511E-3</v>
      </c>
      <c r="Q41" s="95">
        <f>'Ridership-24'!B33/'Revenue Miles-24'!C33</f>
        <v>0.5486185080601923</v>
      </c>
      <c r="R41" s="96">
        <f>'Ridership-24'!C33/'Revenue Miles-24'!D33</f>
        <v>0.3128535569419939</v>
      </c>
      <c r="S41" s="96">
        <f>'Ridership-24'!D33/'Revenue Miles-24'!E33</f>
        <v>0.17929853281414856</v>
      </c>
      <c r="T41" s="96">
        <f>'Ridership-24'!E33/'Revenue Miles-24'!F33</f>
        <v>0.13392938268912755</v>
      </c>
      <c r="U41" s="97">
        <f t="shared" si="5"/>
        <v>0.75640028467482434</v>
      </c>
      <c r="V41" s="98">
        <f t="shared" si="6"/>
        <v>1.4417404727400927E-3</v>
      </c>
      <c r="W41" s="99">
        <f t="shared" si="7"/>
        <v>1.3881530350913346E-3</v>
      </c>
      <c r="X41" s="95">
        <f>'Op Cost-24'!B34/'Revenue Hours-24'!C33</f>
        <v>37.027162725310035</v>
      </c>
      <c r="Y41" s="96">
        <f>'Op Cost-24'!C34/'Revenue Hours-24'!D33</f>
        <v>37.011396873424104</v>
      </c>
      <c r="Z41" s="96">
        <f>'Op Cost-24'!D34/'Revenue Hours-24'!E33</f>
        <v>43.551303020390364</v>
      </c>
      <c r="AA41" s="96">
        <f>'Op Cost-24'!E34/'Revenue Hours-24'!F33</f>
        <v>41.282399161864852</v>
      </c>
      <c r="AB41" s="97">
        <f t="shared" si="8"/>
        <v>0.96349729165483955</v>
      </c>
      <c r="AC41" s="98">
        <f t="shared" si="9"/>
        <v>1.9782670086347996E-3</v>
      </c>
      <c r="AD41" s="99">
        <f t="shared" si="10"/>
        <v>1.9892922761882751E-3</v>
      </c>
      <c r="AE41" s="95">
        <f>'Op Cost-24'!B34/'Revenue Miles-24'!C33</f>
        <v>2.6359867033634772</v>
      </c>
      <c r="AF41" s="96">
        <f>'Op Cost-24'!C34/'Revenue Miles-24'!D33</f>
        <v>3.3374683958746383</v>
      </c>
      <c r="AG41" s="96">
        <f>'Op Cost-24'!D34/'Revenue Miles-24'!E33</f>
        <v>3.7794726458078038</v>
      </c>
      <c r="AH41" s="96">
        <f>'Op Cost-24'!E34/'Revenue Miles-24'!F33</f>
        <v>3.5802985698449907</v>
      </c>
      <c r="AI41" s="97">
        <f t="shared" si="11"/>
        <v>1.0441051212287928</v>
      </c>
      <c r="AJ41" s="98">
        <f t="shared" si="12"/>
        <v>1.8255392740019712E-3</v>
      </c>
      <c r="AK41" s="99">
        <f t="shared" si="13"/>
        <v>1.8276024849052858E-3</v>
      </c>
      <c r="AL41" s="95">
        <f>'Op Cost-24'!B34/'Ridership-24'!B33</f>
        <v>4.8047717396261573</v>
      </c>
      <c r="AM41" s="96">
        <f>'Op Cost-24'!C34/'Ridership-24'!C33</f>
        <v>10.667829474265615</v>
      </c>
      <c r="AN41" s="96">
        <f>'Op Cost-24'!D34/'Ridership-24'!D33</f>
        <v>21.079216803884314</v>
      </c>
      <c r="AO41" s="96">
        <f>'Op Cost-24'!E34/'Ridership-24'!E33</f>
        <v>26.732734056987788</v>
      </c>
      <c r="AP41" s="100">
        <f t="shared" si="14"/>
        <v>1.5438760170177328</v>
      </c>
      <c r="AQ41" s="98">
        <f t="shared" si="15"/>
        <v>1.2345906562313404E-3</v>
      </c>
      <c r="AR41" s="99">
        <f t="shared" si="16"/>
        <v>1.3069729065919298E-3</v>
      </c>
      <c r="AT41" s="101">
        <f t="shared" si="27"/>
        <v>0</v>
      </c>
      <c r="AU41" s="102">
        <f t="shared" si="17"/>
        <v>0</v>
      </c>
      <c r="AV41" s="102">
        <f t="shared" si="18"/>
        <v>0</v>
      </c>
      <c r="AW41" s="102">
        <f t="shared" si="19"/>
        <v>0</v>
      </c>
      <c r="AX41" s="103">
        <f t="shared" si="20"/>
        <v>0</v>
      </c>
      <c r="AY41" s="104">
        <f t="shared" si="28"/>
        <v>-1</v>
      </c>
      <c r="AZ41" s="105">
        <f t="shared" si="21"/>
        <v>0</v>
      </c>
      <c r="BA41" s="106">
        <f t="shared" si="21"/>
        <v>0</v>
      </c>
      <c r="BB41" s="106">
        <f t="shared" si="21"/>
        <v>0</v>
      </c>
      <c r="BC41" s="106">
        <f t="shared" si="21"/>
        <v>0</v>
      </c>
      <c r="BD41" s="106">
        <f t="shared" si="21"/>
        <v>0</v>
      </c>
      <c r="BE41" s="107">
        <f t="shared" si="29"/>
        <v>241312.00152630871</v>
      </c>
      <c r="BG41" s="108">
        <f>'Op Cost-24'!E34</f>
        <v>788081</v>
      </c>
      <c r="BH41" s="109">
        <f t="shared" si="22"/>
        <v>0.30620202939330948</v>
      </c>
      <c r="BI41" s="110">
        <f t="shared" si="23"/>
        <v>236424.3</v>
      </c>
      <c r="BJ41" s="111">
        <f t="shared" si="24"/>
        <v>4887.7015263087233</v>
      </c>
      <c r="BK41" s="1">
        <f t="shared" si="30"/>
        <v>0.48679502951831194</v>
      </c>
      <c r="BL41" s="112">
        <f t="shared" si="31"/>
        <v>0.24209121032721334</v>
      </c>
      <c r="BM41" s="112">
        <f t="shared" si="32"/>
        <v>0.30363119517040621</v>
      </c>
      <c r="BN41" s="113">
        <f t="shared" si="33"/>
        <v>0.70072885628781412</v>
      </c>
      <c r="BO41" s="114">
        <f t="shared" si="25"/>
        <v>0</v>
      </c>
      <c r="BP41" s="115">
        <f t="shared" si="34"/>
        <v>9.2785805373800888E-4</v>
      </c>
      <c r="BQ41" s="116">
        <f t="shared" si="35"/>
        <v>0</v>
      </c>
      <c r="BR41" s="117">
        <f t="shared" si="36"/>
        <v>0</v>
      </c>
      <c r="BS41" s="118">
        <f t="shared" si="37"/>
        <v>236424.3</v>
      </c>
      <c r="BT41" s="119">
        <f t="shared" si="38"/>
        <v>236424.3</v>
      </c>
      <c r="BU41" s="119">
        <f t="shared" si="39"/>
        <v>236424.3</v>
      </c>
      <c r="BV41" s="119">
        <f t="shared" si="56"/>
        <v>0</v>
      </c>
      <c r="BW41" s="120">
        <f t="shared" si="40"/>
        <v>0</v>
      </c>
      <c r="BX41" s="121">
        <f t="shared" si="41"/>
        <v>0</v>
      </c>
      <c r="BY41" s="122">
        <f t="shared" si="42"/>
        <v>236424.3</v>
      </c>
      <c r="BZ41" s="123">
        <f t="shared" si="58"/>
        <v>2987936712624.5796</v>
      </c>
      <c r="CA41" s="111">
        <f t="shared" si="57"/>
        <v>2987936949049</v>
      </c>
      <c r="CC41" s="124">
        <f t="shared" si="26"/>
        <v>1</v>
      </c>
      <c r="CD41" s="17"/>
      <c r="CE41" s="108">
        <f t="shared" si="44"/>
        <v>788081</v>
      </c>
      <c r="CF41" s="125">
        <f t="shared" si="45"/>
        <v>3791408.432697908</v>
      </c>
      <c r="CG41" s="110">
        <f t="shared" si="46"/>
        <v>236424.3</v>
      </c>
      <c r="CH41" s="126">
        <f t="shared" si="47"/>
        <v>2987936712624.7002</v>
      </c>
      <c r="CJ41" s="127">
        <f t="shared" si="48"/>
        <v>0</v>
      </c>
      <c r="CK41" s="128" t="e">
        <f t="shared" si="49"/>
        <v>#DIV/0!</v>
      </c>
      <c r="CL41" s="129" t="e">
        <f t="shared" si="50"/>
        <v>#DIV/0!</v>
      </c>
      <c r="CM41" s="130" t="e">
        <f t="shared" si="51"/>
        <v>#DIV/0!</v>
      </c>
      <c r="CO41" s="131" t="e">
        <f t="shared" si="52"/>
        <v>#DIV/0!</v>
      </c>
      <c r="CP41" s="1">
        <f t="shared" si="53"/>
        <v>0</v>
      </c>
      <c r="CQ41" s="132">
        <f t="shared" si="54"/>
        <v>0.3</v>
      </c>
      <c r="CS41" s="104">
        <f t="shared" si="55"/>
        <v>7.7415680380846924E-4</v>
      </c>
    </row>
    <row r="42" spans="1:97">
      <c r="A42" s="133" t="s">
        <v>120</v>
      </c>
      <c r="B42" s="90" t="s">
        <v>121</v>
      </c>
      <c r="C42" s="91">
        <f>'Sizing - Reimb Expen-24'!B35</f>
        <v>1604354</v>
      </c>
      <c r="D42" s="92">
        <f>'Ridership-24'!$E34</f>
        <v>162733</v>
      </c>
      <c r="E42" s="92">
        <f>'Revenue Hours-24'!$F34</f>
        <v>36937</v>
      </c>
      <c r="F42" s="92">
        <f>'Revenue Miles-24'!$F34</f>
        <v>710177</v>
      </c>
      <c r="G42" s="134">
        <f t="shared" si="59"/>
        <v>5.679960093776199E-3</v>
      </c>
      <c r="H42" s="94">
        <f t="shared" si="60"/>
        <v>5.3622876311953905E-3</v>
      </c>
      <c r="J42" s="95">
        <f>'Ridership-24'!B34/'Revenue Hours-24'!C34</f>
        <v>8.7030537830446679</v>
      </c>
      <c r="K42" s="96">
        <f>'Ridership-24'!C34/'Revenue Hours-24'!D34</f>
        <v>8.9718507404266425</v>
      </c>
      <c r="L42" s="96">
        <f>'Ridership-24'!D34/'Revenue Hours-24'!E34</f>
        <v>4.4820247253569612</v>
      </c>
      <c r="M42" s="96">
        <f>'Ridership-24'!E34/'Revenue Hours-24'!F34</f>
        <v>4.4056907707718551</v>
      </c>
      <c r="N42" s="97">
        <f t="shared" si="2"/>
        <v>0.9234994985351318</v>
      </c>
      <c r="O42" s="98">
        <f t="shared" si="3"/>
        <v>4.9520699384100831E-3</v>
      </c>
      <c r="P42" s="99">
        <f t="shared" si="4"/>
        <v>4.7516651455921897E-3</v>
      </c>
      <c r="Q42" s="95">
        <f>'Ridership-24'!B34/'Revenue Miles-24'!C34</f>
        <v>0.47321678296920194</v>
      </c>
      <c r="R42" s="96">
        <f>'Ridership-24'!C34/'Revenue Miles-24'!D34</f>
        <v>0.47298136165339449</v>
      </c>
      <c r="S42" s="96">
        <f>'Ridership-24'!D34/'Revenue Miles-24'!E34</f>
        <v>0.24753017027607868</v>
      </c>
      <c r="T42" s="96">
        <f>'Ridership-24'!E34/'Revenue Miles-24'!F34</f>
        <v>0.22914428374898088</v>
      </c>
      <c r="U42" s="97">
        <f t="shared" si="5"/>
        <v>0.91652715051762312</v>
      </c>
      <c r="V42" s="98">
        <f t="shared" si="6"/>
        <v>4.9146822028754067E-3</v>
      </c>
      <c r="W42" s="99">
        <f t="shared" si="7"/>
        <v>4.7320104730532503E-3</v>
      </c>
      <c r="X42" s="95">
        <f>'Op Cost-24'!B35/'Revenue Hours-24'!C34</f>
        <v>67.114175022789425</v>
      </c>
      <c r="Y42" s="96">
        <f>'Op Cost-24'!C35/'Revenue Hours-24'!D34</f>
        <v>69.175941026811927</v>
      </c>
      <c r="Z42" s="96">
        <f>'Op Cost-24'!D35/'Revenue Hours-24'!E34</f>
        <v>68.510851019247468</v>
      </c>
      <c r="AA42" s="96">
        <f>'Op Cost-24'!E35/'Revenue Hours-24'!F34</f>
        <v>68.297046322116032</v>
      </c>
      <c r="AB42" s="97">
        <f t="shared" si="8"/>
        <v>0.93911063246421012</v>
      </c>
      <c r="AC42" s="98">
        <f t="shared" si="9"/>
        <v>5.7099637101593031E-3</v>
      </c>
      <c r="AD42" s="99">
        <f t="shared" si="10"/>
        <v>5.7417864506439592E-3</v>
      </c>
      <c r="AE42" s="95">
        <f>'Op Cost-24'!B35/'Revenue Miles-24'!C34</f>
        <v>3.649242528845507</v>
      </c>
      <c r="AF42" s="96">
        <f>'Op Cost-24'!C35/'Revenue Miles-24'!D34</f>
        <v>3.6468429677599077</v>
      </c>
      <c r="AG42" s="96">
        <f>'Op Cost-24'!D35/'Revenue Miles-24'!E34</f>
        <v>3.7836700281038187</v>
      </c>
      <c r="AH42" s="96">
        <f>'Op Cost-24'!E35/'Revenue Miles-24'!F34</f>
        <v>3.5521961426517614</v>
      </c>
      <c r="AI42" s="97">
        <f t="shared" si="11"/>
        <v>0.92788520953180242</v>
      </c>
      <c r="AJ42" s="98">
        <f t="shared" si="12"/>
        <v>5.7790420367850506E-3</v>
      </c>
      <c r="AK42" s="99">
        <f t="shared" si="13"/>
        <v>5.7855734670921449E-3</v>
      </c>
      <c r="AL42" s="95">
        <f>'Op Cost-24'!B35/'Ridership-24'!B34</f>
        <v>7.7115661577941292</v>
      </c>
      <c r="AM42" s="96">
        <f>'Op Cost-24'!C35/'Ridership-24'!C34</f>
        <v>7.7103312380252964</v>
      </c>
      <c r="AN42" s="96">
        <f>'Op Cost-24'!D35/'Ridership-24'!D34</f>
        <v>15.285692341599267</v>
      </c>
      <c r="AO42" s="96">
        <f>'Op Cost-24'!E35/'Ridership-24'!E34</f>
        <v>15.502006353966314</v>
      </c>
      <c r="AP42" s="100">
        <f t="shared" si="14"/>
        <v>1.0383695060729243</v>
      </c>
      <c r="AQ42" s="98">
        <f t="shared" si="15"/>
        <v>5.1641420513930218E-3</v>
      </c>
      <c r="AR42" s="99">
        <f t="shared" si="16"/>
        <v>5.4669081714628113E-3</v>
      </c>
      <c r="AT42" s="101">
        <f t="shared" si="27"/>
        <v>0</v>
      </c>
      <c r="AU42" s="102">
        <f t="shared" si="17"/>
        <v>0</v>
      </c>
      <c r="AV42" s="102">
        <f t="shared" si="18"/>
        <v>0</v>
      </c>
      <c r="AW42" s="102">
        <f t="shared" si="19"/>
        <v>0</v>
      </c>
      <c r="AX42" s="103">
        <f t="shared" si="20"/>
        <v>0</v>
      </c>
      <c r="AY42" s="104">
        <f t="shared" si="28"/>
        <v>-1</v>
      </c>
      <c r="AZ42" s="105">
        <f t="shared" si="21"/>
        <v>0</v>
      </c>
      <c r="BA42" s="106">
        <f t="shared" si="21"/>
        <v>0</v>
      </c>
      <c r="BB42" s="106">
        <f t="shared" si="21"/>
        <v>0</v>
      </c>
      <c r="BC42" s="106">
        <f t="shared" si="21"/>
        <v>0</v>
      </c>
      <c r="BD42" s="106">
        <f t="shared" si="21"/>
        <v>0</v>
      </c>
      <c r="BE42" s="107">
        <f t="shared" si="29"/>
        <v>678880.94810704654</v>
      </c>
      <c r="BG42" s="108">
        <f>'Op Cost-24'!E35</f>
        <v>2522688</v>
      </c>
      <c r="BH42" s="109">
        <f t="shared" si="22"/>
        <v>0.26911015080225797</v>
      </c>
      <c r="BI42" s="110">
        <f t="shared" si="23"/>
        <v>678880.94810704654</v>
      </c>
      <c r="BJ42" s="111">
        <f t="shared" si="24"/>
        <v>0</v>
      </c>
      <c r="BK42" s="1">
        <f t="shared" si="30"/>
        <v>0.77845501910724824</v>
      </c>
      <c r="BL42" s="112">
        <f t="shared" si="31"/>
        <v>0.60009877943177681</v>
      </c>
      <c r="BM42" s="112">
        <f t="shared" si="32"/>
        <v>0.45745883272363769</v>
      </c>
      <c r="BN42" s="113">
        <f t="shared" si="33"/>
        <v>1.0281312321367893</v>
      </c>
      <c r="BO42" s="114">
        <f t="shared" si="25"/>
        <v>678880.94810704654</v>
      </c>
      <c r="BP42" s="115">
        <f t="shared" si="34"/>
        <v>4.1742997204007688E-3</v>
      </c>
      <c r="BQ42" s="116">
        <f t="shared" si="35"/>
        <v>4.1742997204007688E-3</v>
      </c>
      <c r="BR42" s="117">
        <f t="shared" si="36"/>
        <v>6.4326540358055784E-3</v>
      </c>
      <c r="BS42" s="118">
        <f t="shared" si="37"/>
        <v>760177.00419432763</v>
      </c>
      <c r="BT42" s="119">
        <f t="shared" si="38"/>
        <v>756806.4</v>
      </c>
      <c r="BU42" s="119">
        <f t="shared" si="39"/>
        <v>756806.4</v>
      </c>
      <c r="BV42" s="119">
        <f t="shared" si="56"/>
        <v>3370.6041943276068</v>
      </c>
      <c r="BW42" s="120">
        <f t="shared" si="40"/>
        <v>0</v>
      </c>
      <c r="BX42" s="121">
        <f t="shared" si="41"/>
        <v>0</v>
      </c>
      <c r="BY42" s="122">
        <f t="shared" si="42"/>
        <v>756806.4</v>
      </c>
      <c r="BZ42" s="123">
        <f t="shared" si="58"/>
        <v>9564539799459.0352</v>
      </c>
      <c r="CA42" s="111">
        <f t="shared" si="57"/>
        <v>9564540478340</v>
      </c>
      <c r="CC42" s="124">
        <f t="shared" si="26"/>
        <v>1</v>
      </c>
      <c r="CD42" s="17"/>
      <c r="CE42" s="108">
        <f t="shared" si="44"/>
        <v>2522688</v>
      </c>
      <c r="CF42" s="125">
        <f t="shared" si="45"/>
        <v>3791408.4018079126</v>
      </c>
      <c r="CG42" s="110">
        <f t="shared" si="46"/>
        <v>756806.4</v>
      </c>
      <c r="CH42" s="126">
        <f t="shared" si="47"/>
        <v>9564539721533.5996</v>
      </c>
      <c r="CJ42" s="127">
        <f t="shared" si="48"/>
        <v>0</v>
      </c>
      <c r="CK42" s="128" t="e">
        <f t="shared" si="49"/>
        <v>#DIV/0!</v>
      </c>
      <c r="CL42" s="129" t="e">
        <f t="shared" si="50"/>
        <v>#DIV/0!</v>
      </c>
      <c r="CM42" s="130" t="e">
        <f t="shared" si="51"/>
        <v>#DIV/0!</v>
      </c>
      <c r="CO42" s="131" t="e">
        <f t="shared" si="52"/>
        <v>#DIV/0!</v>
      </c>
      <c r="CP42" s="1">
        <f t="shared" si="53"/>
        <v>0</v>
      </c>
      <c r="CQ42" s="132">
        <f t="shared" si="54"/>
        <v>0.3</v>
      </c>
      <c r="CS42" s="104">
        <f t="shared" si="55"/>
        <v>3.4828199385296423E-3</v>
      </c>
    </row>
    <row r="43" spans="1:97">
      <c r="A43" s="133" t="s">
        <v>120</v>
      </c>
      <c r="B43" s="90" t="s">
        <v>122</v>
      </c>
      <c r="C43" s="91">
        <f>'Sizing - Reimb Expen-24'!B36</f>
        <v>5885541</v>
      </c>
      <c r="D43" s="92">
        <f>'Ridership-24'!$E35</f>
        <v>1360253</v>
      </c>
      <c r="E43" s="92">
        <f>'Revenue Hours-24'!$F35</f>
        <v>74536</v>
      </c>
      <c r="F43" s="92">
        <f>'Revenue Miles-24'!$F35</f>
        <v>753636</v>
      </c>
      <c r="G43" s="134">
        <f t="shared" si="59"/>
        <v>2.1122135618256828E-2</v>
      </c>
      <c r="H43" s="94">
        <f t="shared" si="60"/>
        <v>1.9940803227529322E-2</v>
      </c>
      <c r="J43" s="95">
        <f>'Ridership-24'!B35/'Revenue Hours-24'!C35</f>
        <v>27.350763625087215</v>
      </c>
      <c r="K43" s="96">
        <f>'Ridership-24'!C35/'Revenue Hours-24'!D35</f>
        <v>28.025032050011234</v>
      </c>
      <c r="L43" s="96">
        <f>'Ridership-24'!D35/'Revenue Hours-24'!E35</f>
        <v>6.5232631919715116</v>
      </c>
      <c r="M43" s="96">
        <f>'Ridership-24'!E35/'Revenue Hours-24'!F35</f>
        <v>18.24961092626382</v>
      </c>
      <c r="N43" s="97">
        <f t="shared" si="2"/>
        <v>1.2177722543573253</v>
      </c>
      <c r="O43" s="98">
        <f t="shared" si="3"/>
        <v>2.4283356900084211E-2</v>
      </c>
      <c r="P43" s="99">
        <f t="shared" si="4"/>
        <v>2.3300636306673773E-2</v>
      </c>
      <c r="Q43" s="95">
        <f>'Ridership-24'!B35/'Revenue Miles-24'!C35</f>
        <v>2.7826950582098497</v>
      </c>
      <c r="R43" s="96">
        <f>'Ridership-24'!C35/'Revenue Miles-24'!D35</f>
        <v>2.8699282943585609</v>
      </c>
      <c r="S43" s="96">
        <f>'Ridership-24'!D35/'Revenue Miles-24'!E35</f>
        <v>0.66929775146545356</v>
      </c>
      <c r="T43" s="96">
        <f>'Ridership-24'!E35/'Revenue Miles-24'!F35</f>
        <v>1.8049204125068334</v>
      </c>
      <c r="U43" s="97">
        <f t="shared" si="5"/>
        <v>1.2111775195672629</v>
      </c>
      <c r="V43" s="98">
        <f t="shared" si="6"/>
        <v>2.4151852591297835E-2</v>
      </c>
      <c r="W43" s="99">
        <f t="shared" si="7"/>
        <v>2.325416266768876E-2</v>
      </c>
      <c r="X43" s="95">
        <f>'Op Cost-24'!B36/'Revenue Hours-24'!C35</f>
        <v>60.134222291133682</v>
      </c>
      <c r="Y43" s="96">
        <f>'Op Cost-24'!C36/'Revenue Hours-24'!D35</f>
        <v>65.071448396177786</v>
      </c>
      <c r="Z43" s="96">
        <f>'Op Cost-24'!D36/'Revenue Hours-24'!E35</f>
        <v>76.682473292327614</v>
      </c>
      <c r="AA43" s="96">
        <f>'Op Cost-24'!E36/'Revenue Hours-24'!F35</f>
        <v>79.970349898035849</v>
      </c>
      <c r="AB43" s="97">
        <f t="shared" si="8"/>
        <v>1.0225563424064019</v>
      </c>
      <c r="AC43" s="98">
        <f t="shared" si="9"/>
        <v>1.9500933494385492E-2</v>
      </c>
      <c r="AD43" s="99">
        <f t="shared" si="10"/>
        <v>1.9609615996989883E-2</v>
      </c>
      <c r="AE43" s="95">
        <f>'Op Cost-24'!B36/'Revenue Miles-24'!C35</f>
        <v>6.1181181444361483</v>
      </c>
      <c r="AF43" s="96">
        <f>'Op Cost-24'!C36/'Revenue Miles-24'!D35</f>
        <v>6.6636994588917435</v>
      </c>
      <c r="AG43" s="96">
        <f>'Op Cost-24'!D36/'Revenue Miles-24'!E35</f>
        <v>7.8677504557122129</v>
      </c>
      <c r="AH43" s="96">
        <f>'Op Cost-24'!E36/'Revenue Miles-24'!F35</f>
        <v>7.9092161202490328</v>
      </c>
      <c r="AI43" s="97">
        <f t="shared" si="11"/>
        <v>1.0186025700982582</v>
      </c>
      <c r="AJ43" s="98">
        <f t="shared" si="12"/>
        <v>1.9576627639576599E-2</v>
      </c>
      <c r="AK43" s="99">
        <f t="shared" si="13"/>
        <v>1.9598752998461678E-2</v>
      </c>
      <c r="AL43" s="95">
        <f>'Op Cost-24'!B36/'Ridership-24'!B35</f>
        <v>2.1986304702650483</v>
      </c>
      <c r="AM43" s="96">
        <f>'Op Cost-24'!C36/'Ridership-24'!C35</f>
        <v>2.3219045130816078</v>
      </c>
      <c r="AN43" s="96">
        <f>'Op Cost-24'!D36/'Ridership-24'!D35</f>
        <v>11.755232164586637</v>
      </c>
      <c r="AO43" s="96">
        <f>'Op Cost-24'!E36/'Ridership-24'!E35</f>
        <v>4.3820304016973317</v>
      </c>
      <c r="AP43" s="100">
        <f t="shared" si="14"/>
        <v>1.2138335695226248</v>
      </c>
      <c r="AQ43" s="98">
        <f t="shared" si="15"/>
        <v>1.6427954975220878E-2</v>
      </c>
      <c r="AR43" s="99">
        <f t="shared" si="16"/>
        <v>1.7391102026372798E-2</v>
      </c>
      <c r="AT43" s="101">
        <f t="shared" si="27"/>
        <v>0</v>
      </c>
      <c r="AU43" s="102">
        <f t="shared" si="17"/>
        <v>0</v>
      </c>
      <c r="AV43" s="102">
        <f t="shared" si="18"/>
        <v>0</v>
      </c>
      <c r="AW43" s="102">
        <f t="shared" si="19"/>
        <v>0</v>
      </c>
      <c r="AX43" s="103">
        <f t="shared" si="20"/>
        <v>0</v>
      </c>
      <c r="AY43" s="104">
        <f t="shared" si="28"/>
        <v>-1</v>
      </c>
      <c r="AZ43" s="105">
        <f t="shared" si="21"/>
        <v>0</v>
      </c>
      <c r="BA43" s="106">
        <f t="shared" si="21"/>
        <v>0</v>
      </c>
      <c r="BB43" s="106">
        <f t="shared" si="21"/>
        <v>0</v>
      </c>
      <c r="BC43" s="106">
        <f t="shared" si="21"/>
        <v>0</v>
      </c>
      <c r="BD43" s="106">
        <f t="shared" si="21"/>
        <v>0</v>
      </c>
      <c r="BE43" s="107">
        <f t="shared" si="29"/>
        <v>2524562.7113261214</v>
      </c>
      <c r="BG43" s="108">
        <f>'Op Cost-24'!E36</f>
        <v>5960670</v>
      </c>
      <c r="BH43" s="109">
        <f t="shared" si="22"/>
        <v>0.4235367351868366</v>
      </c>
      <c r="BI43" s="110">
        <f t="shared" si="23"/>
        <v>1788201</v>
      </c>
      <c r="BJ43" s="111">
        <f t="shared" si="24"/>
        <v>736361.71132612135</v>
      </c>
      <c r="BK43" s="1">
        <f t="shared" si="30"/>
        <v>2.3702514342396208</v>
      </c>
      <c r="BL43" s="112">
        <f t="shared" si="31"/>
        <v>1.6829244348581867</v>
      </c>
      <c r="BM43" s="112">
        <f t="shared" si="32"/>
        <v>2.4355038496537205</v>
      </c>
      <c r="BN43" s="113">
        <f t="shared" si="33"/>
        <v>2.6812887262232876</v>
      </c>
      <c r="BO43" s="114">
        <f t="shared" si="25"/>
        <v>0</v>
      </c>
      <c r="BP43" s="115">
        <f t="shared" si="34"/>
        <v>4.7264717449941436E-2</v>
      </c>
      <c r="BQ43" s="116">
        <f t="shared" si="35"/>
        <v>0</v>
      </c>
      <c r="BR43" s="117">
        <f t="shared" si="36"/>
        <v>0</v>
      </c>
      <c r="BS43" s="118">
        <f t="shared" si="37"/>
        <v>1788201</v>
      </c>
      <c r="BT43" s="119">
        <f t="shared" si="38"/>
        <v>1788201</v>
      </c>
      <c r="BU43" s="119">
        <f t="shared" si="39"/>
        <v>1788201</v>
      </c>
      <c r="BV43" s="119">
        <f t="shared" si="56"/>
        <v>0</v>
      </c>
      <c r="BW43" s="120">
        <f t="shared" si="40"/>
        <v>0</v>
      </c>
      <c r="BX43" s="121">
        <f t="shared" si="41"/>
        <v>0</v>
      </c>
      <c r="BY43" s="122">
        <f t="shared" si="42"/>
        <v>1788201</v>
      </c>
      <c r="BZ43" s="123">
        <f t="shared" si="58"/>
        <v>22599332714327.531</v>
      </c>
      <c r="CA43" s="111">
        <f t="shared" si="57"/>
        <v>22599334502529</v>
      </c>
      <c r="CC43" s="124">
        <f t="shared" si="26"/>
        <v>1</v>
      </c>
      <c r="CD43" s="17"/>
      <c r="CE43" s="108">
        <f t="shared" si="44"/>
        <v>5960670</v>
      </c>
      <c r="CF43" s="125">
        <f t="shared" si="45"/>
        <v>3791408.4326978344</v>
      </c>
      <c r="CG43" s="110">
        <f t="shared" si="46"/>
        <v>1788201</v>
      </c>
      <c r="CH43" s="126">
        <f t="shared" si="47"/>
        <v>22599332714328</v>
      </c>
      <c r="CJ43" s="127">
        <f t="shared" si="48"/>
        <v>0</v>
      </c>
      <c r="CK43" s="128" t="e">
        <f t="shared" si="49"/>
        <v>#DIV/0!</v>
      </c>
      <c r="CL43" s="129" t="e">
        <f t="shared" si="50"/>
        <v>#DIV/0!</v>
      </c>
      <c r="CM43" s="130" t="e">
        <f t="shared" si="51"/>
        <v>#DIV/0!</v>
      </c>
      <c r="CO43" s="131" t="e">
        <f t="shared" si="52"/>
        <v>#DIV/0!</v>
      </c>
      <c r="CP43" s="1">
        <f t="shared" si="53"/>
        <v>0</v>
      </c>
      <c r="CQ43" s="132">
        <f t="shared" si="54"/>
        <v>0.3</v>
      </c>
      <c r="CS43" s="104">
        <f t="shared" si="55"/>
        <v>3.9435237369064992E-2</v>
      </c>
    </row>
    <row r="44" spans="1:97">
      <c r="A44" s="133" t="s">
        <v>120</v>
      </c>
      <c r="B44" s="90" t="s">
        <v>123</v>
      </c>
      <c r="C44" s="91">
        <f>'Sizing - Reimb Expen-24'!B37</f>
        <v>1423713</v>
      </c>
      <c r="D44" s="92">
        <f>'Ridership-24'!$E36</f>
        <v>134223</v>
      </c>
      <c r="E44" s="92">
        <f>'Revenue Hours-24'!$F36</f>
        <v>17310</v>
      </c>
      <c r="F44" s="92">
        <f>'Revenue Miles-24'!$F36</f>
        <v>185237</v>
      </c>
      <c r="G44" s="93">
        <f t="shared" si="59"/>
        <v>3.3321420204520977E-3</v>
      </c>
      <c r="H44" s="94">
        <f t="shared" si="60"/>
        <v>3.1457798376498119E-3</v>
      </c>
      <c r="J44" s="95">
        <f>'Ridership-24'!B36/'Revenue Hours-24'!C36</f>
        <v>7.7310729471533488</v>
      </c>
      <c r="K44" s="96">
        <f>'Ridership-24'!C36/'Revenue Hours-24'!D36</f>
        <v>7.608599966141866</v>
      </c>
      <c r="L44" s="96">
        <f>'Ridership-24'!D36/'Revenue Hours-24'!E36</f>
        <v>5.1692512721104915</v>
      </c>
      <c r="M44" s="96">
        <f>'Ridership-24'!E36/'Revenue Hours-24'!F36</f>
        <v>7.7540727902946278</v>
      </c>
      <c r="N44" s="97">
        <f t="shared" si="2"/>
        <v>1.1583121090765018</v>
      </c>
      <c r="O44" s="98">
        <f t="shared" si="3"/>
        <v>3.6437948784384892E-3</v>
      </c>
      <c r="P44" s="99">
        <f t="shared" si="4"/>
        <v>3.4963345301868617E-3</v>
      </c>
      <c r="Q44" s="95">
        <f>'Ridership-24'!B36/'Revenue Miles-24'!C36</f>
        <v>0.72165979381443301</v>
      </c>
      <c r="R44" s="96">
        <f>'Ridership-24'!C36/'Revenue Miles-24'!D36</f>
        <v>0.70818473562300743</v>
      </c>
      <c r="S44" s="96">
        <f>'Ridership-24'!D36/'Revenue Miles-24'!E36</f>
        <v>0.48672727894958989</v>
      </c>
      <c r="T44" s="96">
        <f>'Ridership-24'!E36/'Revenue Miles-24'!F36</f>
        <v>0.72460145651246777</v>
      </c>
      <c r="U44" s="97">
        <f t="shared" si="5"/>
        <v>1.164432865063014</v>
      </c>
      <c r="V44" s="98">
        <f t="shared" si="6"/>
        <v>3.6630494292120338E-3</v>
      </c>
      <c r="W44" s="99">
        <f t="shared" si="7"/>
        <v>3.5268991049313024E-3</v>
      </c>
      <c r="X44" s="95">
        <f>'Op Cost-24'!B37/'Revenue Hours-24'!C36</f>
        <v>56.649621735048868</v>
      </c>
      <c r="Y44" s="96">
        <f>'Op Cost-24'!C37/'Revenue Hours-24'!D36</f>
        <v>63.818012527509737</v>
      </c>
      <c r="Z44" s="96">
        <f>'Op Cost-24'!D37/'Revenue Hours-24'!E36</f>
        <v>76.918100314998782</v>
      </c>
      <c r="AA44" s="96">
        <f>'Op Cost-24'!E37/'Revenue Hours-24'!F36</f>
        <v>82.248006932409012</v>
      </c>
      <c r="AB44" s="97">
        <f t="shared" si="8"/>
        <v>1.0532047630257686</v>
      </c>
      <c r="AC44" s="98">
        <f t="shared" si="9"/>
        <v>2.9868644237918667E-3</v>
      </c>
      <c r="AD44" s="99">
        <f t="shared" si="10"/>
        <v>3.0035108012902148E-3</v>
      </c>
      <c r="AE44" s="95">
        <f>'Op Cost-24'!B37/'Revenue Miles-24'!C36</f>
        <v>5.2879793814432992</v>
      </c>
      <c r="AF44" s="96">
        <f>'Op Cost-24'!C37/'Revenue Miles-24'!D36</f>
        <v>5.9399814066841392</v>
      </c>
      <c r="AG44" s="96">
        <f>'Op Cost-24'!D37/'Revenue Miles-24'!E36</f>
        <v>7.2424681443287211</v>
      </c>
      <c r="AH44" s="96">
        <f>'Op Cost-24'!E37/'Revenue Miles-24'!F36</f>
        <v>7.6858996852680619</v>
      </c>
      <c r="AI44" s="97">
        <f t="shared" si="11"/>
        <v>1.0592800607325368</v>
      </c>
      <c r="AJ44" s="98">
        <f t="shared" si="12"/>
        <v>2.969733835520677E-3</v>
      </c>
      <c r="AK44" s="99">
        <f t="shared" si="13"/>
        <v>2.9730902066032647E-3</v>
      </c>
      <c r="AL44" s="95">
        <f>'Op Cost-24'!B37/'Ridership-24'!B36</f>
        <v>7.3275238925158215</v>
      </c>
      <c r="AM44" s="96">
        <f>'Op Cost-24'!C37/'Ridership-24'!C36</f>
        <v>8.3876156995372018</v>
      </c>
      <c r="AN44" s="96">
        <f>'Op Cost-24'!D37/'Ridership-24'!D36</f>
        <v>14.879930625541988</v>
      </c>
      <c r="AO44" s="96">
        <f>'Op Cost-24'!E37/'Ridership-24'!E36</f>
        <v>10.607071813325586</v>
      </c>
      <c r="AP44" s="100">
        <f t="shared" si="14"/>
        <v>0.9271831994846752</v>
      </c>
      <c r="AQ44" s="98">
        <f t="shared" si="15"/>
        <v>3.3928352448558429E-3</v>
      </c>
      <c r="AR44" s="99">
        <f t="shared" si="16"/>
        <v>3.5917522291095856E-3</v>
      </c>
      <c r="AT44" s="101">
        <f t="shared" si="27"/>
        <v>0</v>
      </c>
      <c r="AU44" s="102">
        <f t="shared" si="17"/>
        <v>0</v>
      </c>
      <c r="AV44" s="102">
        <f t="shared" si="18"/>
        <v>0</v>
      </c>
      <c r="AW44" s="102">
        <f t="shared" si="19"/>
        <v>0</v>
      </c>
      <c r="AX44" s="103">
        <f t="shared" si="20"/>
        <v>0</v>
      </c>
      <c r="AY44" s="104">
        <f t="shared" si="28"/>
        <v>-1</v>
      </c>
      <c r="AZ44" s="105">
        <f t="shared" si="21"/>
        <v>0</v>
      </c>
      <c r="BA44" s="106">
        <f t="shared" si="21"/>
        <v>0</v>
      </c>
      <c r="BB44" s="106">
        <f t="shared" si="21"/>
        <v>0</v>
      </c>
      <c r="BC44" s="106">
        <f t="shared" si="21"/>
        <v>0</v>
      </c>
      <c r="BD44" s="106">
        <f t="shared" si="21"/>
        <v>0</v>
      </c>
      <c r="BE44" s="107">
        <f t="shared" si="29"/>
        <v>398264.7231184899</v>
      </c>
      <c r="BG44" s="108">
        <f>'Op Cost-24'!E37</f>
        <v>1423713</v>
      </c>
      <c r="BH44" s="109">
        <f t="shared" si="22"/>
        <v>0.27973666259877511</v>
      </c>
      <c r="BI44" s="110">
        <f t="shared" si="23"/>
        <v>398264.7231184899</v>
      </c>
      <c r="BJ44" s="111">
        <f t="shared" si="24"/>
        <v>0</v>
      </c>
      <c r="BK44" s="1">
        <f t="shared" si="30"/>
        <v>0.99928423771190911</v>
      </c>
      <c r="BL44" s="112">
        <f t="shared" si="31"/>
        <v>0.72412603686323651</v>
      </c>
      <c r="BM44" s="112">
        <f t="shared" si="32"/>
        <v>0.96864523986697704</v>
      </c>
      <c r="BN44" s="113">
        <f t="shared" si="33"/>
        <v>1.1521828370587115</v>
      </c>
      <c r="BO44" s="114">
        <f t="shared" si="25"/>
        <v>398264.7231184899</v>
      </c>
      <c r="BP44" s="115">
        <f t="shared" si="34"/>
        <v>3.1435282070753855E-3</v>
      </c>
      <c r="BQ44" s="116">
        <f t="shared" si="35"/>
        <v>3.1435282070753855E-3</v>
      </c>
      <c r="BR44" s="117">
        <f t="shared" si="36"/>
        <v>4.8442207705130334E-3</v>
      </c>
      <c r="BS44" s="118">
        <f t="shared" si="37"/>
        <v>459486.11653817823</v>
      </c>
      <c r="BT44" s="119">
        <f t="shared" si="38"/>
        <v>427113.89999999997</v>
      </c>
      <c r="BU44" s="119">
        <f t="shared" si="39"/>
        <v>427113.89999999997</v>
      </c>
      <c r="BV44" s="119">
        <f t="shared" si="56"/>
        <v>32372.216538178269</v>
      </c>
      <c r="BW44" s="120">
        <f t="shared" si="40"/>
        <v>0</v>
      </c>
      <c r="BX44" s="121">
        <f t="shared" si="41"/>
        <v>0</v>
      </c>
      <c r="BY44" s="122">
        <f t="shared" si="42"/>
        <v>427113.89999999997</v>
      </c>
      <c r="BZ44" s="123">
        <f t="shared" si="58"/>
        <v>5397877046827.5195</v>
      </c>
      <c r="CA44" s="111">
        <f t="shared" si="57"/>
        <v>5397877445092</v>
      </c>
      <c r="CC44" s="124">
        <f t="shared" si="26"/>
        <v>1</v>
      </c>
      <c r="CD44" s="17"/>
      <c r="CE44" s="108">
        <f t="shared" si="44"/>
        <v>1423713</v>
      </c>
      <c r="CF44" s="125">
        <f t="shared" si="45"/>
        <v>3791408.4124342478</v>
      </c>
      <c r="CG44" s="110">
        <f t="shared" si="46"/>
        <v>427113.89999999997</v>
      </c>
      <c r="CH44" s="126">
        <f t="shared" si="47"/>
        <v>5397877017978.0996</v>
      </c>
      <c r="CJ44" s="127">
        <f t="shared" si="48"/>
        <v>0</v>
      </c>
      <c r="CK44" s="128" t="e">
        <f t="shared" si="49"/>
        <v>#DIV/0!</v>
      </c>
      <c r="CL44" s="129" t="e">
        <f t="shared" si="50"/>
        <v>#DIV/0!</v>
      </c>
      <c r="CM44" s="130" t="e">
        <f t="shared" si="51"/>
        <v>#DIV/0!</v>
      </c>
      <c r="CO44" s="131" t="e">
        <f t="shared" si="52"/>
        <v>#DIV/0!</v>
      </c>
      <c r="CP44" s="1">
        <f t="shared" si="53"/>
        <v>0</v>
      </c>
      <c r="CQ44" s="132">
        <f t="shared" si="54"/>
        <v>0.3</v>
      </c>
      <c r="CS44" s="104">
        <f t="shared" si="55"/>
        <v>2.6227974631110955E-3</v>
      </c>
    </row>
    <row r="45" spans="1:97">
      <c r="A45" s="133" t="s">
        <v>124</v>
      </c>
      <c r="B45" s="90" t="s">
        <v>125</v>
      </c>
      <c r="C45" s="91">
        <f>'Sizing - Reimb Expen-24'!B38</f>
        <v>4486729</v>
      </c>
      <c r="D45" s="92">
        <f>'Ridership-24'!$E37</f>
        <v>127135</v>
      </c>
      <c r="E45" s="92">
        <f>'Revenue Hours-24'!$F37</f>
        <v>60586</v>
      </c>
      <c r="F45" s="92">
        <f>'Revenue Miles-24'!$F37</f>
        <v>1402170</v>
      </c>
      <c r="G45" s="134">
        <f t="shared" si="59"/>
        <v>1.002831542190293E-2</v>
      </c>
      <c r="H45" s="94">
        <f t="shared" si="60"/>
        <v>9.4674453448219745E-3</v>
      </c>
      <c r="J45" s="95">
        <f>'Ridership-24'!B37/'Revenue Hours-24'!C37</f>
        <v>2.2830581849901463</v>
      </c>
      <c r="K45" s="96">
        <f>'Ridership-24'!C37/'Revenue Hours-24'!D37</f>
        <v>2.3373679249962795</v>
      </c>
      <c r="L45" s="96">
        <f>'Ridership-24'!D37/'Revenue Hours-24'!E37</f>
        <v>1.944317205840252</v>
      </c>
      <c r="M45" s="96">
        <f>'Ridership-24'!E37/'Revenue Hours-24'!F37</f>
        <v>2.0984220777077214</v>
      </c>
      <c r="N45" s="97">
        <f t="shared" si="2"/>
        <v>1.1616293810859883</v>
      </c>
      <c r="O45" s="98">
        <f t="shared" si="3"/>
        <v>1.0997662676370971E-2</v>
      </c>
      <c r="P45" s="99">
        <f t="shared" si="4"/>
        <v>1.0552599432606119E-2</v>
      </c>
      <c r="Q45" s="95">
        <f>'Ridership-24'!B37/'Revenue Miles-24'!C37</f>
        <v>0.10105390351849336</v>
      </c>
      <c r="R45" s="96">
        <f>'Ridership-24'!C37/'Revenue Miles-24'!D37</f>
        <v>9.8864253896849164E-2</v>
      </c>
      <c r="S45" s="96">
        <f>'Ridership-24'!D37/'Revenue Miles-24'!E37</f>
        <v>8.4847547858705061E-2</v>
      </c>
      <c r="T45" s="96">
        <f>'Ridership-24'!E37/'Revenue Miles-24'!F37</f>
        <v>9.06701755136681E-2</v>
      </c>
      <c r="U45" s="97">
        <f t="shared" si="5"/>
        <v>1.1613529121666903</v>
      </c>
      <c r="V45" s="98">
        <f t="shared" si="6"/>
        <v>1.0995045221987975E-2</v>
      </c>
      <c r="W45" s="99">
        <f t="shared" si="7"/>
        <v>1.0586375068504137E-2</v>
      </c>
      <c r="X45" s="95">
        <f>'Op Cost-24'!B38/'Revenue Hours-24'!C37</f>
        <v>58.289454980131168</v>
      </c>
      <c r="Y45" s="96">
        <f>'Op Cost-24'!C38/'Revenue Hours-24'!D37</f>
        <v>59.71751244274683</v>
      </c>
      <c r="Z45" s="96">
        <f>'Op Cost-24'!D38/'Revenue Hours-24'!E37</f>
        <v>69.859111079301456</v>
      </c>
      <c r="AA45" s="96">
        <f>'Op Cost-24'!E38/'Revenue Hours-24'!F37</f>
        <v>76.546396857359781</v>
      </c>
      <c r="AB45" s="97">
        <f t="shared" si="8"/>
        <v>1.0189423271546556</v>
      </c>
      <c r="AC45" s="98">
        <f t="shared" si="9"/>
        <v>9.2914437770578555E-3</v>
      </c>
      <c r="AD45" s="99">
        <f t="shared" si="10"/>
        <v>9.343226803895488E-3</v>
      </c>
      <c r="AE45" s="95">
        <f>'Op Cost-24'!B38/'Revenue Miles-24'!C37</f>
        <v>2.5800380377660677</v>
      </c>
      <c r="AF45" s="96">
        <f>'Op Cost-24'!C38/'Revenue Miles-24'!D37</f>
        <v>2.5258870240710474</v>
      </c>
      <c r="AG45" s="96">
        <f>'Op Cost-24'!D38/'Revenue Miles-24'!E37</f>
        <v>3.0485633994613872</v>
      </c>
      <c r="AH45" s="96">
        <f>'Op Cost-24'!E38/'Revenue Miles-24'!F37</f>
        <v>3.3074734162048824</v>
      </c>
      <c r="AI45" s="97">
        <f t="shared" si="11"/>
        <v>1.0165484061575014</v>
      </c>
      <c r="AJ45" s="98">
        <f t="shared" si="12"/>
        <v>9.3133246655792926E-3</v>
      </c>
      <c r="AK45" s="99">
        <f t="shared" si="13"/>
        <v>9.3238505158142245E-3</v>
      </c>
      <c r="AL45" s="95">
        <f>'Op Cost-24'!B38/'Ridership-24'!B37</f>
        <v>25.531305055364914</v>
      </c>
      <c r="AM45" s="96">
        <f>'Op Cost-24'!C38/'Ridership-24'!C37</f>
        <v>25.549042495242542</v>
      </c>
      <c r="AN45" s="96">
        <f>'Op Cost-24'!D38/'Ridership-24'!D37</f>
        <v>35.929893985128473</v>
      </c>
      <c r="AO45" s="96">
        <f>'Op Cost-24'!E38/'Ridership-24'!E37</f>
        <v>36.47807448774924</v>
      </c>
      <c r="AP45" s="100">
        <f t="shared" si="14"/>
        <v>0.9583100618876742</v>
      </c>
      <c r="AQ45" s="98">
        <f t="shared" si="15"/>
        <v>9.8793133051040399E-3</v>
      </c>
      <c r="AR45" s="99">
        <f t="shared" si="16"/>
        <v>1.0458523041895332E-2</v>
      </c>
      <c r="AT45" s="101">
        <f t="shared" si="27"/>
        <v>0</v>
      </c>
      <c r="AU45" s="102">
        <f t="shared" si="17"/>
        <v>0</v>
      </c>
      <c r="AV45" s="102">
        <f t="shared" si="18"/>
        <v>0</v>
      </c>
      <c r="AW45" s="102">
        <f t="shared" si="19"/>
        <v>0</v>
      </c>
      <c r="AX45" s="103">
        <f t="shared" si="20"/>
        <v>0</v>
      </c>
      <c r="AY45" s="104">
        <f t="shared" si="28"/>
        <v>-1</v>
      </c>
      <c r="AZ45" s="105">
        <f t="shared" si="21"/>
        <v>0</v>
      </c>
      <c r="BA45" s="106">
        <f t="shared" si="21"/>
        <v>0</v>
      </c>
      <c r="BB45" s="106">
        <f t="shared" si="21"/>
        <v>0</v>
      </c>
      <c r="BC45" s="106">
        <f t="shared" si="21"/>
        <v>0</v>
      </c>
      <c r="BD45" s="106">
        <f t="shared" si="21"/>
        <v>0</v>
      </c>
      <c r="BE45" s="107">
        <f t="shared" si="29"/>
        <v>1198605.6537611699</v>
      </c>
      <c r="BG45" s="108">
        <f>'Op Cost-24'!E38</f>
        <v>4637640</v>
      </c>
      <c r="BH45" s="109">
        <f t="shared" si="22"/>
        <v>0.25845163785053815</v>
      </c>
      <c r="BI45" s="110">
        <f t="shared" si="23"/>
        <v>1198605.6537611699</v>
      </c>
      <c r="BJ45" s="111">
        <f t="shared" si="24"/>
        <v>0</v>
      </c>
      <c r="BK45" s="1">
        <f t="shared" si="30"/>
        <v>0.29074545507010735</v>
      </c>
      <c r="BL45" s="112">
        <f t="shared" si="31"/>
        <v>0.22898430825773097</v>
      </c>
      <c r="BM45" s="112">
        <f t="shared" si="32"/>
        <v>0.14101587367611154</v>
      </c>
      <c r="BN45" s="113">
        <f t="shared" si="33"/>
        <v>0.39649081917329343</v>
      </c>
      <c r="BO45" s="114">
        <f t="shared" si="25"/>
        <v>1198605.6537611699</v>
      </c>
      <c r="BP45" s="115">
        <f t="shared" si="34"/>
        <v>2.7526167051316343E-3</v>
      </c>
      <c r="BQ45" s="116">
        <f t="shared" si="35"/>
        <v>2.7526167051316343E-3</v>
      </c>
      <c r="BR45" s="117">
        <f t="shared" si="36"/>
        <v>4.241820698871827E-3</v>
      </c>
      <c r="BS45" s="118">
        <f t="shared" si="37"/>
        <v>1252213.8987449976</v>
      </c>
      <c r="BT45" s="119">
        <f t="shared" si="38"/>
        <v>1391292</v>
      </c>
      <c r="BU45" s="119">
        <f t="shared" si="39"/>
        <v>1252213.8987449976</v>
      </c>
      <c r="BV45" s="119">
        <f t="shared" si="56"/>
        <v>0</v>
      </c>
      <c r="BW45" s="120">
        <f t="shared" si="40"/>
        <v>2.7526167051316343E-3</v>
      </c>
      <c r="BX45" s="121">
        <f t="shared" si="41"/>
        <v>5.3750054494170431E-3</v>
      </c>
      <c r="BY45" s="122">
        <f t="shared" si="42"/>
        <v>1261421.2547085711</v>
      </c>
      <c r="BZ45" s="123">
        <f t="shared" si="58"/>
        <v>15941876012866.279</v>
      </c>
      <c r="CA45" s="111">
        <f t="shared" si="57"/>
        <v>15941877211472</v>
      </c>
      <c r="CC45" s="124">
        <f t="shared" si="26"/>
        <v>1</v>
      </c>
      <c r="CD45" s="17"/>
      <c r="CE45" s="108">
        <f t="shared" si="44"/>
        <v>4637640</v>
      </c>
      <c r="CF45" s="125">
        <f t="shared" si="45"/>
        <v>3437497.7815164612</v>
      </c>
      <c r="CG45" s="110">
        <f t="shared" si="46"/>
        <v>1391292</v>
      </c>
      <c r="CH45" s="126">
        <f t="shared" si="47"/>
        <v>15941875820180</v>
      </c>
      <c r="CJ45" s="127">
        <f t="shared" si="48"/>
        <v>0</v>
      </c>
      <c r="CK45" s="128" t="e">
        <f t="shared" si="49"/>
        <v>#DIV/0!</v>
      </c>
      <c r="CL45" s="129" t="e">
        <f t="shared" si="50"/>
        <v>#DIV/0!</v>
      </c>
      <c r="CM45" s="130" t="e">
        <f t="shared" si="51"/>
        <v>#DIV/0!</v>
      </c>
      <c r="CO45" s="131" t="e">
        <f t="shared" si="52"/>
        <v>#DIV/0!</v>
      </c>
      <c r="CP45" s="1">
        <f t="shared" si="53"/>
        <v>0</v>
      </c>
      <c r="CQ45" s="132">
        <f t="shared" si="54"/>
        <v>0.2719963720143373</v>
      </c>
      <c r="CS45" s="104">
        <f t="shared" si="55"/>
        <v>2.2966411101026075E-3</v>
      </c>
    </row>
    <row r="46" spans="1:97">
      <c r="A46" s="133" t="s">
        <v>124</v>
      </c>
      <c r="B46" s="90" t="s">
        <v>126</v>
      </c>
      <c r="C46" s="91">
        <f>'Sizing - Reimb Expen-24'!B39</f>
        <v>573381</v>
      </c>
      <c r="D46" s="92">
        <f>'Ridership-24'!$E38</f>
        <v>24049</v>
      </c>
      <c r="E46" s="92">
        <f>'Revenue Hours-24'!$F38</f>
        <v>15570</v>
      </c>
      <c r="F46" s="92">
        <f>'Revenue Miles-24'!$F38</f>
        <v>414537</v>
      </c>
      <c r="G46" s="134">
        <f t="shared" si="59"/>
        <v>2.1946758165289353E-3</v>
      </c>
      <c r="H46" s="94">
        <f t="shared" si="60"/>
        <v>2.0719305754193658E-3</v>
      </c>
      <c r="J46" s="95">
        <f>'Ridership-24'!B38/'Revenue Hours-24'!C38</f>
        <v>2.4957182320441991</v>
      </c>
      <c r="K46" s="96">
        <f>'Ridership-24'!C38/'Revenue Hours-24'!D38</f>
        <v>2.6155528221948887</v>
      </c>
      <c r="L46" s="96">
        <f>'Ridership-24'!D38/'Revenue Hours-24'!E38</f>
        <v>1.3983089137029627</v>
      </c>
      <c r="M46" s="96">
        <f>'Ridership-24'!E38/'Revenue Hours-24'!F38</f>
        <v>1.5445728965960179</v>
      </c>
      <c r="N46" s="97">
        <f t="shared" si="2"/>
        <v>0.98344145725361898</v>
      </c>
      <c r="O46" s="98">
        <f t="shared" si="3"/>
        <v>2.0376224244187504E-3</v>
      </c>
      <c r="P46" s="99">
        <f t="shared" si="4"/>
        <v>1.9551620987598929E-3</v>
      </c>
      <c r="Q46" s="95">
        <f>'Ridership-24'!B38/'Revenue Miles-24'!C38</f>
        <v>9.3473318279519824E-2</v>
      </c>
      <c r="R46" s="96">
        <f>'Ridership-24'!C38/'Revenue Miles-24'!D38</f>
        <v>9.9669556205390739E-2</v>
      </c>
      <c r="S46" s="96">
        <f>'Ridership-24'!D38/'Revenue Miles-24'!E38</f>
        <v>5.2832581392513109E-2</v>
      </c>
      <c r="T46" s="96">
        <f>'Ridership-24'!E38/'Revenue Miles-24'!F38</f>
        <v>5.8014121779238044E-2</v>
      </c>
      <c r="U46" s="97">
        <f t="shared" si="5"/>
        <v>0.98900730829066263</v>
      </c>
      <c r="V46" s="98">
        <f t="shared" si="6"/>
        <v>2.0491544813606307E-3</v>
      </c>
      <c r="W46" s="99">
        <f t="shared" si="7"/>
        <v>1.9729903311000163E-3</v>
      </c>
      <c r="X46" s="95">
        <f>'Op Cost-24'!B39/'Revenue Hours-24'!C38</f>
        <v>25.043991712707182</v>
      </c>
      <c r="Y46" s="96">
        <f>'Op Cost-24'!C39/'Revenue Hours-24'!D38</f>
        <v>27.952507858411916</v>
      </c>
      <c r="Z46" s="96">
        <f>'Op Cost-24'!D39/'Revenue Hours-24'!E38</f>
        <v>37.360937197444009</v>
      </c>
      <c r="AA46" s="96">
        <f>'Op Cost-24'!E39/'Revenue Hours-24'!F38</f>
        <v>36.826011560693644</v>
      </c>
      <c r="AB46" s="97">
        <f t="shared" si="8"/>
        <v>1.0578409227089491</v>
      </c>
      <c r="AC46" s="98">
        <f t="shared" si="9"/>
        <v>1.9586409742152035E-3</v>
      </c>
      <c r="AD46" s="99">
        <f t="shared" si="10"/>
        <v>1.9695568620542395E-3</v>
      </c>
      <c r="AE46" s="95">
        <f>'Op Cost-24'!B39/'Revenue Miles-24'!C38</f>
        <v>0.93798449612403101</v>
      </c>
      <c r="AF46" s="96">
        <f>'Op Cost-24'!C39/'Revenue Miles-24'!D38</f>
        <v>1.0651721614773884</v>
      </c>
      <c r="AG46" s="96">
        <f>'Op Cost-24'!D39/'Revenue Miles-24'!E38</f>
        <v>1.4116156566272406</v>
      </c>
      <c r="AH46" s="96">
        <f>'Op Cost-24'!E39/'Revenue Miles-24'!F38</f>
        <v>1.3831841307289821</v>
      </c>
      <c r="AI46" s="97">
        <f t="shared" si="11"/>
        <v>1.0641048167932705</v>
      </c>
      <c r="AJ46" s="98">
        <f t="shared" si="12"/>
        <v>1.9471113585062282E-3</v>
      </c>
      <c r="AK46" s="99">
        <f t="shared" si="13"/>
        <v>1.9493119692748099E-3</v>
      </c>
      <c r="AL46" s="95">
        <f>'Op Cost-24'!B39/'Ridership-24'!B38</f>
        <v>10.034783330566164</v>
      </c>
      <c r="AM46" s="96">
        <f>'Op Cost-24'!C39/'Ridership-24'!C38</f>
        <v>10.687036262932386</v>
      </c>
      <c r="AN46" s="96">
        <f>'Op Cost-24'!D39/'Ridership-24'!D38</f>
        <v>26.718657680945348</v>
      </c>
      <c r="AO46" s="96">
        <f>'Op Cost-24'!E39/'Ridership-24'!E38</f>
        <v>23.842197180755957</v>
      </c>
      <c r="AP46" s="100">
        <f t="shared" si="14"/>
        <v>1.0799884459077091</v>
      </c>
      <c r="AQ46" s="98">
        <f t="shared" si="15"/>
        <v>1.9184747607905645E-3</v>
      </c>
      <c r="AR46" s="99">
        <f t="shared" si="16"/>
        <v>2.030952139219706E-3</v>
      </c>
      <c r="AT46" s="101">
        <f t="shared" si="27"/>
        <v>0</v>
      </c>
      <c r="AU46" s="102">
        <f t="shared" si="17"/>
        <v>0</v>
      </c>
      <c r="AV46" s="102">
        <f t="shared" si="18"/>
        <v>0</v>
      </c>
      <c r="AW46" s="102">
        <f t="shared" si="19"/>
        <v>0</v>
      </c>
      <c r="AX46" s="103">
        <f t="shared" si="20"/>
        <v>0</v>
      </c>
      <c r="AY46" s="104">
        <f t="shared" si="28"/>
        <v>-1</v>
      </c>
      <c r="AZ46" s="105">
        <f t="shared" si="21"/>
        <v>0</v>
      </c>
      <c r="BA46" s="106">
        <f t="shared" si="21"/>
        <v>0</v>
      </c>
      <c r="BB46" s="106">
        <f t="shared" si="21"/>
        <v>0</v>
      </c>
      <c r="BC46" s="106">
        <f t="shared" si="21"/>
        <v>0</v>
      </c>
      <c r="BD46" s="106">
        <f t="shared" si="21"/>
        <v>0</v>
      </c>
      <c r="BE46" s="107">
        <f t="shared" si="29"/>
        <v>262312.33574076515</v>
      </c>
      <c r="BG46" s="108">
        <f>'Op Cost-24'!E39</f>
        <v>573381</v>
      </c>
      <c r="BH46" s="109">
        <f t="shared" si="22"/>
        <v>0.45748348086310003</v>
      </c>
      <c r="BI46" s="110">
        <f t="shared" si="23"/>
        <v>172014.3</v>
      </c>
      <c r="BJ46" s="111">
        <f t="shared" si="24"/>
        <v>90298.035740765161</v>
      </c>
      <c r="BK46" s="1">
        <f t="shared" si="30"/>
        <v>0.40333578830729</v>
      </c>
      <c r="BL46" s="112">
        <f t="shared" si="31"/>
        <v>0.18902971627646217</v>
      </c>
      <c r="BM46" s="112">
        <f t="shared" si="32"/>
        <v>0.10208406959951016</v>
      </c>
      <c r="BN46" s="113">
        <f t="shared" si="33"/>
        <v>0.66111468367659387</v>
      </c>
      <c r="BO46" s="114">
        <f t="shared" si="25"/>
        <v>0</v>
      </c>
      <c r="BP46" s="115">
        <f t="shared" si="34"/>
        <v>8.3568375195474688E-4</v>
      </c>
      <c r="BQ46" s="116">
        <f t="shared" si="35"/>
        <v>0</v>
      </c>
      <c r="BR46" s="117">
        <f t="shared" si="36"/>
        <v>0</v>
      </c>
      <c r="BS46" s="118">
        <f t="shared" si="37"/>
        <v>172014.3</v>
      </c>
      <c r="BT46" s="119">
        <f t="shared" si="38"/>
        <v>172014.3</v>
      </c>
      <c r="BU46" s="119">
        <f t="shared" si="39"/>
        <v>172014.3</v>
      </c>
      <c r="BV46" s="119">
        <f t="shared" si="56"/>
        <v>0</v>
      </c>
      <c r="BW46" s="120">
        <f t="shared" si="40"/>
        <v>0</v>
      </c>
      <c r="BX46" s="121">
        <f t="shared" si="41"/>
        <v>0</v>
      </c>
      <c r="BY46" s="122">
        <f t="shared" si="42"/>
        <v>172014.3</v>
      </c>
      <c r="BZ46" s="123">
        <f t="shared" si="58"/>
        <v>2173921386534.3716</v>
      </c>
      <c r="CA46" s="111">
        <f t="shared" si="57"/>
        <v>2173921558549</v>
      </c>
      <c r="CC46" s="124">
        <f t="shared" si="26"/>
        <v>1</v>
      </c>
      <c r="CD46" s="17"/>
      <c r="CE46" s="108">
        <f t="shared" si="44"/>
        <v>573381</v>
      </c>
      <c r="CF46" s="125">
        <f t="shared" si="45"/>
        <v>3791408.432698328</v>
      </c>
      <c r="CG46" s="110">
        <f t="shared" si="46"/>
        <v>172014.3</v>
      </c>
      <c r="CH46" s="126">
        <f t="shared" si="47"/>
        <v>2173921386534.7</v>
      </c>
      <c r="CJ46" s="127">
        <f t="shared" si="48"/>
        <v>0</v>
      </c>
      <c r="CK46" s="128" t="e">
        <f t="shared" si="49"/>
        <v>#DIV/0!</v>
      </c>
      <c r="CL46" s="129" t="e">
        <f t="shared" si="50"/>
        <v>#DIV/0!</v>
      </c>
      <c r="CM46" s="130" t="e">
        <f t="shared" si="51"/>
        <v>#DIV/0!</v>
      </c>
      <c r="CO46" s="131" t="e">
        <f t="shared" si="52"/>
        <v>#DIV/0!</v>
      </c>
      <c r="CP46" s="1">
        <f t="shared" si="53"/>
        <v>0</v>
      </c>
      <c r="CQ46" s="132">
        <f t="shared" si="54"/>
        <v>0.3</v>
      </c>
      <c r="CS46" s="104">
        <f t="shared" si="55"/>
        <v>6.9725133041807926E-4</v>
      </c>
    </row>
    <row r="47" spans="1:97">
      <c r="A47" s="133" t="s">
        <v>124</v>
      </c>
      <c r="B47" s="90" t="s">
        <v>127</v>
      </c>
      <c r="C47" s="91">
        <f>'Sizing - Reimb Expen-24'!B40</f>
        <v>7560831</v>
      </c>
      <c r="D47" s="92">
        <f>'Ridership-24'!$E39</f>
        <v>172720</v>
      </c>
      <c r="E47" s="92">
        <f>'Revenue Hours-24'!$F39</f>
        <v>75094</v>
      </c>
      <c r="F47" s="92">
        <f>'Revenue Miles-24'!$F39</f>
        <v>1190608</v>
      </c>
      <c r="G47" s="134">
        <f t="shared" si="59"/>
        <v>1.2740495824974669E-2</v>
      </c>
      <c r="H47" s="94">
        <f t="shared" si="60"/>
        <v>1.2027937177308283E-2</v>
      </c>
      <c r="J47" s="95">
        <f>'Ridership-24'!B39/'Revenue Hours-24'!C39</f>
        <v>2.8528395937570008</v>
      </c>
      <c r="K47" s="96">
        <f>'Ridership-24'!C39/'Revenue Hours-24'!D39</f>
        <v>2.8967768637798126</v>
      </c>
      <c r="L47" s="96">
        <f>'Ridership-24'!D39/'Revenue Hours-24'!E39</f>
        <v>2.1946189886707304</v>
      </c>
      <c r="M47" s="96">
        <f>'Ridership-24'!E39/'Revenue Hours-24'!F39</f>
        <v>2.3000506032439341</v>
      </c>
      <c r="N47" s="97">
        <f t="shared" si="2"/>
        <v>1.102579996360374</v>
      </c>
      <c r="O47" s="98">
        <f t="shared" si="3"/>
        <v>1.3261762929179374E-2</v>
      </c>
      <c r="P47" s="99">
        <f t="shared" si="4"/>
        <v>1.2725074052552663E-2</v>
      </c>
      <c r="Q47" s="95">
        <f>'Ridership-24'!B39/'Revenue Miles-24'!C39</f>
        <v>0.17268278460800451</v>
      </c>
      <c r="R47" s="96">
        <f>'Ridership-24'!C39/'Revenue Miles-24'!D39</f>
        <v>0.17887553870187622</v>
      </c>
      <c r="S47" s="96">
        <f>'Ridership-24'!D39/'Revenue Miles-24'!E39</f>
        <v>0.13508021153120933</v>
      </c>
      <c r="T47" s="96">
        <f>'Ridership-24'!E39/'Revenue Miles-24'!F39</f>
        <v>0.14506873798932982</v>
      </c>
      <c r="U47" s="97">
        <f t="shared" si="5"/>
        <v>1.1162552956184724</v>
      </c>
      <c r="V47" s="98">
        <f t="shared" si="6"/>
        <v>1.3426248569536671E-2</v>
      </c>
      <c r="W47" s="99">
        <f t="shared" si="7"/>
        <v>1.2927214054184979E-2</v>
      </c>
      <c r="X47" s="95">
        <f>'Op Cost-24'!B40/'Revenue Hours-24'!C39</f>
        <v>67.871126129489951</v>
      </c>
      <c r="Y47" s="96">
        <f>'Op Cost-24'!C40/'Revenue Hours-24'!D39</f>
        <v>82.421987686895335</v>
      </c>
      <c r="Z47" s="96">
        <f>'Op Cost-24'!D40/'Revenue Hours-24'!E39</f>
        <v>132.58479715436326</v>
      </c>
      <c r="AA47" s="96">
        <f>'Op Cost-24'!E40/'Revenue Hours-24'!F39</f>
        <v>102.20353157376088</v>
      </c>
      <c r="AB47" s="97">
        <f t="shared" si="8"/>
        <v>1.0927878671265903</v>
      </c>
      <c r="AC47" s="98">
        <f t="shared" si="9"/>
        <v>1.1006653293959886E-2</v>
      </c>
      <c r="AD47" s="99">
        <f t="shared" si="10"/>
        <v>1.1067995517686295E-2</v>
      </c>
      <c r="AE47" s="95">
        <f>'Op Cost-24'!B40/'Revenue Miles-24'!C39</f>
        <v>4.1082488760213556</v>
      </c>
      <c r="AF47" s="96">
        <f>'Op Cost-24'!C40/'Revenue Miles-24'!D39</f>
        <v>5.0895454298593386</v>
      </c>
      <c r="AG47" s="96">
        <f>'Op Cost-24'!D40/'Revenue Miles-24'!E39</f>
        <v>8.1606796158642627</v>
      </c>
      <c r="AH47" s="96">
        <f>'Op Cost-24'!E40/'Revenue Miles-24'!F39</f>
        <v>6.4461787590877941</v>
      </c>
      <c r="AI47" s="97">
        <f t="shared" si="11"/>
        <v>1.10818527996705</v>
      </c>
      <c r="AJ47" s="98">
        <f t="shared" si="12"/>
        <v>1.0853724006933132E-2</v>
      </c>
      <c r="AK47" s="99">
        <f t="shared" si="13"/>
        <v>1.0865990805041276E-2</v>
      </c>
      <c r="AL47" s="95">
        <f>'Op Cost-24'!B40/'Ridership-24'!B39</f>
        <v>23.790726361908128</v>
      </c>
      <c r="AM47" s="96">
        <f>'Op Cost-24'!C40/'Ridership-24'!C39</f>
        <v>28.452998474776663</v>
      </c>
      <c r="AN47" s="96">
        <f>'Op Cost-24'!D40/'Ridership-24'!D39</f>
        <v>60.413583332143318</v>
      </c>
      <c r="AO47" s="96">
        <f>'Op Cost-24'!E40/'Ridership-24'!E39</f>
        <v>44.435340435386756</v>
      </c>
      <c r="AP47" s="100">
        <f t="shared" si="14"/>
        <v>1.0025928662815951</v>
      </c>
      <c r="AQ47" s="98">
        <f t="shared" si="15"/>
        <v>1.1996830998725692E-2</v>
      </c>
      <c r="AR47" s="99">
        <f t="shared" si="16"/>
        <v>1.2700187710928712E-2</v>
      </c>
      <c r="AT47" s="101">
        <f t="shared" si="27"/>
        <v>0</v>
      </c>
      <c r="AU47" s="102">
        <f t="shared" si="17"/>
        <v>0</v>
      </c>
      <c r="AV47" s="102">
        <f t="shared" si="18"/>
        <v>0</v>
      </c>
      <c r="AW47" s="102">
        <f t="shared" si="19"/>
        <v>0</v>
      </c>
      <c r="AX47" s="103">
        <f t="shared" si="20"/>
        <v>0</v>
      </c>
      <c r="AY47" s="104">
        <f t="shared" si="28"/>
        <v>-1</v>
      </c>
      <c r="AZ47" s="105">
        <f t="shared" si="21"/>
        <v>0</v>
      </c>
      <c r="BA47" s="106">
        <f t="shared" si="21"/>
        <v>0</v>
      </c>
      <c r="BB47" s="106">
        <f t="shared" si="21"/>
        <v>0</v>
      </c>
      <c r="BC47" s="106">
        <f t="shared" si="21"/>
        <v>0</v>
      </c>
      <c r="BD47" s="106">
        <f t="shared" si="21"/>
        <v>0</v>
      </c>
      <c r="BE47" s="107">
        <f t="shared" si="29"/>
        <v>1522771.2417363808</v>
      </c>
      <c r="BG47" s="108">
        <f>'Op Cost-24'!E40</f>
        <v>7674872</v>
      </c>
      <c r="BH47" s="109">
        <f t="shared" si="22"/>
        <v>0.19840998543511615</v>
      </c>
      <c r="BI47" s="110">
        <f t="shared" si="23"/>
        <v>1522771.2417363808</v>
      </c>
      <c r="BJ47" s="111">
        <f t="shared" si="24"/>
        <v>0</v>
      </c>
      <c r="BK47" s="1">
        <f t="shared" si="30"/>
        <v>0.27124452488089301</v>
      </c>
      <c r="BL47" s="112">
        <f t="shared" si="31"/>
        <v>0.26228226666136262</v>
      </c>
      <c r="BM47" s="112">
        <f t="shared" si="32"/>
        <v>0.23246411662382135</v>
      </c>
      <c r="BN47" s="113">
        <f t="shared" si="33"/>
        <v>0.295115858119194</v>
      </c>
      <c r="BO47" s="114">
        <f t="shared" si="25"/>
        <v>1522771.2417363808</v>
      </c>
      <c r="BP47" s="115">
        <f t="shared" si="34"/>
        <v>3.2625121049562147E-3</v>
      </c>
      <c r="BQ47" s="116">
        <f t="shared" si="35"/>
        <v>3.2625121049562147E-3</v>
      </c>
      <c r="BR47" s="117">
        <f t="shared" si="36"/>
        <v>5.0275766151253393E-3</v>
      </c>
      <c r="BS47" s="118">
        <f t="shared" si="37"/>
        <v>1586309.8912908717</v>
      </c>
      <c r="BT47" s="119">
        <f t="shared" si="38"/>
        <v>2302461.6</v>
      </c>
      <c r="BU47" s="119">
        <f t="shared" si="39"/>
        <v>1586309.8912908717</v>
      </c>
      <c r="BV47" s="119">
        <f t="shared" si="56"/>
        <v>0</v>
      </c>
      <c r="BW47" s="120">
        <f t="shared" si="40"/>
        <v>3.2625121049562147E-3</v>
      </c>
      <c r="BX47" s="121">
        <f t="shared" si="41"/>
        <v>6.3706727893632119E-3</v>
      </c>
      <c r="BY47" s="122">
        <f t="shared" si="42"/>
        <v>1597222.8201522704</v>
      </c>
      <c r="BZ47" s="123">
        <f t="shared" si="58"/>
        <v>20185745300185.875</v>
      </c>
      <c r="CA47" s="111">
        <f t="shared" si="57"/>
        <v>20185746822957</v>
      </c>
      <c r="CC47" s="124">
        <f t="shared" si="26"/>
        <v>1</v>
      </c>
      <c r="CD47" s="17"/>
      <c r="CE47" s="108">
        <f t="shared" si="44"/>
        <v>7674872</v>
      </c>
      <c r="CF47" s="125">
        <f t="shared" si="45"/>
        <v>2630108.5963332029</v>
      </c>
      <c r="CG47" s="110">
        <f t="shared" si="46"/>
        <v>2302461.6</v>
      </c>
      <c r="CH47" s="126">
        <f t="shared" si="47"/>
        <v>20185744520495.398</v>
      </c>
      <c r="CJ47" s="127">
        <f t="shared" si="48"/>
        <v>0</v>
      </c>
      <c r="CK47" s="128" t="e">
        <f t="shared" si="49"/>
        <v>#DIV/0!</v>
      </c>
      <c r="CL47" s="129" t="e">
        <f t="shared" si="50"/>
        <v>#DIV/0!</v>
      </c>
      <c r="CM47" s="130" t="e">
        <f t="shared" si="51"/>
        <v>#DIV/0!</v>
      </c>
      <c r="CO47" s="131" t="e">
        <f t="shared" si="52"/>
        <v>#DIV/0!</v>
      </c>
      <c r="CP47" s="1">
        <f t="shared" si="53"/>
        <v>0</v>
      </c>
      <c r="CQ47" s="132">
        <f t="shared" si="54"/>
        <v>0.208110678608356</v>
      </c>
      <c r="CS47" s="104">
        <f t="shared" si="55"/>
        <v>2.7220714778345857E-3</v>
      </c>
    </row>
    <row r="48" spans="1:97" ht="16.5" customHeight="1">
      <c r="A48" s="133" t="s">
        <v>124</v>
      </c>
      <c r="B48" s="90" t="s">
        <v>128</v>
      </c>
      <c r="C48" s="91">
        <f>'Sizing - Reimb Expen-24'!B41</f>
        <v>162010</v>
      </c>
      <c r="D48" s="92">
        <f>'Ridership-24'!$E40</f>
        <v>11840</v>
      </c>
      <c r="E48" s="92">
        <f>'Revenue Hours-24'!$F40</f>
        <v>5390</v>
      </c>
      <c r="F48" s="92">
        <f>'Revenue Miles-24'!$F40</f>
        <v>55690</v>
      </c>
      <c r="G48" s="93">
        <f t="shared" si="59"/>
        <v>5.5036523846798259E-4</v>
      </c>
      <c r="H48" s="94">
        <f t="shared" si="60"/>
        <v>5.195840573088801E-4</v>
      </c>
      <c r="J48" s="95">
        <f>'Ridership-24'!B40/'Revenue Hours-24'!C40</f>
        <v>2.4101819589624469</v>
      </c>
      <c r="K48" s="96">
        <f>'Ridership-24'!C40/'Revenue Hours-24'!D40</f>
        <v>2.6243417203042716</v>
      </c>
      <c r="L48" s="96">
        <f>'Ridership-24'!D40/'Revenue Hours-24'!E40</f>
        <v>2.06749490079733</v>
      </c>
      <c r="M48" s="96">
        <f>'Ridership-24'!E40/'Revenue Hours-24'!F40</f>
        <v>2.1966604823747682</v>
      </c>
      <c r="N48" s="97">
        <f t="shared" si="2"/>
        <v>1.1505006924601566</v>
      </c>
      <c r="O48" s="98">
        <f t="shared" si="3"/>
        <v>5.977818177251243E-4</v>
      </c>
      <c r="P48" s="99">
        <f t="shared" si="4"/>
        <v>5.735902487809325E-4</v>
      </c>
      <c r="Q48" s="95">
        <f>'Ridership-24'!B40/'Revenue Miles-24'!C40</f>
        <v>0.21125231171210912</v>
      </c>
      <c r="R48" s="96">
        <f>'Ridership-24'!C40/'Revenue Miles-24'!D40</f>
        <v>0.22349384582163678</v>
      </c>
      <c r="S48" s="96">
        <f>'Ridership-24'!D40/'Revenue Miles-24'!E40</f>
        <v>0.21433239783168659</v>
      </c>
      <c r="T48" s="96">
        <f>'Ridership-24'!E40/'Revenue Miles-24'!F40</f>
        <v>0.21260549470281917</v>
      </c>
      <c r="U48" s="97">
        <f t="shared" si="5"/>
        <v>1.2322710598478355</v>
      </c>
      <c r="V48" s="98">
        <f t="shared" si="6"/>
        <v>6.4026839698005217E-4</v>
      </c>
      <c r="W48" s="99">
        <f t="shared" si="7"/>
        <v>6.1647053359869728E-4</v>
      </c>
      <c r="X48" s="95">
        <f>'Op Cost-24'!B41/'Revenue Hours-24'!C40</f>
        <v>26.421215640727837</v>
      </c>
      <c r="Y48" s="96">
        <f>'Op Cost-24'!C41/'Revenue Hours-24'!D40</f>
        <v>28.064170079968793</v>
      </c>
      <c r="Z48" s="96">
        <f>'Op Cost-24'!D41/'Revenue Hours-24'!E40</f>
        <v>27.145188206934915</v>
      </c>
      <c r="AA48" s="96">
        <f>'Op Cost-24'!E41/'Revenue Hours-24'!F40</f>
        <v>30.05751391465677</v>
      </c>
      <c r="AB48" s="97">
        <f t="shared" si="8"/>
        <v>0.97981080740083926</v>
      </c>
      <c r="AC48" s="98">
        <f t="shared" si="9"/>
        <v>5.3029018804884342E-4</v>
      </c>
      <c r="AD48" s="99">
        <f t="shared" si="10"/>
        <v>5.3324559860702485E-4</v>
      </c>
      <c r="AE48" s="95">
        <f>'Op Cost-24'!B41/'Revenue Miles-24'!C40</f>
        <v>2.3158180491694802</v>
      </c>
      <c r="AF48" s="96">
        <f>'Op Cost-24'!C41/'Revenue Miles-24'!D40</f>
        <v>2.3899971762204539</v>
      </c>
      <c r="AG48" s="96">
        <f>'Op Cost-24'!D41/'Revenue Miles-24'!E40</f>
        <v>2.8140786590288722</v>
      </c>
      <c r="AH48" s="96">
        <f>'Op Cost-24'!E41/'Revenue Miles-24'!F40</f>
        <v>2.9091398814868019</v>
      </c>
      <c r="AI48" s="97">
        <f t="shared" si="11"/>
        <v>1.0086373581556125</v>
      </c>
      <c r="AJ48" s="98">
        <f t="shared" si="12"/>
        <v>5.1513465479703028E-4</v>
      </c>
      <c r="AK48" s="99">
        <f t="shared" si="13"/>
        <v>5.157168561506733E-4</v>
      </c>
      <c r="AL48" s="95">
        <f>'Op Cost-24'!B41/'Ridership-24'!B40</f>
        <v>10.962332342783712</v>
      </c>
      <c r="AM48" s="96">
        <f>'Op Cost-24'!C41/'Ridership-24'!C40</f>
        <v>10.693794128576737</v>
      </c>
      <c r="AN48" s="96">
        <f>'Op Cost-24'!D41/'Ridership-24'!D40</f>
        <v>13.129506726457398</v>
      </c>
      <c r="AO48" s="96">
        <f>'Op Cost-24'!E41/'Ridership-24'!E40</f>
        <v>13.683277027027026</v>
      </c>
      <c r="AP48" s="100">
        <f t="shared" si="14"/>
        <v>0.93660009397915378</v>
      </c>
      <c r="AQ48" s="98">
        <f t="shared" si="15"/>
        <v>5.5475550413562602E-4</v>
      </c>
      <c r="AR48" s="99">
        <f t="shared" si="16"/>
        <v>5.8728001060794435E-4</v>
      </c>
      <c r="AT48" s="101">
        <f t="shared" si="27"/>
        <v>0</v>
      </c>
      <c r="AU48" s="102">
        <f t="shared" si="17"/>
        <v>0</v>
      </c>
      <c r="AV48" s="102">
        <f t="shared" si="18"/>
        <v>0</v>
      </c>
      <c r="AW48" s="102">
        <f t="shared" si="19"/>
        <v>0</v>
      </c>
      <c r="AX48" s="103">
        <f t="shared" si="20"/>
        <v>0</v>
      </c>
      <c r="AY48" s="104">
        <f t="shared" si="28"/>
        <v>-1</v>
      </c>
      <c r="AZ48" s="105">
        <f t="shared" si="21"/>
        <v>0</v>
      </c>
      <c r="BA48" s="106">
        <f t="shared" si="21"/>
        <v>0</v>
      </c>
      <c r="BB48" s="106">
        <f t="shared" si="21"/>
        <v>0</v>
      </c>
      <c r="BC48" s="106">
        <f t="shared" si="21"/>
        <v>0</v>
      </c>
      <c r="BD48" s="106">
        <f t="shared" si="21"/>
        <v>0</v>
      </c>
      <c r="BE48" s="107">
        <f t="shared" si="29"/>
        <v>65780.827457874504</v>
      </c>
      <c r="BG48" s="108">
        <f>'Op Cost-24'!E41</f>
        <v>162010</v>
      </c>
      <c r="BH48" s="109">
        <f t="shared" si="22"/>
        <v>0.40602942693583421</v>
      </c>
      <c r="BI48" s="110">
        <f t="shared" si="23"/>
        <v>48603</v>
      </c>
      <c r="BJ48" s="111">
        <f t="shared" si="24"/>
        <v>17177.827457874504</v>
      </c>
      <c r="BK48" s="1">
        <f t="shared" si="30"/>
        <v>0.66661148135813064</v>
      </c>
      <c r="BL48" s="112">
        <f t="shared" si="31"/>
        <v>0.24562187649450165</v>
      </c>
      <c r="BM48" s="112">
        <f t="shared" si="32"/>
        <v>0.33812347738824095</v>
      </c>
      <c r="BN48" s="113">
        <f t="shared" si="33"/>
        <v>1.04135028577489</v>
      </c>
      <c r="BO48" s="114">
        <f t="shared" si="25"/>
        <v>0</v>
      </c>
      <c r="BP48" s="115">
        <f t="shared" si="34"/>
        <v>3.463606981327404E-4</v>
      </c>
      <c r="BQ48" s="116">
        <f t="shared" si="35"/>
        <v>0</v>
      </c>
      <c r="BR48" s="117">
        <f t="shared" si="36"/>
        <v>0</v>
      </c>
      <c r="BS48" s="118">
        <f t="shared" si="37"/>
        <v>48603</v>
      </c>
      <c r="BT48" s="119">
        <f t="shared" si="38"/>
        <v>48603</v>
      </c>
      <c r="BU48" s="119">
        <f t="shared" si="39"/>
        <v>48603</v>
      </c>
      <c r="BV48" s="119">
        <f t="shared" si="56"/>
        <v>0</v>
      </c>
      <c r="BW48" s="120">
        <f t="shared" si="40"/>
        <v>0</v>
      </c>
      <c r="BX48" s="121">
        <f t="shared" si="41"/>
        <v>0</v>
      </c>
      <c r="BY48" s="122">
        <f t="shared" si="42"/>
        <v>48603</v>
      </c>
      <c r="BZ48" s="123">
        <f t="shared" si="58"/>
        <v>614246031578.3634</v>
      </c>
      <c r="CA48" s="111">
        <f t="shared" si="57"/>
        <v>614246080181</v>
      </c>
      <c r="CC48" s="124">
        <f t="shared" si="26"/>
        <v>1</v>
      </c>
      <c r="CD48" s="17"/>
      <c r="CE48" s="108">
        <f t="shared" si="44"/>
        <v>162010</v>
      </c>
      <c r="CF48" s="125">
        <f t="shared" si="45"/>
        <v>3791408.4326955127</v>
      </c>
      <c r="CG48" s="110">
        <f t="shared" si="46"/>
        <v>48603</v>
      </c>
      <c r="CH48" s="126">
        <f t="shared" si="47"/>
        <v>614246031578</v>
      </c>
      <c r="CJ48" s="127">
        <f t="shared" si="48"/>
        <v>0</v>
      </c>
      <c r="CK48" s="128" t="e">
        <f t="shared" si="49"/>
        <v>#DIV/0!</v>
      </c>
      <c r="CL48" s="129" t="e">
        <f t="shared" si="50"/>
        <v>#DIV/0!</v>
      </c>
      <c r="CM48" s="130" t="e">
        <f t="shared" si="51"/>
        <v>#DIV/0!</v>
      </c>
      <c r="CO48" s="131" t="e">
        <f t="shared" si="52"/>
        <v>#DIV/0!</v>
      </c>
      <c r="CP48" s="1">
        <f t="shared" si="53"/>
        <v>0</v>
      </c>
      <c r="CQ48" s="132">
        <f t="shared" si="54"/>
        <v>0.3</v>
      </c>
      <c r="CS48" s="104">
        <f t="shared" si="55"/>
        <v>2.8898546491145071E-4</v>
      </c>
    </row>
    <row r="49" spans="1:97">
      <c r="A49" s="133" t="s">
        <v>124</v>
      </c>
      <c r="B49" s="90" t="s">
        <v>129</v>
      </c>
      <c r="C49" s="91">
        <f>'Sizing - Reimb Expen-24'!B42</f>
        <v>1205875</v>
      </c>
      <c r="D49" s="92">
        <f>'Ridership-24'!$E41</f>
        <v>49444</v>
      </c>
      <c r="E49" s="92">
        <f>'Revenue Hours-24'!$F41</f>
        <v>18141</v>
      </c>
      <c r="F49" s="92">
        <f>'Revenue Miles-24'!$F41</f>
        <v>310870</v>
      </c>
      <c r="G49" s="134">
        <f t="shared" si="59"/>
        <v>2.7367531168942466E-3</v>
      </c>
      <c r="H49" s="94">
        <f t="shared" si="60"/>
        <v>2.5836902277601957E-3</v>
      </c>
      <c r="J49" s="95">
        <f>'Ridership-24'!B41/'Revenue Hours-24'!C41</f>
        <v>2.1531983805668018</v>
      </c>
      <c r="K49" s="96">
        <f>'Ridership-24'!C41/'Revenue Hours-24'!D41</f>
        <v>2.3018086155869781</v>
      </c>
      <c r="L49" s="96">
        <f>'Ridership-24'!D41/'Revenue Hours-24'!E41</f>
        <v>1.8714498597475455</v>
      </c>
      <c r="M49" s="96">
        <f>'Ridership-24'!E41/'Revenue Hours-24'!F41</f>
        <v>2.7255388346838654</v>
      </c>
      <c r="N49" s="97">
        <f t="shared" si="2"/>
        <v>1.2621314439470319</v>
      </c>
      <c r="O49" s="98">
        <f t="shared" si="3"/>
        <v>3.2609566778748116E-3</v>
      </c>
      <c r="P49" s="99">
        <f t="shared" si="4"/>
        <v>3.1289893681345445E-3</v>
      </c>
      <c r="Q49" s="95">
        <f>'Ridership-24'!B41/'Revenue Miles-24'!C41</f>
        <v>0.14216405642296373</v>
      </c>
      <c r="R49" s="96">
        <f>'Ridership-24'!C41/'Revenue Miles-24'!D41</f>
        <v>0.15794010138539991</v>
      </c>
      <c r="S49" s="96">
        <f>'Ridership-24'!D41/'Revenue Miles-24'!E41</f>
        <v>0.12054951539089166</v>
      </c>
      <c r="T49" s="96">
        <f>'Ridership-24'!E41/'Revenue Miles-24'!F41</f>
        <v>0.1590504069225078</v>
      </c>
      <c r="U49" s="97">
        <f t="shared" si="5"/>
        <v>1.2117777521158943</v>
      </c>
      <c r="V49" s="98">
        <f t="shared" si="6"/>
        <v>3.1308583363590528E-3</v>
      </c>
      <c r="W49" s="99">
        <f t="shared" si="7"/>
        <v>3.0144887961685973E-3</v>
      </c>
      <c r="X49" s="95">
        <f>'Op Cost-24'!B42/'Revenue Hours-24'!C41</f>
        <v>27.147165991902835</v>
      </c>
      <c r="Y49" s="96">
        <f>'Op Cost-24'!C42/'Revenue Hours-24'!D41</f>
        <v>30.822514523731229</v>
      </c>
      <c r="Z49" s="96">
        <f>'Op Cost-24'!D42/'Revenue Hours-24'!E41</f>
        <v>53.352691093969142</v>
      </c>
      <c r="AA49" s="96">
        <f>'Op Cost-24'!E42/'Revenue Hours-24'!F41</f>
        <v>79.509949837384923</v>
      </c>
      <c r="AB49" s="97">
        <f t="shared" si="8"/>
        <v>1.3396410293256915</v>
      </c>
      <c r="AC49" s="98">
        <f t="shared" si="9"/>
        <v>1.9286436972303668E-3</v>
      </c>
      <c r="AD49" s="99">
        <f t="shared" si="10"/>
        <v>1.9393924043990534E-3</v>
      </c>
      <c r="AE49" s="95">
        <f>'Op Cost-24'!B42/'Revenue Miles-24'!C41</f>
        <v>1.7923807079868379</v>
      </c>
      <c r="AF49" s="96">
        <f>'Op Cost-24'!C42/'Revenue Miles-24'!D41</f>
        <v>2.1149069631011295</v>
      </c>
      <c r="AG49" s="96">
        <f>'Op Cost-24'!D42/'Revenue Miles-24'!E41</f>
        <v>3.4367156686984583</v>
      </c>
      <c r="AH49" s="96">
        <f>'Op Cost-24'!E42/'Revenue Miles-24'!F41</f>
        <v>4.639849454756007</v>
      </c>
      <c r="AI49" s="97">
        <f t="shared" si="11"/>
        <v>1.2854839634662996</v>
      </c>
      <c r="AJ49" s="98">
        <f t="shared" si="12"/>
        <v>2.0098968957911315E-3</v>
      </c>
      <c r="AK49" s="99">
        <f t="shared" si="13"/>
        <v>2.0121684663067544E-3</v>
      </c>
      <c r="AL49" s="95">
        <f>'Op Cost-24'!B42/'Ridership-24'!B41</f>
        <v>12.607833182912154</v>
      </c>
      <c r="AM49" s="96">
        <f>'Op Cost-24'!C42/'Ridership-24'!C41</f>
        <v>13.390563539910664</v>
      </c>
      <c r="AN49" s="96">
        <f>'Op Cost-24'!D42/'Ridership-24'!D41</f>
        <v>28.508747277453804</v>
      </c>
      <c r="AO49" s="96">
        <f>'Op Cost-24'!E42/'Ridership-24'!E41</f>
        <v>29.17219480624545</v>
      </c>
      <c r="AP49" s="100">
        <f t="shared" si="14"/>
        <v>1.0831038405019571</v>
      </c>
      <c r="AQ49" s="98">
        <f t="shared" si="15"/>
        <v>2.3854501582810401E-3</v>
      </c>
      <c r="AR49" s="99">
        <f t="shared" si="16"/>
        <v>2.5253056234977246E-3</v>
      </c>
      <c r="AT49" s="101">
        <f t="shared" si="27"/>
        <v>0</v>
      </c>
      <c r="AU49" s="102">
        <f t="shared" si="17"/>
        <v>0</v>
      </c>
      <c r="AV49" s="102">
        <f t="shared" si="18"/>
        <v>0</v>
      </c>
      <c r="AW49" s="102">
        <f t="shared" si="19"/>
        <v>0</v>
      </c>
      <c r="AX49" s="103">
        <f t="shared" si="20"/>
        <v>0</v>
      </c>
      <c r="AY49" s="104">
        <f t="shared" si="28"/>
        <v>-1</v>
      </c>
      <c r="AZ49" s="105">
        <f t="shared" si="21"/>
        <v>0</v>
      </c>
      <c r="BA49" s="106">
        <f t="shared" si="21"/>
        <v>0</v>
      </c>
      <c r="BB49" s="106">
        <f t="shared" si="21"/>
        <v>0</v>
      </c>
      <c r="BC49" s="106">
        <f t="shared" si="21"/>
        <v>0</v>
      </c>
      <c r="BD49" s="106">
        <f t="shared" si="21"/>
        <v>0</v>
      </c>
      <c r="BE49" s="107">
        <f t="shared" si="29"/>
        <v>327102.57115501608</v>
      </c>
      <c r="BG49" s="108">
        <f>'Op Cost-24'!E42</f>
        <v>1442390</v>
      </c>
      <c r="BH49" s="109">
        <f t="shared" si="22"/>
        <v>0.22677817452631818</v>
      </c>
      <c r="BI49" s="110">
        <f t="shared" si="23"/>
        <v>327102.57115501608</v>
      </c>
      <c r="BJ49" s="111">
        <f t="shared" si="24"/>
        <v>0</v>
      </c>
      <c r="BK49" s="1">
        <f t="shared" si="30"/>
        <v>0.39912091019720197</v>
      </c>
      <c r="BL49" s="112">
        <f t="shared" si="31"/>
        <v>0.24795969442464708</v>
      </c>
      <c r="BM49" s="112">
        <f t="shared" si="32"/>
        <v>0.22277206502385827</v>
      </c>
      <c r="BN49" s="113">
        <f t="shared" si="33"/>
        <v>0.56287594067015123</v>
      </c>
      <c r="BO49" s="114">
        <f t="shared" si="25"/>
        <v>327102.57115501608</v>
      </c>
      <c r="BP49" s="115">
        <f t="shared" si="34"/>
        <v>1.0312047953712654E-3</v>
      </c>
      <c r="BQ49" s="116">
        <f t="shared" si="35"/>
        <v>1.0312047953712654E-3</v>
      </c>
      <c r="BR49" s="117">
        <f t="shared" si="36"/>
        <v>1.5891009589628063E-3</v>
      </c>
      <c r="BS49" s="118">
        <f t="shared" si="37"/>
        <v>347185.67215331405</v>
      </c>
      <c r="BT49" s="119">
        <f t="shared" si="38"/>
        <v>432717</v>
      </c>
      <c r="BU49" s="119">
        <f t="shared" si="39"/>
        <v>347185.67215331405</v>
      </c>
      <c r="BV49" s="119">
        <f t="shared" si="56"/>
        <v>0</v>
      </c>
      <c r="BW49" s="120">
        <f t="shared" si="40"/>
        <v>1.0312047953712654E-3</v>
      </c>
      <c r="BX49" s="121">
        <f t="shared" si="41"/>
        <v>2.0136226682968112E-3</v>
      </c>
      <c r="BY49" s="122">
        <f t="shared" si="42"/>
        <v>350634.99715545715</v>
      </c>
      <c r="BZ49" s="123">
        <f t="shared" si="58"/>
        <v>4431334599412.1826</v>
      </c>
      <c r="CA49" s="111">
        <f t="shared" si="57"/>
        <v>4431334926515</v>
      </c>
      <c r="CC49" s="124">
        <f t="shared" si="26"/>
        <v>1</v>
      </c>
      <c r="CD49" s="17"/>
      <c r="CE49" s="108">
        <f t="shared" si="44"/>
        <v>1442390</v>
      </c>
      <c r="CF49" s="125">
        <f t="shared" si="45"/>
        <v>3072216.8945396184</v>
      </c>
      <c r="CG49" s="110">
        <f t="shared" si="46"/>
        <v>432717</v>
      </c>
      <c r="CH49" s="126">
        <f t="shared" si="47"/>
        <v>4431334493798</v>
      </c>
      <c r="CJ49" s="127">
        <f t="shared" si="48"/>
        <v>0</v>
      </c>
      <c r="CK49" s="128" t="e">
        <f t="shared" si="49"/>
        <v>#DIV/0!</v>
      </c>
      <c r="CL49" s="129" t="e">
        <f t="shared" si="50"/>
        <v>#DIV/0!</v>
      </c>
      <c r="CM49" s="130" t="e">
        <f t="shared" si="51"/>
        <v>#DIV/0!</v>
      </c>
      <c r="CO49" s="131" t="e">
        <f t="shared" si="52"/>
        <v>#DIV/0!</v>
      </c>
      <c r="CP49" s="1">
        <f t="shared" si="53"/>
        <v>0</v>
      </c>
      <c r="CQ49" s="132">
        <f t="shared" si="54"/>
        <v>0.24309305885055854</v>
      </c>
      <c r="CS49" s="104">
        <f t="shared" si="55"/>
        <v>8.603839835635012E-4</v>
      </c>
    </row>
    <row r="50" spans="1:97">
      <c r="A50" s="133" t="s">
        <v>124</v>
      </c>
      <c r="B50" s="90" t="s">
        <v>130</v>
      </c>
      <c r="C50" s="91">
        <f>'Sizing - Reimb Expen-24'!B43</f>
        <v>4022350</v>
      </c>
      <c r="D50" s="92">
        <f>'Ridership-24'!$E42</f>
        <v>169413</v>
      </c>
      <c r="E50" s="92">
        <f>'Revenue Hours-24'!$F42</f>
        <v>60519</v>
      </c>
      <c r="F50" s="92">
        <f>'Revenue Miles-24'!$F42</f>
        <v>935668</v>
      </c>
      <c r="G50" s="134">
        <f t="shared" si="59"/>
        <v>8.92314296822053E-3</v>
      </c>
      <c r="H50" s="94">
        <f t="shared" si="60"/>
        <v>8.4240836871911987E-3</v>
      </c>
      <c r="J50" s="95">
        <f>'Ridership-24'!B42/'Revenue Hours-24'!C42</f>
        <v>4.7280595896966418</v>
      </c>
      <c r="K50" s="96">
        <f>'Ridership-24'!C42/'Revenue Hours-24'!D42</f>
        <v>4.6066913646259025</v>
      </c>
      <c r="L50" s="96">
        <f>'Ridership-24'!D42/'Revenue Hours-24'!E42</f>
        <v>2.6052602436323364</v>
      </c>
      <c r="M50" s="96">
        <f>'Ridership-24'!E42/'Revenue Hours-24'!F42</f>
        <v>2.7993357457988401</v>
      </c>
      <c r="N50" s="97">
        <f t="shared" si="2"/>
        <v>0.97105400854216295</v>
      </c>
      <c r="O50" s="98">
        <f t="shared" si="3"/>
        <v>8.1802402327416576E-3</v>
      </c>
      <c r="P50" s="99">
        <f t="shared" si="4"/>
        <v>7.8491949588597783E-3</v>
      </c>
      <c r="Q50" s="95">
        <f>'Ridership-24'!B42/'Revenue Miles-24'!C42</f>
        <v>0.24363623107916568</v>
      </c>
      <c r="R50" s="96">
        <f>'Ridership-24'!C42/'Revenue Miles-24'!D42</f>
        <v>0.25866990351642838</v>
      </c>
      <c r="S50" s="96">
        <f>'Ridership-24'!D42/'Revenue Miles-24'!E42</f>
        <v>0.16890249812434263</v>
      </c>
      <c r="T50" s="96">
        <f>'Ridership-24'!E42/'Revenue Miles-24'!F42</f>
        <v>0.1810610173694088</v>
      </c>
      <c r="U50" s="97">
        <f t="shared" si="5"/>
        <v>1.0591075107965426</v>
      </c>
      <c r="V50" s="98">
        <f t="shared" si="6"/>
        <v>8.9220103046828304E-3</v>
      </c>
      <c r="W50" s="99">
        <f t="shared" si="7"/>
        <v>8.5903919032134582E-3</v>
      </c>
      <c r="X50" s="95">
        <f>'Op Cost-24'!B43/'Revenue Hours-24'!C42</f>
        <v>61.140297948483209</v>
      </c>
      <c r="Y50" s="96">
        <f>'Op Cost-24'!C43/'Revenue Hours-24'!D42</f>
        <v>60.089370965893899</v>
      </c>
      <c r="Z50" s="96">
        <f>'Op Cost-24'!D43/'Revenue Hours-24'!E42</f>
        <v>61.375230712440015</v>
      </c>
      <c r="AA50" s="96">
        <f>'Op Cost-24'!E43/'Revenue Hours-24'!F42</f>
        <v>66.464250896412693</v>
      </c>
      <c r="AB50" s="97">
        <f t="shared" si="8"/>
        <v>0.96052410898235108</v>
      </c>
      <c r="AC50" s="98">
        <f t="shared" si="9"/>
        <v>8.7702990569557739E-3</v>
      </c>
      <c r="AD50" s="99">
        <f t="shared" si="10"/>
        <v>8.819177642710313E-3</v>
      </c>
      <c r="AE50" s="95">
        <f>'Op Cost-24'!B43/'Revenue Miles-24'!C42</f>
        <v>3.1505507654106029</v>
      </c>
      <c r="AF50" s="96">
        <f>'Op Cost-24'!C43/'Revenue Miles-24'!D42</f>
        <v>3.3740727476265127</v>
      </c>
      <c r="AG50" s="96">
        <f>'Op Cost-24'!D43/'Revenue Miles-24'!E42</f>
        <v>3.9790381078535897</v>
      </c>
      <c r="AH50" s="96">
        <f>'Op Cost-24'!E43/'Revenue Miles-24'!F42</f>
        <v>4.2989073047277451</v>
      </c>
      <c r="AI50" s="97">
        <f t="shared" si="11"/>
        <v>1.0378270388481003</v>
      </c>
      <c r="AJ50" s="98">
        <f t="shared" si="12"/>
        <v>8.1170400961428166E-3</v>
      </c>
      <c r="AK50" s="99">
        <f t="shared" si="13"/>
        <v>8.1262139144591371E-3</v>
      </c>
      <c r="AL50" s="95">
        <f>'Op Cost-24'!B43/'Ridership-24'!B42</f>
        <v>12.931372117584932</v>
      </c>
      <c r="AM50" s="96">
        <f>'Op Cost-24'!C43/'Ridership-24'!C42</f>
        <v>13.043932447333294</v>
      </c>
      <c r="AN50" s="96">
        <f>'Op Cost-24'!D43/'Ridership-24'!D42</f>
        <v>23.558195716704567</v>
      </c>
      <c r="AO50" s="96">
        <f>'Op Cost-24'!E43/'Ridership-24'!E42</f>
        <v>23.742865069386646</v>
      </c>
      <c r="AP50" s="100">
        <f t="shared" si="14"/>
        <v>1.0138070034269091</v>
      </c>
      <c r="AQ50" s="98">
        <f t="shared" si="15"/>
        <v>8.3093563752428112E-3</v>
      </c>
      <c r="AR50" s="99">
        <f t="shared" si="16"/>
        <v>8.7965218259551513E-3</v>
      </c>
      <c r="AT50" s="101">
        <f t="shared" si="27"/>
        <v>0</v>
      </c>
      <c r="AU50" s="102">
        <f t="shared" si="17"/>
        <v>0</v>
      </c>
      <c r="AV50" s="102">
        <f t="shared" si="18"/>
        <v>0</v>
      </c>
      <c r="AW50" s="102">
        <f t="shared" si="19"/>
        <v>0</v>
      </c>
      <c r="AX50" s="103">
        <f t="shared" si="20"/>
        <v>0</v>
      </c>
      <c r="AY50" s="104">
        <f t="shared" si="28"/>
        <v>-1</v>
      </c>
      <c r="AZ50" s="105">
        <f t="shared" si="21"/>
        <v>0</v>
      </c>
      <c r="BA50" s="106">
        <f t="shared" si="21"/>
        <v>0</v>
      </c>
      <c r="BB50" s="106">
        <f t="shared" si="21"/>
        <v>0</v>
      </c>
      <c r="BC50" s="106">
        <f t="shared" si="21"/>
        <v>0</v>
      </c>
      <c r="BD50" s="106">
        <f t="shared" si="21"/>
        <v>0</v>
      </c>
      <c r="BE50" s="107">
        <f t="shared" si="29"/>
        <v>1066513.0843081176</v>
      </c>
      <c r="BG50" s="108">
        <f>'Op Cost-24'!E43</f>
        <v>4022350</v>
      </c>
      <c r="BH50" s="109">
        <f t="shared" si="22"/>
        <v>0.26514676353577327</v>
      </c>
      <c r="BI50" s="110">
        <f t="shared" si="23"/>
        <v>1066513.0843081176</v>
      </c>
      <c r="BJ50" s="111">
        <f t="shared" si="24"/>
        <v>0</v>
      </c>
      <c r="BK50" s="1">
        <f t="shared" si="30"/>
        <v>0.48603259773679502</v>
      </c>
      <c r="BL50" s="112">
        <f t="shared" si="31"/>
        <v>0.34270406617173621</v>
      </c>
      <c r="BM50" s="112">
        <f t="shared" si="32"/>
        <v>0.30283777829101316</v>
      </c>
      <c r="BN50" s="113">
        <f t="shared" si="33"/>
        <v>0.64929427324221534</v>
      </c>
      <c r="BO50" s="114">
        <f t="shared" si="25"/>
        <v>1066513.0843081176</v>
      </c>
      <c r="BP50" s="115">
        <f t="shared" si="34"/>
        <v>4.0943792780376966E-3</v>
      </c>
      <c r="BQ50" s="116">
        <f t="shared" si="35"/>
        <v>4.0943792780376966E-3</v>
      </c>
      <c r="BR50" s="117">
        <f t="shared" si="36"/>
        <v>6.3094955204748135E-3</v>
      </c>
      <c r="BS50" s="118">
        <f t="shared" si="37"/>
        <v>1146252.6597399451</v>
      </c>
      <c r="BT50" s="119">
        <f t="shared" si="38"/>
        <v>1206705</v>
      </c>
      <c r="BU50" s="119">
        <f t="shared" si="39"/>
        <v>1146252.6597399451</v>
      </c>
      <c r="BV50" s="119">
        <f t="shared" si="56"/>
        <v>0</v>
      </c>
      <c r="BW50" s="120">
        <f t="shared" si="40"/>
        <v>4.0943792780376966E-3</v>
      </c>
      <c r="BX50" s="121">
        <f t="shared" si="41"/>
        <v>7.9950509965318311E-3</v>
      </c>
      <c r="BY50" s="122">
        <f t="shared" si="42"/>
        <v>1159948.1398961514</v>
      </c>
      <c r="BZ50" s="123">
        <f t="shared" si="58"/>
        <v>14659456037033.008</v>
      </c>
      <c r="CA50" s="111">
        <f t="shared" si="57"/>
        <v>14659457103546</v>
      </c>
      <c r="CC50" s="124">
        <f t="shared" si="26"/>
        <v>1</v>
      </c>
      <c r="CD50" s="17"/>
      <c r="CE50" s="108">
        <f t="shared" si="44"/>
        <v>4022350</v>
      </c>
      <c r="CF50" s="125">
        <f t="shared" si="45"/>
        <v>3644500.628624063</v>
      </c>
      <c r="CG50" s="110">
        <f t="shared" si="46"/>
        <v>1206705</v>
      </c>
      <c r="CH50" s="126">
        <f t="shared" si="47"/>
        <v>14659455896841</v>
      </c>
      <c r="CJ50" s="127">
        <f t="shared" si="48"/>
        <v>0</v>
      </c>
      <c r="CK50" s="128" t="e">
        <f t="shared" si="49"/>
        <v>#DIV/0!</v>
      </c>
      <c r="CL50" s="129" t="e">
        <f t="shared" si="50"/>
        <v>#DIV/0!</v>
      </c>
      <c r="CM50" s="130" t="e">
        <f t="shared" si="51"/>
        <v>#DIV/0!</v>
      </c>
      <c r="CO50" s="131" t="e">
        <f t="shared" si="52"/>
        <v>#DIV/0!</v>
      </c>
      <c r="CP50" s="1">
        <f t="shared" si="53"/>
        <v>0</v>
      </c>
      <c r="CQ50" s="132">
        <f t="shared" si="54"/>
        <v>0.28837573555164303</v>
      </c>
      <c r="CS50" s="104">
        <f t="shared" si="55"/>
        <v>3.416138452100227E-3</v>
      </c>
    </row>
    <row r="51" spans="1:97" s="171" customFormat="1" ht="15" thickBot="1">
      <c r="A51" s="165"/>
      <c r="B51" s="166" t="s">
        <v>131</v>
      </c>
      <c r="C51" s="167">
        <f>SUM(C11:C50)-C34</f>
        <v>464821573</v>
      </c>
      <c r="D51" s="168">
        <f>SUM(D11:D50)-D34</f>
        <v>38752057</v>
      </c>
      <c r="E51" s="168">
        <f>SUM(E11:E50)-E34</f>
        <v>4348164</v>
      </c>
      <c r="F51" s="168">
        <f>SUM(F11:F50)-F34</f>
        <v>61650078.5</v>
      </c>
      <c r="G51" s="169">
        <f>SUM(G11:G50)</f>
        <v>1.0559286433946775</v>
      </c>
      <c r="H51" s="170">
        <f>SUM(H11:H50)</f>
        <v>0.99999999999999956</v>
      </c>
      <c r="J51" s="172">
        <f>'Ridership-24'!B43/'Revenue Hours-24'!C43</f>
        <v>13.582953416309731</v>
      </c>
      <c r="K51" s="173">
        <f>'Ridership-24'!C43/'Revenue Hours-24'!D43</f>
        <v>13.526760546299428</v>
      </c>
      <c r="L51" s="173">
        <f>'Ridership-24'!D43/'Revenue Hours-24'!E43</f>
        <v>6.9491805201049877</v>
      </c>
      <c r="M51" s="173">
        <f>'Ridership-24'!E43/'Revenue Hours-24'!F43</f>
        <v>8.9536027544539518</v>
      </c>
      <c r="N51" s="174"/>
      <c r="O51" s="175">
        <f>SUM(O11:O50)</f>
        <v>1.0421756977138417</v>
      </c>
      <c r="P51" s="176">
        <f>SUM(P11:P50)</f>
        <v>0.99999999999999989</v>
      </c>
      <c r="Q51" s="172">
        <f>'Ridership-24'!B43/'Revenue Miles-24'!C43</f>
        <v>0.95494323136259107</v>
      </c>
      <c r="R51" s="173">
        <f>'Ridership-24'!C43/'Revenue Miles-24'!D43</f>
        <v>0.94516480852199081</v>
      </c>
      <c r="S51" s="173">
        <f>'Ridership-24'!D43/'Revenue Miles-24'!E43</f>
        <v>0.49283534368231213</v>
      </c>
      <c r="T51" s="173">
        <f>'Ridership-24'!E43/'Revenue Miles-24'!F43</f>
        <v>0.61981636789595917</v>
      </c>
      <c r="U51" s="174"/>
      <c r="V51" s="175">
        <f>SUM(V11:V50)</f>
        <v>1.0386034077613295</v>
      </c>
      <c r="W51" s="176">
        <f>SUM(W11:W50)</f>
        <v>1.0000000000000002</v>
      </c>
      <c r="X51" s="177">
        <f>'Op Cost-24'!B44/'Revenue Hours-24'!C43</f>
        <v>101.23415773619254</v>
      </c>
      <c r="Y51" s="178">
        <f>'Op Cost-24'!C44/'Revenue Hours-24'!D43</f>
        <v>103.16343259700481</v>
      </c>
      <c r="Z51" s="178">
        <f>'Op Cost-24'!D44/'Revenue Hours-24'!E43</f>
        <v>125.95961510933006</v>
      </c>
      <c r="AA51" s="178">
        <f>'Op Cost-24'!E44/'Revenue Hours-24'!F43</f>
        <v>126.23027057650225</v>
      </c>
      <c r="AB51" s="174"/>
      <c r="AC51" s="175">
        <f>SUM(AC11:AC50)</f>
        <v>0.99445769347951163</v>
      </c>
      <c r="AD51" s="176">
        <f>SUM(AD11:AD50)</f>
        <v>1</v>
      </c>
      <c r="AE51" s="177">
        <f>'Op Cost-24'!B44/'Revenue Miles-24'!C43</f>
        <v>7.1172204416743412</v>
      </c>
      <c r="AF51" s="178">
        <f>'Op Cost-24'!C44/'Revenue Miles-24'!D43</f>
        <v>7.2084107413060252</v>
      </c>
      <c r="AG51" s="178">
        <f>'Op Cost-24'!D44/'Revenue Miles-24'!E43</f>
        <v>8.9330461372962819</v>
      </c>
      <c r="AH51" s="178">
        <f>'Op Cost-24'!E44/'Revenue Miles-24'!F43</f>
        <v>8.7383358378650051</v>
      </c>
      <c r="AI51" s="174"/>
      <c r="AJ51" s="175">
        <f>SUM(AJ11:AJ50)</f>
        <v>0.9988710833343929</v>
      </c>
      <c r="AK51" s="176">
        <f>SUM(AK11:AK50)</f>
        <v>1.0000000000000002</v>
      </c>
      <c r="AL51" s="177">
        <f>'Op Cost-24'!B44/'Ridership-24'!B43</f>
        <v>7.453029884843426</v>
      </c>
      <c r="AM51" s="178">
        <f>'Op Cost-24'!C44/'Ridership-24'!C43</f>
        <v>7.6266177880429513</v>
      </c>
      <c r="AN51" s="178">
        <f>'Op Cost-24'!D44/'Ridership-24'!D43</f>
        <v>18.125822857085176</v>
      </c>
      <c r="AO51" s="178">
        <f>'Op Cost-24'!E44/'Ridership-24'!E43</f>
        <v>14.098265696868143</v>
      </c>
      <c r="AP51" s="179"/>
      <c r="AQ51" s="175">
        <f>SUM(AQ11:AQ50)</f>
        <v>0.9446184002778345</v>
      </c>
      <c r="AR51" s="176">
        <f>SUM(AR11:AR50)</f>
        <v>1</v>
      </c>
      <c r="AT51" s="180">
        <f>SUM(AT11:AT50)</f>
        <v>0</v>
      </c>
      <c r="AU51" s="181">
        <f>SUM(AU11:AU50)</f>
        <v>0</v>
      </c>
      <c r="AV51" s="181">
        <f>SUM(AV11:AV50)</f>
        <v>0</v>
      </c>
      <c r="AW51" s="181">
        <f>SUM(AW11:AW50)</f>
        <v>0</v>
      </c>
      <c r="AX51" s="182">
        <f>SUM(AX11:AX50)</f>
        <v>0</v>
      </c>
      <c r="AZ51" s="183">
        <f t="shared" si="21"/>
        <v>0</v>
      </c>
      <c r="BA51" s="184">
        <f t="shared" si="21"/>
        <v>0</v>
      </c>
      <c r="BB51" s="184">
        <f t="shared" si="21"/>
        <v>0</v>
      </c>
      <c r="BC51" s="184">
        <f t="shared" si="21"/>
        <v>0</v>
      </c>
      <c r="BD51" s="184">
        <f t="shared" si="21"/>
        <v>0</v>
      </c>
      <c r="BE51" s="185">
        <f>SUM(BE11:BE50)</f>
        <v>126602859.5999999</v>
      </c>
      <c r="BG51" s="186">
        <f>'Op Cost-24'!E44</f>
        <v>557924668</v>
      </c>
      <c r="BH51" s="187"/>
      <c r="BI51" s="188">
        <f>SUM(BI11:BI50)</f>
        <v>120628140.89100738</v>
      </c>
      <c r="BJ51" s="189">
        <f>SUM(BJ11:BJ50)</f>
        <v>5974718.7089925185</v>
      </c>
      <c r="BO51" s="190">
        <f>SUM(BO11:BO50)</f>
        <v>90560229.496094242</v>
      </c>
      <c r="BP51" s="191">
        <f>SUM(BP11:BP50)</f>
        <v>1.1985402042240092</v>
      </c>
      <c r="BQ51" s="191">
        <f>SUM(BQ11:BQ50)</f>
        <v>0.64892339882818062</v>
      </c>
      <c r="BR51" s="192">
        <f>SUM(BR11:BR50)</f>
        <v>1.0000000000000002</v>
      </c>
      <c r="BS51" s="192">
        <f>SUM(BS11:BS50)</f>
        <v>133266167.99999994</v>
      </c>
      <c r="BT51" s="192"/>
      <c r="BU51" s="192"/>
      <c r="BV51" s="192">
        <f>SUM(BV11:BV50)</f>
        <v>1712994.7216280806</v>
      </c>
      <c r="BW51" s="191">
        <f>SUM(BW11:BW50)</f>
        <v>0.51211421663398959</v>
      </c>
      <c r="BX51" s="192">
        <f t="shared" ref="BX51" si="61">IF($BX$52=0,1,BW51/$BX$52)</f>
        <v>1</v>
      </c>
      <c r="BY51" s="193">
        <f>SUM(BY11:BY50)</f>
        <v>133266167.99999996</v>
      </c>
      <c r="BZ51" s="194">
        <f>SUM(BZ11:BZ50)</f>
        <v>1684221443895550</v>
      </c>
      <c r="CA51" s="189">
        <f>SUM(CA11:CA50)</f>
        <v>1684221564523693</v>
      </c>
      <c r="CC51" s="195">
        <f>SUM(CC11:CC50)</f>
        <v>39</v>
      </c>
      <c r="CE51" s="196">
        <f>SUM(CE11:CE50)</f>
        <v>557924668</v>
      </c>
      <c r="CF51" s="197"/>
      <c r="CG51" s="198">
        <f>SUM(CG11:CG50)</f>
        <v>167377400.40000004</v>
      </c>
      <c r="CH51" s="199">
        <f t="shared" si="47"/>
        <v>1684221397146292.5</v>
      </c>
      <c r="CI51" s="1"/>
      <c r="CJ51" s="200">
        <f>SUM(CJ11:CJ50)</f>
        <v>0</v>
      </c>
      <c r="CK51" s="201" t="e">
        <f t="shared" si="49"/>
        <v>#DIV/0!</v>
      </c>
      <c r="CL51" s="202" t="e">
        <f t="shared" si="50"/>
        <v>#DIV/0!</v>
      </c>
      <c r="CM51" s="203" t="e">
        <f>ROUND((CL51+CG51),0)+2</f>
        <v>#DIV/0!</v>
      </c>
      <c r="CN51" s="1"/>
      <c r="CO51" s="204" t="e">
        <f>CM51/CE51</f>
        <v>#DIV/0!</v>
      </c>
      <c r="CP51" s="171">
        <f>SUM(CP11:CP50)</f>
        <v>2</v>
      </c>
      <c r="CS51" s="205">
        <f>SUM(CS11:CS50)</f>
        <v>0.99999999999999944</v>
      </c>
    </row>
    <row r="52" spans="1:97">
      <c r="BP52" s="206">
        <f>BP51-BP34</f>
        <v>1.149113638387482</v>
      </c>
    </row>
    <row r="55" spans="1:97">
      <c r="B55" s="1">
        <v>1</v>
      </c>
      <c r="C55" s="1">
        <f>B55+1</f>
        <v>2</v>
      </c>
      <c r="D55" s="1">
        <f t="shared" ref="D55:BO55" si="62">C55+1</f>
        <v>3</v>
      </c>
      <c r="E55" s="1">
        <f t="shared" si="62"/>
        <v>4</v>
      </c>
      <c r="F55" s="1">
        <f t="shared" si="62"/>
        <v>5</v>
      </c>
      <c r="G55" s="1">
        <f t="shared" si="62"/>
        <v>6</v>
      </c>
      <c r="H55" s="1">
        <f t="shared" si="62"/>
        <v>7</v>
      </c>
      <c r="I55" s="1">
        <f t="shared" si="62"/>
        <v>8</v>
      </c>
      <c r="J55" s="1">
        <f t="shared" si="62"/>
        <v>9</v>
      </c>
      <c r="K55" s="1">
        <f t="shared" si="62"/>
        <v>10</v>
      </c>
      <c r="L55" s="1">
        <f t="shared" si="62"/>
        <v>11</v>
      </c>
      <c r="M55" s="1">
        <f t="shared" si="62"/>
        <v>12</v>
      </c>
      <c r="N55" s="1">
        <f t="shared" si="62"/>
        <v>13</v>
      </c>
      <c r="O55" s="1">
        <f t="shared" si="62"/>
        <v>14</v>
      </c>
      <c r="P55" s="1">
        <f t="shared" si="62"/>
        <v>15</v>
      </c>
      <c r="Q55" s="1">
        <f t="shared" si="62"/>
        <v>16</v>
      </c>
      <c r="R55" s="1">
        <f t="shared" si="62"/>
        <v>17</v>
      </c>
      <c r="S55" s="1">
        <f t="shared" si="62"/>
        <v>18</v>
      </c>
      <c r="T55" s="1">
        <f t="shared" si="62"/>
        <v>19</v>
      </c>
      <c r="U55" s="1">
        <f t="shared" si="62"/>
        <v>20</v>
      </c>
      <c r="V55" s="1">
        <f t="shared" si="62"/>
        <v>21</v>
      </c>
      <c r="W55" s="1">
        <f t="shared" si="62"/>
        <v>22</v>
      </c>
      <c r="X55" s="1">
        <f t="shared" si="62"/>
        <v>23</v>
      </c>
      <c r="Y55" s="1">
        <f t="shared" si="62"/>
        <v>24</v>
      </c>
      <c r="Z55" s="1">
        <f t="shared" si="62"/>
        <v>25</v>
      </c>
      <c r="AA55" s="1">
        <f t="shared" si="62"/>
        <v>26</v>
      </c>
      <c r="AB55" s="1">
        <f t="shared" si="62"/>
        <v>27</v>
      </c>
      <c r="AC55" s="1">
        <f t="shared" si="62"/>
        <v>28</v>
      </c>
      <c r="AD55" s="1">
        <f t="shared" si="62"/>
        <v>29</v>
      </c>
      <c r="AE55" s="1">
        <f t="shared" si="62"/>
        <v>30</v>
      </c>
      <c r="AF55" s="1">
        <f t="shared" si="62"/>
        <v>31</v>
      </c>
      <c r="AG55" s="1">
        <f t="shared" si="62"/>
        <v>32</v>
      </c>
      <c r="AH55" s="1">
        <f t="shared" si="62"/>
        <v>33</v>
      </c>
      <c r="AI55" s="1">
        <f t="shared" si="62"/>
        <v>34</v>
      </c>
      <c r="AJ55" s="1">
        <f t="shared" si="62"/>
        <v>35</v>
      </c>
      <c r="AK55" s="1">
        <f t="shared" si="62"/>
        <v>36</v>
      </c>
      <c r="AL55" s="1">
        <f t="shared" si="62"/>
        <v>37</v>
      </c>
      <c r="AM55" s="1">
        <f t="shared" si="62"/>
        <v>38</v>
      </c>
      <c r="AN55" s="1">
        <f t="shared" si="62"/>
        <v>39</v>
      </c>
      <c r="AO55" s="1">
        <f t="shared" si="62"/>
        <v>40</v>
      </c>
      <c r="AP55" s="1">
        <f t="shared" si="62"/>
        <v>41</v>
      </c>
      <c r="AQ55" s="1">
        <f t="shared" si="62"/>
        <v>42</v>
      </c>
      <c r="AR55" s="1">
        <f t="shared" si="62"/>
        <v>43</v>
      </c>
      <c r="AS55" s="1">
        <f t="shared" si="62"/>
        <v>44</v>
      </c>
      <c r="AT55" s="1">
        <f t="shared" si="62"/>
        <v>45</v>
      </c>
      <c r="AU55" s="1">
        <f t="shared" si="62"/>
        <v>46</v>
      </c>
      <c r="AV55" s="1">
        <f t="shared" si="62"/>
        <v>47</v>
      </c>
      <c r="AW55" s="1">
        <f t="shared" si="62"/>
        <v>48</v>
      </c>
      <c r="AX55" s="1">
        <f t="shared" si="62"/>
        <v>49</v>
      </c>
      <c r="AY55" s="1">
        <f t="shared" si="62"/>
        <v>50</v>
      </c>
      <c r="AZ55" s="1">
        <f t="shared" si="62"/>
        <v>51</v>
      </c>
      <c r="BA55" s="1">
        <f t="shared" si="62"/>
        <v>52</v>
      </c>
      <c r="BB55" s="1">
        <f t="shared" si="62"/>
        <v>53</v>
      </c>
      <c r="BC55" s="1">
        <f t="shared" si="62"/>
        <v>54</v>
      </c>
      <c r="BD55" s="1">
        <f t="shared" si="62"/>
        <v>55</v>
      </c>
      <c r="BE55" s="1">
        <f t="shared" si="62"/>
        <v>56</v>
      </c>
      <c r="BF55" s="1">
        <f t="shared" si="62"/>
        <v>57</v>
      </c>
      <c r="BG55" s="1">
        <f t="shared" si="62"/>
        <v>58</v>
      </c>
      <c r="BH55" s="1">
        <f t="shared" si="62"/>
        <v>59</v>
      </c>
      <c r="BI55" s="1">
        <f t="shared" si="62"/>
        <v>60</v>
      </c>
      <c r="BJ55" s="1">
        <f t="shared" si="62"/>
        <v>61</v>
      </c>
      <c r="BK55" s="1">
        <f t="shared" si="62"/>
        <v>62</v>
      </c>
      <c r="BL55" s="1">
        <f t="shared" si="62"/>
        <v>63</v>
      </c>
      <c r="BM55" s="1">
        <f t="shared" si="62"/>
        <v>64</v>
      </c>
      <c r="BN55" s="1">
        <f t="shared" si="62"/>
        <v>65</v>
      </c>
      <c r="BO55" s="1">
        <f t="shared" si="62"/>
        <v>66</v>
      </c>
      <c r="BP55" s="1">
        <f t="shared" ref="BP55:BX55" si="63">BO55+1</f>
        <v>67</v>
      </c>
      <c r="BQ55" s="1">
        <f t="shared" si="63"/>
        <v>68</v>
      </c>
      <c r="BR55" s="1">
        <f t="shared" si="63"/>
        <v>69</v>
      </c>
      <c r="BS55" s="1">
        <f t="shared" si="63"/>
        <v>70</v>
      </c>
      <c r="BT55" s="1">
        <f t="shared" si="63"/>
        <v>71</v>
      </c>
      <c r="BU55" s="1">
        <f t="shared" si="63"/>
        <v>72</v>
      </c>
      <c r="BV55" s="1">
        <f t="shared" si="63"/>
        <v>73</v>
      </c>
      <c r="BW55" s="1">
        <f t="shared" si="63"/>
        <v>74</v>
      </c>
      <c r="BX55" s="1">
        <f t="shared" si="63"/>
        <v>75</v>
      </c>
      <c r="BY55" s="1">
        <v>3</v>
      </c>
    </row>
  </sheetData>
  <autoFilter ref="A10:CO10" xr:uid="{00000000-0001-0000-0F00-000000000000}"/>
  <mergeCells count="1">
    <mergeCell ref="CJ3:CM3"/>
  </mergeCells>
  <conditionalFormatting sqref="BK11:BK50">
    <cfRule type="cellIs" dxfId="9" priority="1" operator="greaterThan">
      <formula>0.93</formula>
    </cfRule>
  </conditionalFormatting>
  <conditionalFormatting sqref="CC51">
    <cfRule type="cellIs" dxfId="8" priority="2" operator="notEqual">
      <formula>0</formula>
    </cfRule>
  </conditionalFormatting>
  <printOptions horizontalCentered="1"/>
  <pageMargins left="0.25" right="0.25" top="0.75" bottom="0.75" header="0.3" footer="0.3"/>
  <pageSetup paperSize="17" scale="16" orientation="landscape" r:id="rId1"/>
  <headerFooter alignWithMargins="0">
    <oddFooter>&amp;L&amp;F&amp;R&amp;D</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B76B1-3505-4A21-889C-A86857B14F60}">
  <sheetPr>
    <tabColor theme="7" tint="0.59999389629810485"/>
    <pageSetUpPr fitToPage="1"/>
  </sheetPr>
  <dimension ref="A1:CS55"/>
  <sheetViews>
    <sheetView zoomScale="80" zoomScaleNormal="80" workbookViewId="0">
      <pane xSplit="2" topLeftCell="C1" activePane="topRight" state="frozen"/>
      <selection activeCell="A2" sqref="A2"/>
      <selection pane="topRight" activeCell="A2" sqref="A2"/>
    </sheetView>
  </sheetViews>
  <sheetFormatPr defaultColWidth="9.28515625" defaultRowHeight="14.25"/>
  <cols>
    <col min="1" max="1" width="13.28515625" style="10" customWidth="1"/>
    <col min="2" max="2" width="40.140625" style="1" customWidth="1"/>
    <col min="3" max="3" width="21.28515625" style="1" customWidth="1"/>
    <col min="4" max="4" width="17.42578125" style="1" customWidth="1"/>
    <col min="5" max="5" width="14.28515625" style="1" customWidth="1"/>
    <col min="6" max="6" width="13.5703125" style="1" customWidth="1"/>
    <col min="7" max="7" width="9.28515625" style="1" customWidth="1"/>
    <col min="8" max="8" width="17.42578125" style="4" customWidth="1"/>
    <col min="9" max="9" width="9.28515625" style="1" customWidth="1"/>
    <col min="10" max="10" width="8.7109375" style="1" customWidth="1"/>
    <col min="11" max="11" width="11.5703125" style="1" customWidth="1"/>
    <col min="12" max="13" width="8.7109375" style="1" customWidth="1"/>
    <col min="14" max="16" width="15.7109375" style="1" customWidth="1"/>
    <col min="17" max="20" width="8.7109375" style="1" customWidth="1"/>
    <col min="21" max="22" width="15.7109375" style="1" customWidth="1"/>
    <col min="23" max="23" width="15.7109375" style="5" customWidth="1"/>
    <col min="24" max="27" width="10.7109375" style="1" customWidth="1"/>
    <col min="28" max="29" width="15.7109375" style="1" customWidth="1"/>
    <col min="30" max="30" width="15.7109375" style="5" customWidth="1"/>
    <col min="31" max="34" width="8.7109375" style="1" customWidth="1"/>
    <col min="35" max="36" width="15.7109375" style="1" customWidth="1"/>
    <col min="37" max="37" width="15.7109375" style="5" customWidth="1"/>
    <col min="38" max="40" width="8.7109375" style="1" customWidth="1"/>
    <col min="41" max="41" width="9.28515625" style="1" customWidth="1"/>
    <col min="42" max="43" width="15.7109375" style="1" customWidth="1"/>
    <col min="44" max="44" width="15.7109375" style="5" customWidth="1"/>
    <col min="45" max="45" width="9.28515625" style="1" customWidth="1"/>
    <col min="46" max="50" width="17.7109375" style="1" customWidth="1"/>
    <col min="51" max="51" width="9.28515625" style="1" customWidth="1"/>
    <col min="52" max="52" width="20.28515625" style="1" customWidth="1"/>
    <col min="53" max="57" width="17.7109375" style="1" customWidth="1"/>
    <col min="58" max="58" width="9.28515625" style="1" customWidth="1"/>
    <col min="59" max="59" width="16.5703125" style="6" customWidth="1"/>
    <col min="60" max="60" width="18.5703125" style="1" customWidth="1"/>
    <col min="61" max="61" width="23.5703125" style="1" customWidth="1"/>
    <col min="62" max="62" width="15" style="1" customWidth="1"/>
    <col min="63" max="66" width="9.28515625" style="1" customWidth="1"/>
    <col min="67" max="77" width="21.7109375" style="1" customWidth="1"/>
    <col min="78" max="78" width="22.7109375" style="1" customWidth="1"/>
    <col min="79" max="79" width="22.7109375" style="8" customWidth="1"/>
    <col min="80" max="80" width="10" style="1" customWidth="1"/>
    <col min="81" max="81" width="23.7109375" style="1" customWidth="1"/>
    <col min="82" max="82" width="12.42578125" style="1" customWidth="1"/>
    <col min="83" max="83" width="14.85546875" style="1" customWidth="1"/>
    <col min="84" max="84" width="15.140625" style="1" customWidth="1"/>
    <col min="85" max="86" width="18.28515625" style="1" customWidth="1"/>
    <col min="87" max="87" width="9.28515625" style="1" customWidth="1"/>
    <col min="88" max="89" width="21.7109375" style="1" customWidth="1"/>
    <col min="90" max="90" width="18.42578125" style="1" customWidth="1"/>
    <col min="91" max="91" width="18.42578125" style="8" customWidth="1"/>
    <col min="92" max="92" width="9.28515625" style="1" customWidth="1"/>
    <col min="93" max="93" width="9.28515625" style="9" customWidth="1"/>
    <col min="94" max="16384" width="9.28515625" style="1"/>
  </cols>
  <sheetData>
    <row r="1" spans="1:97" ht="20.25">
      <c r="A1" s="370" t="s">
        <v>439</v>
      </c>
    </row>
    <row r="2" spans="1:97" ht="17.25">
      <c r="A2" s="1149" t="str" cm="1">
        <f t="array" aca="1" ref="A2" ca="1">"Scenario "&amp;MID(CELL("filename",A1),FIND("]",CELL("filename",A1))+1,500)</f>
        <v>Scenario S6C-Deadhead-24</v>
      </c>
      <c r="B2" s="11"/>
    </row>
    <row r="3" spans="1:97" ht="15" customHeight="1">
      <c r="A3" s="11"/>
      <c r="B3" s="11"/>
      <c r="C3" s="2" t="s">
        <v>0</v>
      </c>
      <c r="F3" s="3"/>
      <c r="BO3" s="7" t="s">
        <v>1</v>
      </c>
      <c r="BP3" s="7"/>
      <c r="BQ3" s="7"/>
      <c r="BR3" s="7"/>
      <c r="BS3" s="7"/>
      <c r="BT3" s="7"/>
      <c r="BU3" s="7"/>
      <c r="BV3" s="7"/>
      <c r="BW3" s="7"/>
      <c r="BX3" s="7"/>
      <c r="CJ3" s="1166" t="s">
        <v>2</v>
      </c>
      <c r="CK3" s="1166"/>
      <c r="CL3" s="1166"/>
      <c r="CM3" s="1166"/>
    </row>
    <row r="4" spans="1:97" ht="15" customHeight="1">
      <c r="A4" s="11"/>
      <c r="B4" s="11"/>
      <c r="C4" s="12">
        <v>5.592864339467718E-2</v>
      </c>
      <c r="D4" s="13"/>
      <c r="E4" s="10"/>
      <c r="F4" s="14"/>
      <c r="H4" s="15"/>
      <c r="L4" s="16"/>
      <c r="N4" s="17"/>
      <c r="O4" s="17"/>
      <c r="R4" s="16"/>
      <c r="Y4" s="16"/>
      <c r="AF4" s="16"/>
      <c r="AM4" s="16"/>
    </row>
    <row r="5" spans="1:97" ht="15" customHeight="1">
      <c r="A5" s="11"/>
      <c r="B5" s="11"/>
      <c r="C5" s="18" t="s">
        <v>3</v>
      </c>
      <c r="D5" s="19"/>
      <c r="E5" s="20"/>
      <c r="F5" s="21"/>
      <c r="H5" s="15"/>
      <c r="L5" s="16"/>
      <c r="N5" s="17"/>
      <c r="O5" s="17"/>
      <c r="R5" s="16"/>
      <c r="Y5" s="16"/>
      <c r="AF5" s="16"/>
      <c r="AM5" s="16"/>
      <c r="AT5" s="22" t="s">
        <v>4</v>
      </c>
      <c r="AU5" s="23"/>
      <c r="AV5" s="23"/>
      <c r="AW5" s="23"/>
      <c r="AX5" s="24"/>
      <c r="AZ5" s="25" t="s">
        <v>5</v>
      </c>
      <c r="BI5" s="25" t="s">
        <v>6</v>
      </c>
      <c r="BO5" s="25" t="s">
        <v>7</v>
      </c>
      <c r="BP5" s="7"/>
      <c r="BQ5" s="7"/>
      <c r="BR5" s="7"/>
      <c r="BS5" s="7"/>
      <c r="BT5" s="7"/>
      <c r="BU5" s="7"/>
      <c r="BV5" s="7"/>
      <c r="BW5" s="7"/>
      <c r="BX5" s="7"/>
      <c r="CK5" s="25" t="s">
        <v>7</v>
      </c>
    </row>
    <row r="6" spans="1:97">
      <c r="B6" s="26"/>
      <c r="C6" s="27">
        <v>0.35</v>
      </c>
      <c r="D6" s="27">
        <v>0.35</v>
      </c>
      <c r="E6" s="27">
        <v>0.15</v>
      </c>
      <c r="F6" s="27">
        <v>0.15</v>
      </c>
      <c r="H6" s="15"/>
      <c r="L6" s="16"/>
      <c r="N6" s="17"/>
      <c r="O6" s="17"/>
      <c r="R6" s="16"/>
      <c r="Y6" s="16"/>
      <c r="AF6" s="16"/>
      <c r="AM6" s="16"/>
      <c r="AT6" s="28">
        <v>0</v>
      </c>
      <c r="AU6" s="28">
        <v>0</v>
      </c>
      <c r="AV6" s="28">
        <v>0</v>
      </c>
      <c r="AW6" s="28">
        <v>0</v>
      </c>
      <c r="AX6" s="28">
        <v>0</v>
      </c>
      <c r="AY6" s="29"/>
      <c r="AZ6" s="30">
        <f>133266168*(1-AY8)</f>
        <v>126602859.59999999</v>
      </c>
      <c r="BA6" s="1" t="s">
        <v>8</v>
      </c>
      <c r="BI6" s="28">
        <v>0.3</v>
      </c>
      <c r="BO6" s="31">
        <f>$BJ$51+AZ8</f>
        <v>12638027.108992519</v>
      </c>
      <c r="BP6" s="32"/>
      <c r="BQ6" s="32"/>
      <c r="BR6" s="32"/>
      <c r="BS6" s="32"/>
      <c r="BT6" s="32"/>
      <c r="BU6" s="33">
        <v>0.3</v>
      </c>
      <c r="BV6" s="32"/>
      <c r="BW6" s="32"/>
      <c r="BX6" s="32"/>
      <c r="CK6" s="31">
        <f>CH51</f>
        <v>1684221397146290.5</v>
      </c>
    </row>
    <row r="7" spans="1:97" ht="15" customHeight="1" thickBot="1">
      <c r="A7" s="34" t="s">
        <v>9</v>
      </c>
      <c r="G7" s="35"/>
      <c r="BO7" s="16">
        <v>0.25</v>
      </c>
      <c r="BP7" s="16">
        <v>0.25</v>
      </c>
      <c r="BQ7" s="16">
        <v>0.5</v>
      </c>
    </row>
    <row r="8" spans="1:97" s="29" customFormat="1">
      <c r="A8" s="36"/>
      <c r="B8" s="37"/>
      <c r="C8" s="38" t="s">
        <v>10</v>
      </c>
      <c r="D8" s="39"/>
      <c r="E8" s="39"/>
      <c r="F8" s="39"/>
      <c r="G8" s="40"/>
      <c r="H8" s="41"/>
      <c r="J8" s="42" t="s">
        <v>11</v>
      </c>
      <c r="K8" s="43"/>
      <c r="L8" s="43"/>
      <c r="M8" s="43"/>
      <c r="N8" s="43"/>
      <c r="O8" s="43"/>
      <c r="P8" s="44"/>
      <c r="Q8" s="42" t="s">
        <v>12</v>
      </c>
      <c r="R8" s="43"/>
      <c r="S8" s="43"/>
      <c r="T8" s="43"/>
      <c r="U8" s="43"/>
      <c r="V8" s="43"/>
      <c r="W8" s="44"/>
      <c r="X8" s="42" t="s">
        <v>13</v>
      </c>
      <c r="Y8" s="43"/>
      <c r="Z8" s="43"/>
      <c r="AA8" s="43"/>
      <c r="AB8" s="43"/>
      <c r="AC8" s="43"/>
      <c r="AD8" s="44"/>
      <c r="AE8" s="42" t="s">
        <v>14</v>
      </c>
      <c r="AF8" s="43"/>
      <c r="AG8" s="43"/>
      <c r="AH8" s="43"/>
      <c r="AI8" s="43"/>
      <c r="AJ8" s="43"/>
      <c r="AK8" s="44"/>
      <c r="AL8" s="42" t="s">
        <v>15</v>
      </c>
      <c r="AM8" s="43"/>
      <c r="AN8" s="43"/>
      <c r="AO8" s="43"/>
      <c r="AP8" s="43"/>
      <c r="AQ8" s="43"/>
      <c r="AR8" s="44"/>
      <c r="AX8" s="45" t="s">
        <v>16</v>
      </c>
      <c r="AY8" s="16">
        <v>0.05</v>
      </c>
      <c r="AZ8" s="46">
        <f>133266168*AY8</f>
        <v>6663308.4000000004</v>
      </c>
      <c r="BA8" s="46"/>
      <c r="BB8" s="46"/>
      <c r="BC8" s="46"/>
      <c r="BD8" s="46"/>
      <c r="BG8" s="47"/>
      <c r="BO8" s="48" t="s">
        <v>17</v>
      </c>
      <c r="BP8" s="48"/>
      <c r="BQ8" s="48"/>
      <c r="BR8" s="48"/>
      <c r="BS8" s="48"/>
      <c r="BT8" s="48"/>
      <c r="BU8" s="48"/>
      <c r="BV8" s="48"/>
      <c r="BW8" s="48"/>
      <c r="BX8" s="48"/>
      <c r="BY8" s="48"/>
      <c r="BZ8" s="48"/>
      <c r="CA8" s="49" t="s">
        <v>18</v>
      </c>
      <c r="CB8" s="50">
        <f>AZ6-CA51</f>
        <v>-1684221437920831.5</v>
      </c>
      <c r="CJ8" s="48" t="s">
        <v>17</v>
      </c>
      <c r="CK8" s="48"/>
      <c r="CL8" s="48"/>
      <c r="CM8" s="49" t="s">
        <v>18</v>
      </c>
      <c r="CO8" s="51"/>
    </row>
    <row r="9" spans="1:97" s="29" customFormat="1" ht="15" thickBot="1">
      <c r="A9" s="52"/>
      <c r="B9" s="53" t="s">
        <v>19</v>
      </c>
      <c r="C9" s="54">
        <f>C$6</f>
        <v>0.35</v>
      </c>
      <c r="D9" s="54">
        <f>D$6</f>
        <v>0.35</v>
      </c>
      <c r="E9" s="54">
        <f>E$6</f>
        <v>0.15</v>
      </c>
      <c r="F9" s="54">
        <f>F$6</f>
        <v>0.15</v>
      </c>
      <c r="G9" s="54"/>
      <c r="H9" s="55"/>
      <c r="J9" s="56" t="s">
        <v>20</v>
      </c>
      <c r="K9" s="57"/>
      <c r="L9" s="57"/>
      <c r="M9" s="57"/>
      <c r="N9" s="57"/>
      <c r="O9" s="57"/>
      <c r="P9" s="58"/>
      <c r="Q9" s="56" t="s">
        <v>21</v>
      </c>
      <c r="R9" s="57"/>
      <c r="S9" s="57"/>
      <c r="T9" s="57"/>
      <c r="U9" s="57"/>
      <c r="V9" s="57"/>
      <c r="W9" s="58"/>
      <c r="X9" s="56" t="s">
        <v>22</v>
      </c>
      <c r="Y9" s="57"/>
      <c r="Z9" s="57"/>
      <c r="AA9" s="57"/>
      <c r="AB9" s="57"/>
      <c r="AC9" s="57"/>
      <c r="AD9" s="58"/>
      <c r="AE9" s="56" t="s">
        <v>23</v>
      </c>
      <c r="AF9" s="57"/>
      <c r="AG9" s="57"/>
      <c r="AH9" s="57"/>
      <c r="AI9" s="57"/>
      <c r="AJ9" s="57"/>
      <c r="AK9" s="58"/>
      <c r="AL9" s="56" t="s">
        <v>24</v>
      </c>
      <c r="AM9" s="57"/>
      <c r="AN9" s="57"/>
      <c r="AO9" s="57"/>
      <c r="AP9" s="57"/>
      <c r="AQ9" s="57"/>
      <c r="AR9" s="58"/>
      <c r="BG9" s="59" t="s">
        <v>25</v>
      </c>
      <c r="BO9" s="59" t="s">
        <v>26</v>
      </c>
      <c r="BP9" s="59"/>
      <c r="BQ9" s="59"/>
      <c r="BR9" s="59"/>
      <c r="BS9" s="59"/>
      <c r="BT9" s="59"/>
      <c r="BU9" s="59"/>
      <c r="BV9" s="59"/>
      <c r="BW9" s="59"/>
      <c r="BX9" s="59"/>
      <c r="CA9" s="60"/>
      <c r="CE9" s="59" t="s">
        <v>27</v>
      </c>
      <c r="CJ9" s="59" t="s">
        <v>28</v>
      </c>
      <c r="CM9" s="60"/>
      <c r="CO9" s="51"/>
    </row>
    <row r="10" spans="1:97" s="45" customFormat="1" ht="101.25" customHeight="1">
      <c r="A10" s="61" t="s">
        <v>29</v>
      </c>
      <c r="B10" s="62" t="s">
        <v>30</v>
      </c>
      <c r="C10" s="63" t="s">
        <v>31</v>
      </c>
      <c r="D10" s="64" t="s">
        <v>32</v>
      </c>
      <c r="E10" s="64" t="s">
        <v>33</v>
      </c>
      <c r="F10" s="64" t="s">
        <v>34</v>
      </c>
      <c r="G10" s="64" t="s">
        <v>35</v>
      </c>
      <c r="H10" s="65" t="s">
        <v>36</v>
      </c>
      <c r="J10" s="66">
        <v>2018</v>
      </c>
      <c r="K10" s="66">
        <v>2019</v>
      </c>
      <c r="L10" s="66">
        <v>2021</v>
      </c>
      <c r="M10" s="66">
        <v>2022</v>
      </c>
      <c r="N10" s="67" t="s">
        <v>37</v>
      </c>
      <c r="O10" s="67" t="s">
        <v>38</v>
      </c>
      <c r="P10" s="68" t="s">
        <v>39</v>
      </c>
      <c r="Q10" s="66">
        <v>2018</v>
      </c>
      <c r="R10" s="66">
        <v>2019</v>
      </c>
      <c r="S10" s="66">
        <v>2021</v>
      </c>
      <c r="T10" s="66">
        <v>2022</v>
      </c>
      <c r="U10" s="67" t="s">
        <v>40</v>
      </c>
      <c r="V10" s="67" t="s">
        <v>41</v>
      </c>
      <c r="W10" s="68" t="s">
        <v>39</v>
      </c>
      <c r="X10" s="66">
        <v>2018</v>
      </c>
      <c r="Y10" s="66">
        <v>2019</v>
      </c>
      <c r="Z10" s="66">
        <v>2021</v>
      </c>
      <c r="AA10" s="66">
        <v>2022</v>
      </c>
      <c r="AB10" s="67" t="s">
        <v>42</v>
      </c>
      <c r="AC10" s="67" t="s">
        <v>43</v>
      </c>
      <c r="AD10" s="68" t="s">
        <v>39</v>
      </c>
      <c r="AE10" s="66">
        <v>2018</v>
      </c>
      <c r="AF10" s="66">
        <v>2019</v>
      </c>
      <c r="AG10" s="66">
        <v>2021</v>
      </c>
      <c r="AH10" s="66">
        <v>2022</v>
      </c>
      <c r="AI10" s="67" t="s">
        <v>44</v>
      </c>
      <c r="AJ10" s="67" t="s">
        <v>45</v>
      </c>
      <c r="AK10" s="68" t="s">
        <v>39</v>
      </c>
      <c r="AL10" s="66">
        <v>2018</v>
      </c>
      <c r="AM10" s="66">
        <v>2019</v>
      </c>
      <c r="AN10" s="66">
        <v>2021</v>
      </c>
      <c r="AO10" s="66">
        <v>2022</v>
      </c>
      <c r="AP10" s="67" t="s">
        <v>46</v>
      </c>
      <c r="AQ10" s="67" t="s">
        <v>47</v>
      </c>
      <c r="AR10" s="68" t="s">
        <v>39</v>
      </c>
      <c r="AT10" s="69" t="s">
        <v>48</v>
      </c>
      <c r="AU10" s="70" t="s">
        <v>49</v>
      </c>
      <c r="AV10" s="70" t="s">
        <v>50</v>
      </c>
      <c r="AW10" s="70" t="s">
        <v>51</v>
      </c>
      <c r="AX10" s="71" t="s">
        <v>52</v>
      </c>
      <c r="AZ10" s="72" t="s">
        <v>53</v>
      </c>
      <c r="BA10" s="73" t="s">
        <v>54</v>
      </c>
      <c r="BB10" s="73" t="s">
        <v>55</v>
      </c>
      <c r="BC10" s="73" t="s">
        <v>56</v>
      </c>
      <c r="BD10" s="73" t="s">
        <v>57</v>
      </c>
      <c r="BE10" s="74" t="s">
        <v>58</v>
      </c>
      <c r="BG10" s="75" t="s">
        <v>59</v>
      </c>
      <c r="BH10" s="76" t="s">
        <v>60</v>
      </c>
      <c r="BI10" s="76" t="s">
        <v>61</v>
      </c>
      <c r="BJ10" s="77" t="s">
        <v>62</v>
      </c>
      <c r="BL10" s="78" t="s">
        <v>63</v>
      </c>
      <c r="BM10" s="78" t="s">
        <v>64</v>
      </c>
      <c r="BN10" s="78" t="s">
        <v>65</v>
      </c>
      <c r="BO10" s="75" t="s">
        <v>66</v>
      </c>
      <c r="BP10" s="79" t="s">
        <v>67</v>
      </c>
      <c r="BQ10" s="79" t="s">
        <v>68</v>
      </c>
      <c r="BR10" s="79" t="s">
        <v>69</v>
      </c>
      <c r="BS10" s="79" t="s">
        <v>70</v>
      </c>
      <c r="BT10" s="79" t="s">
        <v>71</v>
      </c>
      <c r="BU10" s="80" t="s">
        <v>72</v>
      </c>
      <c r="BV10" s="80" t="s">
        <v>73</v>
      </c>
      <c r="BW10" s="79" t="s">
        <v>74</v>
      </c>
      <c r="BX10" s="79" t="s">
        <v>75</v>
      </c>
      <c r="BY10" s="79" t="s">
        <v>76</v>
      </c>
      <c r="BZ10" s="76" t="s">
        <v>77</v>
      </c>
      <c r="CA10" s="81" t="s">
        <v>78</v>
      </c>
      <c r="CC10" s="82" t="s">
        <v>79</v>
      </c>
      <c r="CE10" s="83" t="s">
        <v>59</v>
      </c>
      <c r="CF10" s="84" t="s">
        <v>60</v>
      </c>
      <c r="CG10" s="84" t="s">
        <v>61</v>
      </c>
      <c r="CH10" s="85" t="s">
        <v>62</v>
      </c>
      <c r="CJ10" s="86" t="s">
        <v>66</v>
      </c>
      <c r="CK10" s="87" t="s">
        <v>80</v>
      </c>
      <c r="CL10" s="87" t="s">
        <v>77</v>
      </c>
      <c r="CM10" s="88" t="s">
        <v>78</v>
      </c>
      <c r="CO10" s="51" t="s">
        <v>81</v>
      </c>
    </row>
    <row r="11" spans="1:97">
      <c r="A11" s="89" t="s">
        <v>82</v>
      </c>
      <c r="B11" s="90" t="s">
        <v>83</v>
      </c>
      <c r="C11" s="91">
        <f>'Sizing - Reimb Expen-24'!B4</f>
        <v>2305461</v>
      </c>
      <c r="D11" s="92">
        <f>'Ridership-24'!$E3</f>
        <v>97489</v>
      </c>
      <c r="E11" s="92">
        <f>'Revenue Hours-24'!$F3</f>
        <v>30762</v>
      </c>
      <c r="F11" s="92">
        <f>'Revenue Miles-24'!$F3</f>
        <v>634178</v>
      </c>
      <c r="G11" s="93">
        <f t="shared" ref="G11:G33" si="0">IFERROR($C$9*(C11/C$51),0) + IFERROR($D$9*(D11/D$51),0) + IFERROR($E$9*(E11/E$51),0) + IFERROR($F$9*(F11/F$51),0)</f>
        <v>5.2206751275610704E-3</v>
      </c>
      <c r="H11" s="94">
        <f t="shared" ref="H11:H33" si="1">G11/(SUM($G$11:$G$50)-$G$34)*(1-$G$34)</f>
        <v>4.9286898500722444E-3</v>
      </c>
      <c r="J11" s="95">
        <f>'Ridership-24'!B3/'Revenue Hours-24'!C3</f>
        <v>4.2981751308530205</v>
      </c>
      <c r="K11" s="96">
        <f>'Ridership-24'!C3/'Revenue Hours-24'!D3</f>
        <v>4.5693508022964817</v>
      </c>
      <c r="L11" s="96">
        <f>'Ridership-24'!D3/'Revenue Hours-24'!E3</f>
        <v>3.0233116215289679</v>
      </c>
      <c r="M11" s="207">
        <f>'Ridership-24'!E3/'Revenue Hours-24'!L3</f>
        <v>3.1691372472531043</v>
      </c>
      <c r="N11" s="97">
        <f t="shared" ref="N11:N50" si="2">IF(J11=0,IF(K11=0,1,AVERAGE(1,(L11/K11)/($L$51/$K$51),(M11/L11)/($M$51/$L$51))), AVERAGE((K11/J11)/($K$51/$J$51),(L11/K11)/($L$51/$K$51),(M11/L11)/($M$51/$L$51)))</f>
        <v>1.056331491706916</v>
      </c>
      <c r="O11" s="98">
        <f t="shared" ref="O11:O50" si="3">$H11*N11</f>
        <v>5.2063303014875497E-3</v>
      </c>
      <c r="P11" s="99">
        <f t="shared" ref="P11:P50" si="4">O11/SUM($O$11:$O$50)</f>
        <v>4.9349102823229235E-3</v>
      </c>
      <c r="Q11" s="95">
        <f>'Ridership-24'!B3/'Revenue Miles-24'!C3</f>
        <v>0.20104759295799438</v>
      </c>
      <c r="R11" s="96">
        <f>'Ridership-24'!C3/'Revenue Miles-24'!D3</f>
        <v>0.21529352848722441</v>
      </c>
      <c r="S11" s="96">
        <f>'Ridership-24'!D3/'Revenue Miles-24'!E3</f>
        <v>0.1472857600940598</v>
      </c>
      <c r="T11" s="207">
        <f>'Ridership-24'!E3/'Revenue Miles-24'!L3</f>
        <v>0.15372497942218116</v>
      </c>
      <c r="U11" s="97">
        <f t="shared" ref="U11:U50" si="5">IF(Q11=0,IF(R11=0,1,AVERAGE(1,(S11/R11)/($S$51/$R$51),(T11/S11)/($T$51/$S$51))), AVERAGE((R11/Q11)/($R$51/$Q$51),(S11/R11)/($S$51/$R$51),(T11/S11)/($T$51/$S$51)))</f>
        <v>1.0746120182687253</v>
      </c>
      <c r="V11" s="98">
        <f t="shared" ref="V11:V50" si="6">$H11*U11</f>
        <v>5.2964293472067157E-3</v>
      </c>
      <c r="W11" s="99">
        <f t="shared" ref="W11:W50" si="7">V11/SUM($V$11:$V$50)</f>
        <v>5.0255422368964279E-3</v>
      </c>
      <c r="X11" s="95">
        <f>'Op Cost-24'!B4/'Revenue Hours-24'!C3</f>
        <v>46.229197906351679</v>
      </c>
      <c r="Y11" s="96">
        <f>'Op Cost-24'!C4/'Revenue Hours-24'!D3</f>
        <v>50.181245399676136</v>
      </c>
      <c r="Z11" s="96">
        <f>'Op Cost-24'!D4/'Revenue Hours-24'!E3</f>
        <v>64.628076791223862</v>
      </c>
      <c r="AA11" s="96">
        <f>'Op Cost-24'!E4/'Revenue Hours-24'!F3</f>
        <v>74.945094597230351</v>
      </c>
      <c r="AB11" s="97">
        <f t="shared" ref="AB11:AB50" si="8">IF(X11=0,IF(Y11=0,1,AVERAGE(1,(Z11/Y11)/($Z$51/$Z$51),(AA11/Z11)/($AA$51/$Z$51))), AVERAGE((Y11/X11)/($Y$51/$X$51),(Z11/Y11)/($Z$51/$Y$51),(AA11/Z11)/($AA$51/$Z$51)))</f>
        <v>1.0923828812408631</v>
      </c>
      <c r="AC11" s="98">
        <f t="shared" ref="AC11:AC50" si="9">$H11*(1/AB11)</f>
        <v>4.5118702743433981E-3</v>
      </c>
      <c r="AD11" s="99">
        <f t="shared" ref="AD11:AD50" si="10">AC11/SUM($AC$11:$AC$50)</f>
        <v>4.5370158066320538E-3</v>
      </c>
      <c r="AE11" s="95">
        <f>'Op Cost-24'!B4/'Revenue Miles-24'!C3</f>
        <v>2.1623755851023705</v>
      </c>
      <c r="AF11" s="96">
        <f>'Op Cost-24'!C4/'Revenue Miles-24'!D3</f>
        <v>2.3643834438252824</v>
      </c>
      <c r="AG11" s="96">
        <f>'Op Cost-24'!D4/'Revenue Miles-24'!E3</f>
        <v>3.148466517916789</v>
      </c>
      <c r="AH11" s="96">
        <f>'Op Cost-24'!E4/'Revenue Miles-24'!F3</f>
        <v>3.6353531658304137</v>
      </c>
      <c r="AI11" s="97">
        <f t="shared" ref="AI11:AI50" si="11">IF(AE11=0,IF(AF11=0,1,AVERAGE(1,(AG11/AF11)/($AG$51/$AF$51),(AH11/AG11)/($AH$51/$AG$51))), AVERAGE((AF11/AE11)/($AF$51/$AE$51),(AG11/AF11)/($AG$51/$AF$51),(AH11/AG11)/($AH$51/$AG$51)))</f>
        <v>1.1114980012916114</v>
      </c>
      <c r="AJ11" s="98">
        <f t="shared" ref="AJ11:AJ50" si="12">$H11*(1/AI11)</f>
        <v>4.4342768447130651E-3</v>
      </c>
      <c r="AK11" s="99">
        <f t="shared" ref="AK11:AK50" si="13">AJ11/SUM($AJ$11:$AJ$50)</f>
        <v>4.4392884314067172E-3</v>
      </c>
      <c r="AL11" s="95">
        <f>'Op Cost-24'!B4/'Ridership-24'!B3</f>
        <v>10.755540781600722</v>
      </c>
      <c r="AM11" s="96">
        <f>'Op Cost-24'!C4/'Ridership-24'!C3</f>
        <v>10.982138945089499</v>
      </c>
      <c r="AN11" s="96">
        <f>'Op Cost-24'!D4/'Ridership-24'!D3</f>
        <v>21.37658464678535</v>
      </c>
      <c r="AO11" s="96">
        <f>'Op Cost-24'!E4/'Ridership-24'!E3</f>
        <v>23.64842187323698</v>
      </c>
      <c r="AP11" s="100">
        <f t="shared" ref="AP11:AP50" si="14">IF(AL11=0,IF(AM11=0,1,AVERAGE(1,(AN11/AM11)/($AN$51/$AM$51),(AO11/AN11)/($AO$51/$AN$51))), AVERAGE((AM11/AL11)/($AM$51/$AL$51),(AN11/AM11)/($AN$51/$AM$51),(AO11/AN11)/($AO$51/$AN$51)))</f>
        <v>1.0797154331714658</v>
      </c>
      <c r="AQ11" s="98">
        <f t="shared" ref="AQ11:AQ50" si="15">$H11*(1/AP11)</f>
        <v>4.5648044833397653E-3</v>
      </c>
      <c r="AR11" s="99">
        <f t="shared" ref="AR11:AR50" si="16">AQ11/SUM($AQ$11:$AQ$50)</f>
        <v>4.8324323155224894E-3</v>
      </c>
      <c r="AT11" s="101">
        <f>P11*AT$6</f>
        <v>0</v>
      </c>
      <c r="AU11" s="102">
        <f t="shared" ref="AU11:AU50" si="17">W11*AU$6</f>
        <v>0</v>
      </c>
      <c r="AV11" s="102">
        <f t="shared" ref="AV11:AV50" si="18">AD11*AV$6</f>
        <v>0</v>
      </c>
      <c r="AW11" s="102">
        <f t="shared" ref="AW11:AW50" si="19">AK11*AW$6</f>
        <v>0</v>
      </c>
      <c r="AX11" s="103">
        <f t="shared" ref="AX11:AX50" si="20">AR11*AX$6</f>
        <v>0</v>
      </c>
      <c r="AY11" s="104">
        <f>(SUM(AT11:AX11)-H11)/H11</f>
        <v>-1</v>
      </c>
      <c r="AZ11" s="105">
        <f t="shared" ref="AZ11:BD51" si="21">AT11*$AZ$6</f>
        <v>0</v>
      </c>
      <c r="BA11" s="106">
        <f t="shared" si="21"/>
        <v>0</v>
      </c>
      <c r="BB11" s="106">
        <f t="shared" si="21"/>
        <v>0</v>
      </c>
      <c r="BC11" s="106">
        <f t="shared" si="21"/>
        <v>0</v>
      </c>
      <c r="BD11" s="106">
        <f t="shared" si="21"/>
        <v>0</v>
      </c>
      <c r="BE11" s="107">
        <f>$AZ$6*H11</f>
        <v>623986.22910064133</v>
      </c>
      <c r="BG11" s="108">
        <f>'Op Cost-24'!E4</f>
        <v>2305461</v>
      </c>
      <c r="BH11" s="109">
        <f t="shared" ref="BH11:BH50" si="22">BE11/BG11</f>
        <v>0.27065572963526224</v>
      </c>
      <c r="BI11" s="110">
        <f t="shared" ref="BI11:BI50" si="23">IF(BE11&gt;BG11*$BI$6,BG11*$BI$6,BE11)</f>
        <v>623986.22910064133</v>
      </c>
      <c r="BJ11" s="111">
        <f t="shared" ref="BJ11:BJ50" si="24">BE11-BI11</f>
        <v>0</v>
      </c>
      <c r="BK11" s="1">
        <f>BL11*$BO$7+BM11*$BP$7+BN11*$BQ$7</f>
        <v>0.44857248597549548</v>
      </c>
      <c r="BL11" s="112">
        <f>M11/$M$51</f>
        <v>0.35395106686820826</v>
      </c>
      <c r="BM11" s="112">
        <f>T11/$T$51</f>
        <v>0.24801697306577913</v>
      </c>
      <c r="BN11" s="113">
        <f>(1/AO11)/(1/$AO$51)</f>
        <v>0.59616095198399732</v>
      </c>
      <c r="BO11" s="114">
        <f t="shared" ref="BO11:BO50" si="25">IF(OR(BJ11&gt;0,BH11&gt;=0.294),0,BI11)</f>
        <v>623986.22910064133</v>
      </c>
      <c r="BP11" s="115">
        <f>(BL11*$BO$7+BM11*$BP$7+BN11*$BQ$7)*H11</f>
        <v>2.2108746586490986E-3</v>
      </c>
      <c r="BQ11" s="116">
        <f>IF(BO11=0,0,BP11)</f>
        <v>2.2108746586490986E-3</v>
      </c>
      <c r="BR11" s="117">
        <f>BQ11/$BQ$51</f>
        <v>3.6427250689378306E-3</v>
      </c>
      <c r="BS11" s="118">
        <f>$BO$6*BR11+BI11</f>
        <v>670023.08727248432</v>
      </c>
      <c r="BT11" s="119">
        <f>BG11*$BU$6</f>
        <v>691638.29999999993</v>
      </c>
      <c r="BU11" s="119">
        <f>IF(BS11&lt;=BT11,BS11,BT11)</f>
        <v>670023.08727248432</v>
      </c>
      <c r="BV11" s="119">
        <f>BS11-BU11</f>
        <v>0</v>
      </c>
      <c r="BW11" s="120">
        <f>IF(AND(BV11=0, BJ11=0),BP11,0)</f>
        <v>2.2108746586490986E-3</v>
      </c>
      <c r="BX11" s="121">
        <f>IF($BW$51=0,1,BW11/$BW$51)</f>
        <v>4.8445919793342739E-3</v>
      </c>
      <c r="BY11" s="122">
        <f>$BV$51*BX11+BU11</f>
        <v>680996.25387236115</v>
      </c>
      <c r="BZ11" s="123">
        <f>BY11*$BO$6</f>
        <v>8606449117561.252</v>
      </c>
      <c r="CA11" s="111">
        <f>ROUND((BZ11+BI11),0)</f>
        <v>8606449741547</v>
      </c>
      <c r="CC11" s="124">
        <f t="shared" ref="CC11:CC50" si="26">IF(CA11&gt;($BI$6*BG11),1,0)</f>
        <v>1</v>
      </c>
      <c r="CD11" s="17"/>
      <c r="CE11" s="108">
        <f>BG11</f>
        <v>2305461</v>
      </c>
      <c r="CF11" s="125">
        <f>CA11/BG11</f>
        <v>3733071.0610793242</v>
      </c>
      <c r="CG11" s="110">
        <f>IF(CA11&gt;BG11*$BI$6,BG11*$BI$6,CA11)</f>
        <v>691638.29999999993</v>
      </c>
      <c r="CH11" s="126">
        <f>CA11-CG11</f>
        <v>8606449049908.7002</v>
      </c>
      <c r="CJ11" s="127">
        <f>IF(OR(CH11&gt;0,CF11&gt;=0.294),0,CG11)</f>
        <v>0</v>
      </c>
      <c r="CK11" s="128" t="e">
        <f>CJ11/$CJ$51</f>
        <v>#DIV/0!</v>
      </c>
      <c r="CL11" s="129" t="e">
        <f>CK11*$CK$6</f>
        <v>#DIV/0!</v>
      </c>
      <c r="CM11" s="130" t="e">
        <f>ROUND((CL11+CG11),0)+2</f>
        <v>#DIV/0!</v>
      </c>
      <c r="CO11" s="131" t="e">
        <f>CM11/CE11</f>
        <v>#DIV/0!</v>
      </c>
      <c r="CP11" s="1">
        <f>IF(BY11&lt;=BG11*$BU$6, 0, 1)</f>
        <v>0</v>
      </c>
      <c r="CQ11" s="132">
        <f>BY11/BG11</f>
        <v>0.29538398345162253</v>
      </c>
      <c r="CS11" s="104">
        <f>BP11/$BP$51</f>
        <v>1.7693103962061955E-3</v>
      </c>
    </row>
    <row r="12" spans="1:97">
      <c r="A12" s="133" t="s">
        <v>82</v>
      </c>
      <c r="B12" s="90" t="s">
        <v>84</v>
      </c>
      <c r="C12" s="91">
        <f>'Sizing - Reimb Expen-24'!B5</f>
        <v>453078</v>
      </c>
      <c r="D12" s="92">
        <f>'Ridership-24'!$E4</f>
        <v>35313</v>
      </c>
      <c r="E12" s="92">
        <f>'Revenue Hours-24'!$F4</f>
        <v>7303</v>
      </c>
      <c r="F12" s="92">
        <f>'Revenue Miles-24'!$F4</f>
        <v>84107</v>
      </c>
      <c r="G12" s="134">
        <f t="shared" si="0"/>
        <v>1.1166701187662106E-3</v>
      </c>
      <c r="H12" s="94">
        <f t="shared" si="1"/>
        <v>1.054216273904243E-3</v>
      </c>
      <c r="J12" s="95">
        <f>'Ridership-24'!B4/'Revenue Hours-24'!C4</f>
        <v>7.2127544097693352</v>
      </c>
      <c r="K12" s="96">
        <f>'Ridership-24'!C4/'Revenue Hours-24'!D4</f>
        <v>7.0756269072575293</v>
      </c>
      <c r="L12" s="96">
        <f>'Ridership-24'!D4/'Revenue Hours-24'!E4</f>
        <v>3.8435006435006436</v>
      </c>
      <c r="M12" s="207">
        <f>'Ridership-24'!E4/'Revenue Hours-24'!L4</f>
        <v>4.8354101054361225</v>
      </c>
      <c r="N12" s="97">
        <f t="shared" si="2"/>
        <v>1.0062847146966858</v>
      </c>
      <c r="O12" s="98">
        <f t="shared" si="3"/>
        <v>1.0608417224143344E-3</v>
      </c>
      <c r="P12" s="99">
        <f t="shared" si="4"/>
        <v>1.0055371865983749E-3</v>
      </c>
      <c r="Q12" s="95">
        <f>'Ridership-24'!B4/'Revenue Miles-24'!C4</f>
        <v>0.593228283189001</v>
      </c>
      <c r="R12" s="96">
        <f>'Ridership-24'!C4/'Revenue Miles-24'!D4</f>
        <v>0.61203433791631279</v>
      </c>
      <c r="S12" s="96">
        <f>'Ridership-24'!D4/'Revenue Miles-24'!E4</f>
        <v>0.31931227680003421</v>
      </c>
      <c r="T12" s="207">
        <f>'Ridership-24'!E4/'Revenue Miles-24'!L4</f>
        <v>0.41985803797543603</v>
      </c>
      <c r="U12" s="97">
        <f t="shared" si="5"/>
        <v>1.029481442041561</v>
      </c>
      <c r="V12" s="98">
        <f t="shared" si="6"/>
        <v>1.0852960898826214E-3</v>
      </c>
      <c r="W12" s="99">
        <f t="shared" si="7"/>
        <v>1.0297883690490741E-3</v>
      </c>
      <c r="X12" s="95">
        <f>'Op Cost-24'!B5/'Revenue Hours-24'!C4</f>
        <v>55.602306648575308</v>
      </c>
      <c r="Y12" s="96">
        <f>'Op Cost-24'!C5/'Revenue Hours-24'!D4</f>
        <v>54.185219583388616</v>
      </c>
      <c r="Z12" s="96">
        <f>'Op Cost-24'!D5/'Revenue Hours-24'!E4</f>
        <v>108.14491634491634</v>
      </c>
      <c r="AA12" s="96">
        <f>'Op Cost-24'!E5/'Revenue Hours-24'!F4</f>
        <v>62.039983568396551</v>
      </c>
      <c r="AB12" s="97">
        <f t="shared" si="8"/>
        <v>1.0544549449941367</v>
      </c>
      <c r="AC12" s="98">
        <f t="shared" si="9"/>
        <v>9.9977365453969677E-4</v>
      </c>
      <c r="AD12" s="99">
        <f t="shared" si="10"/>
        <v>1.0053455879471204E-3</v>
      </c>
      <c r="AE12" s="95">
        <f>'Op Cost-24'!B5/'Revenue Miles-24'!C4</f>
        <v>4.5731296312829208</v>
      </c>
      <c r="AF12" s="96">
        <f>'Op Cost-24'!C5/'Revenue Miles-24'!D4</f>
        <v>4.6869649046296509</v>
      </c>
      <c r="AG12" s="96">
        <f>'Op Cost-24'!D5/'Revenue Miles-24'!E4</f>
        <v>8.9845176742296253</v>
      </c>
      <c r="AH12" s="96">
        <f>'Op Cost-24'!E5/'Revenue Miles-24'!F4</f>
        <v>5.3869237994459436</v>
      </c>
      <c r="AI12" s="97">
        <f t="shared" si="11"/>
        <v>1.0572322657484516</v>
      </c>
      <c r="AJ12" s="98">
        <f t="shared" si="12"/>
        <v>9.9714727601311567E-4</v>
      </c>
      <c r="AK12" s="99">
        <f t="shared" si="13"/>
        <v>9.9827424444451536E-4</v>
      </c>
      <c r="AL12" s="95">
        <f>'Op Cost-24'!B5/'Ridership-24'!B4</f>
        <v>7.7088867150758116</v>
      </c>
      <c r="AM12" s="96">
        <f>'Op Cost-24'!C5/'Ridership-24'!C4</f>
        <v>7.6580097132892044</v>
      </c>
      <c r="AN12" s="96">
        <f>'Op Cost-24'!D5/'Ridership-24'!D4</f>
        <v>28.137088132869007</v>
      </c>
      <c r="AO12" s="96">
        <f>'Op Cost-24'!E5/'Ridership-24'!E4</f>
        <v>12.830345765015716</v>
      </c>
      <c r="AP12" s="100">
        <f t="shared" si="14"/>
        <v>1.0343360813707996</v>
      </c>
      <c r="AQ12" s="98">
        <f t="shared" si="15"/>
        <v>1.0192202446492019E-3</v>
      </c>
      <c r="AR12" s="99">
        <f t="shared" si="16"/>
        <v>1.0789756417506002E-3</v>
      </c>
      <c r="AT12" s="101">
        <f t="shared" ref="AT12:AT50" si="27">P12*AT$6</f>
        <v>0</v>
      </c>
      <c r="AU12" s="102">
        <f t="shared" si="17"/>
        <v>0</v>
      </c>
      <c r="AV12" s="102">
        <f t="shared" si="18"/>
        <v>0</v>
      </c>
      <c r="AW12" s="102">
        <f t="shared" si="19"/>
        <v>0</v>
      </c>
      <c r="AX12" s="103">
        <f t="shared" si="20"/>
        <v>0</v>
      </c>
      <c r="AY12" s="104">
        <f t="shared" ref="AY12:AY50" si="28">(SUM(AT12:AX12)-H12)/H12</f>
        <v>-1</v>
      </c>
      <c r="AZ12" s="105">
        <f t="shared" si="21"/>
        <v>0</v>
      </c>
      <c r="BA12" s="106">
        <f t="shared" si="21"/>
        <v>0</v>
      </c>
      <c r="BB12" s="106">
        <f t="shared" si="21"/>
        <v>0</v>
      </c>
      <c r="BC12" s="106">
        <f t="shared" si="21"/>
        <v>0</v>
      </c>
      <c r="BD12" s="106">
        <f t="shared" si="21"/>
        <v>0</v>
      </c>
      <c r="BE12" s="107">
        <f t="shared" ref="BE12:BE50" si="29">$AZ$6*H12</f>
        <v>133466.79491313401</v>
      </c>
      <c r="BG12" s="108">
        <f>'Op Cost-24'!E5</f>
        <v>453078</v>
      </c>
      <c r="BH12" s="109">
        <f t="shared" si="22"/>
        <v>0.29457796430886957</v>
      </c>
      <c r="BI12" s="110">
        <f t="shared" si="23"/>
        <v>133466.79491313401</v>
      </c>
      <c r="BJ12" s="111">
        <f t="shared" si="24"/>
        <v>0</v>
      </c>
      <c r="BK12" s="1">
        <f t="shared" ref="BK12:BK50" si="30">BL12*$BO$7+BM12*$BP$7+BN12*$BQ$7</f>
        <v>0.85377170706696559</v>
      </c>
      <c r="BL12" s="112">
        <f t="shared" ref="BL12:BL50" si="31">M12/$M$51</f>
        <v>0.54005189174053514</v>
      </c>
      <c r="BM12" s="112">
        <f t="shared" ref="BM12:BM50" si="32">T12/$T$51</f>
        <v>0.6773910140525885</v>
      </c>
      <c r="BN12" s="113">
        <f t="shared" ref="BN12:BN50" si="33">(1/AO12)/(1/$AO$51)</f>
        <v>1.0988219612373693</v>
      </c>
      <c r="BO12" s="114">
        <f t="shared" si="25"/>
        <v>0</v>
      </c>
      <c r="BP12" s="115">
        <f t="shared" ref="BP12:BP50" si="34">(BL12*$BO$7+BM12*$BP$7+BN12*$BQ$7)*H12</f>
        <v>9.000600277890013E-4</v>
      </c>
      <c r="BQ12" s="116">
        <f t="shared" ref="BQ12:BQ50" si="35">IF(BO12=0,0,BP12)</f>
        <v>0</v>
      </c>
      <c r="BR12" s="117">
        <f t="shared" ref="BR12:BR50" si="36">BQ12/$BQ$51</f>
        <v>0</v>
      </c>
      <c r="BS12" s="118">
        <f t="shared" ref="BS12:BS50" si="37">$BO$6*BR12+BI12</f>
        <v>133466.79491313401</v>
      </c>
      <c r="BT12" s="119">
        <f t="shared" ref="BT12:BT50" si="38">BG12*$BU$6</f>
        <v>135923.4</v>
      </c>
      <c r="BU12" s="119">
        <f t="shared" ref="BU12:BU50" si="39">IF(BS12&lt;=BT12,BS12,BT12)</f>
        <v>133466.79491313401</v>
      </c>
      <c r="BV12" s="119">
        <f>BS12-BU12</f>
        <v>0</v>
      </c>
      <c r="BW12" s="120">
        <f t="shared" ref="BW12:BW50" si="40">IF(AND(BV12=0, BJ12=0),BP12,0)</f>
        <v>9.000600277890013E-4</v>
      </c>
      <c r="BX12" s="121">
        <f t="shared" ref="BX12:BX50" si="41">IF($BW$51=0,1,BW12/$BW$51)</f>
        <v>1.9722617808692559E-3</v>
      </c>
      <c r="BY12" s="122">
        <f t="shared" ref="BY12:BY50" si="42">$BV$51*BX12+BU12</f>
        <v>137934.0353313915</v>
      </c>
      <c r="BZ12" s="123">
        <f t="shared" ref="BZ12:BZ16" si="43">BY12*$BO$6</f>
        <v>1743214077770.8577</v>
      </c>
      <c r="CA12" s="135">
        <f>ROUND((BZ12+BI12),0)</f>
        <v>1743214211238</v>
      </c>
      <c r="CC12" s="124">
        <f t="shared" si="26"/>
        <v>1</v>
      </c>
      <c r="CD12" s="17"/>
      <c r="CE12" s="108">
        <f t="shared" ref="CE12:CE50" si="44">BG12</f>
        <v>453078</v>
      </c>
      <c r="CF12" s="125">
        <f t="shared" ref="CF12:CF50" si="45">CA12/BG12</f>
        <v>3847492.5095414035</v>
      </c>
      <c r="CG12" s="110">
        <f t="shared" ref="CG12:CG50" si="46">IF(CA12&gt;BG12*$BI$6,BG12*$BI$6,CA12)</f>
        <v>135923.4</v>
      </c>
      <c r="CH12" s="126">
        <f t="shared" ref="CH12:CH51" si="47">CA12-CG12</f>
        <v>1743214075314.6001</v>
      </c>
      <c r="CJ12" s="127">
        <f t="shared" ref="CJ12:CJ50" si="48">IF(OR(CH12&gt;0,CF12&gt;=0.294),0,CG12)</f>
        <v>0</v>
      </c>
      <c r="CK12" s="128" t="e">
        <f t="shared" ref="CK12:CK51" si="49">CJ12/$CJ$51</f>
        <v>#DIV/0!</v>
      </c>
      <c r="CL12" s="129" t="e">
        <f t="shared" ref="CL12:CL51" si="50">CK12*$CK$6</f>
        <v>#DIV/0!</v>
      </c>
      <c r="CM12" s="130" t="e">
        <f t="shared" ref="CM12:CM50" si="51">ROUND((CL12+CG12),0)</f>
        <v>#DIV/0!</v>
      </c>
      <c r="CO12" s="131" t="e">
        <f t="shared" ref="CO12:CO50" si="52">CM12/CE12</f>
        <v>#DIV/0!</v>
      </c>
      <c r="CP12" s="1">
        <f t="shared" ref="CP12:CP50" si="53">IF(BY12&lt;=BG12*$BU$6, 0, 1)</f>
        <v>1</v>
      </c>
      <c r="CQ12" s="132">
        <f t="shared" ref="CQ12:CQ50" si="54">BY12/BG12</f>
        <v>0.30443772447876855</v>
      </c>
      <c r="CS12" s="104">
        <f t="shared" ref="CS12:CS50" si="55">BP12/$BP$51</f>
        <v>7.2029662927602012E-4</v>
      </c>
    </row>
    <row r="13" spans="1:97">
      <c r="A13" s="133" t="s">
        <v>82</v>
      </c>
      <c r="B13" s="90" t="s">
        <v>85</v>
      </c>
      <c r="C13" s="91">
        <f>'Sizing - Reimb Expen-24'!B6</f>
        <v>2625058</v>
      </c>
      <c r="D13" s="92">
        <f>'Ridership-24'!$E5</f>
        <v>135181</v>
      </c>
      <c r="E13" s="92">
        <f>'Revenue Hours-24'!$F5</f>
        <v>44776</v>
      </c>
      <c r="F13" s="92">
        <f>'Revenue Miles-24'!$F5</f>
        <v>440288</v>
      </c>
      <c r="G13" s="93">
        <f t="shared" si="0"/>
        <v>5.8134443520933086E-3</v>
      </c>
      <c r="H13" s="94">
        <f t="shared" si="1"/>
        <v>5.4883062960302794E-3</v>
      </c>
      <c r="J13" s="95">
        <f>'Ridership-24'!B5/'Revenue Hours-24'!C5</f>
        <v>3.509629413481179</v>
      </c>
      <c r="K13" s="96">
        <f>'Ridership-24'!C5/'Revenue Hours-24'!D5</f>
        <v>3.5903165735567972</v>
      </c>
      <c r="L13" s="96">
        <f>'Ridership-24'!D5/'Revenue Hours-24'!E5</f>
        <v>3.0037184124655352</v>
      </c>
      <c r="M13" s="207">
        <f>'Ridership-24'!E5/'Revenue Hours-24'!L5</f>
        <v>3.0190503841343577</v>
      </c>
      <c r="N13" s="97">
        <f t="shared" si="2"/>
        <v>1.1452766111970489</v>
      </c>
      <c r="O13" s="98">
        <f t="shared" si="3"/>
        <v>6.2856288359289863E-3</v>
      </c>
      <c r="P13" s="99">
        <f t="shared" si="4"/>
        <v>5.9579420776335852E-3</v>
      </c>
      <c r="Q13" s="95">
        <f>'Ridership-24'!B5/'Revenue Miles-24'!C5</f>
        <v>0.34036493443752919</v>
      </c>
      <c r="R13" s="96">
        <f>'Ridership-24'!C5/'Revenue Miles-24'!D5</f>
        <v>0.34236028901498144</v>
      </c>
      <c r="S13" s="96">
        <f>'Ridership-24'!D5/'Revenue Miles-24'!E5</f>
        <v>0.30898734605406614</v>
      </c>
      <c r="T13" s="207">
        <f>'Ridership-24'!E5/'Revenue Miles-24'!L5</f>
        <v>0.30702858129224508</v>
      </c>
      <c r="U13" s="97">
        <f t="shared" si="5"/>
        <v>1.179074556111199</v>
      </c>
      <c r="V13" s="98">
        <f t="shared" si="6"/>
        <v>6.4711223097942009E-3</v>
      </c>
      <c r="W13" s="99">
        <f t="shared" si="7"/>
        <v>6.1401552548123245E-3</v>
      </c>
      <c r="X13" s="95">
        <f>'Op Cost-24'!B6/'Revenue Hours-24'!C5</f>
        <v>41.66076118220851</v>
      </c>
      <c r="Y13" s="96">
        <f>'Op Cost-24'!C6/'Revenue Hours-24'!D5</f>
        <v>45.864958582161435</v>
      </c>
      <c r="Z13" s="96">
        <f>'Op Cost-24'!D6/'Revenue Hours-24'!E5</f>
        <v>61.145979308425872</v>
      </c>
      <c r="AA13" s="96">
        <f>'Op Cost-24'!E6/'Revenue Hours-24'!F5</f>
        <v>58.62645167053779</v>
      </c>
      <c r="AB13" s="97">
        <f t="shared" si="8"/>
        <v>1.0429873193694781</v>
      </c>
      <c r="AC13" s="98">
        <f t="shared" si="9"/>
        <v>5.2621026105553713E-3</v>
      </c>
      <c r="AD13" s="99">
        <f t="shared" si="10"/>
        <v>5.2914293338551001E-3</v>
      </c>
      <c r="AE13" s="95">
        <f>'Op Cost-24'!B6/'Revenue Miles-24'!C5</f>
        <v>4.0402733673054803</v>
      </c>
      <c r="AF13" s="96">
        <f>'Op Cost-24'!C6/'Revenue Miles-24'!D5</f>
        <v>4.3735253296321996</v>
      </c>
      <c r="AG13" s="96">
        <f>'Op Cost-24'!D6/'Revenue Miles-24'!E5</f>
        <v>6.2899817073329398</v>
      </c>
      <c r="AH13" s="96">
        <f>'Op Cost-24'!E6/'Revenue Miles-24'!F5</f>
        <v>5.9621384184897162</v>
      </c>
      <c r="AI13" s="97">
        <f t="shared" si="11"/>
        <v>1.0661071555891768</v>
      </c>
      <c r="AJ13" s="98">
        <f t="shared" si="12"/>
        <v>5.1479874863021675E-3</v>
      </c>
      <c r="AK13" s="99">
        <f t="shared" si="13"/>
        <v>5.1538057034520952E-3</v>
      </c>
      <c r="AL13" s="95">
        <f>'Op Cost-24'!B6/'Ridership-24'!B5</f>
        <v>11.87041601092734</v>
      </c>
      <c r="AM13" s="96">
        <f>'Op Cost-24'!C6/'Ridership-24'!C5</f>
        <v>12.774627986836457</v>
      </c>
      <c r="AN13" s="96">
        <f>'Op Cost-24'!D6/'Ridership-24'!D5</f>
        <v>20.356761490913378</v>
      </c>
      <c r="AO13" s="96">
        <f>'Op Cost-24'!E6/'Ridership-24'!E5</f>
        <v>19.418838446231348</v>
      </c>
      <c r="AP13" s="100">
        <f t="shared" si="14"/>
        <v>0.98287116513299766</v>
      </c>
      <c r="AQ13" s="98">
        <f t="shared" si="15"/>
        <v>5.5839529032145592E-3</v>
      </c>
      <c r="AR13" s="99">
        <f t="shared" si="16"/>
        <v>5.911331921516866E-3</v>
      </c>
      <c r="AT13" s="101">
        <f t="shared" si="27"/>
        <v>0</v>
      </c>
      <c r="AU13" s="102">
        <f t="shared" si="17"/>
        <v>0</v>
      </c>
      <c r="AV13" s="102">
        <f t="shared" si="18"/>
        <v>0</v>
      </c>
      <c r="AW13" s="102">
        <f t="shared" si="19"/>
        <v>0</v>
      </c>
      <c r="AX13" s="103">
        <f t="shared" si="20"/>
        <v>0</v>
      </c>
      <c r="AY13" s="104">
        <f t="shared" si="28"/>
        <v>-1</v>
      </c>
      <c r="AZ13" s="105">
        <f t="shared" si="21"/>
        <v>0</v>
      </c>
      <c r="BA13" s="106">
        <f t="shared" si="21"/>
        <v>0</v>
      </c>
      <c r="BB13" s="106">
        <f t="shared" si="21"/>
        <v>0</v>
      </c>
      <c r="BC13" s="106">
        <f t="shared" si="21"/>
        <v>0</v>
      </c>
      <c r="BD13" s="106">
        <f t="shared" si="21"/>
        <v>0</v>
      </c>
      <c r="BE13" s="107">
        <f t="shared" si="29"/>
        <v>694835.27143811749</v>
      </c>
      <c r="BG13" s="108">
        <f>'Op Cost-24'!E6</f>
        <v>2625058</v>
      </c>
      <c r="BH13" s="109">
        <f t="shared" si="22"/>
        <v>0.2646933025625024</v>
      </c>
      <c r="BI13" s="110">
        <f t="shared" si="23"/>
        <v>694835.27143811749</v>
      </c>
      <c r="BJ13" s="111">
        <f t="shared" si="24"/>
        <v>0</v>
      </c>
      <c r="BK13" s="1">
        <f t="shared" si="30"/>
        <v>0.5711404750769975</v>
      </c>
      <c r="BL13" s="112">
        <f t="shared" si="31"/>
        <v>0.33718833266670639</v>
      </c>
      <c r="BM13" s="112">
        <f t="shared" si="32"/>
        <v>0.49535410356214105</v>
      </c>
      <c r="BN13" s="113">
        <f t="shared" si="33"/>
        <v>0.7260097320395712</v>
      </c>
      <c r="BO13" s="114">
        <f t="shared" si="25"/>
        <v>694835.27143811749</v>
      </c>
      <c r="BP13" s="115">
        <f t="shared" si="34"/>
        <v>3.1345938652828104E-3</v>
      </c>
      <c r="BQ13" s="116">
        <f t="shared" si="35"/>
        <v>3.1345938652828104E-3</v>
      </c>
      <c r="BR13" s="117">
        <f t="shared" si="36"/>
        <v>5.1646815930222849E-3</v>
      </c>
      <c r="BS13" s="118">
        <f t="shared" si="37"/>
        <v>760106.65742004779</v>
      </c>
      <c r="BT13" s="119">
        <f t="shared" si="38"/>
        <v>787517.4</v>
      </c>
      <c r="BU13" s="119">
        <f t="shared" si="39"/>
        <v>760106.65742004779</v>
      </c>
      <c r="BV13" s="119">
        <f t="shared" ref="BV13:BV50" si="56">BS13-BU13</f>
        <v>0</v>
      </c>
      <c r="BW13" s="120">
        <f t="shared" si="40"/>
        <v>3.1345938652828104E-3</v>
      </c>
      <c r="BX13" s="121">
        <f t="shared" si="41"/>
        <v>6.8686970737176275E-3</v>
      </c>
      <c r="BY13" s="122">
        <f t="shared" si="42"/>
        <v>775664.49131720641</v>
      </c>
      <c r="BZ13" s="123">
        <f t="shared" si="43"/>
        <v>9802868868749.7461</v>
      </c>
      <c r="CA13" s="111">
        <f>ROUND((BZ13+BI13),0)</f>
        <v>9802869563585</v>
      </c>
      <c r="CC13" s="124">
        <f t="shared" si="26"/>
        <v>1</v>
      </c>
      <c r="CD13" s="17"/>
      <c r="CE13" s="108">
        <f t="shared" si="44"/>
        <v>2625058</v>
      </c>
      <c r="CF13" s="125">
        <f t="shared" si="45"/>
        <v>3734343.9891937627</v>
      </c>
      <c r="CG13" s="110">
        <f t="shared" si="46"/>
        <v>787517.4</v>
      </c>
      <c r="CH13" s="126">
        <f t="shared" si="47"/>
        <v>9802868776067.5996</v>
      </c>
      <c r="CJ13" s="127">
        <f t="shared" si="48"/>
        <v>0</v>
      </c>
      <c r="CK13" s="128" t="e">
        <f t="shared" si="49"/>
        <v>#DIV/0!</v>
      </c>
      <c r="CL13" s="129" t="e">
        <f t="shared" si="50"/>
        <v>#DIV/0!</v>
      </c>
      <c r="CM13" s="130" t="e">
        <f t="shared" si="51"/>
        <v>#DIV/0!</v>
      </c>
      <c r="CO13" s="131" t="e">
        <f t="shared" si="52"/>
        <v>#DIV/0!</v>
      </c>
      <c r="CP13" s="1">
        <f t="shared" si="53"/>
        <v>0</v>
      </c>
      <c r="CQ13" s="132">
        <f t="shared" si="54"/>
        <v>0.29548470598257504</v>
      </c>
      <c r="CS13" s="104">
        <f t="shared" si="55"/>
        <v>2.5085409034982702E-3</v>
      </c>
    </row>
    <row r="14" spans="1:97">
      <c r="A14" s="133" t="s">
        <v>82</v>
      </c>
      <c r="B14" s="90" t="s">
        <v>86</v>
      </c>
      <c r="C14" s="91">
        <f>'Sizing - Reimb Expen-24'!B7</f>
        <v>2162547</v>
      </c>
      <c r="D14" s="92">
        <f>'Ridership-24'!$E6</f>
        <v>100658</v>
      </c>
      <c r="E14" s="92">
        <f>'Revenue Hours-24'!$F6</f>
        <v>40013</v>
      </c>
      <c r="F14" s="92">
        <f>'Revenue Miles-24'!$F6</f>
        <v>639628</v>
      </c>
      <c r="G14" s="93">
        <f t="shared" si="0"/>
        <v>5.4740808853634198E-3</v>
      </c>
      <c r="H14" s="94">
        <f t="shared" si="1"/>
        <v>5.1679229676123081E-3</v>
      </c>
      <c r="J14" s="95">
        <f>'Ridership-24'!B6/'Revenue Hours-24'!C6</f>
        <v>1.7480527968917374</v>
      </c>
      <c r="K14" s="96">
        <f>'Ridership-24'!C6/'Revenue Hours-24'!D6</f>
        <v>1.8670980965213595</v>
      </c>
      <c r="L14" s="96">
        <f>'Ridership-24'!D6/'Revenue Hours-24'!E6</f>
        <v>1.3455313359222201</v>
      </c>
      <c r="M14" s="207">
        <f>'Ridership-24'!E6/'Revenue Hours-24'!L6</f>
        <v>2.5156324194636741</v>
      </c>
      <c r="N14" s="97">
        <f t="shared" si="2"/>
        <v>1.3087942373646106</v>
      </c>
      <c r="O14" s="98">
        <f t="shared" si="3"/>
        <v>6.7637477991552061E-3</v>
      </c>
      <c r="P14" s="99">
        <f t="shared" si="4"/>
        <v>6.4111354117415845E-3</v>
      </c>
      <c r="Q14" s="95">
        <f>'Ridership-24'!B6/'Revenue Miles-24'!C6</f>
        <v>0.10544016540836285</v>
      </c>
      <c r="R14" s="96">
        <f>'Ridership-24'!C6/'Revenue Miles-24'!D6</f>
        <v>0.11380730389718556</v>
      </c>
      <c r="S14" s="96">
        <f>'Ridership-24'!D6/'Revenue Miles-24'!E6</f>
        <v>8.6154544217069737E-2</v>
      </c>
      <c r="T14" s="207">
        <f>'Ridership-24'!E6/'Revenue Miles-24'!L6</f>
        <v>0.15736959607772016</v>
      </c>
      <c r="U14" s="97">
        <f t="shared" si="5"/>
        <v>1.331576106473251</v>
      </c>
      <c r="V14" s="98">
        <f t="shared" si="6"/>
        <v>6.8814827437668862E-3</v>
      </c>
      <c r="W14" s="99">
        <f t="shared" si="7"/>
        <v>6.5295277089862875E-3</v>
      </c>
      <c r="X14" s="95">
        <f>'Op Cost-24'!B7/'Revenue Hours-24'!C6</f>
        <v>32.57793351368035</v>
      </c>
      <c r="Y14" s="96">
        <f>'Op Cost-24'!C7/'Revenue Hours-24'!D6</f>
        <v>28.535460118042245</v>
      </c>
      <c r="Z14" s="96">
        <f>'Op Cost-24'!D7/'Revenue Hours-24'!E6</f>
        <v>42.25856741971144</v>
      </c>
      <c r="AA14" s="96">
        <f>'Op Cost-24'!E7/'Revenue Hours-24'!F6</f>
        <v>54.154224876915002</v>
      </c>
      <c r="AB14" s="97">
        <f t="shared" si="8"/>
        <v>1.1170601959171089</v>
      </c>
      <c r="AC14" s="98">
        <f t="shared" si="9"/>
        <v>4.6263603219425719E-3</v>
      </c>
      <c r="AD14" s="99">
        <f t="shared" si="10"/>
        <v>4.6521439295777213E-3</v>
      </c>
      <c r="AE14" s="95">
        <f>'Op Cost-24'!B7/'Revenue Miles-24'!C6</f>
        <v>1.9650566072449389</v>
      </c>
      <c r="AF14" s="96">
        <f>'Op Cost-24'!C7/'Revenue Miles-24'!D6</f>
        <v>1.7393535923745185</v>
      </c>
      <c r="AG14" s="96">
        <f>'Op Cost-24'!D7/'Revenue Miles-24'!E6</f>
        <v>2.7058214982530968</v>
      </c>
      <c r="AH14" s="96">
        <f>'Op Cost-24'!E7/'Revenue Miles-24'!F6</f>
        <v>3.3877081678725758</v>
      </c>
      <c r="AI14" s="97">
        <f t="shared" si="11"/>
        <v>1.1363865749613105</v>
      </c>
      <c r="AJ14" s="98">
        <f t="shared" si="12"/>
        <v>4.5476804121768648E-3</v>
      </c>
      <c r="AK14" s="99">
        <f t="shared" si="13"/>
        <v>4.5528201667386081E-3</v>
      </c>
      <c r="AL14" s="95">
        <f>'Op Cost-24'!B7/'Ridership-24'!B6</f>
        <v>18.63669882946791</v>
      </c>
      <c r="AM14" s="96">
        <f>'Op Cost-24'!C7/'Ridership-24'!C6</f>
        <v>15.283321305510098</v>
      </c>
      <c r="AN14" s="96">
        <f>'Op Cost-24'!D7/'Ridership-24'!D6</f>
        <v>31.406602203543365</v>
      </c>
      <c r="AO14" s="96">
        <f>'Op Cost-24'!E7/'Ridership-24'!E6</f>
        <v>21.527081801744522</v>
      </c>
      <c r="AP14" s="100">
        <f t="shared" si="14"/>
        <v>0.84909631981797562</v>
      </c>
      <c r="AQ14" s="98">
        <f t="shared" si="15"/>
        <v>6.0863801278990088E-3</v>
      </c>
      <c r="AR14" s="99">
        <f t="shared" si="16"/>
        <v>6.4432157219347632E-3</v>
      </c>
      <c r="AT14" s="101">
        <f t="shared" si="27"/>
        <v>0</v>
      </c>
      <c r="AU14" s="102">
        <f t="shared" si="17"/>
        <v>0</v>
      </c>
      <c r="AV14" s="102">
        <f t="shared" si="18"/>
        <v>0</v>
      </c>
      <c r="AW14" s="102">
        <f t="shared" si="19"/>
        <v>0</v>
      </c>
      <c r="AX14" s="103">
        <f t="shared" si="20"/>
        <v>0</v>
      </c>
      <c r="AY14" s="104">
        <f t="shared" si="28"/>
        <v>-1</v>
      </c>
      <c r="AZ14" s="105">
        <f t="shared" si="21"/>
        <v>0</v>
      </c>
      <c r="BA14" s="106">
        <f t="shared" si="21"/>
        <v>0</v>
      </c>
      <c r="BB14" s="106">
        <f t="shared" si="21"/>
        <v>0</v>
      </c>
      <c r="BC14" s="106">
        <f t="shared" si="21"/>
        <v>0</v>
      </c>
      <c r="BD14" s="106">
        <f t="shared" si="21"/>
        <v>0</v>
      </c>
      <c r="BE14" s="107">
        <f t="shared" si="29"/>
        <v>654273.82589223632</v>
      </c>
      <c r="BG14" s="108">
        <f>'Op Cost-24'!E7</f>
        <v>2166873</v>
      </c>
      <c r="BH14" s="109">
        <f t="shared" si="22"/>
        <v>0.30194378068868655</v>
      </c>
      <c r="BI14" s="110">
        <f t="shared" si="23"/>
        <v>650061.9</v>
      </c>
      <c r="BJ14" s="111">
        <f t="shared" si="24"/>
        <v>4211.9258922362933</v>
      </c>
      <c r="BK14" s="1">
        <f t="shared" si="30"/>
        <v>0.4611692459687568</v>
      </c>
      <c r="BL14" s="112">
        <f t="shared" si="31"/>
        <v>0.28096314840551506</v>
      </c>
      <c r="BM14" s="112">
        <f t="shared" si="32"/>
        <v>0.25389712861557706</v>
      </c>
      <c r="BN14" s="113">
        <f t="shared" si="33"/>
        <v>0.65490835342696752</v>
      </c>
      <c r="BO14" s="114">
        <f t="shared" si="25"/>
        <v>0</v>
      </c>
      <c r="BP14" s="115">
        <f t="shared" si="34"/>
        <v>2.3832871381983881E-3</v>
      </c>
      <c r="BQ14" s="116">
        <f t="shared" si="35"/>
        <v>0</v>
      </c>
      <c r="BR14" s="117">
        <f t="shared" si="36"/>
        <v>0</v>
      </c>
      <c r="BS14" s="118">
        <f t="shared" si="37"/>
        <v>650061.9</v>
      </c>
      <c r="BT14" s="119">
        <f t="shared" si="38"/>
        <v>650061.9</v>
      </c>
      <c r="BU14" s="119">
        <f t="shared" si="39"/>
        <v>650061.9</v>
      </c>
      <c r="BV14" s="119">
        <f t="shared" si="56"/>
        <v>0</v>
      </c>
      <c r="BW14" s="120">
        <f t="shared" si="40"/>
        <v>0</v>
      </c>
      <c r="BX14" s="121">
        <f t="shared" si="41"/>
        <v>0</v>
      </c>
      <c r="BY14" s="122">
        <f t="shared" si="42"/>
        <v>650061.9</v>
      </c>
      <c r="BZ14" s="123">
        <f t="shared" si="43"/>
        <v>8215499914723.1846</v>
      </c>
      <c r="CA14" s="111">
        <f t="shared" ref="CA14:CA50" si="57">ROUND((BZ14+BI14),0)</f>
        <v>8215500564785</v>
      </c>
      <c r="CC14" s="124">
        <f t="shared" si="26"/>
        <v>1</v>
      </c>
      <c r="CD14" s="17"/>
      <c r="CE14" s="108">
        <f t="shared" si="44"/>
        <v>2166873</v>
      </c>
      <c r="CF14" s="125">
        <f t="shared" si="45"/>
        <v>3791408.4326977171</v>
      </c>
      <c r="CG14" s="110">
        <f t="shared" si="46"/>
        <v>650061.9</v>
      </c>
      <c r="CH14" s="126">
        <f t="shared" si="47"/>
        <v>8215499914723.0996</v>
      </c>
      <c r="CJ14" s="127">
        <f t="shared" si="48"/>
        <v>0</v>
      </c>
      <c r="CK14" s="128" t="e">
        <f t="shared" si="49"/>
        <v>#DIV/0!</v>
      </c>
      <c r="CL14" s="129" t="e">
        <f t="shared" si="50"/>
        <v>#DIV/0!</v>
      </c>
      <c r="CM14" s="130" t="e">
        <f t="shared" si="51"/>
        <v>#DIV/0!</v>
      </c>
      <c r="CO14" s="131" t="e">
        <f t="shared" si="52"/>
        <v>#DIV/0!</v>
      </c>
      <c r="CP14" s="1">
        <f t="shared" si="53"/>
        <v>0</v>
      </c>
      <c r="CQ14" s="132">
        <f t="shared" si="54"/>
        <v>0.3</v>
      </c>
      <c r="CS14" s="104">
        <f t="shared" si="55"/>
        <v>1.9072880021771465E-3</v>
      </c>
    </row>
    <row r="15" spans="1:97">
      <c r="A15" s="133" t="s">
        <v>82</v>
      </c>
      <c r="B15" s="90" t="s">
        <v>87</v>
      </c>
      <c r="C15" s="91">
        <f>'Sizing - Reimb Expen-24'!B8</f>
        <v>403050</v>
      </c>
      <c r="D15" s="92">
        <f>'Ridership-24'!$E7</f>
        <v>29128</v>
      </c>
      <c r="E15" s="92">
        <f>'Revenue Hours-24'!$F7</f>
        <v>7979</v>
      </c>
      <c r="F15" s="92">
        <f>'Revenue Miles-24'!$F7</f>
        <v>129480</v>
      </c>
      <c r="G15" s="93">
        <f t="shared" si="0"/>
        <v>1.1568552702909459E-3</v>
      </c>
      <c r="H15" s="94">
        <f t="shared" si="1"/>
        <v>1.0921539244195904E-3</v>
      </c>
      <c r="J15" s="95">
        <f>'Ridership-24'!B7/'Revenue Hours-24'!C7</f>
        <v>5.4228308164832351</v>
      </c>
      <c r="K15" s="96">
        <f>'Ridership-24'!C7/'Revenue Hours-24'!D7</f>
        <v>5.5566235366605055</v>
      </c>
      <c r="L15" s="96">
        <f>'Ridership-24'!D7/'Revenue Hours-24'!E7</f>
        <v>3.8071505958829901</v>
      </c>
      <c r="M15" s="207">
        <f>'Ridership-24'!E7/'Revenue Hours-24'!L7</f>
        <v>3.650582779796967</v>
      </c>
      <c r="N15" s="97">
        <f t="shared" si="2"/>
        <v>1.0356052461268719</v>
      </c>
      <c r="O15" s="98">
        <f t="shared" si="3"/>
        <v>1.131040333706979E-3</v>
      </c>
      <c r="P15" s="99">
        <f t="shared" si="4"/>
        <v>1.0720761552408141E-3</v>
      </c>
      <c r="Q15" s="95">
        <f>'Ridership-24'!B7/'Revenue Miles-24'!C7</f>
        <v>0.32596387581156344</v>
      </c>
      <c r="R15" s="96">
        <f>'Ridership-24'!C7/'Revenue Miles-24'!D7</f>
        <v>0.3373331737387037</v>
      </c>
      <c r="S15" s="96">
        <f>'Ridership-24'!D7/'Revenue Miles-24'!E7</f>
        <v>0.2437813629741542</v>
      </c>
      <c r="T15" s="207">
        <f>'Ridership-24'!E7/'Revenue Miles-24'!L7</f>
        <v>0.22496138399752857</v>
      </c>
      <c r="U15" s="97">
        <f t="shared" si="5"/>
        <v>1.0550937211571547</v>
      </c>
      <c r="V15" s="98">
        <f t="shared" si="6"/>
        <v>1.1523247481922555E-3</v>
      </c>
      <c r="W15" s="99">
        <f t="shared" si="7"/>
        <v>1.0933888310462154E-3</v>
      </c>
      <c r="X15" s="95">
        <f>'Op Cost-24'!B8/'Revenue Hours-24'!C7</f>
        <v>40.351676478116204</v>
      </c>
      <c r="Y15" s="96">
        <f>'Op Cost-24'!C8/'Revenue Hours-24'!D7</f>
        <v>38.559704251386322</v>
      </c>
      <c r="Z15" s="96">
        <f>'Op Cost-24'!D8/'Revenue Hours-24'!E7</f>
        <v>43.683519922956542</v>
      </c>
      <c r="AA15" s="96">
        <f>'Op Cost-24'!E8/'Revenue Hours-24'!F7</f>
        <v>59.664118310565236</v>
      </c>
      <c r="AB15" s="97">
        <f t="shared" si="8"/>
        <v>1.0761566622611438</v>
      </c>
      <c r="AC15" s="98">
        <f t="shared" si="9"/>
        <v>1.0148651796893903E-3</v>
      </c>
      <c r="AD15" s="99">
        <f t="shared" si="10"/>
        <v>1.0205212211074307E-3</v>
      </c>
      <c r="AE15" s="95">
        <f>'Op Cost-24'!B8/'Revenue Miles-24'!C7</f>
        <v>2.425520785254931</v>
      </c>
      <c r="AF15" s="96">
        <f>'Op Cost-24'!C8/'Revenue Miles-24'!D7</f>
        <v>2.340894128912562</v>
      </c>
      <c r="AG15" s="96">
        <f>'Op Cost-24'!D8/'Revenue Miles-24'!E7</f>
        <v>2.7971649027603269</v>
      </c>
      <c r="AH15" s="96">
        <f>'Op Cost-24'!E8/'Revenue Miles-24'!F7</f>
        <v>3.6767068273092369</v>
      </c>
      <c r="AI15" s="97">
        <f t="shared" si="11"/>
        <v>1.0869500841393458</v>
      </c>
      <c r="AJ15" s="98">
        <f t="shared" si="12"/>
        <v>1.004787561412597E-3</v>
      </c>
      <c r="AK15" s="99">
        <f t="shared" si="13"/>
        <v>1.0059231648377024E-3</v>
      </c>
      <c r="AL15" s="95">
        <f>'Op Cost-24'!B8/'Ridership-24'!B7</f>
        <v>7.4410723556898102</v>
      </c>
      <c r="AM15" s="96">
        <f>'Op Cost-24'!C8/'Ridership-24'!C7</f>
        <v>6.9394127561429961</v>
      </c>
      <c r="AN15" s="96">
        <f>'Op Cost-24'!D8/'Ridership-24'!D7</f>
        <v>11.474071966103839</v>
      </c>
      <c r="AO15" s="96">
        <f>'Op Cost-24'!E8/'Ridership-24'!E7</f>
        <v>16.343724251579236</v>
      </c>
      <c r="AP15" s="100">
        <f t="shared" si="14"/>
        <v>1.1461309032866442</v>
      </c>
      <c r="AQ15" s="98">
        <f t="shared" si="15"/>
        <v>9.5290504888030723E-4</v>
      </c>
      <c r="AR15" s="99">
        <f t="shared" si="16"/>
        <v>1.0087724827295714E-3</v>
      </c>
      <c r="AT15" s="101">
        <f t="shared" si="27"/>
        <v>0</v>
      </c>
      <c r="AU15" s="102">
        <f t="shared" si="17"/>
        <v>0</v>
      </c>
      <c r="AV15" s="102">
        <f t="shared" si="18"/>
        <v>0</v>
      </c>
      <c r="AW15" s="102">
        <f t="shared" si="19"/>
        <v>0</v>
      </c>
      <c r="AX15" s="103">
        <f t="shared" si="20"/>
        <v>0</v>
      </c>
      <c r="AY15" s="104">
        <f t="shared" si="28"/>
        <v>-1</v>
      </c>
      <c r="AZ15" s="105">
        <f t="shared" si="21"/>
        <v>0</v>
      </c>
      <c r="BA15" s="106">
        <f t="shared" si="21"/>
        <v>0</v>
      </c>
      <c r="BB15" s="106">
        <f t="shared" si="21"/>
        <v>0</v>
      </c>
      <c r="BC15" s="106">
        <f t="shared" si="21"/>
        <v>0</v>
      </c>
      <c r="BD15" s="106">
        <f t="shared" si="21"/>
        <v>0</v>
      </c>
      <c r="BE15" s="107">
        <f t="shared" si="29"/>
        <v>138269.8099548824</v>
      </c>
      <c r="BG15" s="108">
        <f>'Op Cost-24'!E8</f>
        <v>476060</v>
      </c>
      <c r="BH15" s="109">
        <f t="shared" si="22"/>
        <v>0.29044618315943871</v>
      </c>
      <c r="BI15" s="110">
        <f t="shared" si="23"/>
        <v>138269.8099548824</v>
      </c>
      <c r="BJ15" s="111">
        <f t="shared" si="24"/>
        <v>0</v>
      </c>
      <c r="BK15" s="1">
        <f t="shared" si="30"/>
        <v>0.62397283972918538</v>
      </c>
      <c r="BL15" s="112">
        <f t="shared" si="31"/>
        <v>0.40772221863215807</v>
      </c>
      <c r="BM15" s="112">
        <f t="shared" si="32"/>
        <v>0.3629484402956103</v>
      </c>
      <c r="BN15" s="113">
        <f t="shared" si="33"/>
        <v>0.8626103499944866</v>
      </c>
      <c r="BO15" s="114">
        <f t="shared" si="25"/>
        <v>138269.8099548824</v>
      </c>
      <c r="BP15" s="115">
        <f t="shared" si="34"/>
        <v>6.8147438564146587E-4</v>
      </c>
      <c r="BQ15" s="116">
        <f t="shared" si="35"/>
        <v>6.8147438564146587E-4</v>
      </c>
      <c r="BR15" s="117">
        <f t="shared" si="36"/>
        <v>1.1228243169298432E-3</v>
      </c>
      <c r="BS15" s="118">
        <f t="shared" si="37"/>
        <v>152460.09411087775</v>
      </c>
      <c r="BT15" s="119">
        <f t="shared" si="38"/>
        <v>142818</v>
      </c>
      <c r="BU15" s="119">
        <f t="shared" si="39"/>
        <v>142818</v>
      </c>
      <c r="BV15" s="119">
        <f t="shared" si="56"/>
        <v>9642.0941108777479</v>
      </c>
      <c r="BW15" s="120">
        <f t="shared" si="40"/>
        <v>0</v>
      </c>
      <c r="BX15" s="121">
        <f t="shared" si="41"/>
        <v>0</v>
      </c>
      <c r="BY15" s="122">
        <f t="shared" si="42"/>
        <v>142818</v>
      </c>
      <c r="BZ15" s="123">
        <f t="shared" si="43"/>
        <v>1804937755652.0935</v>
      </c>
      <c r="CA15" s="111">
        <f t="shared" si="57"/>
        <v>1804937893922</v>
      </c>
      <c r="CC15" s="124">
        <f t="shared" si="26"/>
        <v>1</v>
      </c>
      <c r="CD15" s="17"/>
      <c r="CE15" s="108">
        <f t="shared" si="44"/>
        <v>476060</v>
      </c>
      <c r="CF15" s="125">
        <f t="shared" si="45"/>
        <v>3791408.4231441417</v>
      </c>
      <c r="CG15" s="110">
        <f t="shared" si="46"/>
        <v>142818</v>
      </c>
      <c r="CH15" s="126">
        <f t="shared" si="47"/>
        <v>1804937751104</v>
      </c>
      <c r="CJ15" s="127">
        <f t="shared" si="48"/>
        <v>0</v>
      </c>
      <c r="CK15" s="128" t="e">
        <f t="shared" si="49"/>
        <v>#DIV/0!</v>
      </c>
      <c r="CL15" s="129" t="e">
        <f t="shared" si="50"/>
        <v>#DIV/0!</v>
      </c>
      <c r="CM15" s="130" t="e">
        <f t="shared" si="51"/>
        <v>#DIV/0!</v>
      </c>
      <c r="CO15" s="131" t="e">
        <f t="shared" si="52"/>
        <v>#DIV/0!</v>
      </c>
      <c r="CP15" s="1">
        <f t="shared" si="53"/>
        <v>0</v>
      </c>
      <c r="CQ15" s="132">
        <f t="shared" si="54"/>
        <v>0.3</v>
      </c>
      <c r="CS15" s="104">
        <f t="shared" si="55"/>
        <v>5.4536773966209996E-4</v>
      </c>
    </row>
    <row r="16" spans="1:97">
      <c r="A16" s="133" t="s">
        <v>88</v>
      </c>
      <c r="B16" s="90" t="s">
        <v>89</v>
      </c>
      <c r="C16" s="91">
        <f>'Sizing - Reimb Expen-24'!B9</f>
        <v>9117656</v>
      </c>
      <c r="D16" s="92">
        <f>'Ridership-24'!$E8</f>
        <v>1154287</v>
      </c>
      <c r="E16" s="92">
        <f>'Revenue Hours-24'!$F8</f>
        <v>58751</v>
      </c>
      <c r="F16" s="92">
        <f>'Revenue Miles-24'!$F8</f>
        <v>807792</v>
      </c>
      <c r="G16" s="93">
        <f t="shared" si="0"/>
        <v>2.1282830958868813E-2</v>
      </c>
      <c r="H16" s="94">
        <f t="shared" si="1"/>
        <v>2.0092511095741034E-2</v>
      </c>
      <c r="J16" s="95">
        <f>'Ridership-24'!B8/'Revenue Hours-24'!C8</f>
        <v>19.767837879488365</v>
      </c>
      <c r="K16" s="96">
        <f>'Ridership-24'!C8/'Revenue Hours-24'!D8</f>
        <v>17.327594346172003</v>
      </c>
      <c r="L16" s="96">
        <f>'Ridership-24'!D8/'Revenue Hours-24'!E8</f>
        <v>8.228226225879153</v>
      </c>
      <c r="M16" s="207">
        <f>'Ridership-24'!E8/'Revenue Hours-24'!L8</f>
        <v>19.647103879082909</v>
      </c>
      <c r="N16" s="97">
        <f t="shared" si="2"/>
        <v>1.2192511161277548</v>
      </c>
      <c r="O16" s="98">
        <f t="shared" si="3"/>
        <v>2.4497816579291554E-2</v>
      </c>
      <c r="P16" s="99">
        <f t="shared" si="4"/>
        <v>2.3220679428860854E-2</v>
      </c>
      <c r="Q16" s="95">
        <f>'Ridership-24'!B8/'Revenue Miles-24'!C8</f>
        <v>2.1316609992044087</v>
      </c>
      <c r="R16" s="96">
        <f>'Ridership-24'!C8/'Revenue Miles-24'!D8</f>
        <v>1.9171644901717197</v>
      </c>
      <c r="S16" s="96">
        <f>'Ridership-24'!D8/'Revenue Miles-24'!E8</f>
        <v>0.84464065708418889</v>
      </c>
      <c r="T16" s="207">
        <f>'Ridership-24'!E8/'Revenue Miles-24'!L8</f>
        <v>1.4289408659654961</v>
      </c>
      <c r="U16" s="97">
        <f t="shared" si="5"/>
        <v>1.0329293204224002</v>
      </c>
      <c r="V16" s="98">
        <f t="shared" si="6"/>
        <v>2.075414383170332E-2</v>
      </c>
      <c r="W16" s="99">
        <f t="shared" si="7"/>
        <v>1.9692668320376201E-2</v>
      </c>
      <c r="X16" s="95">
        <f>'Op Cost-24'!B9/'Revenue Hours-24'!C8</f>
        <v>77.294084219448294</v>
      </c>
      <c r="Y16" s="96">
        <f>'Op Cost-24'!C9/'Revenue Hours-24'!D8</f>
        <v>81.344653948330603</v>
      </c>
      <c r="Z16" s="96">
        <f>'Op Cost-24'!D9/'Revenue Hours-24'!E8</f>
        <v>121.31553469268006</v>
      </c>
      <c r="AA16" s="96">
        <f>'Op Cost-24'!E9/'Revenue Hours-24'!F8</f>
        <v>156.54829705026299</v>
      </c>
      <c r="AB16" s="97">
        <f t="shared" si="8"/>
        <v>1.1806154944392757</v>
      </c>
      <c r="AC16" s="98">
        <f t="shared" si="9"/>
        <v>1.7018674742434934E-2</v>
      </c>
      <c r="AD16" s="99">
        <f t="shared" si="10"/>
        <v>1.7113523133285069E-2</v>
      </c>
      <c r="AE16" s="95">
        <f>'Op Cost-24'!B9/'Revenue Miles-24'!C8</f>
        <v>8.3349927191978441</v>
      </c>
      <c r="AF16" s="96">
        <f>'Op Cost-24'!C9/'Revenue Miles-24'!D8</f>
        <v>9.0001577194989437</v>
      </c>
      <c r="AG16" s="96">
        <f>'Op Cost-24'!D9/'Revenue Miles-24'!E8</f>
        <v>12.453234770704997</v>
      </c>
      <c r="AH16" s="96">
        <f>'Op Cost-24'!E9/'Revenue Miles-24'!F8</f>
        <v>11.385813427218888</v>
      </c>
      <c r="AI16" s="97">
        <f t="shared" si="11"/>
        <v>1.0391119823445312</v>
      </c>
      <c r="AJ16" s="98">
        <f t="shared" si="12"/>
        <v>1.9336232703627027E-2</v>
      </c>
      <c r="AK16" s="99">
        <f t="shared" si="13"/>
        <v>1.9358086369944318E-2</v>
      </c>
      <c r="AL16" s="95">
        <f>'Op Cost-24'!B9/'Ridership-24'!B8</f>
        <v>3.910092984911147</v>
      </c>
      <c r="AM16" s="96">
        <f>'Op Cost-24'!C9/'Ridership-24'!C8</f>
        <v>4.6945151371402689</v>
      </c>
      <c r="AN16" s="96">
        <f>'Op Cost-24'!D9/'Ridership-24'!D8</f>
        <v>14.743825869921071</v>
      </c>
      <c r="AO16" s="96">
        <f>'Op Cost-24'!E9/'Ridership-24'!E8</f>
        <v>7.9680088227624495</v>
      </c>
      <c r="AP16" s="97">
        <f t="shared" si="14"/>
        <v>1.063188575491355</v>
      </c>
      <c r="AQ16" s="98">
        <f t="shared" si="15"/>
        <v>1.8898351204023459E-2</v>
      </c>
      <c r="AR16" s="99">
        <f t="shared" si="16"/>
        <v>2.0006333984670433E-2</v>
      </c>
      <c r="AT16" s="101">
        <f t="shared" si="27"/>
        <v>0</v>
      </c>
      <c r="AU16" s="102">
        <f t="shared" si="17"/>
        <v>0</v>
      </c>
      <c r="AV16" s="102">
        <f t="shared" si="18"/>
        <v>0</v>
      </c>
      <c r="AW16" s="102">
        <f t="shared" si="19"/>
        <v>0</v>
      </c>
      <c r="AX16" s="103">
        <f t="shared" si="20"/>
        <v>0</v>
      </c>
      <c r="AY16" s="104">
        <f t="shared" si="28"/>
        <v>-1</v>
      </c>
      <c r="AZ16" s="105">
        <f t="shared" si="21"/>
        <v>0</v>
      </c>
      <c r="BA16" s="106">
        <f t="shared" si="21"/>
        <v>0</v>
      </c>
      <c r="BB16" s="106">
        <f t="shared" si="21"/>
        <v>0</v>
      </c>
      <c r="BC16" s="106">
        <f t="shared" si="21"/>
        <v>0</v>
      </c>
      <c r="BD16" s="106">
        <f t="shared" si="21"/>
        <v>0</v>
      </c>
      <c r="BE16" s="107">
        <f t="shared" si="29"/>
        <v>2543769.3612655443</v>
      </c>
      <c r="BG16" s="108">
        <f>'Op Cost-24'!E9</f>
        <v>9197369</v>
      </c>
      <c r="BH16" s="109">
        <f t="shared" si="22"/>
        <v>0.27657576435886655</v>
      </c>
      <c r="BI16" s="110">
        <f t="shared" si="23"/>
        <v>2543769.3612655443</v>
      </c>
      <c r="BJ16" s="111">
        <f t="shared" si="24"/>
        <v>0</v>
      </c>
      <c r="BK16" s="1">
        <f t="shared" si="30"/>
        <v>2.0096168438181419</v>
      </c>
      <c r="BL16" s="112">
        <f t="shared" si="31"/>
        <v>2.1943238289536016</v>
      </c>
      <c r="BM16" s="112">
        <f t="shared" si="32"/>
        <v>2.305426155195299</v>
      </c>
      <c r="BN16" s="113">
        <f t="shared" si="33"/>
        <v>1.769358695561833</v>
      </c>
      <c r="BO16" s="114">
        <f t="shared" si="25"/>
        <v>2543769.3612655443</v>
      </c>
      <c r="BP16" s="115">
        <f t="shared" si="34"/>
        <v>4.0378248732604094E-2</v>
      </c>
      <c r="BQ16" s="116">
        <f t="shared" si="35"/>
        <v>4.0378248732604094E-2</v>
      </c>
      <c r="BR16" s="117">
        <f t="shared" si="36"/>
        <v>6.6528809456768562E-2</v>
      </c>
      <c r="BS16" s="118">
        <f t="shared" si="37"/>
        <v>3384562.258709183</v>
      </c>
      <c r="BT16" s="119">
        <f t="shared" si="38"/>
        <v>2759210.6999999997</v>
      </c>
      <c r="BU16" s="119">
        <f t="shared" si="39"/>
        <v>2759210.6999999997</v>
      </c>
      <c r="BV16" s="119">
        <f t="shared" si="56"/>
        <v>625351.55870918324</v>
      </c>
      <c r="BW16" s="120">
        <f t="shared" si="40"/>
        <v>0</v>
      </c>
      <c r="BX16" s="121">
        <f t="shared" si="41"/>
        <v>0</v>
      </c>
      <c r="BY16" s="122">
        <f t="shared" si="42"/>
        <v>2759210.6999999997</v>
      </c>
      <c r="BZ16" s="123">
        <f t="shared" si="43"/>
        <v>34870979626022.223</v>
      </c>
      <c r="CA16" s="111">
        <f>ROUND((BZ16+BI16),0)</f>
        <v>34870982169792</v>
      </c>
      <c r="CC16" s="124">
        <f t="shared" si="26"/>
        <v>1</v>
      </c>
      <c r="CD16" s="17"/>
      <c r="CE16" s="108">
        <f t="shared" si="44"/>
        <v>9197369</v>
      </c>
      <c r="CF16" s="125">
        <f t="shared" si="45"/>
        <v>3791408.4092735653</v>
      </c>
      <c r="CG16" s="110">
        <f t="shared" si="46"/>
        <v>2759210.6999999997</v>
      </c>
      <c r="CH16" s="126">
        <f t="shared" si="47"/>
        <v>34870979410581.301</v>
      </c>
      <c r="CJ16" s="127">
        <f t="shared" si="48"/>
        <v>0</v>
      </c>
      <c r="CK16" s="128" t="e">
        <f t="shared" si="49"/>
        <v>#DIV/0!</v>
      </c>
      <c r="CL16" s="129" t="e">
        <f t="shared" si="50"/>
        <v>#DIV/0!</v>
      </c>
      <c r="CM16" s="130" t="e">
        <f t="shared" si="51"/>
        <v>#DIV/0!</v>
      </c>
      <c r="CO16" s="131" t="e">
        <f t="shared" si="52"/>
        <v>#DIV/0!</v>
      </c>
      <c r="CP16" s="1">
        <f t="shared" si="53"/>
        <v>0</v>
      </c>
      <c r="CQ16" s="132">
        <f t="shared" si="54"/>
        <v>0.3</v>
      </c>
      <c r="CS16" s="104">
        <f t="shared" si="55"/>
        <v>3.2313751927867659E-2</v>
      </c>
    </row>
    <row r="17" spans="1:97" ht="16.5" customHeight="1">
      <c r="A17" s="136"/>
      <c r="B17" s="137"/>
      <c r="C17" s="138"/>
      <c r="D17" s="139"/>
      <c r="E17" s="139"/>
      <c r="F17" s="139"/>
      <c r="G17" s="140"/>
      <c r="H17" s="141"/>
      <c r="J17" s="142"/>
      <c r="K17" s="143"/>
      <c r="L17" s="143"/>
      <c r="M17" s="207"/>
      <c r="N17" s="144"/>
      <c r="O17" s="145"/>
      <c r="P17" s="146"/>
      <c r="Q17" s="142"/>
      <c r="R17" s="143"/>
      <c r="S17" s="143"/>
      <c r="T17" s="207"/>
      <c r="U17" s="144"/>
      <c r="V17" s="145"/>
      <c r="W17" s="146"/>
      <c r="X17" s="142"/>
      <c r="Y17" s="143"/>
      <c r="Z17" s="143"/>
      <c r="AA17" s="143"/>
      <c r="AB17" s="144"/>
      <c r="AC17" s="145"/>
      <c r="AD17" s="146"/>
      <c r="AE17" s="142"/>
      <c r="AF17" s="143"/>
      <c r="AG17" s="143"/>
      <c r="AH17" s="143"/>
      <c r="AI17" s="144"/>
      <c r="AJ17" s="145"/>
      <c r="AK17" s="146"/>
      <c r="AL17" s="142"/>
      <c r="AM17" s="143"/>
      <c r="AN17" s="143"/>
      <c r="AO17" s="143"/>
      <c r="AP17" s="147"/>
      <c r="AQ17" s="145"/>
      <c r="AR17" s="146"/>
      <c r="AT17" s="148"/>
      <c r="AU17" s="149"/>
      <c r="AV17" s="149"/>
      <c r="AW17" s="149"/>
      <c r="AX17" s="150"/>
      <c r="AY17" s="104" t="e">
        <f t="shared" si="28"/>
        <v>#DIV/0!</v>
      </c>
      <c r="AZ17" s="151"/>
      <c r="BA17" s="152"/>
      <c r="BB17" s="152"/>
      <c r="BC17" s="152"/>
      <c r="BD17" s="152"/>
      <c r="BE17" s="107">
        <f t="shared" si="29"/>
        <v>0</v>
      </c>
      <c r="BG17" s="153"/>
      <c r="BH17" s="154"/>
      <c r="BI17" s="155"/>
      <c r="BJ17" s="156"/>
      <c r="BL17" s="112"/>
      <c r="BM17" s="112"/>
      <c r="BN17" s="113"/>
      <c r="BO17" s="157"/>
      <c r="BP17" s="115"/>
      <c r="BQ17" s="116">
        <f t="shared" si="35"/>
        <v>0</v>
      </c>
      <c r="BR17" s="117">
        <f t="shared" si="36"/>
        <v>0</v>
      </c>
      <c r="BS17" s="118">
        <f t="shared" si="37"/>
        <v>0</v>
      </c>
      <c r="BT17" s="119">
        <f t="shared" si="38"/>
        <v>0</v>
      </c>
      <c r="BU17" s="119">
        <f t="shared" si="39"/>
        <v>0</v>
      </c>
      <c r="BV17" s="119">
        <f t="shared" si="56"/>
        <v>0</v>
      </c>
      <c r="BW17" s="120">
        <f t="shared" si="40"/>
        <v>0</v>
      </c>
      <c r="BX17" s="121">
        <f t="shared" si="41"/>
        <v>0</v>
      </c>
      <c r="BY17" s="122">
        <f t="shared" si="42"/>
        <v>0</v>
      </c>
      <c r="BZ17" s="158"/>
      <c r="CA17" s="156"/>
      <c r="CC17" s="159"/>
      <c r="CD17" s="17"/>
      <c r="CE17" s="153"/>
      <c r="CF17" s="160"/>
      <c r="CG17" s="155">
        <f t="shared" si="46"/>
        <v>0</v>
      </c>
      <c r="CH17" s="161">
        <f t="shared" si="47"/>
        <v>0</v>
      </c>
      <c r="CJ17" s="127"/>
      <c r="CK17" s="128" t="e">
        <f t="shared" si="49"/>
        <v>#DIV/0!</v>
      </c>
      <c r="CL17" s="129" t="e">
        <f t="shared" si="50"/>
        <v>#DIV/0!</v>
      </c>
      <c r="CM17" s="162"/>
      <c r="CO17" s="131"/>
      <c r="CP17" s="1">
        <f t="shared" si="53"/>
        <v>0</v>
      </c>
      <c r="CQ17" s="132"/>
      <c r="CS17" s="104">
        <f t="shared" si="55"/>
        <v>0</v>
      </c>
    </row>
    <row r="18" spans="1:97">
      <c r="A18" s="133" t="s">
        <v>90</v>
      </c>
      <c r="B18" s="90" t="s">
        <v>91</v>
      </c>
      <c r="C18" s="91">
        <f>'Sizing - Reimb Expen-24'!B11</f>
        <v>4295390</v>
      </c>
      <c r="D18" s="92">
        <f>'Ridership-24'!$E10</f>
        <v>179874</v>
      </c>
      <c r="E18" s="92">
        <f>'Revenue Hours-24'!$F10</f>
        <v>40268</v>
      </c>
      <c r="F18" s="92">
        <f>'Revenue Miles-24'!$F10</f>
        <v>598250</v>
      </c>
      <c r="G18" s="134">
        <f t="shared" si="0"/>
        <v>7.7036447428633177E-3</v>
      </c>
      <c r="H18" s="94">
        <f t="shared" si="1"/>
        <v>7.2727903432004319E-3</v>
      </c>
      <c r="J18" s="95">
        <f>'Ridership-24'!B10/'Revenue Hours-24'!C10</f>
        <v>6.326061550447994</v>
      </c>
      <c r="K18" s="96">
        <f>'Ridership-24'!C10/'Revenue Hours-24'!D10</f>
        <v>5.5934530095036958</v>
      </c>
      <c r="L18" s="96">
        <f>'Ridership-24'!D10/'Revenue Hours-24'!E10</f>
        <v>3.4815432129025932</v>
      </c>
      <c r="M18" s="207">
        <f>'Ridership-24'!E10/'Revenue Hours-24'!L10</f>
        <v>4.4669216251117509</v>
      </c>
      <c r="N18" s="97">
        <f t="shared" si="2"/>
        <v>1.0317484320832804</v>
      </c>
      <c r="O18" s="98">
        <f t="shared" si="3"/>
        <v>7.5036900334674679E-3</v>
      </c>
      <c r="P18" s="99">
        <f t="shared" si="4"/>
        <v>7.1125024647288411E-3</v>
      </c>
      <c r="Q18" s="95">
        <f>'Ridership-24'!B10/'Revenue Miles-24'!C10</f>
        <v>0.39410887442709325</v>
      </c>
      <c r="R18" s="96">
        <f>'Ridership-24'!C10/'Revenue Miles-24'!D10</f>
        <v>0.3427235145820865</v>
      </c>
      <c r="S18" s="96">
        <f>'Ridership-24'!D10/'Revenue Miles-24'!E10</f>
        <v>0.23255357049300571</v>
      </c>
      <c r="T18" s="207">
        <f>'Ridership-24'!E10/'Revenue Miles-24'!L10</f>
        <v>0.30066694525699961</v>
      </c>
      <c r="U18" s="97">
        <f t="shared" si="5"/>
        <v>1.0693183510750313</v>
      </c>
      <c r="V18" s="98">
        <f t="shared" si="6"/>
        <v>7.7769281775054962E-3</v>
      </c>
      <c r="W18" s="99">
        <f t="shared" si="7"/>
        <v>7.3791753778375165E-3</v>
      </c>
      <c r="X18" s="95">
        <f>'Op Cost-24'!B11/'Revenue Hours-24'!C10</f>
        <v>73.36560186988703</v>
      </c>
      <c r="Y18" s="96">
        <f>'Op Cost-24'!C11/'Revenue Hours-24'!D10</f>
        <v>71.54291748378337</v>
      </c>
      <c r="Z18" s="96">
        <f>'Op Cost-24'!D11/'Revenue Hours-24'!E10</f>
        <v>97.854576204715912</v>
      </c>
      <c r="AA18" s="96">
        <f>'Op Cost-24'!E11/'Revenue Hours-24'!F10</f>
        <v>112.67122777391477</v>
      </c>
      <c r="AB18" s="97">
        <f t="shared" si="8"/>
        <v>1.0753667804942089</v>
      </c>
      <c r="AC18" s="98">
        <f t="shared" si="9"/>
        <v>6.7630788630629437E-3</v>
      </c>
      <c r="AD18" s="99">
        <f t="shared" si="10"/>
        <v>6.8007708195203182E-3</v>
      </c>
      <c r="AE18" s="95">
        <f>'Op Cost-24'!B11/'Revenue Miles-24'!C10</f>
        <v>4.5706217911458378</v>
      </c>
      <c r="AF18" s="96">
        <f>'Op Cost-24'!C11/'Revenue Miles-24'!D10</f>
        <v>4.38359633697433</v>
      </c>
      <c r="AG18" s="96">
        <f>'Op Cost-24'!D11/'Revenue Miles-24'!E10</f>
        <v>6.5363057971394145</v>
      </c>
      <c r="AH18" s="96">
        <f>'Op Cost-24'!E11/'Revenue Miles-24'!F10</f>
        <v>7.5838612620142083</v>
      </c>
      <c r="AI18" s="97">
        <f t="shared" si="11"/>
        <v>1.1120931991872134</v>
      </c>
      <c r="AJ18" s="98">
        <f t="shared" si="12"/>
        <v>6.5397309762489676E-3</v>
      </c>
      <c r="AK18" s="99">
        <f t="shared" si="13"/>
        <v>6.5471221315350223E-3</v>
      </c>
      <c r="AL18" s="95">
        <f>'Op Cost-24'!B11/'Ridership-24'!B10</f>
        <v>11.597358211712544</v>
      </c>
      <c r="AM18" s="96">
        <f>'Op Cost-24'!C11/'Ridership-24'!C10</f>
        <v>12.790474392513282</v>
      </c>
      <c r="AN18" s="96">
        <f>'Op Cost-24'!D11/'Ridership-24'!D10</f>
        <v>28.106667136018022</v>
      </c>
      <c r="AO18" s="96">
        <f>'Op Cost-24'!E11/'Ridership-24'!E10</f>
        <v>25.223461978940815</v>
      </c>
      <c r="AP18" s="100">
        <f t="shared" si="14"/>
        <v>1.0520580090790668</v>
      </c>
      <c r="AQ18" s="98">
        <f t="shared" si="15"/>
        <v>6.9129176152242476E-3</v>
      </c>
      <c r="AR18" s="99">
        <f t="shared" si="16"/>
        <v>7.3182118971967898E-3</v>
      </c>
      <c r="AT18" s="101">
        <f t="shared" si="27"/>
        <v>0</v>
      </c>
      <c r="AU18" s="102">
        <f t="shared" si="17"/>
        <v>0</v>
      </c>
      <c r="AV18" s="102">
        <f t="shared" si="18"/>
        <v>0</v>
      </c>
      <c r="AW18" s="102">
        <f t="shared" si="19"/>
        <v>0</v>
      </c>
      <c r="AX18" s="103">
        <f t="shared" si="20"/>
        <v>0</v>
      </c>
      <c r="AY18" s="104">
        <f t="shared" si="28"/>
        <v>-1</v>
      </c>
      <c r="AZ18" s="105">
        <f t="shared" si="21"/>
        <v>0</v>
      </c>
      <c r="BA18" s="106">
        <f t="shared" si="21"/>
        <v>0</v>
      </c>
      <c r="BB18" s="106">
        <f t="shared" si="21"/>
        <v>0</v>
      </c>
      <c r="BC18" s="106">
        <f t="shared" si="21"/>
        <v>0</v>
      </c>
      <c r="BD18" s="106">
        <f t="shared" si="21"/>
        <v>0</v>
      </c>
      <c r="BE18" s="107">
        <f t="shared" si="29"/>
        <v>920756.05472044006</v>
      </c>
      <c r="BG18" s="108">
        <f>'Op Cost-24'!E11</f>
        <v>4537045</v>
      </c>
      <c r="BH18" s="109">
        <f t="shared" si="22"/>
        <v>0.20294179465278392</v>
      </c>
      <c r="BI18" s="110">
        <f t="shared" si="23"/>
        <v>920756.05472044006</v>
      </c>
      <c r="BJ18" s="111">
        <f t="shared" si="24"/>
        <v>0</v>
      </c>
      <c r="BK18" s="1">
        <f t="shared" si="30"/>
        <v>0.52546403169420941</v>
      </c>
      <c r="BL18" s="112">
        <f t="shared" si="31"/>
        <v>0.49889656126297199</v>
      </c>
      <c r="BM18" s="112">
        <f t="shared" si="32"/>
        <v>0.48509036035568009</v>
      </c>
      <c r="BN18" s="113">
        <f t="shared" si="33"/>
        <v>0.55893460257909289</v>
      </c>
      <c r="BO18" s="114">
        <f t="shared" si="25"/>
        <v>920756.05472044006</v>
      </c>
      <c r="BP18" s="115">
        <f t="shared" si="34"/>
        <v>3.8215897354048119E-3</v>
      </c>
      <c r="BQ18" s="116">
        <f t="shared" si="35"/>
        <v>3.8215897354048119E-3</v>
      </c>
      <c r="BR18" s="117">
        <f t="shared" si="36"/>
        <v>6.2966033275087107E-3</v>
      </c>
      <c r="BS18" s="118">
        <f t="shared" si="37"/>
        <v>1000332.6982680677</v>
      </c>
      <c r="BT18" s="119">
        <f t="shared" si="38"/>
        <v>1361113.5</v>
      </c>
      <c r="BU18" s="119">
        <f t="shared" si="39"/>
        <v>1000332.6982680677</v>
      </c>
      <c r="BV18" s="119">
        <f t="shared" si="56"/>
        <v>0</v>
      </c>
      <c r="BW18" s="120">
        <f t="shared" si="40"/>
        <v>3.8215897354048119E-3</v>
      </c>
      <c r="BX18" s="121">
        <f t="shared" si="41"/>
        <v>8.3740807774968576E-3</v>
      </c>
      <c r="BY18" s="122">
        <f t="shared" si="42"/>
        <v>1019300.2777637771</v>
      </c>
      <c r="BZ18" s="123">
        <f t="shared" ref="BZ18:BZ50" si="58">BY18*$BO$6</f>
        <v>12881944542582.219</v>
      </c>
      <c r="CA18" s="111">
        <f t="shared" si="57"/>
        <v>12881945463338</v>
      </c>
      <c r="CC18" s="124">
        <f t="shared" si="26"/>
        <v>1</v>
      </c>
      <c r="CD18" s="17"/>
      <c r="CE18" s="108">
        <f t="shared" si="44"/>
        <v>4537045</v>
      </c>
      <c r="CF18" s="125">
        <f t="shared" si="45"/>
        <v>2839280.9556303718</v>
      </c>
      <c r="CG18" s="110">
        <f t="shared" si="46"/>
        <v>1361113.5</v>
      </c>
      <c r="CH18" s="126">
        <f t="shared" si="47"/>
        <v>12881944102224.5</v>
      </c>
      <c r="CJ18" s="127">
        <f t="shared" si="48"/>
        <v>0</v>
      </c>
      <c r="CK18" s="128" t="e">
        <f t="shared" si="49"/>
        <v>#DIV/0!</v>
      </c>
      <c r="CL18" s="129" t="e">
        <f t="shared" si="50"/>
        <v>#DIV/0!</v>
      </c>
      <c r="CM18" s="130" t="e">
        <f t="shared" si="51"/>
        <v>#DIV/0!</v>
      </c>
      <c r="CO18" s="131" t="e">
        <f t="shared" si="52"/>
        <v>#DIV/0!</v>
      </c>
      <c r="CP18" s="1">
        <f t="shared" si="53"/>
        <v>0</v>
      </c>
      <c r="CQ18" s="132">
        <f t="shared" si="54"/>
        <v>0.22466170773350871</v>
      </c>
      <c r="CS18" s="104">
        <f t="shared" si="55"/>
        <v>3.0583273558430113E-3</v>
      </c>
    </row>
    <row r="19" spans="1:97">
      <c r="A19" s="133" t="s">
        <v>92</v>
      </c>
      <c r="B19" s="90" t="s">
        <v>93</v>
      </c>
      <c r="C19" s="91">
        <f>'Sizing - Reimb Expen-24'!B12</f>
        <v>1722873</v>
      </c>
      <c r="D19" s="92">
        <f>'Ridership-24'!$E11</f>
        <v>75266</v>
      </c>
      <c r="E19" s="92">
        <f>'Revenue Hours-24'!$F11</f>
        <v>21618</v>
      </c>
      <c r="F19" s="92">
        <f>'Revenue Miles-24'!$F11</f>
        <v>415022</v>
      </c>
      <c r="G19" s="134">
        <f t="shared" si="0"/>
        <v>3.7326174064224856E-3</v>
      </c>
      <c r="H19" s="94">
        <f t="shared" si="1"/>
        <v>3.5238571785699158E-3</v>
      </c>
      <c r="J19" s="95">
        <f>'Ridership-24'!B11/'Revenue Hours-24'!C11</f>
        <v>7.655356409905596</v>
      </c>
      <c r="K19" s="96">
        <f>'Ridership-24'!C11/'Revenue Hours-24'!D11</f>
        <v>6.7021276595744679</v>
      </c>
      <c r="L19" s="96">
        <f>'Ridership-24'!D11/'Revenue Hours-24'!E11</f>
        <v>5.361326293975428</v>
      </c>
      <c r="M19" s="207">
        <f>'Ridership-24'!E11/'Revenue Hours-24'!L11</f>
        <v>3.4816356739753909</v>
      </c>
      <c r="N19" s="97">
        <f t="shared" si="2"/>
        <v>0.98008321006467869</v>
      </c>
      <c r="O19" s="98">
        <f t="shared" si="3"/>
        <v>3.4536732553822648E-3</v>
      </c>
      <c r="P19" s="99">
        <f t="shared" si="4"/>
        <v>3.2736239679030631E-3</v>
      </c>
      <c r="Q19" s="95">
        <f>'Ridership-24'!B11/'Revenue Miles-24'!C11</f>
        <v>0.43287508026520399</v>
      </c>
      <c r="R19" s="96">
        <f>'Ridership-24'!C11/'Revenue Miles-24'!D11</f>
        <v>0.35838935027674113</v>
      </c>
      <c r="S19" s="96">
        <f>'Ridership-24'!D11/'Revenue Miles-24'!E11</f>
        <v>0.29459705668644059</v>
      </c>
      <c r="T19" s="207">
        <f>'Ridership-24'!E11/'Revenue Miles-24'!L11</f>
        <v>0.18135424146189841</v>
      </c>
      <c r="U19" s="97">
        <f t="shared" si="5"/>
        <v>0.96747421208448736</v>
      </c>
      <c r="V19" s="98">
        <f t="shared" si="6"/>
        <v>3.4092409473351938E-3</v>
      </c>
      <c r="W19" s="99">
        <f t="shared" si="7"/>
        <v>3.2348745264818325E-3</v>
      </c>
      <c r="X19" s="95">
        <f>'Op Cost-24'!B12/'Revenue Hours-24'!C11</f>
        <v>69.455055411136954</v>
      </c>
      <c r="Y19" s="96">
        <f>'Op Cost-24'!C12/'Revenue Hours-24'!D11</f>
        <v>66.919313392948922</v>
      </c>
      <c r="Z19" s="96">
        <f>'Op Cost-24'!D12/'Revenue Hours-24'!E11</f>
        <v>71.305225243005879</v>
      </c>
      <c r="AA19" s="96">
        <f>'Op Cost-24'!E12/'Revenue Hours-24'!F11</f>
        <v>79.874363955962622</v>
      </c>
      <c r="AB19" s="97">
        <f t="shared" si="8"/>
        <v>0.97864829271439469</v>
      </c>
      <c r="AC19" s="98">
        <f t="shared" si="9"/>
        <v>3.6007391059724725E-3</v>
      </c>
      <c r="AD19" s="99">
        <f t="shared" si="10"/>
        <v>3.6208067267033085E-3</v>
      </c>
      <c r="AE19" s="95">
        <f>'Op Cost-24'!B12/'Revenue Miles-24'!C11</f>
        <v>3.9273628915588081</v>
      </c>
      <c r="AF19" s="96">
        <f>'Op Cost-24'!C12/'Revenue Miles-24'!D11</f>
        <v>3.578441125871858</v>
      </c>
      <c r="AG19" s="96">
        <f>'Op Cost-24'!D12/'Revenue Miles-24'!E11</f>
        <v>3.9181180795800845</v>
      </c>
      <c r="AH19" s="96">
        <f>'Op Cost-24'!E12/'Revenue Miles-24'!F11</f>
        <v>4.1605601630756928</v>
      </c>
      <c r="AI19" s="97">
        <f t="shared" si="11"/>
        <v>0.95623417116569043</v>
      </c>
      <c r="AJ19" s="98">
        <f t="shared" si="12"/>
        <v>3.6851404026632759E-3</v>
      </c>
      <c r="AK19" s="99">
        <f t="shared" si="13"/>
        <v>3.6893053209245807E-3</v>
      </c>
      <c r="AL19" s="95">
        <f>'Op Cost-24'!B12/'Ridership-24'!B11</f>
        <v>9.0727396207531328</v>
      </c>
      <c r="AM19" s="96">
        <f>'Op Cost-24'!C12/'Ridership-24'!C11</f>
        <v>9.9847864427574571</v>
      </c>
      <c r="AN19" s="96">
        <f>'Op Cost-24'!D12/'Ridership-24'!D11</f>
        <v>13.299922693220932</v>
      </c>
      <c r="AO19" s="96">
        <f>'Op Cost-24'!E12/'Ridership-24'!E11</f>
        <v>22.941620386363031</v>
      </c>
      <c r="AP19" s="100">
        <f t="shared" si="14"/>
        <v>1.2845529000575469</v>
      </c>
      <c r="AQ19" s="98">
        <f t="shared" si="15"/>
        <v>2.7432557883852429E-3</v>
      </c>
      <c r="AR19" s="99">
        <f t="shared" si="16"/>
        <v>2.9040888760777758E-3</v>
      </c>
      <c r="AT19" s="101">
        <f t="shared" si="27"/>
        <v>0</v>
      </c>
      <c r="AU19" s="102">
        <f t="shared" si="17"/>
        <v>0</v>
      </c>
      <c r="AV19" s="102">
        <f t="shared" si="18"/>
        <v>0</v>
      </c>
      <c r="AW19" s="102">
        <f t="shared" si="19"/>
        <v>0</v>
      </c>
      <c r="AX19" s="103">
        <f t="shared" si="20"/>
        <v>0</v>
      </c>
      <c r="AY19" s="104">
        <f t="shared" si="28"/>
        <v>-1</v>
      </c>
      <c r="AZ19" s="105">
        <f t="shared" si="21"/>
        <v>0</v>
      </c>
      <c r="BA19" s="106">
        <f t="shared" si="21"/>
        <v>0</v>
      </c>
      <c r="BB19" s="106">
        <f t="shared" si="21"/>
        <v>0</v>
      </c>
      <c r="BC19" s="106">
        <f t="shared" si="21"/>
        <v>0</v>
      </c>
      <c r="BD19" s="106">
        <f t="shared" si="21"/>
        <v>0</v>
      </c>
      <c r="BE19" s="107">
        <f t="shared" si="29"/>
        <v>446130.39562893915</v>
      </c>
      <c r="BG19" s="108">
        <f>'Op Cost-24'!E12</f>
        <v>1726724</v>
      </c>
      <c r="BH19" s="109">
        <f t="shared" si="22"/>
        <v>0.25836809798725169</v>
      </c>
      <c r="BI19" s="110">
        <f t="shared" si="23"/>
        <v>446130.39562893915</v>
      </c>
      <c r="BJ19" s="111">
        <f t="shared" si="24"/>
        <v>0</v>
      </c>
      <c r="BK19" s="1">
        <f t="shared" si="30"/>
        <v>0.4776255838631982</v>
      </c>
      <c r="BL19" s="112">
        <f t="shared" si="31"/>
        <v>0.38885304267530274</v>
      </c>
      <c r="BM19" s="112">
        <f t="shared" si="32"/>
        <v>0.29259350164876585</v>
      </c>
      <c r="BN19" s="113">
        <f t="shared" si="33"/>
        <v>0.61452789556436216</v>
      </c>
      <c r="BO19" s="114">
        <f t="shared" si="25"/>
        <v>446130.39562893915</v>
      </c>
      <c r="BP19" s="115">
        <f t="shared" si="34"/>
        <v>1.6830843423649782E-3</v>
      </c>
      <c r="BQ19" s="116">
        <f t="shared" si="35"/>
        <v>1.6830843423649782E-3</v>
      </c>
      <c r="BR19" s="117">
        <f t="shared" si="36"/>
        <v>2.7731167405102269E-3</v>
      </c>
      <c r="BS19" s="118">
        <f t="shared" si="37"/>
        <v>481177.12017190835</v>
      </c>
      <c r="BT19" s="119">
        <f t="shared" si="38"/>
        <v>518017.19999999995</v>
      </c>
      <c r="BU19" s="119">
        <f t="shared" si="39"/>
        <v>481177.12017190835</v>
      </c>
      <c r="BV19" s="119">
        <f t="shared" si="56"/>
        <v>0</v>
      </c>
      <c r="BW19" s="120">
        <f t="shared" si="40"/>
        <v>1.6830843423649782E-3</v>
      </c>
      <c r="BX19" s="121">
        <f t="shared" si="41"/>
        <v>3.6880683731508736E-3</v>
      </c>
      <c r="BY19" s="122">
        <f t="shared" si="42"/>
        <v>489530.72123118315</v>
      </c>
      <c r="BZ19" s="123">
        <f t="shared" si="58"/>
        <v>6186702525604.3525</v>
      </c>
      <c r="CA19" s="111">
        <f t="shared" si="57"/>
        <v>6186702971735</v>
      </c>
      <c r="CC19" s="124">
        <f t="shared" si="26"/>
        <v>1</v>
      </c>
      <c r="CD19" s="17"/>
      <c r="CE19" s="108">
        <f t="shared" si="44"/>
        <v>1726724</v>
      </c>
      <c r="CF19" s="125">
        <f t="shared" si="45"/>
        <v>3582913.6397797214</v>
      </c>
      <c r="CG19" s="110">
        <f t="shared" si="46"/>
        <v>518017.19999999995</v>
      </c>
      <c r="CH19" s="126">
        <f t="shared" si="47"/>
        <v>6186702453717.7998</v>
      </c>
      <c r="CJ19" s="127">
        <f t="shared" si="48"/>
        <v>0</v>
      </c>
      <c r="CK19" s="128" t="e">
        <f t="shared" si="49"/>
        <v>#DIV/0!</v>
      </c>
      <c r="CL19" s="129" t="e">
        <f t="shared" si="50"/>
        <v>#DIV/0!</v>
      </c>
      <c r="CM19" s="130" t="e">
        <f t="shared" si="51"/>
        <v>#DIV/0!</v>
      </c>
      <c r="CO19" s="131" t="e">
        <f t="shared" si="52"/>
        <v>#DIV/0!</v>
      </c>
      <c r="CP19" s="1">
        <f t="shared" si="53"/>
        <v>0</v>
      </c>
      <c r="CQ19" s="132">
        <f t="shared" si="54"/>
        <v>0.28350258711362275</v>
      </c>
      <c r="CS19" s="104">
        <f>BP19/$BP$51</f>
        <v>1.346932361356838E-3</v>
      </c>
    </row>
    <row r="20" spans="1:97">
      <c r="A20" s="133" t="s">
        <v>92</v>
      </c>
      <c r="B20" s="90" t="s">
        <v>94</v>
      </c>
      <c r="C20" s="91">
        <f>'Sizing - Reimb Expen-24'!B13</f>
        <v>161701</v>
      </c>
      <c r="D20" s="92">
        <f>'Ridership-24'!$E12</f>
        <v>5437</v>
      </c>
      <c r="E20" s="92">
        <f>'Revenue Hours-24'!$F12</f>
        <v>3090</v>
      </c>
      <c r="F20" s="92">
        <f>'Revenue Miles-24'!$F12</f>
        <v>52366</v>
      </c>
      <c r="G20" s="134">
        <f t="shared" si="0"/>
        <v>4.0487067568259309E-4</v>
      </c>
      <c r="H20" s="94">
        <f t="shared" si="1"/>
        <v>3.8222680804137919E-4</v>
      </c>
      <c r="J20" s="95">
        <f>'Ridership-24'!B12/'Revenue Hours-24'!C12</f>
        <v>1.4845748683220465</v>
      </c>
      <c r="K20" s="96">
        <f>'Ridership-24'!C12/'Revenue Hours-24'!D12</f>
        <v>2.5672572178477688</v>
      </c>
      <c r="L20" s="96">
        <f>'Ridership-24'!D12/'Revenue Hours-24'!E12</f>
        <v>1.3415032679738561</v>
      </c>
      <c r="M20" s="207">
        <f>'Ridership-24'!E12/'Revenue Hours-24'!L12</f>
        <v>1.759546925566343</v>
      </c>
      <c r="N20" s="97">
        <f t="shared" si="2"/>
        <v>1.2572030407161214</v>
      </c>
      <c r="O20" s="98">
        <f t="shared" si="3"/>
        <v>4.8053670531283916E-4</v>
      </c>
      <c r="P20" s="99">
        <f t="shared" si="4"/>
        <v>4.5548503278870989E-4</v>
      </c>
      <c r="Q20" s="95">
        <f>'Ridership-24'!B12/'Revenue Miles-24'!C12</f>
        <v>0.10409137671792978</v>
      </c>
      <c r="R20" s="96">
        <f>'Ridership-24'!C12/'Revenue Miles-24'!D12</f>
        <v>0.14723314580314975</v>
      </c>
      <c r="S20" s="96">
        <f>'Ridership-24'!D12/'Revenue Miles-24'!E12</f>
        <v>8.4451119157340354E-2</v>
      </c>
      <c r="T20" s="207">
        <f>'Ridership-24'!E12/'Revenue Miles-24'!L12</f>
        <v>0.10382691059084138</v>
      </c>
      <c r="U20" s="97">
        <f t="shared" si="5"/>
        <v>1.1688954873954811</v>
      </c>
      <c r="V20" s="98">
        <f t="shared" si="6"/>
        <v>4.4678319108114691E-4</v>
      </c>
      <c r="W20" s="99">
        <f t="shared" si="7"/>
        <v>4.2393236090231895E-4</v>
      </c>
      <c r="X20" s="95">
        <f>'Op Cost-24'!B13/'Revenue Hours-24'!C12</f>
        <v>60.401805869074494</v>
      </c>
      <c r="Y20" s="96">
        <f>'Op Cost-24'!C13/'Revenue Hours-24'!D12</f>
        <v>44.952755905511808</v>
      </c>
      <c r="Z20" s="96">
        <f>'Op Cost-24'!D13/'Revenue Hours-24'!E12</f>
        <v>49.306209150326801</v>
      </c>
      <c r="AA20" s="96">
        <f>'Op Cost-24'!E13/'Revenue Hours-24'!F12</f>
        <v>54.219417475728157</v>
      </c>
      <c r="AB20" s="97">
        <f t="shared" si="8"/>
        <v>0.90864591691387275</v>
      </c>
      <c r="AC20" s="98">
        <f t="shared" si="9"/>
        <v>4.2065539604203064E-4</v>
      </c>
      <c r="AD20" s="99">
        <f t="shared" si="10"/>
        <v>4.2299979053930185E-4</v>
      </c>
      <c r="AE20" s="95">
        <f>'Op Cost-24'!B13/'Revenue Miles-24'!C12</f>
        <v>4.2350892927800787</v>
      </c>
      <c r="AF20" s="96">
        <f>'Op Cost-24'!C13/'Revenue Miles-24'!D12</f>
        <v>2.5780570869475228</v>
      </c>
      <c r="AG20" s="96">
        <f>'Op Cost-24'!D13/'Revenue Miles-24'!E12</f>
        <v>3.103954081632653</v>
      </c>
      <c r="AH20" s="96">
        <f>'Op Cost-24'!E13/'Revenue Miles-24'!F12</f>
        <v>3.1993660008402398</v>
      </c>
      <c r="AI20" s="97">
        <f t="shared" si="11"/>
        <v>0.87542903217382262</v>
      </c>
      <c r="AJ20" s="98">
        <f t="shared" si="12"/>
        <v>4.3661655484768681E-4</v>
      </c>
      <c r="AK20" s="99">
        <f t="shared" si="13"/>
        <v>4.3711001562903419E-4</v>
      </c>
      <c r="AL20" s="95">
        <f>'Op Cost-24'!B13/'Ridership-24'!B12</f>
        <v>40.686264571718198</v>
      </c>
      <c r="AM20" s="96">
        <f>'Op Cost-24'!C13/'Ridership-24'!C12</f>
        <v>17.510031948881789</v>
      </c>
      <c r="AN20" s="96">
        <f>'Op Cost-24'!D13/'Ridership-24'!D12</f>
        <v>36.754445797807549</v>
      </c>
      <c r="AO20" s="96">
        <f>'Op Cost-24'!E13/'Ridership-24'!E12</f>
        <v>30.814419716755562</v>
      </c>
      <c r="AP20" s="100">
        <f t="shared" si="14"/>
        <v>0.79388736805371352</v>
      </c>
      <c r="AQ20" s="98">
        <f t="shared" si="15"/>
        <v>4.8146226205669789E-4</v>
      </c>
      <c r="AR20" s="99">
        <f t="shared" si="16"/>
        <v>5.0968969259447886E-4</v>
      </c>
      <c r="AT20" s="101">
        <f t="shared" si="27"/>
        <v>0</v>
      </c>
      <c r="AU20" s="102">
        <f t="shared" si="17"/>
        <v>0</v>
      </c>
      <c r="AV20" s="102">
        <f t="shared" si="18"/>
        <v>0</v>
      </c>
      <c r="AW20" s="102">
        <f t="shared" si="19"/>
        <v>0</v>
      </c>
      <c r="AX20" s="103">
        <f t="shared" si="20"/>
        <v>0</v>
      </c>
      <c r="AY20" s="104">
        <f t="shared" si="28"/>
        <v>-1</v>
      </c>
      <c r="AZ20" s="105">
        <f t="shared" si="21"/>
        <v>0</v>
      </c>
      <c r="BA20" s="106">
        <f t="shared" si="21"/>
        <v>0</v>
      </c>
      <c r="BB20" s="106">
        <f t="shared" si="21"/>
        <v>0</v>
      </c>
      <c r="BC20" s="106">
        <f t="shared" si="21"/>
        <v>0</v>
      </c>
      <c r="BD20" s="106">
        <f t="shared" si="21"/>
        <v>0</v>
      </c>
      <c r="BE20" s="107">
        <f t="shared" si="29"/>
        <v>48391.006913818877</v>
      </c>
      <c r="BG20" s="108">
        <f>'Op Cost-24'!E13</f>
        <v>167538</v>
      </c>
      <c r="BH20" s="109">
        <f t="shared" si="22"/>
        <v>0.28883600683915817</v>
      </c>
      <c r="BI20" s="110">
        <f t="shared" si="23"/>
        <v>48391.006913818877</v>
      </c>
      <c r="BJ20" s="111">
        <f t="shared" si="24"/>
        <v>0</v>
      </c>
      <c r="BK20" s="1">
        <f t="shared" si="30"/>
        <v>0.31976852202394845</v>
      </c>
      <c r="BL20" s="112">
        <f t="shared" si="31"/>
        <v>0.19651831489743721</v>
      </c>
      <c r="BM20" s="112">
        <f t="shared" si="32"/>
        <v>0.16751237296829424</v>
      </c>
      <c r="BN20" s="113">
        <f t="shared" si="33"/>
        <v>0.45752170011503124</v>
      </c>
      <c r="BO20" s="114">
        <f t="shared" si="25"/>
        <v>48391.006913818877</v>
      </c>
      <c r="BP20" s="115">
        <f t="shared" si="34"/>
        <v>1.2222410148532328E-4</v>
      </c>
      <c r="BQ20" s="116">
        <f t="shared" si="35"/>
        <v>1.2222410148532328E-4</v>
      </c>
      <c r="BR20" s="117">
        <f t="shared" si="36"/>
        <v>2.0138129349270073E-4</v>
      </c>
      <c r="BS20" s="118">
        <f t="shared" si="37"/>
        <v>50936.069160223611</v>
      </c>
      <c r="BT20" s="119">
        <f t="shared" si="38"/>
        <v>50261.4</v>
      </c>
      <c r="BU20" s="119">
        <f t="shared" si="39"/>
        <v>50261.4</v>
      </c>
      <c r="BV20" s="119">
        <f t="shared" si="56"/>
        <v>674.66916022360965</v>
      </c>
      <c r="BW20" s="120">
        <f t="shared" si="40"/>
        <v>0</v>
      </c>
      <c r="BX20" s="121">
        <f t="shared" si="41"/>
        <v>0</v>
      </c>
      <c r="BY20" s="122">
        <f t="shared" si="42"/>
        <v>50261.4</v>
      </c>
      <c r="BZ20" s="123">
        <f t="shared" si="58"/>
        <v>635204935735.91663</v>
      </c>
      <c r="CA20" s="111">
        <f t="shared" si="57"/>
        <v>635204984127</v>
      </c>
      <c r="CC20" s="124">
        <f t="shared" si="26"/>
        <v>1</v>
      </c>
      <c r="CD20" s="17"/>
      <c r="CE20" s="108">
        <f t="shared" si="44"/>
        <v>167538</v>
      </c>
      <c r="CF20" s="125">
        <f t="shared" si="45"/>
        <v>3791408.4215342193</v>
      </c>
      <c r="CG20" s="110">
        <f t="shared" si="46"/>
        <v>50261.4</v>
      </c>
      <c r="CH20" s="126">
        <f t="shared" si="47"/>
        <v>635204933865.59998</v>
      </c>
      <c r="CJ20" s="127">
        <f t="shared" si="48"/>
        <v>0</v>
      </c>
      <c r="CK20" s="128" t="e">
        <f t="shared" si="49"/>
        <v>#DIV/0!</v>
      </c>
      <c r="CL20" s="129" t="e">
        <f t="shared" si="50"/>
        <v>#DIV/0!</v>
      </c>
      <c r="CM20" s="130" t="e">
        <f t="shared" si="51"/>
        <v>#DIV/0!</v>
      </c>
      <c r="CO20" s="131" t="e">
        <f t="shared" si="52"/>
        <v>#DIV/0!</v>
      </c>
      <c r="CP20" s="1">
        <f t="shared" si="53"/>
        <v>0</v>
      </c>
      <c r="CQ20" s="132">
        <f t="shared" si="54"/>
        <v>0.3</v>
      </c>
      <c r="CS20" s="104">
        <f t="shared" si="55"/>
        <v>9.7813040906208291E-5</v>
      </c>
    </row>
    <row r="21" spans="1:97">
      <c r="A21" s="133" t="s">
        <v>92</v>
      </c>
      <c r="B21" s="90" t="s">
        <v>95</v>
      </c>
      <c r="C21" s="91">
        <f>'Sizing - Reimb Expen-24'!B14</f>
        <v>99106247</v>
      </c>
      <c r="D21" s="92">
        <f>'Ridership-24'!$E13</f>
        <v>6381801</v>
      </c>
      <c r="E21" s="92">
        <f>'Revenue Hours-24'!$F13</f>
        <v>886831</v>
      </c>
      <c r="F21" s="92">
        <f>'Revenue Miles-24'!$F13</f>
        <v>12904187</v>
      </c>
      <c r="G21" s="134">
        <f t="shared" si="0"/>
        <v>0.19425404876544911</v>
      </c>
      <c r="H21" s="94">
        <f t="shared" si="1"/>
        <v>0.18338968334407399</v>
      </c>
      <c r="J21" s="95">
        <f>'Ridership-24'!B13/'Revenue Hours-24'!C13</f>
        <v>12.656717268983227</v>
      </c>
      <c r="K21" s="96">
        <f>'Ridership-24'!C13/'Revenue Hours-24'!D13</f>
        <v>12.193537039037592</v>
      </c>
      <c r="L21" s="96">
        <f>'Ridership-24'!D13/'Revenue Hours-24'!E13</f>
        <v>6.640780447028594</v>
      </c>
      <c r="M21" s="207">
        <f>'Ridership-24'!E13/'Revenue Hours-24'!L13</f>
        <v>7.1961861955660096</v>
      </c>
      <c r="N21" s="97">
        <f t="shared" si="2"/>
        <v>0.95618600608247295</v>
      </c>
      <c r="O21" s="98">
        <f t="shared" si="3"/>
        <v>0.17535464887349952</v>
      </c>
      <c r="P21" s="99">
        <f t="shared" si="4"/>
        <v>0.16621293880100321</v>
      </c>
      <c r="Q21" s="95">
        <f>'Ridership-24'!B13/'Revenue Miles-24'!C13</f>
        <v>0.95192676699971746</v>
      </c>
      <c r="R21" s="96">
        <f>'Ridership-24'!C13/'Revenue Miles-24'!D13</f>
        <v>0.90434093823673278</v>
      </c>
      <c r="S21" s="96">
        <f>'Ridership-24'!D13/'Revenue Miles-24'!E13</f>
        <v>0.46622665154015291</v>
      </c>
      <c r="T21" s="207">
        <f>'Ridership-24'!E13/'Revenue Miles-24'!L13</f>
        <v>0.49455273703023678</v>
      </c>
      <c r="U21" s="97">
        <f t="shared" si="5"/>
        <v>0.93066455285606553</v>
      </c>
      <c r="V21" s="98">
        <f t="shared" si="6"/>
        <v>0.17067427764782805</v>
      </c>
      <c r="W21" s="99">
        <f t="shared" si="7"/>
        <v>0.16194510203809412</v>
      </c>
      <c r="X21" s="95">
        <f>'Op Cost-24'!B14/'Revenue Hours-24'!C13</f>
        <v>88.602471990302604</v>
      </c>
      <c r="Y21" s="96">
        <f>'Op Cost-24'!C14/'Revenue Hours-24'!D13</f>
        <v>89.156752379659721</v>
      </c>
      <c r="Z21" s="96">
        <f>'Op Cost-24'!D14/'Revenue Hours-24'!E13</f>
        <v>107.97198556298591</v>
      </c>
      <c r="AA21" s="96">
        <f>'Op Cost-24'!E14/'Revenue Hours-24'!F13</f>
        <v>112.49719845156518</v>
      </c>
      <c r="AB21" s="97">
        <f t="shared" si="8"/>
        <v>1.0063255941642135</v>
      </c>
      <c r="AC21" s="98">
        <f t="shared" si="9"/>
        <v>0.18223692650526807</v>
      </c>
      <c r="AD21" s="99">
        <f t="shared" si="10"/>
        <v>0.1832525684100634</v>
      </c>
      <c r="AE21" s="95">
        <f>'Op Cost-24'!B14/'Revenue Miles-24'!C13</f>
        <v>6.6638973532737733</v>
      </c>
      <c r="AF21" s="96">
        <f>'Op Cost-24'!C14/'Revenue Miles-24'!D13</f>
        <v>6.6123636512548227</v>
      </c>
      <c r="AG21" s="96">
        <f>'Op Cost-24'!D14/'Revenue Miles-24'!E13</f>
        <v>7.5803465708156237</v>
      </c>
      <c r="AH21" s="96">
        <f>'Op Cost-24'!E14/'Revenue Miles-24'!F13</f>
        <v>7.7312893094311175</v>
      </c>
      <c r="AI21" s="97">
        <f t="shared" si="11"/>
        <v>0.98247248937261578</v>
      </c>
      <c r="AJ21" s="98">
        <f t="shared" si="12"/>
        <v>0.18666139289170569</v>
      </c>
      <c r="AK21" s="99">
        <f t="shared" si="13"/>
        <v>0.18687235620897127</v>
      </c>
      <c r="AL21" s="95">
        <f>'Op Cost-24'!B14/'Ridership-24'!B13</f>
        <v>7.0004306888827621</v>
      </c>
      <c r="AM21" s="96">
        <f>'Op Cost-24'!C14/'Ridership-24'!C13</f>
        <v>7.311803957639567</v>
      </c>
      <c r="AN21" s="96">
        <f>'Op Cost-24'!D14/'Ridership-24'!D13</f>
        <v>16.258930170067252</v>
      </c>
      <c r="AO21" s="96">
        <f>'Op Cost-24'!E14/'Ridership-24'!E13</f>
        <v>15.632891561488677</v>
      </c>
      <c r="AP21" s="97">
        <f t="shared" si="14"/>
        <v>1.0641680221867109</v>
      </c>
      <c r="AQ21" s="98">
        <f t="shared" si="15"/>
        <v>0.1723315111153545</v>
      </c>
      <c r="AR21" s="99">
        <f t="shared" si="16"/>
        <v>0.18243505638326307</v>
      </c>
      <c r="AT21" s="101">
        <f t="shared" si="27"/>
        <v>0</v>
      </c>
      <c r="AU21" s="102">
        <f t="shared" si="17"/>
        <v>0</v>
      </c>
      <c r="AV21" s="102">
        <f t="shared" si="18"/>
        <v>0</v>
      </c>
      <c r="AW21" s="102">
        <f t="shared" si="19"/>
        <v>0</v>
      </c>
      <c r="AX21" s="103">
        <f t="shared" si="20"/>
        <v>0</v>
      </c>
      <c r="AY21" s="104">
        <f t="shared" si="28"/>
        <v>-1</v>
      </c>
      <c r="AZ21" s="105">
        <f t="shared" si="21"/>
        <v>0</v>
      </c>
      <c r="BA21" s="106">
        <f t="shared" si="21"/>
        <v>0</v>
      </c>
      <c r="BB21" s="106">
        <f t="shared" si="21"/>
        <v>0</v>
      </c>
      <c r="BC21" s="106">
        <f t="shared" si="21"/>
        <v>0</v>
      </c>
      <c r="BD21" s="106">
        <f t="shared" si="21"/>
        <v>0</v>
      </c>
      <c r="BE21" s="107">
        <f t="shared" si="29"/>
        <v>23217658.332498256</v>
      </c>
      <c r="BG21" s="108">
        <f>'Op Cost-24'!E14</f>
        <v>99766003</v>
      </c>
      <c r="BH21" s="109">
        <f t="shared" si="22"/>
        <v>0.23272114381988679</v>
      </c>
      <c r="BI21" s="110">
        <f t="shared" si="23"/>
        <v>23217658.332498256</v>
      </c>
      <c r="BJ21" s="111">
        <f t="shared" si="24"/>
        <v>0</v>
      </c>
      <c r="BK21" s="1">
        <f t="shared" si="30"/>
        <v>0.85132217412883193</v>
      </c>
      <c r="BL21" s="112">
        <f t="shared" si="31"/>
        <v>0.80371961912050216</v>
      </c>
      <c r="BM21" s="112">
        <f t="shared" si="32"/>
        <v>0.79790202815884848</v>
      </c>
      <c r="BN21" s="113">
        <f t="shared" si="33"/>
        <v>0.90183352461798849</v>
      </c>
      <c r="BO21" s="114">
        <f t="shared" si="25"/>
        <v>23217658.332498256</v>
      </c>
      <c r="BP21" s="115">
        <f t="shared" si="34"/>
        <v>0.15612370393727509</v>
      </c>
      <c r="BQ21" s="116">
        <f t="shared" si="35"/>
        <v>0.15612370393727509</v>
      </c>
      <c r="BR21" s="117">
        <f t="shared" si="36"/>
        <v>0.2572356275209377</v>
      </c>
      <c r="BS21" s="118">
        <f t="shared" si="37"/>
        <v>26468609.16650657</v>
      </c>
      <c r="BT21" s="119">
        <f t="shared" si="38"/>
        <v>29929800.899999999</v>
      </c>
      <c r="BU21" s="119">
        <f t="shared" si="39"/>
        <v>26468609.16650657</v>
      </c>
      <c r="BV21" s="119">
        <f t="shared" si="56"/>
        <v>0</v>
      </c>
      <c r="BW21" s="120">
        <f t="shared" si="40"/>
        <v>0.15612370393727509</v>
      </c>
      <c r="BX21" s="121">
        <f t="shared" si="41"/>
        <v>0.34210697604206769</v>
      </c>
      <c r="BY21" s="122">
        <f t="shared" si="42"/>
        <v>27243493.173065472</v>
      </c>
      <c r="BZ21" s="123">
        <f t="shared" si="58"/>
        <v>344304005264854.06</v>
      </c>
      <c r="CA21" s="111">
        <f>ROUND((BZ21+BI21),0)</f>
        <v>344304028482512</v>
      </c>
      <c r="CC21" s="124">
        <f t="shared" si="26"/>
        <v>1</v>
      </c>
      <c r="CD21" s="17"/>
      <c r="CE21" s="108">
        <f t="shared" si="44"/>
        <v>99766003</v>
      </c>
      <c r="CF21" s="125">
        <f t="shared" si="45"/>
        <v>3451115.7922455007</v>
      </c>
      <c r="CG21" s="110">
        <f t="shared" si="46"/>
        <v>29929800.899999999</v>
      </c>
      <c r="CH21" s="126">
        <f t="shared" si="47"/>
        <v>344303998552711.13</v>
      </c>
      <c r="CJ21" s="127">
        <f t="shared" si="48"/>
        <v>0</v>
      </c>
      <c r="CK21" s="128" t="e">
        <f t="shared" si="49"/>
        <v>#DIV/0!</v>
      </c>
      <c r="CL21" s="129" t="e">
        <f t="shared" si="50"/>
        <v>#DIV/0!</v>
      </c>
      <c r="CM21" s="130" t="e">
        <f t="shared" si="51"/>
        <v>#DIV/0!</v>
      </c>
      <c r="CO21" s="131" t="e">
        <f t="shared" si="52"/>
        <v>#DIV/0!</v>
      </c>
      <c r="CP21" s="1">
        <f t="shared" si="53"/>
        <v>0</v>
      </c>
      <c r="CQ21" s="132">
        <f t="shared" si="54"/>
        <v>0.2730739165030544</v>
      </c>
      <c r="CS21" s="104">
        <f t="shared" si="55"/>
        <v>0.12494208633212314</v>
      </c>
    </row>
    <row r="22" spans="1:97">
      <c r="A22" s="133" t="s">
        <v>92</v>
      </c>
      <c r="B22" s="90" t="s">
        <v>96</v>
      </c>
      <c r="C22" s="91">
        <f>'Sizing - Reimb Expen-24'!B15</f>
        <v>1199104</v>
      </c>
      <c r="D22" s="92">
        <f>'Ridership-24'!$E14</f>
        <v>63727</v>
      </c>
      <c r="E22" s="92">
        <f>'Revenue Hours-24'!$F14</f>
        <v>20345</v>
      </c>
      <c r="F22" s="92">
        <f>'Revenue Miles-24'!$F14</f>
        <v>483018</v>
      </c>
      <c r="G22" s="134">
        <f t="shared" si="0"/>
        <v>3.3555387419838289E-3</v>
      </c>
      <c r="H22" s="94">
        <f t="shared" si="1"/>
        <v>3.1678680122863906E-3</v>
      </c>
      <c r="J22" s="95">
        <f>'Ridership-24'!B14/'Revenue Hours-24'!C14</f>
        <v>5.3304602970841737</v>
      </c>
      <c r="K22" s="96">
        <f>'Ridership-24'!C14/'Revenue Hours-24'!D14</f>
        <v>5.1587647801630121</v>
      </c>
      <c r="L22" s="96">
        <f>'Ridership-24'!D14/'Revenue Hours-24'!E14</f>
        <v>2.5445369916707494</v>
      </c>
      <c r="M22" s="207">
        <f>'Ridership-24'!E14/'Revenue Hours-24'!L14</f>
        <v>3.1323175227328584</v>
      </c>
      <c r="N22" s="97">
        <f t="shared" si="2"/>
        <v>0.96244724110818003</v>
      </c>
      <c r="O22" s="98">
        <f t="shared" si="3"/>
        <v>3.0489058286198908E-3</v>
      </c>
      <c r="P22" s="99">
        <f t="shared" si="4"/>
        <v>2.889958157128762E-3</v>
      </c>
      <c r="Q22" s="95">
        <f>'Ridership-24'!B14/'Revenue Miles-24'!C14</f>
        <v>0.21260136238851965</v>
      </c>
      <c r="R22" s="96">
        <f>'Ridership-24'!C14/'Revenue Miles-24'!D14</f>
        <v>0.22008311029377553</v>
      </c>
      <c r="S22" s="96">
        <f>'Ridership-24'!D14/'Revenue Miles-24'!E14</f>
        <v>0.1120356208297289</v>
      </c>
      <c r="T22" s="207">
        <f>'Ridership-24'!E14/'Revenue Miles-24'!L14</f>
        <v>0.13193504175827817</v>
      </c>
      <c r="U22" s="97">
        <f t="shared" si="5"/>
        <v>0.98618094333957085</v>
      </c>
      <c r="V22" s="98">
        <f t="shared" si="6"/>
        <v>3.1240910647318439E-3</v>
      </c>
      <c r="W22" s="99">
        <f t="shared" si="7"/>
        <v>2.9643087009176795E-3</v>
      </c>
      <c r="X22" s="95">
        <f>'Op Cost-24'!B15/'Revenue Hours-24'!C14</f>
        <v>53.481447521242131</v>
      </c>
      <c r="Y22" s="96">
        <f>'Op Cost-24'!C15/'Revenue Hours-24'!D14</f>
        <v>42.671162897485935</v>
      </c>
      <c r="Z22" s="96">
        <f>'Op Cost-24'!D15/'Revenue Hours-24'!E14</f>
        <v>48.696570308672221</v>
      </c>
      <c r="AA22" s="96">
        <f>'Op Cost-24'!E15/'Revenue Hours-24'!F14</f>
        <v>59.030916687146721</v>
      </c>
      <c r="AB22" s="97">
        <f t="shared" si="8"/>
        <v>0.9757458596773475</v>
      </c>
      <c r="AC22" s="98">
        <f t="shared" si="9"/>
        <v>3.2466117902195534E-3</v>
      </c>
      <c r="AD22" s="99">
        <f t="shared" si="10"/>
        <v>3.2647057904092143E-3</v>
      </c>
      <c r="AE22" s="95">
        <f>'Op Cost-24'!B15/'Revenue Miles-24'!C14</f>
        <v>2.1330669345283084</v>
      </c>
      <c r="AF22" s="96">
        <f>'Op Cost-24'!C15/'Revenue Miles-24'!D14</f>
        <v>1.8204362188489445</v>
      </c>
      <c r="AG22" s="96">
        <f>'Op Cost-24'!D15/'Revenue Miles-24'!E14</f>
        <v>2.1441034281165527</v>
      </c>
      <c r="AH22" s="96">
        <f>'Op Cost-24'!E15/'Revenue Miles-24'!F14</f>
        <v>2.4864166552799274</v>
      </c>
      <c r="AI22" s="97">
        <f t="shared" si="11"/>
        <v>0.99284699161436885</v>
      </c>
      <c r="AJ22" s="98">
        <f t="shared" si="12"/>
        <v>3.1906910521382944E-3</v>
      </c>
      <c r="AK22" s="99">
        <f t="shared" si="13"/>
        <v>3.1942971474229215E-3</v>
      </c>
      <c r="AL22" s="95">
        <f>'Op Cost-24'!B15/'Ridership-24'!B14</f>
        <v>10.033176225043292</v>
      </c>
      <c r="AM22" s="96">
        <f>'Op Cost-24'!C15/'Ridership-24'!C14</f>
        <v>8.2715852952957416</v>
      </c>
      <c r="AN22" s="96">
        <f>'Op Cost-24'!D15/'Ridership-24'!D14</f>
        <v>19.13769399622598</v>
      </c>
      <c r="AO22" s="96">
        <f>'Op Cost-24'!E15/'Ridership-24'!E14</f>
        <v>18.84576396189998</v>
      </c>
      <c r="AP22" s="100">
        <f t="shared" si="14"/>
        <v>1.0150741605069409</v>
      </c>
      <c r="AQ22" s="98">
        <f t="shared" si="15"/>
        <v>3.1208242072720254E-3</v>
      </c>
      <c r="AR22" s="99">
        <f t="shared" si="16"/>
        <v>3.3037935809360876E-3</v>
      </c>
      <c r="AT22" s="101">
        <f t="shared" si="27"/>
        <v>0</v>
      </c>
      <c r="AU22" s="102">
        <f t="shared" si="17"/>
        <v>0</v>
      </c>
      <c r="AV22" s="102">
        <f t="shared" si="18"/>
        <v>0</v>
      </c>
      <c r="AW22" s="102">
        <f t="shared" si="19"/>
        <v>0</v>
      </c>
      <c r="AX22" s="103">
        <f t="shared" si="20"/>
        <v>0</v>
      </c>
      <c r="AY22" s="104">
        <f t="shared" si="28"/>
        <v>-1</v>
      </c>
      <c r="AZ22" s="105">
        <f t="shared" si="21"/>
        <v>0</v>
      </c>
      <c r="BA22" s="106">
        <f t="shared" si="21"/>
        <v>0</v>
      </c>
      <c r="BB22" s="106">
        <f t="shared" si="21"/>
        <v>0</v>
      </c>
      <c r="BC22" s="106">
        <f t="shared" si="21"/>
        <v>0</v>
      </c>
      <c r="BD22" s="106">
        <f t="shared" si="21"/>
        <v>0</v>
      </c>
      <c r="BE22" s="107">
        <f t="shared" si="29"/>
        <v>401061.14919082494</v>
      </c>
      <c r="BG22" s="108">
        <f>'Op Cost-24'!E15</f>
        <v>1200984</v>
      </c>
      <c r="BH22" s="109">
        <f t="shared" si="22"/>
        <v>0.33394379041754507</v>
      </c>
      <c r="BI22" s="110">
        <f t="shared" si="23"/>
        <v>360295.2</v>
      </c>
      <c r="BJ22" s="111">
        <f t="shared" si="24"/>
        <v>40765.949190824933</v>
      </c>
      <c r="BK22" s="1">
        <f t="shared" si="30"/>
        <v>0.51471843025831654</v>
      </c>
      <c r="BL22" s="112">
        <f t="shared" si="31"/>
        <v>0.34983878653480505</v>
      </c>
      <c r="BM22" s="112">
        <f t="shared" si="32"/>
        <v>0.21286149994093809</v>
      </c>
      <c r="BN22" s="113">
        <f t="shared" si="33"/>
        <v>0.74808671727876153</v>
      </c>
      <c r="BO22" s="114">
        <f t="shared" si="25"/>
        <v>0</v>
      </c>
      <c r="BP22" s="115">
        <f t="shared" si="34"/>
        <v>1.6305600505495843E-3</v>
      </c>
      <c r="BQ22" s="116">
        <f t="shared" si="35"/>
        <v>0</v>
      </c>
      <c r="BR22" s="117">
        <f t="shared" si="36"/>
        <v>0</v>
      </c>
      <c r="BS22" s="118">
        <f t="shared" si="37"/>
        <v>360295.2</v>
      </c>
      <c r="BT22" s="119">
        <f t="shared" si="38"/>
        <v>360295.2</v>
      </c>
      <c r="BU22" s="119">
        <f t="shared" si="39"/>
        <v>360295.2</v>
      </c>
      <c r="BV22" s="119">
        <f t="shared" si="56"/>
        <v>0</v>
      </c>
      <c r="BW22" s="120">
        <f t="shared" si="40"/>
        <v>0</v>
      </c>
      <c r="BX22" s="121">
        <f t="shared" si="41"/>
        <v>0</v>
      </c>
      <c r="BY22" s="122">
        <f t="shared" si="42"/>
        <v>360295.2</v>
      </c>
      <c r="BZ22" s="123">
        <f t="shared" si="58"/>
        <v>4553420504839.8818</v>
      </c>
      <c r="CA22" s="111">
        <f t="shared" si="57"/>
        <v>4553420865135</v>
      </c>
      <c r="CC22" s="124">
        <f t="shared" si="26"/>
        <v>1</v>
      </c>
      <c r="CD22" s="17"/>
      <c r="CE22" s="108">
        <f t="shared" si="44"/>
        <v>1200984</v>
      </c>
      <c r="CF22" s="125">
        <f t="shared" si="45"/>
        <v>3791408.4326976878</v>
      </c>
      <c r="CG22" s="110">
        <f t="shared" si="46"/>
        <v>360295.2</v>
      </c>
      <c r="CH22" s="126">
        <f t="shared" si="47"/>
        <v>4553420504839.7998</v>
      </c>
      <c r="CJ22" s="127">
        <f t="shared" si="48"/>
        <v>0</v>
      </c>
      <c r="CK22" s="128" t="e">
        <f t="shared" si="49"/>
        <v>#DIV/0!</v>
      </c>
      <c r="CL22" s="129" t="e">
        <f t="shared" si="50"/>
        <v>#DIV/0!</v>
      </c>
      <c r="CM22" s="130" t="e">
        <f t="shared" si="51"/>
        <v>#DIV/0!</v>
      </c>
      <c r="CO22" s="131" t="e">
        <f t="shared" si="52"/>
        <v>#DIV/0!</v>
      </c>
      <c r="CP22" s="1">
        <f t="shared" si="53"/>
        <v>0</v>
      </c>
      <c r="CQ22" s="132">
        <f t="shared" si="54"/>
        <v>0.3</v>
      </c>
      <c r="CS22" s="104">
        <f t="shared" si="55"/>
        <v>1.304898420084415E-3</v>
      </c>
    </row>
    <row r="23" spans="1:97">
      <c r="A23" s="133" t="s">
        <v>92</v>
      </c>
      <c r="B23" s="90" t="s">
        <v>97</v>
      </c>
      <c r="C23" s="91">
        <f>'Sizing - Reimb Expen-24'!B16</f>
        <v>67079</v>
      </c>
      <c r="D23" s="92">
        <f>'Ridership-24'!$E15</f>
        <v>3001</v>
      </c>
      <c r="E23" s="92">
        <f>'Revenue Hours-24'!$F15</f>
        <v>880</v>
      </c>
      <c r="F23" s="92">
        <f>'Revenue Miles-24'!$F15</f>
        <v>6777</v>
      </c>
      <c r="G23" s="93">
        <f t="shared" si="0"/>
        <v>1.2445998923312263E-4</v>
      </c>
      <c r="H23" s="94">
        <f t="shared" si="1"/>
        <v>1.174991108783979E-4</v>
      </c>
      <c r="J23" s="95">
        <f>'Ridership-24'!B15/'Revenue Hours-24'!C15</f>
        <v>8.7948148148148153</v>
      </c>
      <c r="K23" s="96">
        <f>'Ridership-24'!C15/'Revenue Hours-24'!D15</f>
        <v>8.9790310918293557</v>
      </c>
      <c r="L23" s="96">
        <f>'Ridership-24'!D15/'Revenue Hours-24'!E15</f>
        <v>1.0119225037257824</v>
      </c>
      <c r="M23" s="207">
        <f>'Ridership-24'!E15/'Revenue Hours-24'!L15</f>
        <v>3.4102272727272727</v>
      </c>
      <c r="N23" s="97">
        <f t="shared" si="2"/>
        <v>1.2867202290035118</v>
      </c>
      <c r="O23" s="98">
        <f t="shared" si="3"/>
        <v>1.5118848285716117E-4</v>
      </c>
      <c r="P23" s="99">
        <f t="shared" si="4"/>
        <v>1.4330662009812018E-4</v>
      </c>
      <c r="Q23" s="95">
        <f>'Ridership-24'!B15/'Revenue Miles-24'!C15</f>
        <v>0.80829191912315335</v>
      </c>
      <c r="R23" s="96">
        <f>'Ridership-24'!C15/'Revenue Miles-24'!D15</f>
        <v>0.71335018382352944</v>
      </c>
      <c r="S23" s="96">
        <f>'Ridership-24'!D15/'Revenue Miles-24'!E15</f>
        <v>0.14279705573080967</v>
      </c>
      <c r="T23" s="207">
        <f>'Ridership-24'!E15/'Revenue Miles-24'!L15</f>
        <v>0.44282130736314002</v>
      </c>
      <c r="U23" s="97">
        <f t="shared" si="5"/>
        <v>1.2471062801138642</v>
      </c>
      <c r="V23" s="98">
        <f t="shared" si="6"/>
        <v>1.4653387908424527E-4</v>
      </c>
      <c r="W23" s="99">
        <f t="shared" si="7"/>
        <v>1.3903936977135834E-4</v>
      </c>
      <c r="X23" s="95">
        <f>'Op Cost-24'!B16/'Revenue Hours-24'!C15</f>
        <v>61.958518518518517</v>
      </c>
      <c r="Y23" s="96">
        <f>'Op Cost-24'!C16/'Revenue Hours-24'!D15</f>
        <v>67.96963123644251</v>
      </c>
      <c r="Z23" s="96">
        <f>'Op Cost-24'!D16/'Revenue Hours-24'!E15</f>
        <v>58.488077496274215</v>
      </c>
      <c r="AA23" s="96">
        <f>'Op Cost-24'!E16/'Revenue Hours-24'!F15</f>
        <v>76.226136363636357</v>
      </c>
      <c r="AB23" s="97">
        <f t="shared" si="8"/>
        <v>1.0272513597950881</v>
      </c>
      <c r="AC23" s="98">
        <f t="shared" si="9"/>
        <v>1.1438204462619173E-4</v>
      </c>
      <c r="AD23" s="99">
        <f t="shared" si="10"/>
        <v>1.150195180510696E-4</v>
      </c>
      <c r="AE23" s="95">
        <f>'Op Cost-24'!B16/'Revenue Miles-24'!C15</f>
        <v>5.6943290897950849</v>
      </c>
      <c r="AF23" s="96">
        <f>'Op Cost-24'!C16/'Revenue Miles-24'!D15</f>
        <v>5.399931066176471</v>
      </c>
      <c r="AG23" s="96">
        <f>'Op Cost-24'!D16/'Revenue Miles-24'!E15</f>
        <v>8.2535226077812833</v>
      </c>
      <c r="AH23" s="96">
        <f>'Op Cost-24'!E16/'Revenue Miles-24'!F15</f>
        <v>9.8980374797107871</v>
      </c>
      <c r="AI23" s="97">
        <f t="shared" si="11"/>
        <v>1.1318796204022947</v>
      </c>
      <c r="AJ23" s="98">
        <f t="shared" si="12"/>
        <v>1.0380884041064027E-4</v>
      </c>
      <c r="AK23" s="99">
        <f t="shared" si="13"/>
        <v>1.0392616438961232E-4</v>
      </c>
      <c r="AL23" s="95">
        <f>'Op Cost-24'!B16/'Ridership-24'!B15</f>
        <v>7.0448917712456831</v>
      </c>
      <c r="AM23" s="96">
        <f>'Op Cost-24'!C16/'Ridership-24'!C15</f>
        <v>7.5698180061201485</v>
      </c>
      <c r="AN23" s="96">
        <f>'Op Cost-24'!D16/'Ridership-24'!D15</f>
        <v>57.798969072164951</v>
      </c>
      <c r="AO23" s="96">
        <f>'Op Cost-24'!E16/'Ridership-24'!E15</f>
        <v>22.352215928023991</v>
      </c>
      <c r="AP23" s="100">
        <f t="shared" si="14"/>
        <v>1.5866490338867194</v>
      </c>
      <c r="AQ23" s="98">
        <f t="shared" si="15"/>
        <v>7.4054884457066945E-5</v>
      </c>
      <c r="AR23" s="99">
        <f t="shared" si="16"/>
        <v>7.8396614373894965E-5</v>
      </c>
      <c r="AT23" s="101">
        <f t="shared" si="27"/>
        <v>0</v>
      </c>
      <c r="AU23" s="102">
        <f t="shared" si="17"/>
        <v>0</v>
      </c>
      <c r="AV23" s="102">
        <f t="shared" si="18"/>
        <v>0</v>
      </c>
      <c r="AW23" s="102">
        <f t="shared" si="19"/>
        <v>0</v>
      </c>
      <c r="AX23" s="103">
        <f t="shared" si="20"/>
        <v>0</v>
      </c>
      <c r="AY23" s="104">
        <f t="shared" si="28"/>
        <v>-1</v>
      </c>
      <c r="AZ23" s="105">
        <f t="shared" si="21"/>
        <v>0</v>
      </c>
      <c r="BA23" s="106">
        <f t="shared" si="21"/>
        <v>0</v>
      </c>
      <c r="BB23" s="106">
        <f t="shared" si="21"/>
        <v>0</v>
      </c>
      <c r="BC23" s="106">
        <f t="shared" si="21"/>
        <v>0</v>
      </c>
      <c r="BD23" s="106">
        <f t="shared" si="21"/>
        <v>0</v>
      </c>
      <c r="BE23" s="107">
        <f t="shared" si="29"/>
        <v>14875.723437662642</v>
      </c>
      <c r="BG23" s="108">
        <f>'Op Cost-24'!E16</f>
        <v>67079</v>
      </c>
      <c r="BH23" s="109">
        <f t="shared" si="22"/>
        <v>0.22176423974213452</v>
      </c>
      <c r="BI23" s="110">
        <f t="shared" si="23"/>
        <v>14875.723437662642</v>
      </c>
      <c r="BJ23" s="111">
        <f t="shared" si="24"/>
        <v>0</v>
      </c>
      <c r="BK23" s="1">
        <f t="shared" si="30"/>
        <v>0.58919547016895712</v>
      </c>
      <c r="BL23" s="112">
        <f t="shared" si="31"/>
        <v>0.38087766078642049</v>
      </c>
      <c r="BM23" s="112">
        <f t="shared" si="32"/>
        <v>0.71443951837920949</v>
      </c>
      <c r="BN23" s="113">
        <f t="shared" si="33"/>
        <v>0.63073235075509926</v>
      </c>
      <c r="BO23" s="114">
        <f t="shared" si="25"/>
        <v>14875.723437662642</v>
      </c>
      <c r="BP23" s="115">
        <f t="shared" si="34"/>
        <v>6.9229943878432076E-5</v>
      </c>
      <c r="BQ23" s="116">
        <f t="shared" si="35"/>
        <v>6.9229943878432076E-5</v>
      </c>
      <c r="BR23" s="117">
        <f t="shared" si="36"/>
        <v>1.140660105268996E-4</v>
      </c>
      <c r="BS23" s="118">
        <f t="shared" si="37"/>
        <v>16317.292770916225</v>
      </c>
      <c r="BT23" s="119">
        <f t="shared" si="38"/>
        <v>20123.7</v>
      </c>
      <c r="BU23" s="119">
        <f t="shared" si="39"/>
        <v>16317.292770916225</v>
      </c>
      <c r="BV23" s="119">
        <f t="shared" si="56"/>
        <v>0</v>
      </c>
      <c r="BW23" s="120">
        <f t="shared" si="40"/>
        <v>6.9229943878432076E-5</v>
      </c>
      <c r="BX23" s="121">
        <f t="shared" si="41"/>
        <v>1.5170051795163566E-4</v>
      </c>
      <c r="BY23" s="122">
        <f t="shared" si="42"/>
        <v>16660.899634790785</v>
      </c>
      <c r="BZ23" s="123">
        <f t="shared" si="58"/>
        <v>210560901244.68948</v>
      </c>
      <c r="CA23" s="111">
        <f t="shared" si="57"/>
        <v>210560916120</v>
      </c>
      <c r="CC23" s="124">
        <f t="shared" si="26"/>
        <v>1</v>
      </c>
      <c r="CD23" s="17"/>
      <c r="CE23" s="108">
        <f t="shared" si="44"/>
        <v>67079</v>
      </c>
      <c r="CF23" s="125">
        <f t="shared" si="45"/>
        <v>3138999.0327822417</v>
      </c>
      <c r="CG23" s="110">
        <f t="shared" si="46"/>
        <v>20123.7</v>
      </c>
      <c r="CH23" s="126">
        <f t="shared" si="47"/>
        <v>210560895996.29999</v>
      </c>
      <c r="CJ23" s="127">
        <f t="shared" si="48"/>
        <v>0</v>
      </c>
      <c r="CK23" s="128" t="e">
        <f t="shared" si="49"/>
        <v>#DIV/0!</v>
      </c>
      <c r="CL23" s="129" t="e">
        <f t="shared" si="50"/>
        <v>#DIV/0!</v>
      </c>
      <c r="CM23" s="130" t="e">
        <f t="shared" si="51"/>
        <v>#DIV/0!</v>
      </c>
      <c r="CO23" s="131" t="e">
        <f t="shared" si="52"/>
        <v>#DIV/0!</v>
      </c>
      <c r="CP23" s="1">
        <f t="shared" si="53"/>
        <v>0</v>
      </c>
      <c r="CQ23" s="132">
        <f t="shared" si="54"/>
        <v>0.24837728103863779</v>
      </c>
      <c r="CS23" s="104">
        <f t="shared" si="55"/>
        <v>5.5403077218192653E-5</v>
      </c>
    </row>
    <row r="24" spans="1:97">
      <c r="A24" s="133" t="s">
        <v>92</v>
      </c>
      <c r="B24" s="90" t="s">
        <v>98</v>
      </c>
      <c r="C24" s="91">
        <f>'Sizing - Reimb Expen-24'!B17</f>
        <v>7123342</v>
      </c>
      <c r="D24" s="92">
        <f>'Ridership-24'!$E16</f>
        <v>1544283</v>
      </c>
      <c r="E24" s="92">
        <f>'Revenue Hours-24'!$F16</f>
        <v>79332</v>
      </c>
      <c r="F24" s="92">
        <f>'Revenue Miles-24'!$F16</f>
        <v>1099092</v>
      </c>
      <c r="G24" s="134">
        <f t="shared" si="0"/>
        <v>2.4722263263895098E-2</v>
      </c>
      <c r="H24" s="94">
        <f t="shared" si="1"/>
        <v>2.3339580617899373E-2</v>
      </c>
      <c r="J24" s="95">
        <f>'Ridership-24'!B16/'Revenue Hours-24'!C16</f>
        <v>23.927803085810158</v>
      </c>
      <c r="K24" s="96">
        <f>'Ridership-24'!C16/'Revenue Hours-24'!D16</f>
        <v>23.310953988801508</v>
      </c>
      <c r="L24" s="96">
        <f>'Ridership-24'!D16/'Revenue Hours-24'!E16</f>
        <v>14.316342020333447</v>
      </c>
      <c r="M24" s="207">
        <f>'Ridership-24'!E16/'Revenue Hours-24'!L16</f>
        <v>19.466079261836335</v>
      </c>
      <c r="N24" s="97">
        <f t="shared" si="2"/>
        <v>1.076344980447</v>
      </c>
      <c r="O24" s="98">
        <f t="shared" si="3"/>
        <v>2.5121440443814081E-2</v>
      </c>
      <c r="P24" s="99">
        <f t="shared" si="4"/>
        <v>2.3811792101918663E-2</v>
      </c>
      <c r="Q24" s="95">
        <f>'Ridership-24'!B16/'Revenue Miles-24'!C16</f>
        <v>1.6630463742338306</v>
      </c>
      <c r="R24" s="96">
        <f>'Ridership-24'!C16/'Revenue Miles-24'!D16</f>
        <v>1.6285925776934442</v>
      </c>
      <c r="S24" s="96">
        <f>'Ridership-24'!D16/'Revenue Miles-24'!E16</f>
        <v>1.0462325686324412</v>
      </c>
      <c r="T24" s="207">
        <f>'Ridership-24'!E16/'Revenue Miles-24'!L16</f>
        <v>1.4050534441156883</v>
      </c>
      <c r="U24" s="97">
        <f t="shared" si="5"/>
        <v>1.0964259555786009</v>
      </c>
      <c r="V24" s="98">
        <f t="shared" si="6"/>
        <v>2.5590121981784113E-2</v>
      </c>
      <c r="W24" s="99">
        <f t="shared" si="7"/>
        <v>2.4281309243672319E-2</v>
      </c>
      <c r="X24" s="95">
        <f>'Op Cost-24'!B17/'Revenue Hours-24'!C16</f>
        <v>80.153154301126648</v>
      </c>
      <c r="Y24" s="96">
        <f>'Op Cost-24'!C17/'Revenue Hours-24'!D16</f>
        <v>79.983720905617247</v>
      </c>
      <c r="Z24" s="96">
        <f>'Op Cost-24'!D17/'Revenue Hours-24'!E16</f>
        <v>90.654407919074401</v>
      </c>
      <c r="AA24" s="96">
        <f>'Op Cost-24'!E17/'Revenue Hours-24'!F16</f>
        <v>94.089194776382797</v>
      </c>
      <c r="AB24" s="97">
        <f t="shared" si="8"/>
        <v>0.98105796356384378</v>
      </c>
      <c r="AC24" s="98">
        <f t="shared" si="9"/>
        <v>2.3790215751488077E-2</v>
      </c>
      <c r="AD24" s="99">
        <f t="shared" si="10"/>
        <v>2.3922803259984249E-2</v>
      </c>
      <c r="AE24" s="95">
        <f>'Op Cost-24'!B17/'Revenue Miles-24'!C16</f>
        <v>5.5708588108092147</v>
      </c>
      <c r="AF24" s="96">
        <f>'Op Cost-24'!C17/'Revenue Miles-24'!D16</f>
        <v>5.5879692553882192</v>
      </c>
      <c r="AG24" s="96">
        <f>'Op Cost-24'!D17/'Revenue Miles-24'!E16</f>
        <v>6.6249879976545323</v>
      </c>
      <c r="AH24" s="96">
        <f>'Op Cost-24'!E17/'Revenue Miles-24'!F16</f>
        <v>6.7913186521237527</v>
      </c>
      <c r="AI24" s="97">
        <f t="shared" si="11"/>
        <v>0.99833996202258612</v>
      </c>
      <c r="AJ24" s="98">
        <f t="shared" si="12"/>
        <v>2.3378389632540169E-2</v>
      </c>
      <c r="AK24" s="99">
        <f t="shared" si="13"/>
        <v>2.3404811714540109E-2</v>
      </c>
      <c r="AL24" s="95">
        <f>'Op Cost-24'!B17/'Ridership-24'!B16</f>
        <v>3.3497916216411721</v>
      </c>
      <c r="AM24" s="96">
        <f>'Op Cost-24'!C17/'Ridership-24'!C16</f>
        <v>3.4311646337614974</v>
      </c>
      <c r="AN24" s="96">
        <f>'Op Cost-24'!D17/'Ridership-24'!D16</f>
        <v>6.3322326185221254</v>
      </c>
      <c r="AO24" s="96">
        <f>'Op Cost-24'!E17/'Ridership-24'!E16</f>
        <v>4.833494896984555</v>
      </c>
      <c r="AP24" s="97">
        <f t="shared" si="14"/>
        <v>0.9196236726899828</v>
      </c>
      <c r="AQ24" s="98">
        <f t="shared" si="15"/>
        <v>2.5379490884166758E-2</v>
      </c>
      <c r="AR24" s="99">
        <f t="shared" si="16"/>
        <v>2.6867453435908142E-2</v>
      </c>
      <c r="AT24" s="101">
        <f t="shared" si="27"/>
        <v>0</v>
      </c>
      <c r="AU24" s="102">
        <f t="shared" si="17"/>
        <v>0</v>
      </c>
      <c r="AV24" s="102">
        <f t="shared" si="18"/>
        <v>0</v>
      </c>
      <c r="AW24" s="102">
        <f t="shared" si="19"/>
        <v>0</v>
      </c>
      <c r="AX24" s="103">
        <f t="shared" si="20"/>
        <v>0</v>
      </c>
      <c r="AY24" s="104">
        <f t="shared" si="28"/>
        <v>-1</v>
      </c>
      <c r="AZ24" s="105">
        <f t="shared" si="21"/>
        <v>0</v>
      </c>
      <c r="BA24" s="106">
        <f t="shared" si="21"/>
        <v>0</v>
      </c>
      <c r="BB24" s="106">
        <f t="shared" si="21"/>
        <v>0</v>
      </c>
      <c r="BC24" s="106">
        <f t="shared" si="21"/>
        <v>0</v>
      </c>
      <c r="BD24" s="106">
        <f t="shared" si="21"/>
        <v>0</v>
      </c>
      <c r="BE24" s="107">
        <f t="shared" si="29"/>
        <v>2954857.6480907956</v>
      </c>
      <c r="BG24" s="108">
        <f>'Op Cost-24'!E17</f>
        <v>7464284</v>
      </c>
      <c r="BH24" s="109">
        <f t="shared" si="22"/>
        <v>0.39586618731157547</v>
      </c>
      <c r="BI24" s="110">
        <f t="shared" si="23"/>
        <v>2239285.1999999997</v>
      </c>
      <c r="BJ24" s="111">
        <f t="shared" si="24"/>
        <v>715572.44809079589</v>
      </c>
      <c r="BK24" s="1">
        <f t="shared" si="30"/>
        <v>2.5686406278896179</v>
      </c>
      <c r="BL24" s="112">
        <f t="shared" si="31"/>
        <v>2.1741057533687176</v>
      </c>
      <c r="BM24" s="112">
        <f t="shared" si="32"/>
        <v>2.2668866407728316</v>
      </c>
      <c r="BN24" s="113">
        <f t="shared" si="33"/>
        <v>2.9167850587084612</v>
      </c>
      <c r="BO24" s="114">
        <f t="shared" si="25"/>
        <v>0</v>
      </c>
      <c r="BP24" s="115">
        <f t="shared" si="34"/>
        <v>5.9950995013041401E-2</v>
      </c>
      <c r="BQ24" s="116">
        <f t="shared" si="35"/>
        <v>0</v>
      </c>
      <c r="BR24" s="117">
        <f t="shared" si="36"/>
        <v>0</v>
      </c>
      <c r="BS24" s="118">
        <f t="shared" si="37"/>
        <v>2239285.1999999997</v>
      </c>
      <c r="BT24" s="119">
        <f t="shared" si="38"/>
        <v>2239285.1999999997</v>
      </c>
      <c r="BU24" s="119">
        <f t="shared" si="39"/>
        <v>2239285.1999999997</v>
      </c>
      <c r="BV24" s="119">
        <f t="shared" si="56"/>
        <v>0</v>
      </c>
      <c r="BW24" s="120">
        <f t="shared" si="40"/>
        <v>0</v>
      </c>
      <c r="BX24" s="121">
        <f t="shared" si="41"/>
        <v>0</v>
      </c>
      <c r="BY24" s="122">
        <f t="shared" si="42"/>
        <v>2239285.1999999997</v>
      </c>
      <c r="BZ24" s="123">
        <f t="shared" si="58"/>
        <v>28300147062365.73</v>
      </c>
      <c r="CA24" s="111">
        <f t="shared" si="57"/>
        <v>28300149301651</v>
      </c>
      <c r="CC24" s="124">
        <f t="shared" si="26"/>
        <v>1</v>
      </c>
      <c r="CD24" s="17"/>
      <c r="CE24" s="108">
        <f t="shared" si="44"/>
        <v>7464284</v>
      </c>
      <c r="CF24" s="125">
        <f t="shared" si="45"/>
        <v>3791408.4326977646</v>
      </c>
      <c r="CG24" s="110">
        <f t="shared" si="46"/>
        <v>2239285.1999999997</v>
      </c>
      <c r="CH24" s="126">
        <f t="shared" si="47"/>
        <v>28300147062365.801</v>
      </c>
      <c r="CJ24" s="127">
        <f t="shared" si="48"/>
        <v>0</v>
      </c>
      <c r="CK24" s="128" t="e">
        <f t="shared" si="49"/>
        <v>#DIV/0!</v>
      </c>
      <c r="CL24" s="129" t="e">
        <f t="shared" si="50"/>
        <v>#DIV/0!</v>
      </c>
      <c r="CM24" s="130" t="e">
        <f t="shared" si="51"/>
        <v>#DIV/0!</v>
      </c>
      <c r="CO24" s="131" t="e">
        <f t="shared" si="52"/>
        <v>#DIV/0!</v>
      </c>
      <c r="CP24" s="1">
        <f t="shared" si="53"/>
        <v>0</v>
      </c>
      <c r="CQ24" s="132">
        <f t="shared" si="54"/>
        <v>0.3</v>
      </c>
      <c r="CS24" s="104">
        <f t="shared" si="55"/>
        <v>4.7977355172315654E-2</v>
      </c>
    </row>
    <row r="25" spans="1:97">
      <c r="A25" s="133" t="s">
        <v>99</v>
      </c>
      <c r="B25" s="90" t="s">
        <v>100</v>
      </c>
      <c r="C25" s="91">
        <f>'Sizing - Reimb Expen-24'!B18</f>
        <v>3168403</v>
      </c>
      <c r="D25" s="92">
        <f>'Ridership-24'!$E17</f>
        <v>228559</v>
      </c>
      <c r="E25" s="92">
        <f>'Revenue Hours-24'!$F17</f>
        <v>35273</v>
      </c>
      <c r="F25" s="92">
        <f>'Revenue Miles-24'!$F17</f>
        <v>531990</v>
      </c>
      <c r="G25" s="93">
        <f t="shared" si="0"/>
        <v>6.9612310347670747E-3</v>
      </c>
      <c r="H25" s="94">
        <f t="shared" si="1"/>
        <v>6.5718988266356242E-3</v>
      </c>
      <c r="J25" s="95">
        <f>'Ridership-24'!B17/'Revenue Hours-24'!C17</f>
        <v>8.9080882352941178</v>
      </c>
      <c r="K25" s="96">
        <f>'Ridership-24'!C17/'Revenue Hours-24'!D17</f>
        <v>8.8925454444382677</v>
      </c>
      <c r="L25" s="96">
        <f>'Ridership-24'!D17/'Revenue Hours-24'!E17</f>
        <v>5.7639186016175321</v>
      </c>
      <c r="M25" s="207">
        <f>'Ridership-24'!E17/'Revenue Hours-24'!L17</f>
        <v>6.4797153630255435</v>
      </c>
      <c r="N25" s="97">
        <f t="shared" si="2"/>
        <v>1.0455356770573143</v>
      </c>
      <c r="O25" s="98">
        <f t="shared" si="3"/>
        <v>6.8711546892586467E-3</v>
      </c>
      <c r="P25" s="99">
        <f t="shared" si="4"/>
        <v>6.5129428914192291E-3</v>
      </c>
      <c r="Q25" s="95">
        <f>'Ridership-24'!B17/'Revenue Miles-24'!C17</f>
        <v>0.57308420056764431</v>
      </c>
      <c r="R25" s="96">
        <f>'Ridership-24'!C17/'Revenue Miles-24'!D17</f>
        <v>0.59288580032429927</v>
      </c>
      <c r="S25" s="96">
        <f>'Ridership-24'!D17/'Revenue Miles-24'!E17</f>
        <v>0.39323250859241093</v>
      </c>
      <c r="T25" s="207">
        <f>'Ridership-24'!E17/'Revenue Miles-24'!L17</f>
        <v>0.42963025620782347</v>
      </c>
      <c r="U25" s="97">
        <f t="shared" si="5"/>
        <v>1.0619919413280272</v>
      </c>
      <c r="V25" s="98">
        <f t="shared" si="6"/>
        <v>6.9793035931101505E-3</v>
      </c>
      <c r="W25" s="99">
        <f t="shared" si="7"/>
        <v>6.6223454882478805E-3</v>
      </c>
      <c r="X25" s="95">
        <f>'Op Cost-24'!B18/'Revenue Hours-24'!C17</f>
        <v>71.858939628482972</v>
      </c>
      <c r="Y25" s="96">
        <f>'Op Cost-24'!C18/'Revenue Hours-24'!D17</f>
        <v>81.611429206737455</v>
      </c>
      <c r="Z25" s="96">
        <f>'Op Cost-24'!D18/'Revenue Hours-24'!E17</f>
        <v>72.997808505087406</v>
      </c>
      <c r="AA25" s="96">
        <f>'Op Cost-24'!E18/'Revenue Hours-24'!F17</f>
        <v>89.842457403679873</v>
      </c>
      <c r="AB25" s="97">
        <f t="shared" si="8"/>
        <v>1.0250571937013797</v>
      </c>
      <c r="AC25" s="98">
        <f t="shared" si="9"/>
        <v>6.4112508716759019E-3</v>
      </c>
      <c r="AD25" s="99">
        <f t="shared" si="10"/>
        <v>6.4469820221748726E-3</v>
      </c>
      <c r="AE25" s="95">
        <f>'Op Cost-24'!B18/'Revenue Miles-24'!C17</f>
        <v>4.6229024548125279</v>
      </c>
      <c r="AF25" s="96">
        <f>'Op Cost-24'!C18/'Revenue Miles-24'!D17</f>
        <v>5.4412156590224692</v>
      </c>
      <c r="AG25" s="96">
        <f>'Op Cost-24'!D18/'Revenue Miles-24'!E17</f>
        <v>4.9801382261276927</v>
      </c>
      <c r="AH25" s="96">
        <f>'Op Cost-24'!E18/'Revenue Miles-24'!F17</f>
        <v>5.9569033252504751</v>
      </c>
      <c r="AI25" s="97">
        <f t="shared" si="11"/>
        <v>1.0411556949490044</v>
      </c>
      <c r="AJ25" s="98">
        <f t="shared" si="12"/>
        <v>6.3121191753722425E-3</v>
      </c>
      <c r="AK25" s="99">
        <f t="shared" si="13"/>
        <v>6.3192530854946465E-3</v>
      </c>
      <c r="AL25" s="95">
        <f>'Op Cost-24'!B18/'Ridership-24'!B17</f>
        <v>8.0667072137628431</v>
      </c>
      <c r="AM25" s="96">
        <f>'Op Cost-24'!C18/'Ridership-24'!C17</f>
        <v>9.1775105021004197</v>
      </c>
      <c r="AN25" s="96">
        <f>'Op Cost-24'!D18/'Ridership-24'!D17</f>
        <v>12.664614743969837</v>
      </c>
      <c r="AO25" s="96">
        <f>'Op Cost-24'!E18/'Ridership-24'!E17</f>
        <v>13.865185794477576</v>
      </c>
      <c r="AP25" s="100">
        <f t="shared" si="14"/>
        <v>1.033331970083422</v>
      </c>
      <c r="AQ25" s="98">
        <f t="shared" si="15"/>
        <v>6.3599104807577642E-3</v>
      </c>
      <c r="AR25" s="99">
        <f t="shared" si="16"/>
        <v>6.7327827606228768E-3</v>
      </c>
      <c r="AT25" s="101">
        <f t="shared" si="27"/>
        <v>0</v>
      </c>
      <c r="AU25" s="102">
        <f t="shared" si="17"/>
        <v>0</v>
      </c>
      <c r="AV25" s="102">
        <f t="shared" si="18"/>
        <v>0</v>
      </c>
      <c r="AW25" s="102">
        <f t="shared" si="19"/>
        <v>0</v>
      </c>
      <c r="AX25" s="103">
        <f t="shared" si="20"/>
        <v>0</v>
      </c>
      <c r="AY25" s="104">
        <f t="shared" si="28"/>
        <v>-1</v>
      </c>
      <c r="AZ25" s="105">
        <f t="shared" si="21"/>
        <v>0</v>
      </c>
      <c r="BA25" s="106">
        <f t="shared" si="21"/>
        <v>0</v>
      </c>
      <c r="BB25" s="106">
        <f t="shared" si="21"/>
        <v>0</v>
      </c>
      <c r="BC25" s="106">
        <f t="shared" si="21"/>
        <v>0</v>
      </c>
      <c r="BD25" s="106">
        <f t="shared" si="21"/>
        <v>0</v>
      </c>
      <c r="BE25" s="107">
        <f t="shared" si="29"/>
        <v>832021.18445395457</v>
      </c>
      <c r="BG25" s="108">
        <f>'Op Cost-24'!E18</f>
        <v>3169013</v>
      </c>
      <c r="BH25" s="109">
        <f t="shared" si="22"/>
        <v>0.26254899694446016</v>
      </c>
      <c r="BI25" s="110">
        <f t="shared" si="23"/>
        <v>832021.18445395457</v>
      </c>
      <c r="BJ25" s="111">
        <f t="shared" si="24"/>
        <v>0</v>
      </c>
      <c r="BK25" s="1">
        <f t="shared" si="30"/>
        <v>0.86261935847201276</v>
      </c>
      <c r="BL25" s="112">
        <f t="shared" si="31"/>
        <v>0.72369922373451534</v>
      </c>
      <c r="BM25" s="112">
        <f t="shared" si="32"/>
        <v>0.69315732604199332</v>
      </c>
      <c r="BN25" s="113">
        <f t="shared" si="33"/>
        <v>1.0168104420557713</v>
      </c>
      <c r="BO25" s="114">
        <f t="shared" si="25"/>
        <v>832021.18445395457</v>
      </c>
      <c r="BP25" s="115">
        <f t="shared" si="34"/>
        <v>5.6690471497753952E-3</v>
      </c>
      <c r="BQ25" s="116">
        <f t="shared" si="35"/>
        <v>5.6690471497753952E-3</v>
      </c>
      <c r="BR25" s="117">
        <f t="shared" si="36"/>
        <v>9.3405476826513307E-3</v>
      </c>
      <c r="BS25" s="118">
        <f t="shared" si="37"/>
        <v>950067.27928013937</v>
      </c>
      <c r="BT25" s="119">
        <f t="shared" si="38"/>
        <v>950703.89999999991</v>
      </c>
      <c r="BU25" s="119">
        <f t="shared" si="39"/>
        <v>950067.27928013937</v>
      </c>
      <c r="BV25" s="119">
        <f>BS25-BU25</f>
        <v>0</v>
      </c>
      <c r="BW25" s="120">
        <f t="shared" si="40"/>
        <v>5.6690471497753952E-3</v>
      </c>
      <c r="BX25" s="121">
        <f t="shared" si="41"/>
        <v>1.2422332602541589E-2</v>
      </c>
      <c r="BY25" s="122">
        <f t="shared" si="42"/>
        <v>978204.2876780068</v>
      </c>
      <c r="BZ25" s="123">
        <f t="shared" si="58"/>
        <v>12362572305807.367</v>
      </c>
      <c r="CA25" s="111">
        <f t="shared" si="57"/>
        <v>12362573137829</v>
      </c>
      <c r="CC25" s="124">
        <f t="shared" si="26"/>
        <v>1</v>
      </c>
      <c r="CD25" s="17"/>
      <c r="CE25" s="108">
        <f t="shared" si="44"/>
        <v>3169013</v>
      </c>
      <c r="CF25" s="125">
        <f t="shared" si="45"/>
        <v>3901079.9696400738</v>
      </c>
      <c r="CG25" s="110">
        <f t="shared" si="46"/>
        <v>950703.89999999991</v>
      </c>
      <c r="CH25" s="126">
        <f t="shared" si="47"/>
        <v>12362572187125.1</v>
      </c>
      <c r="CJ25" s="127">
        <f t="shared" si="48"/>
        <v>0</v>
      </c>
      <c r="CK25" s="128" t="e">
        <f t="shared" si="49"/>
        <v>#DIV/0!</v>
      </c>
      <c r="CL25" s="129" t="e">
        <f t="shared" si="50"/>
        <v>#DIV/0!</v>
      </c>
      <c r="CM25" s="130" t="e">
        <f t="shared" si="51"/>
        <v>#DIV/0!</v>
      </c>
      <c r="CO25" s="131" t="e">
        <f t="shared" si="52"/>
        <v>#DIV/0!</v>
      </c>
      <c r="CP25" s="1">
        <f t="shared" si="53"/>
        <v>1</v>
      </c>
      <c r="CQ25" s="132">
        <f t="shared" si="54"/>
        <v>0.3086779030814979</v>
      </c>
      <c r="CS25" s="104">
        <f t="shared" si="55"/>
        <v>4.5368035765580138E-3</v>
      </c>
    </row>
    <row r="26" spans="1:97">
      <c r="A26" s="133" t="s">
        <v>99</v>
      </c>
      <c r="B26" s="90" t="s">
        <v>101</v>
      </c>
      <c r="C26" s="91">
        <f>'Sizing - Reimb Expen-24'!B19</f>
        <v>605988</v>
      </c>
      <c r="D26" s="92">
        <f>'Ridership-24'!$E18</f>
        <v>77681</v>
      </c>
      <c r="E26" s="92">
        <f>'Revenue Hours-24'!$F18</f>
        <v>11837</v>
      </c>
      <c r="F26" s="92">
        <f>'Revenue Miles-24'!$F18</f>
        <v>174059</v>
      </c>
      <c r="G26" s="93">
        <f t="shared" si="0"/>
        <v>1.9897381227359252E-3</v>
      </c>
      <c r="H26" s="94">
        <f t="shared" si="1"/>
        <v>1.8784547688206325E-3</v>
      </c>
      <c r="J26" s="95">
        <f>'Ridership-24'!B18/'Revenue Hours-24'!C18</f>
        <v>10.856297723051524</v>
      </c>
      <c r="K26" s="96">
        <f>'Ridership-24'!C18/'Revenue Hours-24'!D18</f>
        <v>12.121389319430746</v>
      </c>
      <c r="L26" s="96">
        <f>'Ridership-24'!D18/'Revenue Hours-24'!E18</f>
        <v>6.5520235467255334</v>
      </c>
      <c r="M26" s="207">
        <f>'Ridership-24'!E18/'Revenue Hours-24'!L18</f>
        <v>6.5625580805947452</v>
      </c>
      <c r="N26" s="97">
        <f t="shared" si="2"/>
        <v>0.98357091089663873</v>
      </c>
      <c r="O26" s="98">
        <f t="shared" si="3"/>
        <v>1.8475934680470445E-3</v>
      </c>
      <c r="P26" s="99">
        <f t="shared" si="4"/>
        <v>1.7512734450238249E-3</v>
      </c>
      <c r="Q26" s="95">
        <f>'Ridership-24'!B18/'Revenue Miles-24'!C18</f>
        <v>0.71788643403976582</v>
      </c>
      <c r="R26" s="96">
        <f>'Ridership-24'!C18/'Revenue Miles-24'!D18</f>
        <v>0.79351997048242784</v>
      </c>
      <c r="S26" s="96">
        <f>'Ridership-24'!D18/'Revenue Miles-24'!E18</f>
        <v>0.47317713453679738</v>
      </c>
      <c r="T26" s="207">
        <f>'Ridership-24'!E18/'Revenue Miles-24'!L18</f>
        <v>0.44629120011030743</v>
      </c>
      <c r="U26" s="97">
        <f t="shared" si="5"/>
        <v>1.0034455573175893</v>
      </c>
      <c r="V26" s="98">
        <f t="shared" si="6"/>
        <v>1.8849270923951031E-3</v>
      </c>
      <c r="W26" s="99">
        <f t="shared" si="7"/>
        <v>1.7885220580347808E-3</v>
      </c>
      <c r="X26" s="95">
        <f>'Op Cost-24'!B19/'Revenue Hours-24'!C18</f>
        <v>48.505056063837102</v>
      </c>
      <c r="Y26" s="96">
        <f>'Op Cost-24'!C19/'Revenue Hours-24'!D18</f>
        <v>47.958362688459914</v>
      </c>
      <c r="Z26" s="96">
        <f>'Op Cost-24'!D19/'Revenue Hours-24'!E18</f>
        <v>45.519278881530539</v>
      </c>
      <c r="AA26" s="96">
        <f>'Op Cost-24'!E19/'Revenue Hours-24'!F18</f>
        <v>51.194390470558417</v>
      </c>
      <c r="AB26" s="97">
        <f t="shared" si="8"/>
        <v>0.956622704001726</v>
      </c>
      <c r="AC26" s="98">
        <f t="shared" si="9"/>
        <v>1.9636318069419807E-3</v>
      </c>
      <c r="AD26" s="99">
        <f t="shared" si="10"/>
        <v>1.9745755096643902E-3</v>
      </c>
      <c r="AE26" s="95">
        <f>'Op Cost-24'!B19/'Revenue Miles-24'!C18</f>
        <v>3.2074582531602962</v>
      </c>
      <c r="AF26" s="96">
        <f>'Op Cost-24'!C19/'Revenue Miles-24'!D18</f>
        <v>3.1395673830827415</v>
      </c>
      <c r="AG26" s="96">
        <f>'Op Cost-24'!D19/'Revenue Miles-24'!E18</f>
        <v>3.2873328054671349</v>
      </c>
      <c r="AH26" s="96">
        <f>'Op Cost-24'!E19/'Revenue Miles-24'!F18</f>
        <v>3.4815091434513583</v>
      </c>
      <c r="AI26" s="97">
        <f t="shared" si="11"/>
        <v>0.96467791237883294</v>
      </c>
      <c r="AJ26" s="98">
        <f t="shared" si="12"/>
        <v>1.9472351804847336E-3</v>
      </c>
      <c r="AK26" s="99">
        <f t="shared" si="13"/>
        <v>1.949435931195994E-3</v>
      </c>
      <c r="AL26" s="95">
        <f>'Op Cost-24'!B19/'Ridership-24'!B18</f>
        <v>4.4679187418418689</v>
      </c>
      <c r="AM26" s="96">
        <f>'Op Cost-24'!C19/'Ridership-24'!C18</f>
        <v>3.95650708220237</v>
      </c>
      <c r="AN26" s="96">
        <f>'Op Cost-24'!D19/'Ridership-24'!D18</f>
        <v>6.9473619190943596</v>
      </c>
      <c r="AO26" s="96">
        <f>'Op Cost-24'!E19/'Ridership-24'!E18</f>
        <v>7.8009809348489334</v>
      </c>
      <c r="AP26" s="100">
        <f t="shared" si="14"/>
        <v>1.0159518574690711</v>
      </c>
      <c r="AQ26" s="98">
        <f t="shared" si="15"/>
        <v>1.8489604158018077E-3</v>
      </c>
      <c r="AR26" s="99">
        <f t="shared" si="16"/>
        <v>1.9573622695238466E-3</v>
      </c>
      <c r="AT26" s="101">
        <f t="shared" si="27"/>
        <v>0</v>
      </c>
      <c r="AU26" s="102">
        <f t="shared" si="17"/>
        <v>0</v>
      </c>
      <c r="AV26" s="102">
        <f t="shared" si="18"/>
        <v>0</v>
      </c>
      <c r="AW26" s="102">
        <f t="shared" si="19"/>
        <v>0</v>
      </c>
      <c r="AX26" s="103">
        <f t="shared" si="20"/>
        <v>0</v>
      </c>
      <c r="AY26" s="104">
        <f t="shared" si="28"/>
        <v>-1</v>
      </c>
      <c r="AZ26" s="105">
        <f t="shared" si="21"/>
        <v>0</v>
      </c>
      <c r="BA26" s="106">
        <f t="shared" si="21"/>
        <v>0</v>
      </c>
      <c r="BB26" s="106">
        <f t="shared" si="21"/>
        <v>0</v>
      </c>
      <c r="BC26" s="106">
        <f t="shared" si="21"/>
        <v>0</v>
      </c>
      <c r="BD26" s="106">
        <f t="shared" si="21"/>
        <v>0</v>
      </c>
      <c r="BE26" s="107">
        <f t="shared" si="29"/>
        <v>237817.74536194897</v>
      </c>
      <c r="BG26" s="108">
        <f>'Op Cost-24'!E19</f>
        <v>605988</v>
      </c>
      <c r="BH26" s="109">
        <f t="shared" si="22"/>
        <v>0.39244629491334643</v>
      </c>
      <c r="BI26" s="110">
        <f t="shared" si="23"/>
        <v>181796.4</v>
      </c>
      <c r="BJ26" s="111">
        <f t="shared" si="24"/>
        <v>56021.345361948974</v>
      </c>
      <c r="BK26" s="1">
        <f t="shared" si="30"/>
        <v>1.2668687019740705</v>
      </c>
      <c r="BL26" s="112">
        <f t="shared" si="31"/>
        <v>0.73295166879390683</v>
      </c>
      <c r="BM26" s="112">
        <f t="shared" si="32"/>
        <v>0.72003777768130961</v>
      </c>
      <c r="BN26" s="113">
        <f t="shared" si="33"/>
        <v>1.8072426807105326</v>
      </c>
      <c r="BO26" s="114">
        <f t="shared" si="25"/>
        <v>0</v>
      </c>
      <c r="BP26" s="115">
        <f t="shared" si="34"/>
        <v>2.3797555546927972E-3</v>
      </c>
      <c r="BQ26" s="116">
        <f t="shared" si="35"/>
        <v>0</v>
      </c>
      <c r="BR26" s="117">
        <f t="shared" si="36"/>
        <v>0</v>
      </c>
      <c r="BS26" s="118">
        <f t="shared" si="37"/>
        <v>181796.4</v>
      </c>
      <c r="BT26" s="119">
        <f t="shared" si="38"/>
        <v>181796.4</v>
      </c>
      <c r="BU26" s="119">
        <f t="shared" si="39"/>
        <v>181796.4</v>
      </c>
      <c r="BV26" s="119">
        <f t="shared" si="56"/>
        <v>0</v>
      </c>
      <c r="BW26" s="120">
        <f t="shared" si="40"/>
        <v>0</v>
      </c>
      <c r="BX26" s="121">
        <f t="shared" si="41"/>
        <v>0</v>
      </c>
      <c r="BY26" s="122">
        <f t="shared" si="42"/>
        <v>181796.4</v>
      </c>
      <c r="BZ26" s="123">
        <f t="shared" si="58"/>
        <v>2297547831517.2476</v>
      </c>
      <c r="CA26" s="111">
        <f t="shared" si="57"/>
        <v>2297548013314</v>
      </c>
      <c r="CC26" s="124">
        <f t="shared" si="26"/>
        <v>1</v>
      </c>
      <c r="CD26" s="17"/>
      <c r="CE26" s="108">
        <f t="shared" si="44"/>
        <v>605988</v>
      </c>
      <c r="CF26" s="125">
        <f t="shared" si="45"/>
        <v>3791408.4326983374</v>
      </c>
      <c r="CG26" s="110">
        <f t="shared" si="46"/>
        <v>181796.4</v>
      </c>
      <c r="CH26" s="126">
        <f t="shared" si="47"/>
        <v>2297547831517.6001</v>
      </c>
      <c r="CJ26" s="127">
        <f t="shared" si="48"/>
        <v>0</v>
      </c>
      <c r="CK26" s="128" t="e">
        <f t="shared" si="49"/>
        <v>#DIV/0!</v>
      </c>
      <c r="CL26" s="129" t="e">
        <f t="shared" si="50"/>
        <v>#DIV/0!</v>
      </c>
      <c r="CM26" s="130" t="e">
        <f t="shared" si="51"/>
        <v>#DIV/0!</v>
      </c>
      <c r="CO26" s="131" t="e">
        <f t="shared" si="52"/>
        <v>#DIV/0!</v>
      </c>
      <c r="CP26" s="1">
        <f t="shared" si="53"/>
        <v>0</v>
      </c>
      <c r="CQ26" s="132">
        <f t="shared" si="54"/>
        <v>0.3</v>
      </c>
      <c r="CS26" s="104">
        <f t="shared" si="55"/>
        <v>1.9044617599082473E-3</v>
      </c>
    </row>
    <row r="27" spans="1:97">
      <c r="A27" s="133" t="s">
        <v>99</v>
      </c>
      <c r="B27" s="90" t="s">
        <v>102</v>
      </c>
      <c r="C27" s="91">
        <f>'Sizing - Reimb Expen-24'!B20</f>
        <v>7645579</v>
      </c>
      <c r="D27" s="92">
        <f>'Ridership-24'!$E19</f>
        <v>445943</v>
      </c>
      <c r="E27" s="92">
        <f>'Revenue Hours-24'!$F19</f>
        <v>74332</v>
      </c>
      <c r="F27" s="92">
        <f>'Revenue Miles-24'!$F19</f>
        <v>1073547</v>
      </c>
      <c r="G27" s="93">
        <f t="shared" si="0"/>
        <v>1.4960892233227486E-2</v>
      </c>
      <c r="H27" s="94">
        <f t="shared" si="1"/>
        <v>1.4124149826649104E-2</v>
      </c>
      <c r="J27" s="95">
        <f>'Ridership-24'!B19/'Revenue Hours-24'!C19</f>
        <v>22.056571921738222</v>
      </c>
      <c r="K27" s="96">
        <f>'Ridership-24'!C19/'Revenue Hours-24'!D19</f>
        <v>21.272344057919085</v>
      </c>
      <c r="L27" s="96">
        <f>'Ridership-24'!D19/'Revenue Hours-24'!E19</f>
        <v>6.2106387495687709</v>
      </c>
      <c r="M27" s="207">
        <f>'Ridership-24'!E19/'Revenue Hours-24'!L19</f>
        <v>5.9993407953505891</v>
      </c>
      <c r="N27" s="97">
        <f t="shared" si="2"/>
        <v>0.76216084942828932</v>
      </c>
      <c r="O27" s="98">
        <f t="shared" si="3"/>
        <v>1.0764874029331307E-2</v>
      </c>
      <c r="P27" s="99">
        <f t="shared" si="4"/>
        <v>1.0203672156582074E-2</v>
      </c>
      <c r="Q27" s="95">
        <f>'Ridership-24'!B19/'Revenue Miles-24'!C19</f>
        <v>1.8438212046014921</v>
      </c>
      <c r="R27" s="96">
        <f>'Ridership-24'!C19/'Revenue Miles-24'!D19</f>
        <v>1.6130997617774709</v>
      </c>
      <c r="S27" s="96">
        <f>'Ridership-24'!D19/'Revenue Miles-24'!E19</f>
        <v>0.43710720015539234</v>
      </c>
      <c r="T27" s="207">
        <f>'Ridership-24'!E19/'Revenue Miles-24'!L19</f>
        <v>0.41539215330115964</v>
      </c>
      <c r="U27" s="97">
        <f t="shared" si="5"/>
        <v>0.71974151668977804</v>
      </c>
      <c r="V27" s="98">
        <f t="shared" si="6"/>
        <v>1.0165737018186093E-2</v>
      </c>
      <c r="W27" s="99">
        <f t="shared" si="7"/>
        <v>9.6458080349961124E-3</v>
      </c>
      <c r="X27" s="95">
        <f>'Op Cost-24'!B20/'Revenue Hours-24'!C19</f>
        <v>79.05589855938392</v>
      </c>
      <c r="Y27" s="96">
        <f>'Op Cost-24'!C20/'Revenue Hours-24'!D19</f>
        <v>85.260382965718563</v>
      </c>
      <c r="Z27" s="96">
        <f>'Op Cost-24'!D20/'Revenue Hours-24'!E19</f>
        <v>88.890998593530242</v>
      </c>
      <c r="AA27" s="96">
        <f>'Op Cost-24'!E20/'Revenue Hours-24'!F19</f>
        <v>103.53699617930367</v>
      </c>
      <c r="AB27" s="97">
        <f t="shared" si="8"/>
        <v>1.0248251681607927</v>
      </c>
      <c r="AC27" s="98">
        <f t="shared" si="9"/>
        <v>1.3782009132345056E-2</v>
      </c>
      <c r="AD27" s="99">
        <f t="shared" si="10"/>
        <v>1.3858818955005653E-2</v>
      </c>
      <c r="AE27" s="95">
        <f>'Op Cost-24'!B20/'Revenue Miles-24'!C19</f>
        <v>6.6086852766524222</v>
      </c>
      <c r="AF27" s="96">
        <f>'Op Cost-24'!C20/'Revenue Miles-24'!D19</f>
        <v>6.465366631744411</v>
      </c>
      <c r="AG27" s="96">
        <f>'Op Cost-24'!D20/'Revenue Miles-24'!E19</f>
        <v>6.2561834749980854</v>
      </c>
      <c r="AH27" s="96">
        <f>'Op Cost-24'!E20/'Revenue Miles-24'!F19</f>
        <v>7.168863589577354</v>
      </c>
      <c r="AI27" s="97">
        <f t="shared" si="11"/>
        <v>0.9727281441536425</v>
      </c>
      <c r="AJ27" s="98">
        <f t="shared" si="12"/>
        <v>1.4520141019398934E-2</v>
      </c>
      <c r="AK27" s="99">
        <f t="shared" si="13"/>
        <v>1.4536551574732106E-2</v>
      </c>
      <c r="AL27" s="95">
        <f>'Op Cost-24'!B20/'Ridership-24'!B19</f>
        <v>3.5842332543739066</v>
      </c>
      <c r="AM27" s="96">
        <f>'Op Cost-24'!C20/'Ridership-24'!C19</f>
        <v>4.008038922912144</v>
      </c>
      <c r="AN27" s="96">
        <f>'Op Cost-24'!D20/'Ridership-24'!D19</f>
        <v>14.312698287225656</v>
      </c>
      <c r="AO27" s="96">
        <f>'Op Cost-24'!E20/'Ridership-24'!E19</f>
        <v>17.258062129016487</v>
      </c>
      <c r="AP27" s="97">
        <f t="shared" si="14"/>
        <v>1.3818582831318029</v>
      </c>
      <c r="AQ27" s="98">
        <f t="shared" si="15"/>
        <v>1.0221127592504309E-2</v>
      </c>
      <c r="AR27" s="99">
        <f t="shared" si="16"/>
        <v>1.0820377402661259E-2</v>
      </c>
      <c r="AT27" s="101">
        <f t="shared" si="27"/>
        <v>0</v>
      </c>
      <c r="AU27" s="102">
        <f t="shared" si="17"/>
        <v>0</v>
      </c>
      <c r="AV27" s="102">
        <f t="shared" si="18"/>
        <v>0</v>
      </c>
      <c r="AW27" s="102">
        <f t="shared" si="19"/>
        <v>0</v>
      </c>
      <c r="AX27" s="103">
        <f t="shared" si="20"/>
        <v>0</v>
      </c>
      <c r="AY27" s="104">
        <f t="shared" si="28"/>
        <v>-1</v>
      </c>
      <c r="AZ27" s="105">
        <f t="shared" si="21"/>
        <v>0</v>
      </c>
      <c r="BA27" s="106">
        <f t="shared" si="21"/>
        <v>0</v>
      </c>
      <c r="BB27" s="106">
        <f t="shared" si="21"/>
        <v>0</v>
      </c>
      <c r="BC27" s="106">
        <f t="shared" si="21"/>
        <v>0</v>
      </c>
      <c r="BD27" s="106">
        <f t="shared" si="21"/>
        <v>0</v>
      </c>
      <c r="BE27" s="107">
        <f t="shared" si="29"/>
        <v>1788157.7574726208</v>
      </c>
      <c r="BG27" s="108">
        <f>'Op Cost-24'!E20</f>
        <v>7696112</v>
      </c>
      <c r="BH27" s="109">
        <f t="shared" si="22"/>
        <v>0.23234559963168686</v>
      </c>
      <c r="BI27" s="110">
        <f t="shared" si="23"/>
        <v>1788157.7574726208</v>
      </c>
      <c r="BJ27" s="111">
        <f t="shared" si="24"/>
        <v>0</v>
      </c>
      <c r="BK27" s="1">
        <f t="shared" si="30"/>
        <v>0.743512864459001</v>
      </c>
      <c r="BL27" s="112">
        <f t="shared" si="31"/>
        <v>0.67004768470057807</v>
      </c>
      <c r="BM27" s="112">
        <f t="shared" si="32"/>
        <v>0.67018584022112548</v>
      </c>
      <c r="BN27" s="113">
        <f t="shared" si="33"/>
        <v>0.81690896645715028</v>
      </c>
      <c r="BO27" s="114">
        <f t="shared" si="25"/>
        <v>1788157.7574726208</v>
      </c>
      <c r="BP27" s="115">
        <f t="shared" si="34"/>
        <v>1.0501487095659979E-2</v>
      </c>
      <c r="BQ27" s="116">
        <f t="shared" si="35"/>
        <v>1.0501487095659979E-2</v>
      </c>
      <c r="BR27" s="117">
        <f t="shared" si="36"/>
        <v>1.7302668043543423E-2</v>
      </c>
      <c r="BS27" s="118">
        <f t="shared" si="37"/>
        <v>2006829.3452648211</v>
      </c>
      <c r="BT27" s="119">
        <f t="shared" si="38"/>
        <v>2308833.6</v>
      </c>
      <c r="BU27" s="119">
        <f t="shared" si="39"/>
        <v>2006829.3452648211</v>
      </c>
      <c r="BV27" s="119">
        <f t="shared" si="56"/>
        <v>0</v>
      </c>
      <c r="BW27" s="120">
        <f t="shared" si="40"/>
        <v>1.0501487095659979E-2</v>
      </c>
      <c r="BX27" s="121">
        <f t="shared" si="41"/>
        <v>2.3011444794343475E-2</v>
      </c>
      <c r="BY27" s="122">
        <f t="shared" si="42"/>
        <v>2058951.0551032</v>
      </c>
      <c r="BZ27" s="123">
        <f t="shared" si="58"/>
        <v>26021079250482.992</v>
      </c>
      <c r="CA27" s="111">
        <f t="shared" si="57"/>
        <v>26021081038641</v>
      </c>
      <c r="CC27" s="124">
        <f t="shared" si="26"/>
        <v>1</v>
      </c>
      <c r="CD27" s="17"/>
      <c r="CE27" s="108">
        <f t="shared" si="44"/>
        <v>7696112</v>
      </c>
      <c r="CF27" s="125">
        <f t="shared" si="45"/>
        <v>3381068.3938384731</v>
      </c>
      <c r="CG27" s="110">
        <f t="shared" si="46"/>
        <v>2308833.6</v>
      </c>
      <c r="CH27" s="126">
        <f t="shared" si="47"/>
        <v>26021078729807.398</v>
      </c>
      <c r="CJ27" s="127">
        <f t="shared" si="48"/>
        <v>0</v>
      </c>
      <c r="CK27" s="128" t="e">
        <f t="shared" si="49"/>
        <v>#DIV/0!</v>
      </c>
      <c r="CL27" s="129" t="e">
        <f t="shared" si="50"/>
        <v>#DIV/0!</v>
      </c>
      <c r="CM27" s="130" t="e">
        <f t="shared" si="51"/>
        <v>#DIV/0!</v>
      </c>
      <c r="CO27" s="131" t="e">
        <f t="shared" si="52"/>
        <v>#DIV/0!</v>
      </c>
      <c r="CP27" s="1">
        <f t="shared" si="53"/>
        <v>0</v>
      </c>
      <c r="CQ27" s="132">
        <f t="shared" si="54"/>
        <v>0.26753132687039899</v>
      </c>
      <c r="CS27" s="104">
        <f t="shared" si="55"/>
        <v>8.4040903093662959E-3</v>
      </c>
    </row>
    <row r="28" spans="1:97">
      <c r="A28" s="133" t="s">
        <v>99</v>
      </c>
      <c r="B28" s="90" t="s">
        <v>103</v>
      </c>
      <c r="C28" s="91">
        <f>'Sizing - Reimb Expen-24'!B21</f>
        <v>107836</v>
      </c>
      <c r="D28" s="92">
        <f>'Ridership-24'!$E20</f>
        <v>14878</v>
      </c>
      <c r="E28" s="92">
        <f>'Revenue Hours-24'!$F20</f>
        <v>3043</v>
      </c>
      <c r="F28" s="92">
        <f>'Revenue Miles-24'!$F20</f>
        <v>48696</v>
      </c>
      <c r="G28" s="134">
        <f t="shared" si="0"/>
        <v>4.3902978316868741E-4</v>
      </c>
      <c r="H28" s="94">
        <f t="shared" si="1"/>
        <v>4.1447544298620325E-4</v>
      </c>
      <c r="J28" s="95">
        <f>'Ridership-24'!B20/'Revenue Hours-24'!C20</f>
        <v>6.4826216484607748</v>
      </c>
      <c r="K28" s="96">
        <f>'Ridership-24'!C20/'Revenue Hours-24'!D20</f>
        <v>5.9558432934926957</v>
      </c>
      <c r="L28" s="96">
        <f>'Ridership-24'!D20/'Revenue Hours-24'!E20</f>
        <v>4.686815011624045</v>
      </c>
      <c r="M28" s="207">
        <f>'Ridership-24'!E20/'Revenue Hours-24'!L20</f>
        <v>4.8892540256325994</v>
      </c>
      <c r="N28" s="97">
        <f t="shared" si="2"/>
        <v>1.08799560674147</v>
      </c>
      <c r="O28" s="98">
        <f t="shared" si="3"/>
        <v>4.5094746107121375E-4</v>
      </c>
      <c r="P28" s="99">
        <f t="shared" si="4"/>
        <v>4.2743835553267013E-4</v>
      </c>
      <c r="Q28" s="95">
        <f>'Ridership-24'!B20/'Revenue Miles-24'!C20</f>
        <v>0.40805950867834895</v>
      </c>
      <c r="R28" s="96">
        <f>'Ridership-24'!C20/'Revenue Miles-24'!D20</f>
        <v>0.37067112984544176</v>
      </c>
      <c r="S28" s="96">
        <f>'Ridership-24'!D20/'Revenue Miles-24'!E20</f>
        <v>0.28707433174661295</v>
      </c>
      <c r="T28" s="207">
        <f>'Ridership-24'!E20/'Revenue Miles-24'!L20</f>
        <v>0.30552817479875144</v>
      </c>
      <c r="U28" s="97">
        <f t="shared" si="5"/>
        <v>1.0831024445606128</v>
      </c>
      <c r="V28" s="98">
        <f t="shared" si="6"/>
        <v>4.4891936550869963E-4</v>
      </c>
      <c r="W28" s="99">
        <f t="shared" si="7"/>
        <v>4.2595928019214315E-4</v>
      </c>
      <c r="X28" s="95">
        <f>'Op Cost-24'!B21/'Revenue Hours-24'!C20</f>
        <v>33.555445216815627</v>
      </c>
      <c r="Y28" s="96">
        <f>'Op Cost-24'!C21/'Revenue Hours-24'!D20</f>
        <v>35.128818061088978</v>
      </c>
      <c r="Z28" s="96">
        <f>'Op Cost-24'!D21/'Revenue Hours-24'!E20</f>
        <v>38.42344735968117</v>
      </c>
      <c r="AA28" s="96">
        <f>'Op Cost-24'!E21/'Revenue Hours-24'!F20</f>
        <v>35.43739730529083</v>
      </c>
      <c r="AB28" s="97">
        <f t="shared" si="8"/>
        <v>0.9478174478679624</v>
      </c>
      <c r="AC28" s="98">
        <f t="shared" si="9"/>
        <v>4.3729459076590307E-4</v>
      </c>
      <c r="AD28" s="99">
        <f t="shared" si="10"/>
        <v>4.3973171873792986E-4</v>
      </c>
      <c r="AE28" s="95">
        <f>'Op Cost-24'!B21/'Revenue Miles-24'!C20</f>
        <v>2.1122038630633635</v>
      </c>
      <c r="AF28" s="96">
        <f>'Op Cost-24'!C21/'Revenue Miles-24'!D20</f>
        <v>2.1862963881312507</v>
      </c>
      <c r="AG28" s="96">
        <f>'Op Cost-24'!D21/'Revenue Miles-24'!E20</f>
        <v>2.3534928190731925</v>
      </c>
      <c r="AH28" s="96">
        <f>'Op Cost-24'!E21/'Revenue Miles-24'!F20</f>
        <v>2.2144734680466569</v>
      </c>
      <c r="AI28" s="97">
        <f t="shared" si="11"/>
        <v>0.95084288699013142</v>
      </c>
      <c r="AJ28" s="98">
        <f t="shared" si="12"/>
        <v>4.3590318511843161E-4</v>
      </c>
      <c r="AK28" s="99">
        <f t="shared" si="13"/>
        <v>4.3639583965461934E-4</v>
      </c>
      <c r="AL28" s="95">
        <f>'Op Cost-24'!B21/'Ridership-24'!B20</f>
        <v>5.1762152777777777</v>
      </c>
      <c r="AM28" s="96">
        <f>'Op Cost-24'!C21/'Ridership-24'!C20</f>
        <v>5.8982106025976924</v>
      </c>
      <c r="AN28" s="96">
        <f>'Op Cost-24'!D21/'Ridership-24'!D20</f>
        <v>8.1982001133786842</v>
      </c>
      <c r="AO28" s="96">
        <f>'Op Cost-24'!E21/'Ridership-24'!E20</f>
        <v>7.2480172066137918</v>
      </c>
      <c r="AP28" s="100">
        <f t="shared" si="14"/>
        <v>0.94501573326470911</v>
      </c>
      <c r="AQ28" s="98">
        <f t="shared" si="15"/>
        <v>4.3859105028265619E-4</v>
      </c>
      <c r="AR28" s="99">
        <f t="shared" si="16"/>
        <v>4.643050041727498E-4</v>
      </c>
      <c r="AT28" s="101">
        <f t="shared" si="27"/>
        <v>0</v>
      </c>
      <c r="AU28" s="102">
        <f t="shared" si="17"/>
        <v>0</v>
      </c>
      <c r="AV28" s="102">
        <f t="shared" si="18"/>
        <v>0</v>
      </c>
      <c r="AW28" s="102">
        <f t="shared" si="19"/>
        <v>0</v>
      </c>
      <c r="AX28" s="103">
        <f t="shared" si="20"/>
        <v>0</v>
      </c>
      <c r="AY28" s="104">
        <f t="shared" si="28"/>
        <v>-1</v>
      </c>
      <c r="AZ28" s="105">
        <f t="shared" si="21"/>
        <v>0</v>
      </c>
      <c r="BA28" s="106">
        <f t="shared" si="21"/>
        <v>0</v>
      </c>
      <c r="BB28" s="106">
        <f t="shared" si="21"/>
        <v>0</v>
      </c>
      <c r="BC28" s="106">
        <f t="shared" si="21"/>
        <v>0</v>
      </c>
      <c r="BD28" s="106">
        <f t="shared" si="21"/>
        <v>0</v>
      </c>
      <c r="BE28" s="107">
        <f t="shared" si="29"/>
        <v>52473.776316030089</v>
      </c>
      <c r="BG28" s="108">
        <f>'Op Cost-24'!E21</f>
        <v>107836</v>
      </c>
      <c r="BH28" s="109">
        <f t="shared" si="22"/>
        <v>0.48660722129928863</v>
      </c>
      <c r="BI28" s="110">
        <f t="shared" si="23"/>
        <v>32350.799999999999</v>
      </c>
      <c r="BJ28" s="111">
        <f t="shared" si="24"/>
        <v>20122.97631603009</v>
      </c>
      <c r="BK28" s="1">
        <f t="shared" si="30"/>
        <v>1.2323099021423269</v>
      </c>
      <c r="BL28" s="112">
        <f t="shared" si="31"/>
        <v>0.54606555145641789</v>
      </c>
      <c r="BM28" s="112">
        <f t="shared" si="32"/>
        <v>0.49293337611574117</v>
      </c>
      <c r="BN28" s="113">
        <f t="shared" si="33"/>
        <v>1.9451203404985742</v>
      </c>
      <c r="BO28" s="114">
        <f t="shared" si="25"/>
        <v>0</v>
      </c>
      <c r="BP28" s="115">
        <f t="shared" si="34"/>
        <v>5.1076219258672576E-4</v>
      </c>
      <c r="BQ28" s="116">
        <f t="shared" si="35"/>
        <v>0</v>
      </c>
      <c r="BR28" s="117">
        <f t="shared" si="36"/>
        <v>0</v>
      </c>
      <c r="BS28" s="118">
        <f t="shared" si="37"/>
        <v>32350.799999999999</v>
      </c>
      <c r="BT28" s="119">
        <f t="shared" si="38"/>
        <v>32350.799999999999</v>
      </c>
      <c r="BU28" s="119">
        <f t="shared" si="39"/>
        <v>32350.799999999999</v>
      </c>
      <c r="BV28" s="119">
        <f t="shared" si="56"/>
        <v>0</v>
      </c>
      <c r="BW28" s="120">
        <f t="shared" si="40"/>
        <v>0</v>
      </c>
      <c r="BX28" s="121">
        <f t="shared" si="41"/>
        <v>0</v>
      </c>
      <c r="BY28" s="122">
        <f t="shared" si="42"/>
        <v>32350.799999999999</v>
      </c>
      <c r="BZ28" s="123">
        <f t="shared" si="58"/>
        <v>408850287397.59515</v>
      </c>
      <c r="CA28" s="111">
        <f t="shared" si="57"/>
        <v>408850319748</v>
      </c>
      <c r="CC28" s="124">
        <f t="shared" si="26"/>
        <v>1</v>
      </c>
      <c r="CD28" s="17"/>
      <c r="CE28" s="108">
        <f t="shared" si="44"/>
        <v>107836</v>
      </c>
      <c r="CF28" s="125">
        <f t="shared" si="45"/>
        <v>3791408.432694091</v>
      </c>
      <c r="CG28" s="110">
        <f t="shared" si="46"/>
        <v>32350.799999999999</v>
      </c>
      <c r="CH28" s="126">
        <f t="shared" si="47"/>
        <v>408850287397.20001</v>
      </c>
      <c r="CJ28" s="127">
        <f t="shared" si="48"/>
        <v>0</v>
      </c>
      <c r="CK28" s="128" t="e">
        <f t="shared" si="49"/>
        <v>#DIV/0!</v>
      </c>
      <c r="CL28" s="129" t="e">
        <f t="shared" si="50"/>
        <v>#DIV/0!</v>
      </c>
      <c r="CM28" s="130" t="e">
        <f t="shared" si="51"/>
        <v>#DIV/0!</v>
      </c>
      <c r="CO28" s="131" t="e">
        <f t="shared" si="52"/>
        <v>#DIV/0!</v>
      </c>
      <c r="CP28" s="1">
        <f t="shared" si="53"/>
        <v>0</v>
      </c>
      <c r="CQ28" s="132">
        <f t="shared" si="54"/>
        <v>0.3</v>
      </c>
      <c r="CS28" s="104">
        <f t="shared" si="55"/>
        <v>4.0875083252568781E-4</v>
      </c>
    </row>
    <row r="29" spans="1:97">
      <c r="A29" s="133" t="s">
        <v>104</v>
      </c>
      <c r="B29" s="90" t="s">
        <v>105</v>
      </c>
      <c r="C29" s="91">
        <f>'Sizing - Reimb Expen-24'!B22</f>
        <v>15647246</v>
      </c>
      <c r="D29" s="92">
        <f>'Ridership-24'!$E21</f>
        <v>421563</v>
      </c>
      <c r="E29" s="92">
        <f>'Revenue Hours-24'!$F21</f>
        <v>98775</v>
      </c>
      <c r="F29" s="92">
        <f>'Revenue Miles-24'!$F21</f>
        <v>2248360.5</v>
      </c>
      <c r="G29" s="134">
        <f t="shared" si="0"/>
        <v>2.4467410815003868E-2</v>
      </c>
      <c r="H29" s="94">
        <f t="shared" si="1"/>
        <v>2.3098981720740441E-2</v>
      </c>
      <c r="J29" s="95">
        <f>'Ridership-24'!B21/'Revenue Hours-24'!C21</f>
        <v>9.2001258890004944</v>
      </c>
      <c r="K29" s="96">
        <f>'Ridership-24'!C21/'Revenue Hours-24'!D21</f>
        <v>9.5977192221126977</v>
      </c>
      <c r="L29" s="96">
        <f>'Ridership-24'!D21/'Revenue Hours-24'!E21</f>
        <v>3.470492023892092</v>
      </c>
      <c r="M29" s="207">
        <f>'Ridership-24'!E21/'Revenue Hours-24'!L21</f>
        <v>4.7546665463609399</v>
      </c>
      <c r="N29" s="97">
        <f t="shared" si="2"/>
        <v>0.93824226629780039</v>
      </c>
      <c r="O29" s="98">
        <f t="shared" si="3"/>
        <v>2.1672440958838975E-2</v>
      </c>
      <c r="P29" s="99">
        <f t="shared" si="4"/>
        <v>2.0542598248185061E-2</v>
      </c>
      <c r="Q29" s="95">
        <f>'Ridership-24'!B21/'Revenue Miles-24'!C21</f>
        <v>0.3814515427407344</v>
      </c>
      <c r="R29" s="96">
        <f>'Ridership-24'!C21/'Revenue Miles-24'!D21</f>
        <v>0.37124438856652447</v>
      </c>
      <c r="S29" s="96">
        <f>'Ridership-24'!D21/'Revenue Miles-24'!E21</f>
        <v>0.16305901321605187</v>
      </c>
      <c r="T29" s="207">
        <f>'Ridership-24'!E21/'Revenue Miles-24'!L21</f>
        <v>0.23157738033111441</v>
      </c>
      <c r="U29" s="97">
        <f t="shared" si="5"/>
        <v>0.98496881299647798</v>
      </c>
      <c r="V29" s="98">
        <f t="shared" si="6"/>
        <v>2.2751776606905055E-2</v>
      </c>
      <c r="W29" s="99">
        <f t="shared" si="7"/>
        <v>2.1588131702867941E-2</v>
      </c>
      <c r="X29" s="95">
        <f>'Op Cost-24'!B22/'Revenue Hours-24'!C21</f>
        <v>93.378558519513959</v>
      </c>
      <c r="Y29" s="96">
        <f>'Op Cost-24'!C22/'Revenue Hours-24'!D21</f>
        <v>112.24563612250527</v>
      </c>
      <c r="Z29" s="96">
        <f>'Op Cost-24'!D22/'Revenue Hours-24'!E21</f>
        <v>179.69728056645377</v>
      </c>
      <c r="AA29" s="96">
        <f>'Op Cost-24'!E22/'Revenue Hours-24'!F21</f>
        <v>158.41301948873704</v>
      </c>
      <c r="AB29" s="97">
        <f t="shared" si="8"/>
        <v>1.1234756688906935</v>
      </c>
      <c r="AC29" s="98">
        <f t="shared" si="9"/>
        <v>2.0560286582394879E-2</v>
      </c>
      <c r="AD29" s="99">
        <f t="shared" si="10"/>
        <v>2.0674873066199948E-2</v>
      </c>
      <c r="AE29" s="95">
        <f>'Op Cost-24'!B22/'Revenue Miles-24'!C21</f>
        <v>3.8716204143206845</v>
      </c>
      <c r="AF29" s="96">
        <f>'Op Cost-24'!C22/'Revenue Miles-24'!D21</f>
        <v>4.3417151082679135</v>
      </c>
      <c r="AG29" s="96">
        <f>'Op Cost-24'!D22/'Revenue Miles-24'!E21</f>
        <v>8.4429703468712045</v>
      </c>
      <c r="AH29" s="96">
        <f>'Op Cost-24'!E22/'Revenue Miles-24'!F21</f>
        <v>6.9594026402794391</v>
      </c>
      <c r="AI29" s="97">
        <f t="shared" si="11"/>
        <v>1.1730229212345462</v>
      </c>
      <c r="AJ29" s="98">
        <f t="shared" si="12"/>
        <v>1.9691841738633677E-2</v>
      </c>
      <c r="AK29" s="99">
        <f t="shared" si="13"/>
        <v>1.9714097311636182E-2</v>
      </c>
      <c r="AL29" s="95">
        <f>'Op Cost-24'!B22/'Ridership-24'!B21</f>
        <v>10.149704432974739</v>
      </c>
      <c r="AM29" s="96">
        <f>'Op Cost-24'!C22/'Ridership-24'!C21</f>
        <v>11.695032280575219</v>
      </c>
      <c r="AN29" s="96">
        <f>'Op Cost-24'!D22/'Ridership-24'!D21</f>
        <v>51.778617939287642</v>
      </c>
      <c r="AO29" s="96">
        <f>'Op Cost-24'!E22/'Ridership-24'!E21</f>
        <v>37.117218541475417</v>
      </c>
      <c r="AP29" s="97">
        <f t="shared" si="14"/>
        <v>1.303510424877655</v>
      </c>
      <c r="AQ29" s="98">
        <f t="shared" si="15"/>
        <v>1.7720596076482065E-2</v>
      </c>
      <c r="AR29" s="99">
        <f t="shared" si="16"/>
        <v>1.875952879095942E-2</v>
      </c>
      <c r="AT29" s="101">
        <f t="shared" si="27"/>
        <v>0</v>
      </c>
      <c r="AU29" s="102">
        <f t="shared" si="17"/>
        <v>0</v>
      </c>
      <c r="AV29" s="102">
        <f t="shared" si="18"/>
        <v>0</v>
      </c>
      <c r="AW29" s="102">
        <f t="shared" si="19"/>
        <v>0</v>
      </c>
      <c r="AX29" s="103">
        <f t="shared" si="20"/>
        <v>0</v>
      </c>
      <c r="AY29" s="104">
        <f t="shared" si="28"/>
        <v>-1</v>
      </c>
      <c r="AZ29" s="105">
        <f t="shared" si="21"/>
        <v>0</v>
      </c>
      <c r="BA29" s="106">
        <f t="shared" si="21"/>
        <v>0</v>
      </c>
      <c r="BB29" s="106">
        <f t="shared" si="21"/>
        <v>0</v>
      </c>
      <c r="BC29" s="106">
        <f t="shared" si="21"/>
        <v>0</v>
      </c>
      <c r="BD29" s="106">
        <f t="shared" si="21"/>
        <v>0</v>
      </c>
      <c r="BE29" s="107">
        <f t="shared" si="29"/>
        <v>2924397.1396938683</v>
      </c>
      <c r="BG29" s="108">
        <f>'Op Cost-24'!E22</f>
        <v>15647246</v>
      </c>
      <c r="BH29" s="109">
        <f t="shared" si="22"/>
        <v>0.18689532584161253</v>
      </c>
      <c r="BI29" s="110">
        <f t="shared" si="23"/>
        <v>2924397.1396938683</v>
      </c>
      <c r="BJ29" s="111">
        <f t="shared" si="24"/>
        <v>0</v>
      </c>
      <c r="BK29" s="1">
        <f t="shared" si="30"/>
        <v>0.41607955354359272</v>
      </c>
      <c r="BL29" s="112">
        <f t="shared" si="31"/>
        <v>0.53103389515418697</v>
      </c>
      <c r="BM29" s="112">
        <f t="shared" si="32"/>
        <v>0.37362256359449098</v>
      </c>
      <c r="BN29" s="113">
        <f t="shared" si="33"/>
        <v>0.3798308777128464</v>
      </c>
      <c r="BO29" s="114">
        <f t="shared" si="25"/>
        <v>2924397.1396938683</v>
      </c>
      <c r="BP29" s="115">
        <f t="shared" si="34"/>
        <v>9.6110140016772913E-3</v>
      </c>
      <c r="BQ29" s="116">
        <f t="shared" si="35"/>
        <v>9.6110140016772913E-3</v>
      </c>
      <c r="BR29" s="117">
        <f t="shared" si="36"/>
        <v>1.5835489137685694E-2</v>
      </c>
      <c r="BS29" s="118">
        <f t="shared" si="37"/>
        <v>3124526.4807000966</v>
      </c>
      <c r="BT29" s="119">
        <f t="shared" si="38"/>
        <v>4694173.8</v>
      </c>
      <c r="BU29" s="119">
        <f t="shared" si="39"/>
        <v>3124526.4807000966</v>
      </c>
      <c r="BV29" s="119">
        <f t="shared" si="56"/>
        <v>0</v>
      </c>
      <c r="BW29" s="120">
        <f t="shared" si="40"/>
        <v>9.6110140016772913E-3</v>
      </c>
      <c r="BX29" s="121">
        <f t="shared" si="41"/>
        <v>2.1060190438043851E-2</v>
      </c>
      <c r="BY29" s="122">
        <f t="shared" si="42"/>
        <v>3172228.5326556759</v>
      </c>
      <c r="BZ29" s="123">
        <f t="shared" si="58"/>
        <v>40090710191621.992</v>
      </c>
      <c r="CA29" s="111">
        <f t="shared" si="57"/>
        <v>40090713116019</v>
      </c>
      <c r="CC29" s="124">
        <f t="shared" si="26"/>
        <v>1</v>
      </c>
      <c r="CD29" s="17"/>
      <c r="CE29" s="108">
        <f t="shared" si="44"/>
        <v>15647246</v>
      </c>
      <c r="CF29" s="125">
        <f t="shared" si="45"/>
        <v>2562157.7826551073</v>
      </c>
      <c r="CG29" s="110">
        <f t="shared" si="46"/>
        <v>4694173.8</v>
      </c>
      <c r="CH29" s="126">
        <f t="shared" si="47"/>
        <v>40090708421845.203</v>
      </c>
      <c r="CJ29" s="127">
        <f t="shared" si="48"/>
        <v>0</v>
      </c>
      <c r="CK29" s="128" t="e">
        <f t="shared" si="49"/>
        <v>#DIV/0!</v>
      </c>
      <c r="CL29" s="129" t="e">
        <f t="shared" si="50"/>
        <v>#DIV/0!</v>
      </c>
      <c r="CM29" s="130" t="e">
        <f t="shared" si="51"/>
        <v>#DIV/0!</v>
      </c>
      <c r="CO29" s="131" t="e">
        <f t="shared" si="52"/>
        <v>#DIV/0!</v>
      </c>
      <c r="CP29" s="1">
        <f t="shared" si="53"/>
        <v>0</v>
      </c>
      <c r="CQ29" s="132">
        <f t="shared" si="54"/>
        <v>0.20273398479551455</v>
      </c>
      <c r="CS29" s="104">
        <f t="shared" si="55"/>
        <v>7.6914658751579129E-3</v>
      </c>
    </row>
    <row r="30" spans="1:97">
      <c r="A30" s="133" t="s">
        <v>104</v>
      </c>
      <c r="B30" s="90" t="s">
        <v>106</v>
      </c>
      <c r="C30" s="91">
        <f>'Sizing - Reimb Expen-24'!B23</f>
        <v>26239078</v>
      </c>
      <c r="D30" s="92">
        <f>'Ridership-24'!$E22</f>
        <v>1815957</v>
      </c>
      <c r="E30" s="92">
        <f>'Revenue Hours-24'!$F22</f>
        <v>204460</v>
      </c>
      <c r="F30" s="92">
        <f>'Revenue Miles-24'!$F22</f>
        <v>2083544</v>
      </c>
      <c r="G30" s="134">
        <f t="shared" si="0"/>
        <v>4.8281511950908233E-2</v>
      </c>
      <c r="H30" s="94">
        <f t="shared" si="1"/>
        <v>4.5581192486450026E-2</v>
      </c>
      <c r="J30" s="95">
        <f>'Ridership-24'!B22/'Revenue Hours-24'!C22</f>
        <v>13.865819939305384</v>
      </c>
      <c r="K30" s="96">
        <f>'Ridership-24'!C22/'Revenue Hours-24'!D22</f>
        <v>12.903471027599291</v>
      </c>
      <c r="L30" s="96">
        <f>'Ridership-24'!D22/'Revenue Hours-24'!E22</f>
        <v>7.8216167510040826</v>
      </c>
      <c r="M30" s="207">
        <f>'Ridership-24'!E22/'Revenue Hours-24'!L22</f>
        <v>8.8817225863249529</v>
      </c>
      <c r="N30" s="97">
        <f t="shared" si="2"/>
        <v>0.99856691724436875</v>
      </c>
      <c r="O30" s="98">
        <f t="shared" si="3"/>
        <v>4.5515870865516582E-2</v>
      </c>
      <c r="P30" s="99">
        <f t="shared" si="4"/>
        <v>4.3143005943926144E-2</v>
      </c>
      <c r="Q30" s="95">
        <f>'Ridership-24'!B22/'Revenue Miles-24'!C22</f>
        <v>1.3701537016658529</v>
      </c>
      <c r="R30" s="96">
        <f>'Ridership-24'!C22/'Revenue Miles-24'!D22</f>
        <v>1.2587048387152435</v>
      </c>
      <c r="S30" s="96">
        <f>'Ridership-24'!D22/'Revenue Miles-24'!E22</f>
        <v>0.78433143162528551</v>
      </c>
      <c r="T30" s="207">
        <f>'Ridership-24'!E22/'Revenue Miles-24'!L22</f>
        <v>0.87157122671755427</v>
      </c>
      <c r="U30" s="97">
        <f t="shared" si="5"/>
        <v>1.0022577420680119</v>
      </c>
      <c r="V30" s="98">
        <f t="shared" si="6"/>
        <v>4.568410306223683E-2</v>
      </c>
      <c r="W30" s="99">
        <f t="shared" si="7"/>
        <v>4.3347578990189442E-2</v>
      </c>
      <c r="X30" s="95">
        <f>'Op Cost-24'!B23/'Revenue Hours-24'!C22</f>
        <v>71.878358997414864</v>
      </c>
      <c r="Y30" s="96">
        <f>'Op Cost-24'!C23/'Revenue Hours-24'!D22</f>
        <v>70.784446046283321</v>
      </c>
      <c r="Z30" s="96">
        <f>'Op Cost-24'!D23/'Revenue Hours-24'!E22</f>
        <v>115.12446224595757</v>
      </c>
      <c r="AA30" s="96">
        <f>'Op Cost-24'!E23/'Revenue Hours-24'!F22</f>
        <v>128.33355179497212</v>
      </c>
      <c r="AB30" s="97">
        <f t="shared" si="8"/>
        <v>1.1369244024920826</v>
      </c>
      <c r="AC30" s="98">
        <f t="shared" si="9"/>
        <v>4.0091665185951052E-2</v>
      </c>
      <c r="AD30" s="99">
        <f t="shared" si="10"/>
        <v>4.0315103848886903E-2</v>
      </c>
      <c r="AE30" s="95">
        <f>'Op Cost-24'!B23/'Revenue Miles-24'!C22</f>
        <v>7.1026740633492365</v>
      </c>
      <c r="AF30" s="96">
        <f>'Op Cost-24'!C23/'Revenue Miles-24'!D22</f>
        <v>6.9048649432129956</v>
      </c>
      <c r="AG30" s="96">
        <f>'Op Cost-24'!D23/'Revenue Miles-24'!E22</f>
        <v>11.544382339734495</v>
      </c>
      <c r="AH30" s="96">
        <f>'Op Cost-24'!E23/'Revenue Miles-24'!F22</f>
        <v>12.593483986899244</v>
      </c>
      <c r="AI30" s="97">
        <f t="shared" si="11"/>
        <v>1.1413899080937748</v>
      </c>
      <c r="AJ30" s="98">
        <f t="shared" si="12"/>
        <v>3.9934812953248175E-2</v>
      </c>
      <c r="AK30" s="99">
        <f t="shared" si="13"/>
        <v>3.9979946981685888E-2</v>
      </c>
      <c r="AL30" s="95">
        <f>'Op Cost-24'!B23/'Ridership-24'!B22</f>
        <v>5.1838520413539744</v>
      </c>
      <c r="AM30" s="96">
        <f>'Op Cost-24'!C23/'Ridership-24'!C22</f>
        <v>5.485690315023156</v>
      </c>
      <c r="AN30" s="96">
        <f>'Op Cost-24'!D23/'Ridership-24'!D22</f>
        <v>14.718755202519828</v>
      </c>
      <c r="AO30" s="96">
        <f>'Op Cost-24'!E23/'Ridership-24'!E22</f>
        <v>14.449173631313958</v>
      </c>
      <c r="AP30" s="97">
        <f t="shared" si="14"/>
        <v>1.1417394937986716</v>
      </c>
      <c r="AQ30" s="98">
        <f t="shared" si="15"/>
        <v>3.9922585435664695E-2</v>
      </c>
      <c r="AR30" s="99">
        <f t="shared" si="16"/>
        <v>4.2263188419707387E-2</v>
      </c>
      <c r="AT30" s="101">
        <f t="shared" si="27"/>
        <v>0</v>
      </c>
      <c r="AU30" s="102">
        <f t="shared" si="17"/>
        <v>0</v>
      </c>
      <c r="AV30" s="102">
        <f t="shared" si="18"/>
        <v>0</v>
      </c>
      <c r="AW30" s="102">
        <f t="shared" si="19"/>
        <v>0</v>
      </c>
      <c r="AX30" s="103">
        <f t="shared" si="20"/>
        <v>0</v>
      </c>
      <c r="AY30" s="104">
        <f t="shared" si="28"/>
        <v>-1</v>
      </c>
      <c r="AZ30" s="105">
        <f t="shared" si="21"/>
        <v>0</v>
      </c>
      <c r="BA30" s="106">
        <f t="shared" si="21"/>
        <v>0</v>
      </c>
      <c r="BB30" s="106">
        <f t="shared" si="21"/>
        <v>0</v>
      </c>
      <c r="BC30" s="106">
        <f t="shared" si="21"/>
        <v>0</v>
      </c>
      <c r="BD30" s="106">
        <f t="shared" si="21"/>
        <v>0</v>
      </c>
      <c r="BE30" s="107">
        <f t="shared" si="29"/>
        <v>5770709.3127626069</v>
      </c>
      <c r="BG30" s="108">
        <f>'Op Cost-24'!E23</f>
        <v>26239078</v>
      </c>
      <c r="BH30" s="109">
        <f t="shared" si="22"/>
        <v>0.2199280520741852</v>
      </c>
      <c r="BI30" s="110">
        <f t="shared" si="23"/>
        <v>5770709.3127626069</v>
      </c>
      <c r="BJ30" s="111">
        <f t="shared" si="24"/>
        <v>0</v>
      </c>
      <c r="BK30" s="1">
        <f t="shared" si="30"/>
        <v>1.0873942758975399</v>
      </c>
      <c r="BL30" s="112">
        <f t="shared" si="31"/>
        <v>0.99197192793780775</v>
      </c>
      <c r="BM30" s="112">
        <f t="shared" si="32"/>
        <v>1.4061765255993595</v>
      </c>
      <c r="BN30" s="113">
        <f t="shared" si="33"/>
        <v>0.97571432502649613</v>
      </c>
      <c r="BO30" s="114">
        <f t="shared" si="25"/>
        <v>5770709.3127626069</v>
      </c>
      <c r="BP30" s="115">
        <f t="shared" si="34"/>
        <v>4.9564727798349709E-2</v>
      </c>
      <c r="BQ30" s="116">
        <f t="shared" si="35"/>
        <v>4.9564727798349709E-2</v>
      </c>
      <c r="BR30" s="117">
        <f t="shared" si="36"/>
        <v>8.1664817939724077E-2</v>
      </c>
      <c r="BS30" s="118">
        <f t="shared" si="37"/>
        <v>6802791.4957357785</v>
      </c>
      <c r="BT30" s="119">
        <f t="shared" si="38"/>
        <v>7871723.3999999994</v>
      </c>
      <c r="BU30" s="119">
        <f t="shared" si="39"/>
        <v>6802791.4957357785</v>
      </c>
      <c r="BV30" s="119">
        <f t="shared" si="56"/>
        <v>0</v>
      </c>
      <c r="BW30" s="120">
        <f t="shared" si="40"/>
        <v>4.9564727798349709E-2</v>
      </c>
      <c r="BX30" s="121">
        <f t="shared" si="41"/>
        <v>0.10860899861980035</v>
      </c>
      <c r="BY30" s="122">
        <f t="shared" si="42"/>
        <v>7048794.5938676111</v>
      </c>
      <c r="BZ30" s="123">
        <f t="shared" si="58"/>
        <v>89082857163018.781</v>
      </c>
      <c r="CA30" s="111">
        <f t="shared" si="57"/>
        <v>89082862933728</v>
      </c>
      <c r="CC30" s="124">
        <f t="shared" si="26"/>
        <v>1</v>
      </c>
      <c r="CD30" s="17"/>
      <c r="CE30" s="108">
        <f t="shared" si="44"/>
        <v>26239078</v>
      </c>
      <c r="CF30" s="125">
        <f t="shared" si="45"/>
        <v>3395045.4712520004</v>
      </c>
      <c r="CG30" s="110">
        <f t="shared" si="46"/>
        <v>7871723.3999999994</v>
      </c>
      <c r="CH30" s="126">
        <f t="shared" si="47"/>
        <v>89082855062004.594</v>
      </c>
      <c r="CJ30" s="127">
        <f t="shared" si="48"/>
        <v>0</v>
      </c>
      <c r="CK30" s="128" t="e">
        <f t="shared" si="49"/>
        <v>#DIV/0!</v>
      </c>
      <c r="CL30" s="129" t="e">
        <f t="shared" si="50"/>
        <v>#DIV/0!</v>
      </c>
      <c r="CM30" s="130" t="e">
        <f t="shared" si="51"/>
        <v>#DIV/0!</v>
      </c>
      <c r="CO30" s="131" t="e">
        <f t="shared" si="52"/>
        <v>#DIV/0!</v>
      </c>
      <c r="CP30" s="1">
        <f t="shared" si="53"/>
        <v>0</v>
      </c>
      <c r="CQ30" s="132">
        <f t="shared" si="54"/>
        <v>0.26863728191469272</v>
      </c>
      <c r="CS30" s="104">
        <f t="shared" si="55"/>
        <v>3.9665472592794793E-2</v>
      </c>
    </row>
    <row r="31" spans="1:97">
      <c r="A31" s="133" t="s">
        <v>104</v>
      </c>
      <c r="B31" s="90" t="s">
        <v>107</v>
      </c>
      <c r="C31" s="91">
        <f>'Sizing - Reimb Expen-24'!B24</f>
        <v>27236031</v>
      </c>
      <c r="D31" s="92">
        <f>'Ridership-24'!$E23</f>
        <v>3047077</v>
      </c>
      <c r="E31" s="92">
        <f>'Revenue Hours-24'!$F23</f>
        <v>276476</v>
      </c>
      <c r="F31" s="92">
        <f>'Revenue Miles-24'!$F23</f>
        <v>2503129</v>
      </c>
      <c r="G31" s="134">
        <f t="shared" si="0"/>
        <v>6.3656643721171927E-2</v>
      </c>
      <c r="H31" s="94">
        <f t="shared" si="1"/>
        <v>6.0096413994788461E-2</v>
      </c>
      <c r="J31" s="95">
        <f>'Ridership-24'!B23/'Revenue Hours-24'!C23</f>
        <v>16.336445534406419</v>
      </c>
      <c r="K31" s="96">
        <f>'Ridership-24'!C23/'Revenue Hours-24'!D23</f>
        <v>15.892603773584906</v>
      </c>
      <c r="L31" s="96">
        <f>'Ridership-24'!D23/'Revenue Hours-24'!E23</f>
        <v>7.2218469159098948</v>
      </c>
      <c r="M31" s="207">
        <f>'Ridership-24'!E23/'Revenue Hours-24'!L23</f>
        <v>11.021126607734487</v>
      </c>
      <c r="N31" s="97">
        <f t="shared" si="2"/>
        <v>1.0152818096633436</v>
      </c>
      <c r="O31" s="98">
        <f t="shared" si="3"/>
        <v>6.1014795954906317E-2</v>
      </c>
      <c r="P31" s="99">
        <f t="shared" si="4"/>
        <v>5.7833930330096699E-2</v>
      </c>
      <c r="Q31" s="95">
        <f>'Ridership-24'!B23/'Revenue Miles-24'!C23</f>
        <v>1.802680802858009</v>
      </c>
      <c r="R31" s="96">
        <f>'Ridership-24'!C23/'Revenue Miles-24'!D23</f>
        <v>1.6926824335930128</v>
      </c>
      <c r="S31" s="96">
        <f>'Ridership-24'!D23/'Revenue Miles-24'!E23</f>
        <v>0.80452628182287345</v>
      </c>
      <c r="T31" s="207">
        <f>'Ridership-24'!E23/'Revenue Miles-24'!L23</f>
        <v>1.2173072182855937</v>
      </c>
      <c r="U31" s="97">
        <f t="shared" si="5"/>
        <v>1.0211052742749469</v>
      </c>
      <c r="V31" s="98">
        <f t="shared" si="6"/>
        <v>6.1364765295089232E-2</v>
      </c>
      <c r="W31" s="99">
        <f t="shared" si="7"/>
        <v>5.8226250107603052E-2</v>
      </c>
      <c r="X31" s="95">
        <f>'Op Cost-24'!B24/'Revenue Hours-24'!C23</f>
        <v>76.667882499885891</v>
      </c>
      <c r="Y31" s="96">
        <f>'Op Cost-24'!C24/'Revenue Hours-24'!D23</f>
        <v>83.128810327706063</v>
      </c>
      <c r="Z31" s="96">
        <f>'Op Cost-24'!D24/'Revenue Hours-24'!E23</f>
        <v>113.69054841372804</v>
      </c>
      <c r="AA31" s="96">
        <f>'Op Cost-24'!E24/'Revenue Hours-24'!F23</f>
        <v>98.632543150219192</v>
      </c>
      <c r="AB31" s="97">
        <f t="shared" si="8"/>
        <v>1.0166046781627676</v>
      </c>
      <c r="AC31" s="98">
        <f t="shared" si="9"/>
        <v>5.9114831247281042E-2</v>
      </c>
      <c r="AD31" s="99">
        <f t="shared" si="10"/>
        <v>5.9444289721812038E-2</v>
      </c>
      <c r="AE31" s="95">
        <f>'Op Cost-24'!B24/'Revenue Miles-24'!C23</f>
        <v>8.4600851321810815</v>
      </c>
      <c r="AF31" s="96">
        <f>'Op Cost-24'!C24/'Revenue Miles-24'!D23</f>
        <v>8.8538466680374093</v>
      </c>
      <c r="AG31" s="96">
        <f>'Op Cost-24'!D24/'Revenue Miles-24'!E23</f>
        <v>12.665324432756394</v>
      </c>
      <c r="AH31" s="96">
        <f>'Op Cost-24'!E24/'Revenue Miles-24'!F23</f>
        <v>10.894177247756708</v>
      </c>
      <c r="AI31" s="97">
        <f t="shared" si="11"/>
        <v>1.0223143327218718</v>
      </c>
      <c r="AJ31" s="98">
        <f t="shared" si="12"/>
        <v>5.8784673237226477E-2</v>
      </c>
      <c r="AK31" s="99">
        <f t="shared" si="13"/>
        <v>5.8851111237491982E-2</v>
      </c>
      <c r="AL31" s="95">
        <f>'Op Cost-24'!B24/'Ridership-24'!B23</f>
        <v>4.6930577608461137</v>
      </c>
      <c r="AM31" s="96">
        <f>'Op Cost-24'!C24/'Ridership-24'!C23</f>
        <v>5.2306602185523836</v>
      </c>
      <c r="AN31" s="96">
        <f>'Op Cost-24'!D24/'Ridership-24'!D23</f>
        <v>15.742586313102974</v>
      </c>
      <c r="AO31" s="96">
        <f>'Op Cost-24'!E24/'Ridership-24'!E23</f>
        <v>8.9494065952386492</v>
      </c>
      <c r="AP31" s="97">
        <f t="shared" si="14"/>
        <v>1.0288072437017239</v>
      </c>
      <c r="AQ31" s="98">
        <f t="shared" si="15"/>
        <v>5.8413676966889497E-2</v>
      </c>
      <c r="AR31" s="99">
        <f t="shared" si="16"/>
        <v>6.1838385690675367E-2</v>
      </c>
      <c r="AT31" s="101">
        <f t="shared" si="27"/>
        <v>0</v>
      </c>
      <c r="AU31" s="102">
        <f t="shared" si="17"/>
        <v>0</v>
      </c>
      <c r="AV31" s="102">
        <f t="shared" si="18"/>
        <v>0</v>
      </c>
      <c r="AW31" s="102">
        <f t="shared" si="19"/>
        <v>0</v>
      </c>
      <c r="AX31" s="103">
        <f t="shared" si="20"/>
        <v>0</v>
      </c>
      <c r="AY31" s="104">
        <f t="shared" si="28"/>
        <v>-1</v>
      </c>
      <c r="AZ31" s="105">
        <f t="shared" si="21"/>
        <v>0</v>
      </c>
      <c r="BA31" s="106">
        <f t="shared" si="21"/>
        <v>0</v>
      </c>
      <c r="BB31" s="106">
        <f t="shared" si="21"/>
        <v>0</v>
      </c>
      <c r="BC31" s="106">
        <f t="shared" si="21"/>
        <v>0</v>
      </c>
      <c r="BD31" s="106">
        <f t="shared" si="21"/>
        <v>0</v>
      </c>
      <c r="BE31" s="107">
        <f t="shared" si="29"/>
        <v>7608377.8634456787</v>
      </c>
      <c r="BG31" s="108">
        <f>'Op Cost-24'!E24</f>
        <v>27269531</v>
      </c>
      <c r="BH31" s="109">
        <f t="shared" si="22"/>
        <v>0.27900655363107196</v>
      </c>
      <c r="BI31" s="110">
        <f t="shared" si="23"/>
        <v>7608377.8634456787</v>
      </c>
      <c r="BJ31" s="111">
        <f t="shared" si="24"/>
        <v>0</v>
      </c>
      <c r="BK31" s="1">
        <f t="shared" si="30"/>
        <v>1.5863887654453428</v>
      </c>
      <c r="BL31" s="112">
        <f t="shared" si="31"/>
        <v>1.2309152985653791</v>
      </c>
      <c r="BM31" s="112">
        <f t="shared" si="32"/>
        <v>1.9639804324914631</v>
      </c>
      <c r="BN31" s="113">
        <f t="shared" si="33"/>
        <v>1.5753296653622644</v>
      </c>
      <c r="BO31" s="114">
        <f t="shared" si="25"/>
        <v>7608377.8634456787</v>
      </c>
      <c r="BP31" s="115">
        <f t="shared" si="34"/>
        <v>9.5336276004884687E-2</v>
      </c>
      <c r="BQ31" s="116">
        <f t="shared" si="35"/>
        <v>9.5336276004884687E-2</v>
      </c>
      <c r="BR31" s="117">
        <f t="shared" si="36"/>
        <v>0.15707984223509486</v>
      </c>
      <c r="BS31" s="118">
        <f t="shared" si="37"/>
        <v>9593557.1678890754</v>
      </c>
      <c r="BT31" s="119">
        <f t="shared" si="38"/>
        <v>8180859.2999999998</v>
      </c>
      <c r="BU31" s="119">
        <f t="shared" si="39"/>
        <v>8180859.2999999998</v>
      </c>
      <c r="BV31" s="119">
        <f t="shared" si="56"/>
        <v>1412697.8678890755</v>
      </c>
      <c r="BW31" s="120">
        <f t="shared" si="40"/>
        <v>0</v>
      </c>
      <c r="BX31" s="121">
        <f t="shared" si="41"/>
        <v>0</v>
      </c>
      <c r="BY31" s="122">
        <f t="shared" si="42"/>
        <v>8180859.2999999998</v>
      </c>
      <c r="BZ31" s="123">
        <f t="shared" si="58"/>
        <v>103389921608253.56</v>
      </c>
      <c r="CA31" s="111">
        <f t="shared" si="57"/>
        <v>103389929216631</v>
      </c>
      <c r="CC31" s="124">
        <f t="shared" si="26"/>
        <v>1</v>
      </c>
      <c r="CD31" s="17"/>
      <c r="CE31" s="108">
        <f t="shared" si="44"/>
        <v>27269531</v>
      </c>
      <c r="CF31" s="125">
        <f t="shared" si="45"/>
        <v>3791408.4117042939</v>
      </c>
      <c r="CG31" s="110">
        <f t="shared" si="46"/>
        <v>8180859.2999999998</v>
      </c>
      <c r="CH31" s="126">
        <f t="shared" si="47"/>
        <v>103389921035771.7</v>
      </c>
      <c r="CJ31" s="127">
        <f t="shared" si="48"/>
        <v>0</v>
      </c>
      <c r="CK31" s="128" t="e">
        <f t="shared" si="49"/>
        <v>#DIV/0!</v>
      </c>
      <c r="CL31" s="129" t="e">
        <f t="shared" si="50"/>
        <v>#DIV/0!</v>
      </c>
      <c r="CM31" s="130" t="e">
        <f t="shared" si="51"/>
        <v>#DIV/0!</v>
      </c>
      <c r="CO31" s="131" t="e">
        <f t="shared" si="52"/>
        <v>#DIV/0!</v>
      </c>
      <c r="CP31" s="1">
        <f t="shared" si="53"/>
        <v>0</v>
      </c>
      <c r="CQ31" s="132">
        <f t="shared" si="54"/>
        <v>0.3</v>
      </c>
      <c r="CS31" s="104">
        <f t="shared" si="55"/>
        <v>7.6295353791830625E-2</v>
      </c>
    </row>
    <row r="32" spans="1:97">
      <c r="A32" s="133" t="s">
        <v>104</v>
      </c>
      <c r="B32" s="90" t="s">
        <v>108</v>
      </c>
      <c r="C32" s="91">
        <f>'Sizing - Reimb Expen-24'!B25</f>
        <v>5244294</v>
      </c>
      <c r="D32" s="92">
        <f>'Ridership-24'!$E24</f>
        <v>471899</v>
      </c>
      <c r="E32" s="92">
        <f>'Revenue Hours-24'!$F24</f>
        <v>35046</v>
      </c>
      <c r="F32" s="92">
        <f>'Revenue Miles-24'!$F24</f>
        <v>434291</v>
      </c>
      <c r="G32" s="134">
        <f t="shared" si="0"/>
        <v>1.0476581378686624E-2</v>
      </c>
      <c r="H32" s="94">
        <f t="shared" si="1"/>
        <v>9.890640394762739E-3</v>
      </c>
      <c r="J32" s="95">
        <f>'Ridership-24'!B24/'Revenue Hours-24'!C24</f>
        <v>18.030378842030022</v>
      </c>
      <c r="K32" s="96">
        <f>'Ridership-24'!C24/'Revenue Hours-24'!D24</f>
        <v>17.559390774078722</v>
      </c>
      <c r="L32" s="96">
        <f>'Ridership-24'!D24/'Revenue Hours-24'!E24</f>
        <v>9.5356184364060681</v>
      </c>
      <c r="M32" s="207">
        <f>'Ridership-24'!E24/'Revenue Hours-24'!L24</f>
        <v>13.465131541402728</v>
      </c>
      <c r="N32" s="97">
        <f t="shared" si="2"/>
        <v>1.0436502726700094</v>
      </c>
      <c r="O32" s="98">
        <f t="shared" si="3"/>
        <v>1.0322369544875143E-2</v>
      </c>
      <c r="P32" s="99">
        <f t="shared" si="4"/>
        <v>9.784236622556737E-3</v>
      </c>
      <c r="Q32" s="95">
        <f>'Ridership-24'!B24/'Revenue Miles-24'!C24</f>
        <v>1.3764010967774205</v>
      </c>
      <c r="R32" s="96">
        <f>'Ridership-24'!C24/'Revenue Miles-24'!D24</f>
        <v>1.3807895890071515</v>
      </c>
      <c r="S32" s="96">
        <f>'Ridership-24'!D24/'Revenue Miles-24'!E24</f>
        <v>0.74451206457520036</v>
      </c>
      <c r="T32" s="207">
        <f>'Ridership-24'!E24/'Revenue Miles-24'!L24</f>
        <v>1.0865963144527517</v>
      </c>
      <c r="U32" s="97">
        <f t="shared" si="5"/>
        <v>1.0693702541727059</v>
      </c>
      <c r="V32" s="98">
        <f t="shared" si="6"/>
        <v>1.0576756632878263E-2</v>
      </c>
      <c r="W32" s="99">
        <f t="shared" si="7"/>
        <v>1.0035805955938412E-2</v>
      </c>
      <c r="X32" s="95">
        <f>'Op Cost-24'!B25/'Revenue Hours-24'!C24</f>
        <v>116.72551822730522</v>
      </c>
      <c r="Y32" s="96">
        <f>'Op Cost-24'!C25/'Revenue Hours-24'!D24</f>
        <v>115.9866367111137</v>
      </c>
      <c r="Z32" s="96">
        <f>'Op Cost-24'!D25/'Revenue Hours-24'!E24</f>
        <v>133.20037922987166</v>
      </c>
      <c r="AA32" s="96">
        <f>'Op Cost-24'!E25/'Revenue Hours-24'!F24</f>
        <v>152.54685270786965</v>
      </c>
      <c r="AB32" s="97">
        <f t="shared" si="8"/>
        <v>1.0194822652763735</v>
      </c>
      <c r="AC32" s="98">
        <f t="shared" si="9"/>
        <v>9.7016306527720371E-3</v>
      </c>
      <c r="AD32" s="99">
        <f t="shared" si="10"/>
        <v>9.7556997310031014E-3</v>
      </c>
      <c r="AE32" s="95">
        <f>'Op Cost-24'!B25/'Revenue Miles-24'!C24</f>
        <v>8.9105799005988615</v>
      </c>
      <c r="AF32" s="96">
        <f>'Op Cost-24'!C25/'Revenue Miles-24'!D24</f>
        <v>9.1206547251673182</v>
      </c>
      <c r="AG32" s="96">
        <f>'Op Cost-24'!D25/'Revenue Miles-24'!E24</f>
        <v>10.399880196968939</v>
      </c>
      <c r="AH32" s="96">
        <f>'Op Cost-24'!E25/'Revenue Miles-24'!F24</f>
        <v>12.310080107577638</v>
      </c>
      <c r="AI32" s="97">
        <f t="shared" si="11"/>
        <v>1.0469308779778348</v>
      </c>
      <c r="AJ32" s="98">
        <f t="shared" si="12"/>
        <v>9.4472716421037106E-3</v>
      </c>
      <c r="AK32" s="99">
        <f t="shared" si="13"/>
        <v>9.4579488782147881E-3</v>
      </c>
      <c r="AL32" s="95">
        <f>'Op Cost-24'!B25/'Ridership-24'!B24</f>
        <v>6.4738250510416462</v>
      </c>
      <c r="AM32" s="96">
        <f>'Op Cost-24'!C25/'Ridership-24'!C24</f>
        <v>6.6053907110680559</v>
      </c>
      <c r="AN32" s="96">
        <f>'Op Cost-24'!D25/'Ridership-24'!D24</f>
        <v>13.968719503427852</v>
      </c>
      <c r="AO32" s="96">
        <f>'Op Cost-24'!E25/'Ridership-24'!E24</f>
        <v>11.329028033541075</v>
      </c>
      <c r="AP32" s="100">
        <f t="shared" si="14"/>
        <v>0.97654005192677629</v>
      </c>
      <c r="AQ32" s="98">
        <f t="shared" si="15"/>
        <v>1.0128248580534788E-2</v>
      </c>
      <c r="AR32" s="99">
        <f t="shared" si="16"/>
        <v>1.0722053029621096E-2</v>
      </c>
      <c r="AT32" s="101">
        <f t="shared" si="27"/>
        <v>0</v>
      </c>
      <c r="AU32" s="102">
        <f t="shared" si="17"/>
        <v>0</v>
      </c>
      <c r="AV32" s="102">
        <f t="shared" si="18"/>
        <v>0</v>
      </c>
      <c r="AW32" s="102">
        <f t="shared" si="19"/>
        <v>0</v>
      </c>
      <c r="AX32" s="103">
        <f t="shared" si="20"/>
        <v>0</v>
      </c>
      <c r="AY32" s="104">
        <f t="shared" si="28"/>
        <v>-1</v>
      </c>
      <c r="AZ32" s="105">
        <f t="shared" si="21"/>
        <v>0</v>
      </c>
      <c r="BA32" s="106">
        <f t="shared" si="21"/>
        <v>0</v>
      </c>
      <c r="BB32" s="106">
        <f t="shared" si="21"/>
        <v>0</v>
      </c>
      <c r="BC32" s="106">
        <f t="shared" si="21"/>
        <v>0</v>
      </c>
      <c r="BD32" s="106">
        <f t="shared" si="21"/>
        <v>0</v>
      </c>
      <c r="BE32" s="107">
        <f t="shared" si="29"/>
        <v>1252183.3572522355</v>
      </c>
      <c r="BG32" s="108">
        <f>'Op Cost-24'!E25</f>
        <v>5346157</v>
      </c>
      <c r="BH32" s="109">
        <f t="shared" si="22"/>
        <v>0.23422120922603573</v>
      </c>
      <c r="BI32" s="110">
        <f t="shared" si="23"/>
        <v>1252183.3572522355</v>
      </c>
      <c r="BJ32" s="111">
        <f t="shared" si="24"/>
        <v>0</v>
      </c>
      <c r="BK32" s="1">
        <f t="shared" si="30"/>
        <v>1.4364618106420306</v>
      </c>
      <c r="BL32" s="112">
        <f t="shared" si="31"/>
        <v>1.5038785962113994</v>
      </c>
      <c r="BM32" s="112">
        <f t="shared" si="32"/>
        <v>1.7530939335166849</v>
      </c>
      <c r="BN32" s="113">
        <f t="shared" si="33"/>
        <v>1.2444373564200191</v>
      </c>
      <c r="BO32" s="114">
        <f t="shared" si="25"/>
        <v>1252183.3572522355</v>
      </c>
      <c r="BP32" s="115">
        <f t="shared" si="34"/>
        <v>1.4207527209870093E-2</v>
      </c>
      <c r="BQ32" s="116">
        <f t="shared" si="35"/>
        <v>1.4207527209870093E-2</v>
      </c>
      <c r="BR32" s="117">
        <f t="shared" si="36"/>
        <v>2.3408887216895977E-2</v>
      </c>
      <c r="BS32" s="118">
        <f t="shared" si="37"/>
        <v>1548025.5084907152</v>
      </c>
      <c r="BT32" s="119">
        <f t="shared" si="38"/>
        <v>1603847.0999999999</v>
      </c>
      <c r="BU32" s="119">
        <f t="shared" si="39"/>
        <v>1548025.5084907152</v>
      </c>
      <c r="BV32" s="119">
        <f t="shared" si="56"/>
        <v>0</v>
      </c>
      <c r="BW32" s="120">
        <f t="shared" si="40"/>
        <v>1.4207527209870093E-2</v>
      </c>
      <c r="BX32" s="121">
        <f t="shared" si="41"/>
        <v>3.1132326791047851E-2</v>
      </c>
      <c r="BY32" s="122">
        <f t="shared" si="42"/>
        <v>1618541.2939226434</v>
      </c>
      <c r="BZ32" s="123">
        <f t="shared" si="58"/>
        <v>20455168749618.195</v>
      </c>
      <c r="CA32" s="111">
        <f t="shared" si="57"/>
        <v>20455170001802</v>
      </c>
      <c r="CC32" s="124">
        <f t="shared" si="26"/>
        <v>1</v>
      </c>
      <c r="CD32" s="17"/>
      <c r="CE32" s="108">
        <f t="shared" si="44"/>
        <v>5346157</v>
      </c>
      <c r="CF32" s="125">
        <f t="shared" si="45"/>
        <v>3826144.6496618036</v>
      </c>
      <c r="CG32" s="110">
        <f t="shared" si="46"/>
        <v>1603847.0999999999</v>
      </c>
      <c r="CH32" s="126">
        <f t="shared" si="47"/>
        <v>20455168397954.898</v>
      </c>
      <c r="CJ32" s="127">
        <f t="shared" si="48"/>
        <v>0</v>
      </c>
      <c r="CK32" s="128" t="e">
        <f t="shared" si="49"/>
        <v>#DIV/0!</v>
      </c>
      <c r="CL32" s="129" t="e">
        <f t="shared" si="50"/>
        <v>#DIV/0!</v>
      </c>
      <c r="CM32" s="130" t="e">
        <f t="shared" si="51"/>
        <v>#DIV/0!</v>
      </c>
      <c r="CO32" s="131" t="e">
        <f t="shared" si="52"/>
        <v>#DIV/0!</v>
      </c>
      <c r="CP32" s="1">
        <f t="shared" si="53"/>
        <v>1</v>
      </c>
      <c r="CQ32" s="132">
        <f t="shared" si="54"/>
        <v>0.30274855263746342</v>
      </c>
      <c r="CS32" s="104">
        <f t="shared" si="55"/>
        <v>1.1369946052104661E-2</v>
      </c>
    </row>
    <row r="33" spans="1:97">
      <c r="A33" s="133" t="s">
        <v>104</v>
      </c>
      <c r="B33" s="90" t="s">
        <v>109</v>
      </c>
      <c r="C33" s="91">
        <f>'Sizing - Reimb Expen-24'!B26</f>
        <v>103337911</v>
      </c>
      <c r="D33" s="92">
        <f>'Ridership-24'!$E25</f>
        <v>5191499</v>
      </c>
      <c r="E33" s="92">
        <f>'Revenue Hours-24'!$F25</f>
        <v>842949</v>
      </c>
      <c r="F33" s="92">
        <f>'Revenue Miles-24'!$F25</f>
        <v>10941805</v>
      </c>
      <c r="G33" s="134">
        <f t="shared" si="0"/>
        <v>0.18040139335856201</v>
      </c>
      <c r="H33" s="94">
        <f t="shared" si="1"/>
        <v>0.17031178816150802</v>
      </c>
      <c r="J33" s="95">
        <f>'Ridership-24'!B25/'Revenue Hours-24'!C25</f>
        <v>11.061264869468026</v>
      </c>
      <c r="K33" s="96">
        <f>'Ridership-24'!C25/'Revenue Hours-24'!D25</f>
        <v>10.935817531005453</v>
      </c>
      <c r="L33" s="96">
        <f>'Ridership-24'!D25/'Revenue Hours-24'!E25</f>
        <v>5.8735316212753474</v>
      </c>
      <c r="M33" s="207">
        <f>'Ridership-24'!E25/'Revenue Hours-24'!L25</f>
        <v>6.1772085175648597</v>
      </c>
      <c r="N33" s="97">
        <f t="shared" si="2"/>
        <v>0.95149612254738658</v>
      </c>
      <c r="O33" s="98">
        <f t="shared" si="3"/>
        <v>0.16205100605978678</v>
      </c>
      <c r="P33" s="99">
        <f t="shared" si="4"/>
        <v>0.15360285071362537</v>
      </c>
      <c r="Q33" s="95">
        <f>'Ridership-24'!B25/'Revenue Miles-24'!C25</f>
        <v>0.83785839609808965</v>
      </c>
      <c r="R33" s="96">
        <f>'Ridership-24'!C25/'Revenue Miles-24'!D25</f>
        <v>0.82322383518472986</v>
      </c>
      <c r="S33" s="96">
        <f>'Ridership-24'!D25/'Revenue Miles-24'!E25</f>
        <v>0.454872375587629</v>
      </c>
      <c r="T33" s="207">
        <f>'Ridership-24'!E25/'Revenue Miles-24'!L25</f>
        <v>0.47819886223375052</v>
      </c>
      <c r="U33" s="97">
        <f t="shared" si="5"/>
        <v>0.96276378708449073</v>
      </c>
      <c r="V33" s="98">
        <f t="shared" si="6"/>
        <v>0.16397002215550499</v>
      </c>
      <c r="W33" s="99">
        <f t="shared" si="7"/>
        <v>0.15558373725157362</v>
      </c>
      <c r="X33" s="95">
        <f>'Op Cost-24'!B26/'Revenue Hours-24'!C25</f>
        <v>114.34052079729622</v>
      </c>
      <c r="Y33" s="96">
        <f>'Op Cost-24'!C26/'Revenue Hours-24'!D25</f>
        <v>111.12397982480542</v>
      </c>
      <c r="Z33" s="96">
        <f>'Op Cost-24'!D26/'Revenue Hours-24'!E25</f>
        <v>123.96447205256577</v>
      </c>
      <c r="AA33" s="96">
        <f>'Op Cost-24'!E26/'Revenue Hours-24'!F25</f>
        <v>123.17011468072208</v>
      </c>
      <c r="AB33" s="97">
        <f t="shared" si="8"/>
        <v>0.95293795539383053</v>
      </c>
      <c r="AC33" s="98">
        <f t="shared" si="9"/>
        <v>0.17872285094481466</v>
      </c>
      <c r="AD33" s="99">
        <f t="shared" si="10"/>
        <v>0.17971890822170689</v>
      </c>
      <c r="AE33" s="95">
        <f>'Op Cost-24'!B26/'Revenue Miles-24'!C25</f>
        <v>8.6609593473056652</v>
      </c>
      <c r="AF33" s="96">
        <f>'Op Cost-24'!C26/'Revenue Miles-24'!D25</f>
        <v>8.3651641583266318</v>
      </c>
      <c r="AG33" s="96">
        <f>'Op Cost-24'!D26/'Revenue Miles-24'!E25</f>
        <v>9.6003592943580749</v>
      </c>
      <c r="AH33" s="96">
        <f>'Op Cost-24'!E26/'Revenue Miles-24'!F25</f>
        <v>9.4889394391510358</v>
      </c>
      <c r="AI33" s="97">
        <f t="shared" si="11"/>
        <v>0.96337874086375253</v>
      </c>
      <c r="AJ33" s="98">
        <f t="shared" si="12"/>
        <v>0.1767859108130295</v>
      </c>
      <c r="AK33" s="99">
        <f t="shared" si="13"/>
        <v>0.17698571293393497</v>
      </c>
      <c r="AL33" s="95">
        <f>'Op Cost-24'!B26/'Ridership-24'!B25</f>
        <v>10.337020417339961</v>
      </c>
      <c r="AM33" s="96">
        <f>'Op Cost-24'!C26/'Ridership-24'!C25</f>
        <v>10.161469822420175</v>
      </c>
      <c r="AN33" s="96">
        <f>'Op Cost-24'!D26/'Ridership-24'!D25</f>
        <v>21.10561073742015</v>
      </c>
      <c r="AO33" s="96">
        <f>'Op Cost-24'!E26/'Ridership-24'!E25</f>
        <v>19.999257439903197</v>
      </c>
      <c r="AP33" s="97">
        <f t="shared" si="14"/>
        <v>1.0176178200882871</v>
      </c>
      <c r="AQ33" s="98">
        <f t="shared" si="15"/>
        <v>0.16736321318226524</v>
      </c>
      <c r="AR33" s="99">
        <f t="shared" si="16"/>
        <v>0.17717547438525416</v>
      </c>
      <c r="AT33" s="101">
        <f t="shared" si="27"/>
        <v>0</v>
      </c>
      <c r="AU33" s="102">
        <f t="shared" si="17"/>
        <v>0</v>
      </c>
      <c r="AV33" s="102">
        <f t="shared" si="18"/>
        <v>0</v>
      </c>
      <c r="AW33" s="102">
        <f t="shared" si="19"/>
        <v>0</v>
      </c>
      <c r="AX33" s="103">
        <f t="shared" si="20"/>
        <v>0</v>
      </c>
      <c r="AY33" s="104">
        <f t="shared" si="28"/>
        <v>-1</v>
      </c>
      <c r="AZ33" s="105">
        <f t="shared" si="21"/>
        <v>0</v>
      </c>
      <c r="BA33" s="106">
        <f t="shared" si="21"/>
        <v>0</v>
      </c>
      <c r="BB33" s="106">
        <f t="shared" si="21"/>
        <v>0</v>
      </c>
      <c r="BC33" s="106">
        <f t="shared" si="21"/>
        <v>0</v>
      </c>
      <c r="BD33" s="106">
        <f t="shared" si="21"/>
        <v>0</v>
      </c>
      <c r="BE33" s="107">
        <f t="shared" si="29"/>
        <v>21561959.404836342</v>
      </c>
      <c r="BG33" s="108">
        <f>'Op Cost-24'!E26</f>
        <v>103826125</v>
      </c>
      <c r="BH33" s="109">
        <f t="shared" si="22"/>
        <v>0.20767373726830643</v>
      </c>
      <c r="BI33" s="110">
        <f t="shared" si="23"/>
        <v>21561959.404836342</v>
      </c>
      <c r="BJ33" s="111">
        <f t="shared" si="24"/>
        <v>0</v>
      </c>
      <c r="BK33" s="1">
        <f t="shared" si="30"/>
        <v>0.71782727204908814</v>
      </c>
      <c r="BL33" s="112">
        <f t="shared" si="31"/>
        <v>0.6899131765134453</v>
      </c>
      <c r="BM33" s="112">
        <f t="shared" si="32"/>
        <v>0.77151699600488732</v>
      </c>
      <c r="BN33" s="113">
        <f t="shared" si="33"/>
        <v>0.70493945783900991</v>
      </c>
      <c r="BO33" s="114">
        <f t="shared" si="25"/>
        <v>21561959.404836342</v>
      </c>
      <c r="BP33" s="115">
        <f t="shared" si="34"/>
        <v>0.12225444629377749</v>
      </c>
      <c r="BQ33" s="116">
        <f t="shared" si="35"/>
        <v>0.12225444629377749</v>
      </c>
      <c r="BR33" s="117">
        <f t="shared" si="36"/>
        <v>0.20143129080667591</v>
      </c>
      <c r="BS33" s="118">
        <f t="shared" si="37"/>
        <v>24107653.518650468</v>
      </c>
      <c r="BT33" s="119">
        <f t="shared" si="38"/>
        <v>31147837.5</v>
      </c>
      <c r="BU33" s="119">
        <f t="shared" si="39"/>
        <v>24107653.518650468</v>
      </c>
      <c r="BV33" s="119">
        <f t="shared" si="56"/>
        <v>0</v>
      </c>
      <c r="BW33" s="120">
        <f t="shared" si="40"/>
        <v>0.12225444629377749</v>
      </c>
      <c r="BX33" s="121">
        <f t="shared" si="41"/>
        <v>0.26789076786229082</v>
      </c>
      <c r="BY33" s="122">
        <f t="shared" si="42"/>
        <v>24714435.274237197</v>
      </c>
      <c r="BZ33" s="123">
        <f t="shared" si="58"/>
        <v>312341702979250.63</v>
      </c>
      <c r="CA33" s="111">
        <f>ROUND((BZ33+BI33),0)</f>
        <v>312341724541210</v>
      </c>
      <c r="CC33" s="124">
        <f t="shared" si="26"/>
        <v>1</v>
      </c>
      <c r="CD33" s="17"/>
      <c r="CE33" s="108">
        <f t="shared" si="44"/>
        <v>103826125</v>
      </c>
      <c r="CF33" s="125">
        <f t="shared" si="45"/>
        <v>3008315.3401054889</v>
      </c>
      <c r="CG33" s="110">
        <f t="shared" si="46"/>
        <v>31147837.5</v>
      </c>
      <c r="CH33" s="126">
        <f t="shared" si="47"/>
        <v>312341693393372.5</v>
      </c>
      <c r="CJ33" s="127">
        <f t="shared" si="48"/>
        <v>0</v>
      </c>
      <c r="CK33" s="128" t="e">
        <f t="shared" si="49"/>
        <v>#DIV/0!</v>
      </c>
      <c r="CL33" s="129" t="e">
        <f t="shared" si="50"/>
        <v>#DIV/0!</v>
      </c>
      <c r="CM33" s="130" t="e">
        <f t="shared" si="51"/>
        <v>#DIV/0!</v>
      </c>
      <c r="CO33" s="131" t="e">
        <f t="shared" si="52"/>
        <v>#DIV/0!</v>
      </c>
      <c r="CP33" s="1">
        <f t="shared" si="53"/>
        <v>0</v>
      </c>
      <c r="CQ33" s="132">
        <f t="shared" si="54"/>
        <v>0.23803676843604821</v>
      </c>
      <c r="CS33" s="104">
        <f t="shared" si="55"/>
        <v>9.7837325134560588E-2</v>
      </c>
    </row>
    <row r="34" spans="1:97">
      <c r="A34" s="133" t="s">
        <v>104</v>
      </c>
      <c r="B34" s="90" t="s">
        <v>110</v>
      </c>
      <c r="C34" s="91">
        <f>'Sizing - Reimb Expen-24'!B27</f>
        <v>60655515</v>
      </c>
      <c r="D34" s="92">
        <f>'Ridership-24'!$E26</f>
        <v>821936</v>
      </c>
      <c r="E34" s="92">
        <f>'Revenue Hours-24'!$F26</f>
        <v>71732</v>
      </c>
      <c r="F34" s="92">
        <f>'Revenue Miles-24'!$F26</f>
        <v>2197853</v>
      </c>
      <c r="G34" s="163">
        <f>$C$4</f>
        <v>5.592864339467718E-2</v>
      </c>
      <c r="H34" s="164">
        <f>$C$4</f>
        <v>5.592864339467718E-2</v>
      </c>
      <c r="J34" s="95">
        <f>'Ridership-24'!B26/'Revenue Hours-24'!C26</f>
        <v>59.097809306301592</v>
      </c>
      <c r="K34" s="96">
        <f>'Ridership-24'!C26/'Revenue Hours-24'!D26</f>
        <v>55.342163410837145</v>
      </c>
      <c r="L34" s="96">
        <f>'Ridership-24'!D26/'Revenue Hours-24'!E26</f>
        <v>6.8452722063037248</v>
      </c>
      <c r="M34" s="207">
        <f>'Ridership-24'!E26/'Revenue Hours-24'!L26</f>
        <v>11.458428595327051</v>
      </c>
      <c r="N34" s="97">
        <f t="shared" si="2"/>
        <v>0.8267628961688408</v>
      </c>
      <c r="O34" s="98">
        <f t="shared" si="3"/>
        <v>4.6239727191777616E-2</v>
      </c>
      <c r="P34" s="99">
        <f t="shared" si="4"/>
        <v>4.3829125690567926E-2</v>
      </c>
      <c r="Q34" s="95">
        <f>'Ridership-24'!B26/'Revenue Miles-24'!C26</f>
        <v>1.9169269798702158</v>
      </c>
      <c r="R34" s="96">
        <f>'Ridership-24'!C26/'Revenue Miles-24'!D26</f>
        <v>1.7949837852981274</v>
      </c>
      <c r="S34" s="96">
        <f>'Ridership-24'!D26/'Revenue Miles-24'!E26</f>
        <v>0.21891420471730516</v>
      </c>
      <c r="T34" s="207">
        <f>'Ridership-24'!E26/'Revenue Miles-24'!L26</f>
        <v>0.3739722356317734</v>
      </c>
      <c r="U34" s="97">
        <f t="shared" si="5"/>
        <v>0.84609812474829893</v>
      </c>
      <c r="V34" s="98">
        <f t="shared" si="6"/>
        <v>4.7321120295952694E-2</v>
      </c>
      <c r="W34" s="99">
        <f t="shared" si="7"/>
        <v>4.4900870596902787E-2</v>
      </c>
      <c r="X34" s="95">
        <f>'Op Cost-24'!B27/'Revenue Hours-24'!C26</f>
        <v>1005.9172333720352</v>
      </c>
      <c r="Y34" s="96">
        <f>'Op Cost-24'!C27/'Revenue Hours-24'!D26</f>
        <v>972.50946617787372</v>
      </c>
      <c r="Z34" s="96">
        <f>'Op Cost-24'!D27/'Revenue Hours-24'!E26</f>
        <v>1634.8335704410204</v>
      </c>
      <c r="AA34" s="96">
        <f>'Op Cost-24'!E27/'Revenue Hours-24'!F26</f>
        <v>1144.3562566218702</v>
      </c>
      <c r="AB34" s="97">
        <f t="shared" si="8"/>
        <v>1.0080005539781249</v>
      </c>
      <c r="AC34" s="98">
        <f t="shared" si="9"/>
        <v>5.5484734779114926E-2</v>
      </c>
      <c r="AD34" s="99">
        <f t="shared" si="10"/>
        <v>5.5793962018614578E-2</v>
      </c>
      <c r="AE34" s="95">
        <f>'Op Cost-24'!B27/'Revenue Miles-24'!C26</f>
        <v>32.628449460336377</v>
      </c>
      <c r="AF34" s="96">
        <f>'Op Cost-24'!C27/'Revenue Miles-24'!D26</f>
        <v>31.54265419440377</v>
      </c>
      <c r="AG34" s="96">
        <f>'Op Cost-24'!D27/'Revenue Miles-24'!E26</f>
        <v>52.282550661560784</v>
      </c>
      <c r="AH34" s="96">
        <f>'Op Cost-24'!E27/'Revenue Miles-24'!F26</f>
        <v>37.348704849687401</v>
      </c>
      <c r="AI34" s="97">
        <f t="shared" si="11"/>
        <v>1.0074292279502493</v>
      </c>
      <c r="AJ34" s="98">
        <f t="shared" si="12"/>
        <v>5.5516200883382702E-2</v>
      </c>
      <c r="AK34" s="99">
        <f t="shared" si="13"/>
        <v>5.5578944880515173E-2</v>
      </c>
      <c r="AL34" s="95">
        <f>'Op Cost-24'!B27/'Ridership-24'!B26</f>
        <v>17.021227100964204</v>
      </c>
      <c r="AM34" s="96">
        <f>'Op Cost-24'!C27/'Ridership-24'!C26</f>
        <v>17.572668038984474</v>
      </c>
      <c r="AN34" s="96">
        <f>'Op Cost-24'!D27/'Ridership-24'!D26</f>
        <v>238.82667060858773</v>
      </c>
      <c r="AO34" s="96">
        <f>'Op Cost-24'!E27/'Ridership-24'!E26</f>
        <v>99.870261188219033</v>
      </c>
      <c r="AP34" s="97">
        <f t="shared" si="14"/>
        <v>2.4216650482883781</v>
      </c>
      <c r="AQ34" s="98">
        <f t="shared" si="15"/>
        <v>2.3095119382512165E-2</v>
      </c>
      <c r="AR34" s="99">
        <f t="shared" si="16"/>
        <v>2.4449152563320115E-2</v>
      </c>
      <c r="AT34" s="101">
        <f t="shared" si="27"/>
        <v>0</v>
      </c>
      <c r="AU34" s="102">
        <f t="shared" si="17"/>
        <v>0</v>
      </c>
      <c r="AV34" s="102">
        <f t="shared" si="18"/>
        <v>0</v>
      </c>
      <c r="AW34" s="102">
        <f t="shared" si="19"/>
        <v>0</v>
      </c>
      <c r="AX34" s="103">
        <f t="shared" si="20"/>
        <v>0</v>
      </c>
      <c r="AY34" s="104">
        <f t="shared" si="28"/>
        <v>-1</v>
      </c>
      <c r="AZ34" s="105">
        <f t="shared" si="21"/>
        <v>0</v>
      </c>
      <c r="BA34" s="106">
        <f t="shared" si="21"/>
        <v>0</v>
      </c>
      <c r="BB34" s="106">
        <f t="shared" si="21"/>
        <v>0</v>
      </c>
      <c r="BC34" s="106">
        <f t="shared" si="21"/>
        <v>0</v>
      </c>
      <c r="BD34" s="106">
        <f t="shared" si="21"/>
        <v>0</v>
      </c>
      <c r="BE34" s="107">
        <f t="shared" si="29"/>
        <v>7080726.1873147823</v>
      </c>
      <c r="BG34" s="108">
        <f>'Op Cost-24'!E27</f>
        <v>82086963</v>
      </c>
      <c r="BH34" s="109">
        <f t="shared" si="22"/>
        <v>8.6258839754064023E-2</v>
      </c>
      <c r="BI34" s="110">
        <f t="shared" si="23"/>
        <v>7080726.1873147823</v>
      </c>
      <c r="BJ34" s="111">
        <f t="shared" si="24"/>
        <v>0</v>
      </c>
      <c r="BK34" s="1">
        <f t="shared" si="30"/>
        <v>0.54136188292613063</v>
      </c>
      <c r="BL34" s="112">
        <f t="shared" si="31"/>
        <v>1.2797561953066412</v>
      </c>
      <c r="BM34" s="112">
        <f t="shared" si="32"/>
        <v>0.60335972878752286</v>
      </c>
      <c r="BN34" s="113">
        <f t="shared" si="33"/>
        <v>0.14116580380517932</v>
      </c>
      <c r="BO34" s="114">
        <f t="shared" si="25"/>
        <v>7080726.1873147823</v>
      </c>
      <c r="BP34" s="115">
        <f t="shared" si="34"/>
        <v>3.0277635697646538E-2</v>
      </c>
      <c r="BQ34" s="116">
        <f t="shared" si="35"/>
        <v>3.0277635697646538E-2</v>
      </c>
      <c r="BR34" s="117">
        <f t="shared" si="36"/>
        <v>4.9886637468347456E-2</v>
      </c>
      <c r="BS34" s="118">
        <f t="shared" si="37"/>
        <v>7711194.8640162395</v>
      </c>
      <c r="BT34" s="119">
        <f t="shared" si="38"/>
        <v>24626088.899999999</v>
      </c>
      <c r="BU34" s="119">
        <f t="shared" si="39"/>
        <v>7711194.8640162395</v>
      </c>
      <c r="BV34" s="119">
        <f t="shared" si="56"/>
        <v>0</v>
      </c>
      <c r="BW34" s="120">
        <f t="shared" si="40"/>
        <v>3.0277635697646538E-2</v>
      </c>
      <c r="BX34" s="121">
        <f t="shared" si="41"/>
        <v>6.634604566124544E-2</v>
      </c>
      <c r="BY34" s="122">
        <f t="shared" si="42"/>
        <v>7861470.9275917569</v>
      </c>
      <c r="BZ34" s="123">
        <f t="shared" si="58"/>
        <v>99353482699461.188</v>
      </c>
      <c r="CA34" s="111">
        <f>ROUND((BZ34+BI34),0)</f>
        <v>99353489780187</v>
      </c>
      <c r="CC34" s="124">
        <f t="shared" si="26"/>
        <v>1</v>
      </c>
      <c r="CD34" s="17"/>
      <c r="CE34" s="108">
        <f t="shared" si="44"/>
        <v>82086963</v>
      </c>
      <c r="CF34" s="125">
        <f t="shared" si="45"/>
        <v>1210344.3244719261</v>
      </c>
      <c r="CG34" s="110">
        <f t="shared" si="46"/>
        <v>24626088.899999999</v>
      </c>
      <c r="CH34" s="126">
        <f t="shared" si="47"/>
        <v>99353465154098.094</v>
      </c>
      <c r="CJ34" s="127">
        <f t="shared" si="48"/>
        <v>0</v>
      </c>
      <c r="CK34" s="128" t="e">
        <f t="shared" si="49"/>
        <v>#DIV/0!</v>
      </c>
      <c r="CL34" s="129" t="e">
        <f t="shared" si="50"/>
        <v>#DIV/0!</v>
      </c>
      <c r="CM34" s="130" t="e">
        <f t="shared" si="51"/>
        <v>#DIV/0!</v>
      </c>
      <c r="CO34" s="131" t="e">
        <f t="shared" si="52"/>
        <v>#DIV/0!</v>
      </c>
      <c r="CP34" s="1">
        <f t="shared" si="53"/>
        <v>0</v>
      </c>
      <c r="CQ34" s="132">
        <f t="shared" si="54"/>
        <v>9.5770030225040201E-2</v>
      </c>
      <c r="CS34" s="104">
        <f t="shared" si="55"/>
        <v>2.4230471593139895E-2</v>
      </c>
    </row>
    <row r="35" spans="1:97">
      <c r="A35" s="133" t="s">
        <v>104</v>
      </c>
      <c r="B35" s="90" t="s">
        <v>111</v>
      </c>
      <c r="C35" s="91">
        <f>'Sizing - Reimb Expen-24'!B28</f>
        <v>33464344</v>
      </c>
      <c r="D35" s="92">
        <f>'Ridership-24'!$E27</f>
        <v>1220283</v>
      </c>
      <c r="E35" s="92">
        <f>'Revenue Hours-24'!$F27</f>
        <v>217350</v>
      </c>
      <c r="F35" s="92">
        <f>'Revenue Miles-24'!$F27</f>
        <v>5217740</v>
      </c>
      <c r="G35" s="134">
        <f t="shared" ref="G35:G50" si="59">IFERROR($C$9*(C35/C$51),0) + IFERROR($D$9*(D35/D$51),0) + IFERROR($E$9*(E35/E$51),0) + IFERROR($F$9*(F35/F$51),0)</f>
        <v>5.6412417842223256E-2</v>
      </c>
      <c r="H35" s="94">
        <f t="shared" ref="H35:H50" si="60">G35/(SUM($G$11:$G$50)-$G$34)*(1-$G$34)</f>
        <v>5.3257347841694003E-2</v>
      </c>
      <c r="J35" s="95">
        <f>'Ridership-24'!B27/'Revenue Hours-24'!C27</f>
        <v>10.344199378821216</v>
      </c>
      <c r="K35" s="96">
        <f>'Ridership-24'!C27/'Revenue Hours-24'!D27</f>
        <v>10.619348493496171</v>
      </c>
      <c r="L35" s="96">
        <f>'Ridership-24'!D27/'Revenue Hours-24'!E27</f>
        <v>3.1822121529637459</v>
      </c>
      <c r="M35" s="207">
        <f>'Ridership-24'!E27/'Revenue Hours-24'!L27</f>
        <v>8.3506672141244103</v>
      </c>
      <c r="N35" s="97">
        <f t="shared" si="2"/>
        <v>1.2169556386475555</v>
      </c>
      <c r="O35" s="98">
        <f t="shared" si="3"/>
        <v>6.4811829755363731E-2</v>
      </c>
      <c r="P35" s="99">
        <f t="shared" si="4"/>
        <v>6.1433014533196752E-2</v>
      </c>
      <c r="Q35" s="95">
        <f>'Ridership-24'!B27/'Revenue Miles-24'!C27</f>
        <v>0.49586520195533368</v>
      </c>
      <c r="R35" s="96">
        <f>'Ridership-24'!C27/'Revenue Miles-24'!D27</f>
        <v>0.5403360203480656</v>
      </c>
      <c r="S35" s="96">
        <f>'Ridership-24'!D27/'Revenue Miles-24'!E27</f>
        <v>0.14309026388335411</v>
      </c>
      <c r="T35" s="207">
        <f>'Ridership-24'!E27/'Revenue Miles-24'!L27</f>
        <v>0.36842213317062111</v>
      </c>
      <c r="U35" s="97">
        <f t="shared" si="5"/>
        <v>1.2186975961643798</v>
      </c>
      <c r="V35" s="98">
        <f t="shared" si="6"/>
        <v>6.4904601792762695E-2</v>
      </c>
      <c r="W35" s="99">
        <f t="shared" si="7"/>
        <v>6.1585040844639422E-2</v>
      </c>
      <c r="X35" s="95">
        <f>'Op Cost-24'!B28/'Revenue Hours-24'!C27</f>
        <v>132.85237039556537</v>
      </c>
      <c r="Y35" s="96">
        <f>'Op Cost-24'!C28/'Revenue Hours-24'!D27</f>
        <v>147.42823097382487</v>
      </c>
      <c r="Z35" s="96">
        <f>'Op Cost-24'!D28/'Revenue Hours-24'!E27</f>
        <v>162.67460550900779</v>
      </c>
      <c r="AA35" s="96">
        <f>'Op Cost-24'!E28/'Revenue Hours-24'!F27</f>
        <v>182.82648723257418</v>
      </c>
      <c r="AB35" s="97">
        <f t="shared" si="8"/>
        <v>1.0380499392550568</v>
      </c>
      <c r="AC35" s="98">
        <f t="shared" si="9"/>
        <v>5.1305188534487511E-2</v>
      </c>
      <c r="AD35" s="99">
        <f t="shared" si="10"/>
        <v>5.1591122348277681E-2</v>
      </c>
      <c r="AE35" s="95">
        <f>'Op Cost-24'!B28/'Revenue Miles-24'!C27</f>
        <v>6.3684839264910691</v>
      </c>
      <c r="AF35" s="96">
        <f>'Op Cost-24'!C28/'Revenue Miles-24'!D27</f>
        <v>7.5014755999523217</v>
      </c>
      <c r="AG35" s="96">
        <f>'Op Cost-24'!D28/'Revenue Miles-24'!E27</f>
        <v>7.31477070368339</v>
      </c>
      <c r="AH35" s="96">
        <f>'Op Cost-24'!E28/'Revenue Miles-24'!F27</f>
        <v>7.6158139347686928</v>
      </c>
      <c r="AI35" s="97">
        <f t="shared" si="11"/>
        <v>1.00473780092762</v>
      </c>
      <c r="AJ35" s="98">
        <f t="shared" si="12"/>
        <v>5.3006214947346836E-2</v>
      </c>
      <c r="AK35" s="99">
        <f t="shared" si="13"/>
        <v>5.3066122177051651E-2</v>
      </c>
      <c r="AL35" s="95">
        <f>'Op Cost-24'!B28/'Ridership-24'!B27</f>
        <v>12.843175728763333</v>
      </c>
      <c r="AM35" s="96">
        <f>'Op Cost-24'!C28/'Ridership-24'!C27</f>
        <v>13.882982657939651</v>
      </c>
      <c r="AN35" s="96">
        <f>'Op Cost-24'!D28/'Ridership-24'!D27</f>
        <v>51.119974938660576</v>
      </c>
      <c r="AO35" s="96">
        <f>'Op Cost-24'!E28/'Ridership-24'!E27</f>
        <v>32.564033916722593</v>
      </c>
      <c r="AP35" s="97">
        <f t="shared" si="14"/>
        <v>1.141557882420283</v>
      </c>
      <c r="AQ35" s="98">
        <f t="shared" si="15"/>
        <v>4.6653217205929159E-2</v>
      </c>
      <c r="AR35" s="99">
        <f t="shared" si="16"/>
        <v>4.9388427318594844E-2</v>
      </c>
      <c r="AT35" s="101">
        <f t="shared" si="27"/>
        <v>0</v>
      </c>
      <c r="AU35" s="102">
        <f t="shared" si="17"/>
        <v>0</v>
      </c>
      <c r="AV35" s="102">
        <f t="shared" si="18"/>
        <v>0</v>
      </c>
      <c r="AW35" s="102">
        <f t="shared" si="19"/>
        <v>0</v>
      </c>
      <c r="AX35" s="103">
        <f t="shared" si="20"/>
        <v>0</v>
      </c>
      <c r="AY35" s="104">
        <f t="shared" si="28"/>
        <v>-1</v>
      </c>
      <c r="AZ35" s="105">
        <f t="shared" si="21"/>
        <v>0</v>
      </c>
      <c r="BA35" s="106">
        <f t="shared" si="21"/>
        <v>0</v>
      </c>
      <c r="BB35" s="106">
        <f t="shared" si="21"/>
        <v>0</v>
      </c>
      <c r="BC35" s="106">
        <f t="shared" si="21"/>
        <v>0</v>
      </c>
      <c r="BD35" s="106">
        <f t="shared" si="21"/>
        <v>0</v>
      </c>
      <c r="BE35" s="107">
        <f t="shared" si="29"/>
        <v>6742532.5314703481</v>
      </c>
      <c r="BG35" s="108">
        <f>'Op Cost-24'!E28</f>
        <v>39737337</v>
      </c>
      <c r="BH35" s="109">
        <f t="shared" si="22"/>
        <v>0.16967751340434181</v>
      </c>
      <c r="BI35" s="110">
        <f t="shared" si="23"/>
        <v>6742532.5314703481</v>
      </c>
      <c r="BJ35" s="111">
        <f t="shared" si="24"/>
        <v>0</v>
      </c>
      <c r="BK35" s="1">
        <f t="shared" si="30"/>
        <v>0.59823621681620764</v>
      </c>
      <c r="BL35" s="112">
        <f t="shared" si="31"/>
        <v>0.9326600077237498</v>
      </c>
      <c r="BM35" s="112">
        <f t="shared" si="32"/>
        <v>0.59440529849392998</v>
      </c>
      <c r="BN35" s="113">
        <f t="shared" si="33"/>
        <v>0.4329397805235754</v>
      </c>
      <c r="BO35" s="114">
        <f t="shared" si="25"/>
        <v>6742532.5314703481</v>
      </c>
      <c r="BP35" s="115">
        <f t="shared" si="34"/>
        <v>3.1860474290479841E-2</v>
      </c>
      <c r="BQ35" s="116">
        <f t="shared" si="35"/>
        <v>3.1860474290479841E-2</v>
      </c>
      <c r="BR35" s="117">
        <f t="shared" si="36"/>
        <v>5.2494585322668257E-2</v>
      </c>
      <c r="BS35" s="118">
        <f t="shared" si="37"/>
        <v>7405960.5238535507</v>
      </c>
      <c r="BT35" s="119">
        <f t="shared" si="38"/>
        <v>11921201.1</v>
      </c>
      <c r="BU35" s="119">
        <f t="shared" si="39"/>
        <v>7405960.5238535507</v>
      </c>
      <c r="BV35" s="119">
        <f t="shared" si="56"/>
        <v>0</v>
      </c>
      <c r="BW35" s="120">
        <f t="shared" si="40"/>
        <v>3.1860474290479841E-2</v>
      </c>
      <c r="BX35" s="121">
        <f t="shared" si="41"/>
        <v>6.9814449951566646E-2</v>
      </c>
      <c r="BY35" s="122">
        <f t="shared" si="42"/>
        <v>7564092.6418245202</v>
      </c>
      <c r="BZ35" s="123">
        <f t="shared" si="58"/>
        <v>95595207862309.125</v>
      </c>
      <c r="CA35" s="111">
        <f t="shared" si="57"/>
        <v>95595214604842</v>
      </c>
      <c r="CC35" s="124">
        <f t="shared" si="26"/>
        <v>1</v>
      </c>
      <c r="CD35" s="17"/>
      <c r="CE35" s="108">
        <f t="shared" si="44"/>
        <v>39737337</v>
      </c>
      <c r="CF35" s="125">
        <f t="shared" si="45"/>
        <v>2405677.4263670966</v>
      </c>
      <c r="CG35" s="110">
        <f t="shared" si="46"/>
        <v>11921201.1</v>
      </c>
      <c r="CH35" s="126">
        <f t="shared" si="47"/>
        <v>95595202683640.906</v>
      </c>
      <c r="CJ35" s="127">
        <f t="shared" si="48"/>
        <v>0</v>
      </c>
      <c r="CK35" s="128" t="e">
        <f t="shared" si="49"/>
        <v>#DIV/0!</v>
      </c>
      <c r="CL35" s="129" t="e">
        <f t="shared" si="50"/>
        <v>#DIV/0!</v>
      </c>
      <c r="CM35" s="130" t="e">
        <f t="shared" si="51"/>
        <v>#DIV/0!</v>
      </c>
      <c r="CO35" s="131" t="e">
        <f t="shared" si="52"/>
        <v>#DIV/0!</v>
      </c>
      <c r="CP35" s="1">
        <f t="shared" si="53"/>
        <v>0</v>
      </c>
      <c r="CQ35" s="132">
        <f t="shared" si="54"/>
        <v>0.19035227855919284</v>
      </c>
      <c r="CS35" s="104">
        <f t="shared" si="55"/>
        <v>2.5497179665829799E-2</v>
      </c>
    </row>
    <row r="36" spans="1:97">
      <c r="A36" s="133" t="s">
        <v>112</v>
      </c>
      <c r="B36" s="90" t="s">
        <v>113</v>
      </c>
      <c r="C36" s="91">
        <f>'Sizing - Reimb Expen-24'!B29</f>
        <v>4066652</v>
      </c>
      <c r="D36" s="92">
        <f>'Ridership-24'!$E28</f>
        <v>404081</v>
      </c>
      <c r="E36" s="92">
        <f>'Revenue Hours-24'!$F28</f>
        <v>47286</v>
      </c>
      <c r="F36" s="92">
        <f>'Revenue Miles-24'!$F28</f>
        <v>554292</v>
      </c>
      <c r="G36" s="93">
        <f t="shared" si="59"/>
        <v>9.6915468053750155E-3</v>
      </c>
      <c r="H36" s="94">
        <f t="shared" si="60"/>
        <v>9.1495117401543709E-3</v>
      </c>
      <c r="J36" s="95">
        <f>'Ridership-24'!B28/'Revenue Hours-24'!C28</f>
        <v>5.8235136133212473</v>
      </c>
      <c r="K36" s="96">
        <f>'Ridership-24'!C28/'Revenue Hours-24'!D28</f>
        <v>7.2311072676573369</v>
      </c>
      <c r="L36" s="96">
        <f>'Ridership-24'!D28/'Revenue Hours-24'!E28</f>
        <v>7.0651748073074137</v>
      </c>
      <c r="M36" s="207">
        <f>'Ridership-24'!E28/'Revenue Hours-24'!L28</f>
        <v>8.5454680032144825</v>
      </c>
      <c r="N36" s="97">
        <f t="shared" si="2"/>
        <v>1.3624910960990697</v>
      </c>
      <c r="O36" s="98">
        <f t="shared" si="3"/>
        <v>1.2466128279614236E-2</v>
      </c>
      <c r="P36" s="99">
        <f t="shared" si="4"/>
        <v>1.1816235441352546E-2</v>
      </c>
      <c r="Q36" s="95">
        <f>'Ridership-24'!B28/'Revenue Miles-24'!C28</f>
        <v>0.5399100487106463</v>
      </c>
      <c r="R36" s="96">
        <f>'Ridership-24'!C28/'Revenue Miles-24'!D28</f>
        <v>0.68740479018609113</v>
      </c>
      <c r="S36" s="96">
        <f>'Ridership-24'!D28/'Revenue Miles-24'!E28</f>
        <v>0.60435953803758868</v>
      </c>
      <c r="T36" s="207">
        <f>'Ridership-24'!E28/'Revenue Miles-24'!L28</f>
        <v>0.7290038463481342</v>
      </c>
      <c r="U36" s="97">
        <f t="shared" si="5"/>
        <v>1.3105322544942031</v>
      </c>
      <c r="V36" s="98">
        <f t="shared" si="6"/>
        <v>1.1990730248345688E-2</v>
      </c>
      <c r="W36" s="99">
        <f t="shared" si="7"/>
        <v>1.1377461562113224E-2</v>
      </c>
      <c r="X36" s="95">
        <f>'Op Cost-24'!B29/'Revenue Hours-24'!C28</f>
        <v>60.12394668815255</v>
      </c>
      <c r="Y36" s="96">
        <f>'Op Cost-24'!C29/'Revenue Hours-24'!D28</f>
        <v>63.118368571529423</v>
      </c>
      <c r="Z36" s="96">
        <f>'Op Cost-24'!D29/'Revenue Hours-24'!E28</f>
        <v>99.128071370778855</v>
      </c>
      <c r="AA36" s="96">
        <f>'Op Cost-24'!E29/'Revenue Hours-24'!F28</f>
        <v>86.295224802267057</v>
      </c>
      <c r="AB36" s="97">
        <f t="shared" si="8"/>
        <v>1.0617091010611783</v>
      </c>
      <c r="AC36" s="98">
        <f t="shared" si="9"/>
        <v>8.6177199865852452E-3</v>
      </c>
      <c r="AD36" s="99">
        <f t="shared" si="10"/>
        <v>8.665748219446795E-3</v>
      </c>
      <c r="AE36" s="95">
        <f>'Op Cost-24'!B29/'Revenue Miles-24'!C28</f>
        <v>5.5742160387195172</v>
      </c>
      <c r="AF36" s="96">
        <f>'Op Cost-24'!C29/'Revenue Miles-24'!D28</f>
        <v>6.0001694483031685</v>
      </c>
      <c r="AG36" s="96">
        <f>'Op Cost-24'!D29/'Revenue Miles-24'!E28</f>
        <v>8.4794781522232086</v>
      </c>
      <c r="AH36" s="96">
        <f>'Op Cost-24'!E29/'Revenue Miles-24'!F28</f>
        <v>7.3617443513527165</v>
      </c>
      <c r="AI36" s="97">
        <f t="shared" si="11"/>
        <v>1.0302319714596049</v>
      </c>
      <c r="AJ36" s="98">
        <f t="shared" si="12"/>
        <v>8.8810209677259288E-3</v>
      </c>
      <c r="AK36" s="99">
        <f t="shared" si="13"/>
        <v>8.8910582315383964E-3</v>
      </c>
      <c r="AL36" s="95">
        <f>'Op Cost-24'!B29/'Ridership-24'!B28</f>
        <v>10.324342086299829</v>
      </c>
      <c r="AM36" s="96">
        <f>'Op Cost-24'!C29/'Ridership-24'!C28</f>
        <v>8.7287280129060925</v>
      </c>
      <c r="AN36" s="96">
        <f>'Op Cost-24'!D29/'Ridership-24'!D28</f>
        <v>14.030519282870687</v>
      </c>
      <c r="AO36" s="96">
        <f>'Op Cost-24'!E29/'Ridership-24'!E28</f>
        <v>10.098361467131589</v>
      </c>
      <c r="AP36" s="100">
        <f t="shared" si="14"/>
        <v>0.80929745558716537</v>
      </c>
      <c r="AQ36" s="98">
        <f t="shared" si="15"/>
        <v>1.130549920426498E-2</v>
      </c>
      <c r="AR36" s="99">
        <f t="shared" si="16"/>
        <v>1.1968324141197934E-2</v>
      </c>
      <c r="AT36" s="101">
        <f t="shared" si="27"/>
        <v>0</v>
      </c>
      <c r="AU36" s="102">
        <f t="shared" si="17"/>
        <v>0</v>
      </c>
      <c r="AV36" s="102">
        <f t="shared" si="18"/>
        <v>0</v>
      </c>
      <c r="AW36" s="102">
        <f t="shared" si="19"/>
        <v>0</v>
      </c>
      <c r="AX36" s="103">
        <f t="shared" si="20"/>
        <v>0</v>
      </c>
      <c r="AY36" s="104">
        <f t="shared" si="28"/>
        <v>-1</v>
      </c>
      <c r="AZ36" s="105">
        <f t="shared" si="21"/>
        <v>0</v>
      </c>
      <c r="BA36" s="106">
        <f t="shared" si="21"/>
        <v>0</v>
      </c>
      <c r="BB36" s="106">
        <f t="shared" si="21"/>
        <v>0</v>
      </c>
      <c r="BC36" s="106">
        <f t="shared" si="21"/>
        <v>0</v>
      </c>
      <c r="BD36" s="106">
        <f t="shared" si="21"/>
        <v>0</v>
      </c>
      <c r="BE36" s="107">
        <f t="shared" si="29"/>
        <v>1158354.3502473154</v>
      </c>
      <c r="BG36" s="108">
        <f>'Op Cost-24'!E29</f>
        <v>4080556</v>
      </c>
      <c r="BH36" s="109">
        <f t="shared" si="22"/>
        <v>0.28387169548642766</v>
      </c>
      <c r="BI36" s="110">
        <f t="shared" si="23"/>
        <v>1158354.3502473154</v>
      </c>
      <c r="BJ36" s="111">
        <f t="shared" si="24"/>
        <v>0</v>
      </c>
      <c r="BK36" s="1">
        <f t="shared" si="30"/>
        <v>1.230691618455257</v>
      </c>
      <c r="BL36" s="112">
        <f t="shared" si="31"/>
        <v>0.95441670102725484</v>
      </c>
      <c r="BM36" s="112">
        <f t="shared" si="32"/>
        <v>1.1761610117248515</v>
      </c>
      <c r="BN36" s="113">
        <f t="shared" si="33"/>
        <v>1.3960943805344606</v>
      </c>
      <c r="BO36" s="114">
        <f t="shared" si="25"/>
        <v>1158354.3502473154</v>
      </c>
      <c r="BP36" s="115">
        <f t="shared" si="34"/>
        <v>1.1260227411565958E-2</v>
      </c>
      <c r="BQ36" s="116">
        <f t="shared" si="35"/>
        <v>1.1260227411565958E-2</v>
      </c>
      <c r="BR36" s="117">
        <f t="shared" si="36"/>
        <v>1.8552798781960464E-2</v>
      </c>
      <c r="BS36" s="118">
        <f t="shared" si="37"/>
        <v>1392825.1242014151</v>
      </c>
      <c r="BT36" s="119">
        <f t="shared" si="38"/>
        <v>1224166.8</v>
      </c>
      <c r="BU36" s="119">
        <f t="shared" si="39"/>
        <v>1224166.8</v>
      </c>
      <c r="BV36" s="119">
        <f t="shared" si="56"/>
        <v>168658.32420141506</v>
      </c>
      <c r="BW36" s="120">
        <f t="shared" si="40"/>
        <v>0</v>
      </c>
      <c r="BX36" s="121">
        <f t="shared" si="41"/>
        <v>0</v>
      </c>
      <c r="BY36" s="122">
        <f t="shared" si="42"/>
        <v>1224166.8</v>
      </c>
      <c r="BZ36" s="123">
        <f t="shared" si="58"/>
        <v>15471053204328.623</v>
      </c>
      <c r="CA36" s="111">
        <f t="shared" si="57"/>
        <v>15471054362683</v>
      </c>
      <c r="CC36" s="124">
        <f t="shared" si="26"/>
        <v>1</v>
      </c>
      <c r="CD36" s="17"/>
      <c r="CE36" s="108">
        <f t="shared" si="44"/>
        <v>4080556</v>
      </c>
      <c r="CF36" s="125">
        <f t="shared" si="45"/>
        <v>3791408.4165694579</v>
      </c>
      <c r="CG36" s="110">
        <f t="shared" si="46"/>
        <v>1224166.8</v>
      </c>
      <c r="CH36" s="126">
        <f t="shared" si="47"/>
        <v>15471053138516.199</v>
      </c>
      <c r="CJ36" s="127">
        <f t="shared" si="48"/>
        <v>0</v>
      </c>
      <c r="CK36" s="128" t="e">
        <f t="shared" si="49"/>
        <v>#DIV/0!</v>
      </c>
      <c r="CL36" s="129" t="e">
        <f t="shared" si="50"/>
        <v>#DIV/0!</v>
      </c>
      <c r="CM36" s="130" t="e">
        <f t="shared" si="51"/>
        <v>#DIV/0!</v>
      </c>
      <c r="CO36" s="131" t="e">
        <f t="shared" si="52"/>
        <v>#DIV/0!</v>
      </c>
      <c r="CP36" s="1">
        <f t="shared" si="53"/>
        <v>0</v>
      </c>
      <c r="CQ36" s="132">
        <f t="shared" si="54"/>
        <v>0.3</v>
      </c>
      <c r="CS36" s="104">
        <f t="shared" si="55"/>
        <v>9.0112921349883284E-3</v>
      </c>
    </row>
    <row r="37" spans="1:97">
      <c r="A37" s="133" t="s">
        <v>112</v>
      </c>
      <c r="B37" s="90" t="s">
        <v>114</v>
      </c>
      <c r="C37" s="91">
        <f>'Sizing - Reimb Expen-24'!B30</f>
        <v>57445154</v>
      </c>
      <c r="D37" s="92">
        <f>'Ridership-24'!$E29</f>
        <v>8838099</v>
      </c>
      <c r="E37" s="92">
        <f>'Revenue Hours-24'!$F29</f>
        <v>589217</v>
      </c>
      <c r="F37" s="92">
        <f>'Revenue Miles-24'!$F29</f>
        <v>7359404</v>
      </c>
      <c r="G37" s="134">
        <f t="shared" si="59"/>
        <v>0.16131111546406862</v>
      </c>
      <c r="H37" s="94">
        <f t="shared" si="60"/>
        <v>0.15228920361168105</v>
      </c>
      <c r="J37" s="95">
        <f>'Ridership-24'!B29/'Revenue Hours-24'!C29</f>
        <v>14.064279158532678</v>
      </c>
      <c r="K37" s="96">
        <f>'Ridership-24'!C29/'Revenue Hours-24'!D29</f>
        <v>15.08483737680125</v>
      </c>
      <c r="L37" s="96">
        <f>'Ridership-24'!D29/'Revenue Hours-24'!E29</f>
        <v>12.685908078458269</v>
      </c>
      <c r="M37" s="207">
        <f>'Ridership-24'!E29/'Revenue Hours-24'!L29</f>
        <v>14.999735241854868</v>
      </c>
      <c r="N37" s="97">
        <f t="shared" si="2"/>
        <v>1.2105616251265683</v>
      </c>
      <c r="O37" s="98">
        <f t="shared" si="3"/>
        <v>0.18435546581338746</v>
      </c>
      <c r="P37" s="99">
        <f t="shared" si="4"/>
        <v>0.17474451891478665</v>
      </c>
      <c r="Q37" s="95">
        <f>'Ridership-24'!B29/'Revenue Miles-24'!C29</f>
        <v>1.1305960147789027</v>
      </c>
      <c r="R37" s="96">
        <f>'Ridership-24'!C29/'Revenue Miles-24'!D29</f>
        <v>1.1884855709632467</v>
      </c>
      <c r="S37" s="96">
        <f>'Ridership-24'!D29/'Revenue Miles-24'!E29</f>
        <v>1.0554722157446399</v>
      </c>
      <c r="T37" s="207">
        <f>'Ridership-24'!E29/'Revenue Miles-24'!L29</f>
        <v>1.2009259173704827</v>
      </c>
      <c r="U37" s="97">
        <f t="shared" si="5"/>
        <v>1.2233193409195682</v>
      </c>
      <c r="V37" s="98">
        <f t="shared" si="6"/>
        <v>0.1862983281914076</v>
      </c>
      <c r="W37" s="99">
        <f t="shared" si="7"/>
        <v>0.17677005688424416</v>
      </c>
      <c r="X37" s="95">
        <f>'Op Cost-24'!B30/'Revenue Hours-24'!C29</f>
        <v>85.845490006118709</v>
      </c>
      <c r="Y37" s="96">
        <f>'Op Cost-24'!C30/'Revenue Hours-24'!D29</f>
        <v>87.19640419871854</v>
      </c>
      <c r="Z37" s="96">
        <f>'Op Cost-24'!D30/'Revenue Hours-24'!E29</f>
        <v>106.94058914595765</v>
      </c>
      <c r="AA37" s="96">
        <f>'Op Cost-24'!E30/'Revenue Hours-24'!F29</f>
        <v>99.059409351732896</v>
      </c>
      <c r="AB37" s="97">
        <f t="shared" si="8"/>
        <v>0.97517721343486441</v>
      </c>
      <c r="AC37" s="98">
        <f t="shared" si="9"/>
        <v>0.15616567072488616</v>
      </c>
      <c r="AD37" s="99">
        <f t="shared" si="10"/>
        <v>0.15703601244058712</v>
      </c>
      <c r="AE37" s="95">
        <f>'Op Cost-24'!B30/'Revenue Miles-24'!C29</f>
        <v>6.9009273631188233</v>
      </c>
      <c r="AF37" s="96">
        <f>'Op Cost-24'!C30/'Revenue Miles-24'!D29</f>
        <v>6.8699228000581352</v>
      </c>
      <c r="AG37" s="96">
        <f>'Op Cost-24'!D30/'Revenue Miles-24'!E29</f>
        <v>8.897496330640184</v>
      </c>
      <c r="AH37" s="96">
        <f>'Op Cost-24'!E30/'Revenue Miles-24'!F29</f>
        <v>7.9310074565820816</v>
      </c>
      <c r="AI37" s="97">
        <f t="shared" si="11"/>
        <v>0.97974863423532932</v>
      </c>
      <c r="AJ37" s="98">
        <f t="shared" si="12"/>
        <v>0.15543701546523631</v>
      </c>
      <c r="AK37" s="99">
        <f t="shared" si="13"/>
        <v>0.15561268922348062</v>
      </c>
      <c r="AL37" s="95">
        <f>'Op Cost-24'!B30/'Ridership-24'!B29</f>
        <v>6.1037959385239438</v>
      </c>
      <c r="AM37" s="96">
        <f>'Op Cost-24'!C30/'Ridership-24'!C29</f>
        <v>5.7804006778897481</v>
      </c>
      <c r="AN37" s="96">
        <f>'Op Cost-24'!D30/'Ridership-24'!D29</f>
        <v>8.4298726180707302</v>
      </c>
      <c r="AO37" s="96">
        <f>'Op Cost-24'!E30/'Ridership-24'!E29</f>
        <v>6.6040771889973175</v>
      </c>
      <c r="AP37" s="97">
        <f t="shared" si="14"/>
        <v>0.84876555859417591</v>
      </c>
      <c r="AQ37" s="98">
        <f t="shared" si="15"/>
        <v>0.17942434406023744</v>
      </c>
      <c r="AR37" s="99">
        <f t="shared" si="16"/>
        <v>0.18994373178361179</v>
      </c>
      <c r="AT37" s="101">
        <f t="shared" si="27"/>
        <v>0</v>
      </c>
      <c r="AU37" s="102">
        <f t="shared" si="17"/>
        <v>0</v>
      </c>
      <c r="AV37" s="102">
        <f t="shared" si="18"/>
        <v>0</v>
      </c>
      <c r="AW37" s="102">
        <f t="shared" si="19"/>
        <v>0</v>
      </c>
      <c r="AX37" s="103">
        <f t="shared" si="20"/>
        <v>0</v>
      </c>
      <c r="AY37" s="104">
        <f t="shared" si="28"/>
        <v>-1</v>
      </c>
      <c r="AZ37" s="105">
        <f t="shared" si="21"/>
        <v>0</v>
      </c>
      <c r="BA37" s="106">
        <f t="shared" si="21"/>
        <v>0</v>
      </c>
      <c r="BB37" s="106">
        <f t="shared" si="21"/>
        <v>0</v>
      </c>
      <c r="BC37" s="106">
        <f t="shared" si="21"/>
        <v>0</v>
      </c>
      <c r="BD37" s="106">
        <f t="shared" si="21"/>
        <v>0</v>
      </c>
      <c r="BE37" s="107">
        <f t="shared" si="29"/>
        <v>19280248.663445469</v>
      </c>
      <c r="BG37" s="108">
        <f>'Op Cost-24'!E30</f>
        <v>58367488</v>
      </c>
      <c r="BH37" s="109">
        <f t="shared" si="22"/>
        <v>0.33032514031519516</v>
      </c>
      <c r="BI37" s="110">
        <f t="shared" si="23"/>
        <v>17510246.399999999</v>
      </c>
      <c r="BJ37" s="111">
        <f t="shared" si="24"/>
        <v>1770002.2634454705</v>
      </c>
      <c r="BK37" s="1">
        <f t="shared" si="30"/>
        <v>1.9705972581013533</v>
      </c>
      <c r="BL37" s="112">
        <f t="shared" si="31"/>
        <v>1.6752737030234315</v>
      </c>
      <c r="BM37" s="112">
        <f t="shared" si="32"/>
        <v>1.937551151556661</v>
      </c>
      <c r="BN37" s="113">
        <f t="shared" si="33"/>
        <v>2.1347820889126603</v>
      </c>
      <c r="BO37" s="114">
        <f t="shared" si="25"/>
        <v>0</v>
      </c>
      <c r="BP37" s="115">
        <f t="shared" si="34"/>
        <v>0.30010068707561738</v>
      </c>
      <c r="BQ37" s="116">
        <f t="shared" si="35"/>
        <v>0</v>
      </c>
      <c r="BR37" s="117">
        <f t="shared" si="36"/>
        <v>0</v>
      </c>
      <c r="BS37" s="118">
        <f t="shared" si="37"/>
        <v>17510246.399999999</v>
      </c>
      <c r="BT37" s="119">
        <f t="shared" si="38"/>
        <v>17510246.399999999</v>
      </c>
      <c r="BU37" s="119">
        <f t="shared" si="39"/>
        <v>17510246.399999999</v>
      </c>
      <c r="BV37" s="119">
        <f t="shared" si="56"/>
        <v>0</v>
      </c>
      <c r="BW37" s="120">
        <f t="shared" si="40"/>
        <v>0</v>
      </c>
      <c r="BX37" s="121">
        <f t="shared" si="41"/>
        <v>0</v>
      </c>
      <c r="BY37" s="122">
        <f t="shared" si="42"/>
        <v>17510246.399999999</v>
      </c>
      <c r="BZ37" s="123">
        <f t="shared" si="58"/>
        <v>221294968688338.66</v>
      </c>
      <c r="CA37" s="111">
        <f>ROUND((BZ37+BI37),0)</f>
        <v>221294986198585</v>
      </c>
      <c r="CC37" s="124">
        <f t="shared" si="26"/>
        <v>1</v>
      </c>
      <c r="CD37" s="17"/>
      <c r="CE37" s="108">
        <f t="shared" si="44"/>
        <v>58367488</v>
      </c>
      <c r="CF37" s="125">
        <f t="shared" si="45"/>
        <v>3791408.4326977548</v>
      </c>
      <c r="CG37" s="110">
        <f t="shared" si="46"/>
        <v>17510246.399999999</v>
      </c>
      <c r="CH37" s="126">
        <f t="shared" si="47"/>
        <v>221294968688338.59</v>
      </c>
      <c r="CJ37" s="127">
        <f t="shared" si="48"/>
        <v>0</v>
      </c>
      <c r="CK37" s="128" t="e">
        <f t="shared" si="49"/>
        <v>#DIV/0!</v>
      </c>
      <c r="CL37" s="129" t="e">
        <f t="shared" si="50"/>
        <v>#DIV/0!</v>
      </c>
      <c r="CM37" s="130" t="e">
        <f t="shared" si="51"/>
        <v>#DIV/0!</v>
      </c>
      <c r="CO37" s="131" t="e">
        <f t="shared" si="52"/>
        <v>#DIV/0!</v>
      </c>
      <c r="CP37" s="1">
        <f t="shared" si="53"/>
        <v>0</v>
      </c>
      <c r="CQ37" s="132">
        <f t="shared" si="54"/>
        <v>0.3</v>
      </c>
      <c r="CS37" s="104">
        <f t="shared" si="55"/>
        <v>0.2401634409595835</v>
      </c>
    </row>
    <row r="38" spans="1:97">
      <c r="A38" s="133" t="s">
        <v>115</v>
      </c>
      <c r="B38" s="90" t="s">
        <v>116</v>
      </c>
      <c r="C38" s="91">
        <f>'Sizing - Reimb Expen-24'!B31</f>
        <v>9821438</v>
      </c>
      <c r="D38" s="92">
        <f>'Ridership-24'!$E30</f>
        <v>3267836</v>
      </c>
      <c r="E38" s="92">
        <f>'Revenue Hours-24'!$F30</f>
        <v>100136</v>
      </c>
      <c r="F38" s="92">
        <f>'Revenue Miles-24'!$F30</f>
        <v>1050017</v>
      </c>
      <c r="G38" s="134">
        <f t="shared" si="59"/>
        <v>4.2918895386578282E-2</v>
      </c>
      <c r="H38" s="94">
        <f t="shared" si="60"/>
        <v>4.0518499791608868E-2</v>
      </c>
      <c r="J38" s="95">
        <f>'Ridership-24'!B30/'Revenue Hours-24'!C30</f>
        <v>38.430821690741176</v>
      </c>
      <c r="K38" s="96">
        <f>'Ridership-24'!C30/'Revenue Hours-24'!D30</f>
        <v>41.020012326113751</v>
      </c>
      <c r="L38" s="96">
        <f>'Ridership-24'!D30/'Revenue Hours-24'!E30</f>
        <v>7.7359808402431227</v>
      </c>
      <c r="M38" s="207">
        <f>'Ridership-24'!E30/'Revenue Hours-24'!L30</f>
        <v>32.633977790205321</v>
      </c>
      <c r="N38" s="97">
        <f t="shared" si="2"/>
        <v>1.570997120982047</v>
      </c>
      <c r="O38" s="98">
        <f t="shared" si="3"/>
        <v>6.3654446519129201E-2</v>
      </c>
      <c r="P38" s="99">
        <f t="shared" si="4"/>
        <v>6.0335968801878082E-2</v>
      </c>
      <c r="Q38" s="95">
        <f>'Ridership-24'!B30/'Revenue Miles-24'!C30</f>
        <v>3.9038389560856674</v>
      </c>
      <c r="R38" s="96">
        <f>'Ridership-24'!C30/'Revenue Miles-24'!D30</f>
        <v>4.0590237544714967</v>
      </c>
      <c r="S38" s="96">
        <f>'Ridership-24'!D30/'Revenue Miles-24'!E30</f>
        <v>0.74890286156611607</v>
      </c>
      <c r="T38" s="207">
        <f>'Ridership-24'!E30/'Revenue Miles-24'!L30</f>
        <v>3.1121743743196539</v>
      </c>
      <c r="U38" s="97">
        <f t="shared" si="5"/>
        <v>1.5695446744042203</v>
      </c>
      <c r="V38" s="98">
        <f t="shared" si="6"/>
        <v>6.3595595562768212E-2</v>
      </c>
      <c r="W38" s="99">
        <f t="shared" si="7"/>
        <v>6.0342984042604061E-2</v>
      </c>
      <c r="X38" s="95">
        <f>'Op Cost-24'!B31/'Revenue Hours-24'!C30</f>
        <v>85.193729576130707</v>
      </c>
      <c r="Y38" s="96">
        <f>'Op Cost-24'!C31/'Revenue Hours-24'!D30</f>
        <v>80.165865469272759</v>
      </c>
      <c r="Z38" s="96">
        <f>'Op Cost-24'!D31/'Revenue Hours-24'!E30</f>
        <v>94.638769882541524</v>
      </c>
      <c r="AA38" s="96">
        <f>'Op Cost-24'!E31/'Revenue Hours-24'!F30</f>
        <v>99.879114404410004</v>
      </c>
      <c r="AB38" s="97">
        <f t="shared" si="8"/>
        <v>0.98112606835854699</v>
      </c>
      <c r="AC38" s="98">
        <f t="shared" si="9"/>
        <v>4.1297954562962043E-2</v>
      </c>
      <c r="AD38" s="99">
        <f t="shared" si="10"/>
        <v>4.1528116111671357E-2</v>
      </c>
      <c r="AE38" s="95">
        <f>'Op Cost-24'!B31/'Revenue Miles-24'!C30</f>
        <v>8.6540590521293268</v>
      </c>
      <c r="AF38" s="96">
        <f>'Op Cost-24'!C31/'Revenue Miles-24'!D30</f>
        <v>7.9325951842875142</v>
      </c>
      <c r="AG38" s="96">
        <f>'Op Cost-24'!D31/'Revenue Miles-24'!E30</f>
        <v>9.1617659148578081</v>
      </c>
      <c r="AH38" s="96">
        <f>'Op Cost-24'!E31/'Revenue Miles-24'!F30</f>
        <v>9.5250791177666656</v>
      </c>
      <c r="AI38" s="97">
        <f t="shared" si="11"/>
        <v>0.96661079663279281</v>
      </c>
      <c r="AJ38" s="98">
        <f t="shared" si="12"/>
        <v>4.1918112163402098E-2</v>
      </c>
      <c r="AK38" s="99">
        <f t="shared" si="13"/>
        <v>4.1965487701849047E-2</v>
      </c>
      <c r="AL38" s="95">
        <f>'Op Cost-24'!B31/'Ridership-24'!B30</f>
        <v>2.216807391257412</v>
      </c>
      <c r="AM38" s="96">
        <f>'Op Cost-24'!C31/'Ridership-24'!C30</f>
        <v>1.9543111014191081</v>
      </c>
      <c r="AN38" s="96">
        <f>'Op Cost-24'!D31/'Ridership-24'!D30</f>
        <v>12.233583799771571</v>
      </c>
      <c r="AO38" s="96">
        <f>'Op Cost-24'!E31/'Ridership-24'!E30</f>
        <v>3.0605865777841972</v>
      </c>
      <c r="AP38" s="97">
        <f t="shared" si="14"/>
        <v>1.2723471939974662</v>
      </c>
      <c r="AQ38" s="98">
        <f t="shared" si="15"/>
        <v>3.1845474240649409E-2</v>
      </c>
      <c r="AR38" s="99">
        <f t="shared" si="16"/>
        <v>3.3712527970324216E-2</v>
      </c>
      <c r="AT38" s="101">
        <f t="shared" si="27"/>
        <v>0</v>
      </c>
      <c r="AU38" s="102">
        <f t="shared" si="17"/>
        <v>0</v>
      </c>
      <c r="AV38" s="102">
        <f t="shared" si="18"/>
        <v>0</v>
      </c>
      <c r="AW38" s="102">
        <f t="shared" si="19"/>
        <v>0</v>
      </c>
      <c r="AX38" s="103">
        <f t="shared" si="20"/>
        <v>0</v>
      </c>
      <c r="AY38" s="104">
        <f t="shared" si="28"/>
        <v>-1</v>
      </c>
      <c r="AZ38" s="105">
        <f t="shared" si="21"/>
        <v>0</v>
      </c>
      <c r="BA38" s="106">
        <f t="shared" si="21"/>
        <v>0</v>
      </c>
      <c r="BB38" s="106">
        <f t="shared" si="21"/>
        <v>0</v>
      </c>
      <c r="BC38" s="106">
        <f t="shared" si="21"/>
        <v>0</v>
      </c>
      <c r="BD38" s="106">
        <f t="shared" si="21"/>
        <v>0</v>
      </c>
      <c r="BE38" s="107">
        <f t="shared" si="29"/>
        <v>5129757.9403196862</v>
      </c>
      <c r="BG38" s="108">
        <f>'Op Cost-24'!E31</f>
        <v>10001495</v>
      </c>
      <c r="BH38" s="109">
        <f t="shared" si="22"/>
        <v>0.51289911561418433</v>
      </c>
      <c r="BI38" s="110">
        <f t="shared" si="23"/>
        <v>3000448.5</v>
      </c>
      <c r="BJ38" s="111">
        <f t="shared" si="24"/>
        <v>2129309.4403196862</v>
      </c>
      <c r="BK38" s="1">
        <f t="shared" si="30"/>
        <v>4.4696743232487242</v>
      </c>
      <c r="BL38" s="112">
        <f t="shared" si="31"/>
        <v>3.6447873202741339</v>
      </c>
      <c r="BM38" s="112">
        <f t="shared" si="32"/>
        <v>5.0211232479779495</v>
      </c>
      <c r="BN38" s="113">
        <f t="shared" si="33"/>
        <v>4.6063933623714064</v>
      </c>
      <c r="BO38" s="114">
        <f t="shared" si="25"/>
        <v>0</v>
      </c>
      <c r="BP38" s="115">
        <f t="shared" si="34"/>
        <v>0.18110449813511295</v>
      </c>
      <c r="BQ38" s="116">
        <f t="shared" si="35"/>
        <v>0</v>
      </c>
      <c r="BR38" s="117">
        <f t="shared" si="36"/>
        <v>0</v>
      </c>
      <c r="BS38" s="118">
        <f t="shared" si="37"/>
        <v>3000448.5</v>
      </c>
      <c r="BT38" s="119">
        <f t="shared" si="38"/>
        <v>3000448.5</v>
      </c>
      <c r="BU38" s="119">
        <f t="shared" si="39"/>
        <v>3000448.5</v>
      </c>
      <c r="BV38" s="119">
        <f t="shared" si="56"/>
        <v>0</v>
      </c>
      <c r="BW38" s="120">
        <f t="shared" si="40"/>
        <v>0</v>
      </c>
      <c r="BX38" s="121">
        <f t="shared" si="41"/>
        <v>0</v>
      </c>
      <c r="BY38" s="122">
        <f t="shared" si="42"/>
        <v>3000448.5</v>
      </c>
      <c r="BZ38" s="123">
        <f t="shared" si="58"/>
        <v>37919749482135.938</v>
      </c>
      <c r="CA38" s="111">
        <f t="shared" si="57"/>
        <v>37919752482584</v>
      </c>
      <c r="CC38" s="124">
        <f t="shared" si="26"/>
        <v>1</v>
      </c>
      <c r="CD38" s="17"/>
      <c r="CE38" s="108">
        <f t="shared" si="44"/>
        <v>10001495</v>
      </c>
      <c r="CF38" s="125">
        <f t="shared" si="45"/>
        <v>3791408.4326977115</v>
      </c>
      <c r="CG38" s="110">
        <f t="shared" si="46"/>
        <v>3000448.5</v>
      </c>
      <c r="CH38" s="126">
        <f t="shared" si="47"/>
        <v>37919749482135.5</v>
      </c>
      <c r="CJ38" s="127">
        <f t="shared" si="48"/>
        <v>0</v>
      </c>
      <c r="CK38" s="128" t="e">
        <f t="shared" si="49"/>
        <v>#DIV/0!</v>
      </c>
      <c r="CL38" s="129" t="e">
        <f t="shared" si="50"/>
        <v>#DIV/0!</v>
      </c>
      <c r="CM38" s="130" t="e">
        <f t="shared" si="51"/>
        <v>#DIV/0!</v>
      </c>
      <c r="CO38" s="131" t="e">
        <f t="shared" si="52"/>
        <v>#DIV/0!</v>
      </c>
      <c r="CP38" s="1">
        <f t="shared" si="53"/>
        <v>0</v>
      </c>
      <c r="CQ38" s="132">
        <f t="shared" si="54"/>
        <v>0.3</v>
      </c>
      <c r="CS38" s="104">
        <f t="shared" si="55"/>
        <v>0.1449336216762066</v>
      </c>
    </row>
    <row r="39" spans="1:97">
      <c r="A39" s="133" t="s">
        <v>115</v>
      </c>
      <c r="B39" s="90" t="s">
        <v>117</v>
      </c>
      <c r="C39" s="91">
        <f>'Sizing - Reimb Expen-24'!B32</f>
        <v>1758084</v>
      </c>
      <c r="D39" s="92">
        <f>'Ridership-24'!$E31</f>
        <v>125489</v>
      </c>
      <c r="E39" s="92">
        <f>'Revenue Hours-24'!$F31</f>
        <v>31063</v>
      </c>
      <c r="F39" s="92">
        <f>'Revenue Miles-24'!$F31</f>
        <v>373643</v>
      </c>
      <c r="G39" s="134">
        <f t="shared" si="59"/>
        <v>4.4378819736475023E-3</v>
      </c>
      <c r="H39" s="94">
        <f t="shared" si="60"/>
        <v>4.1896772553157036E-3</v>
      </c>
      <c r="J39" s="95">
        <f>'Ridership-24'!B31/'Revenue Hours-24'!C31</f>
        <v>10.469111047455362</v>
      </c>
      <c r="K39" s="96">
        <f>'Ridership-24'!C31/'Revenue Hours-24'!D31</f>
        <v>8.58772210149559</v>
      </c>
      <c r="L39" s="96">
        <f>'Ridership-24'!D31/'Revenue Hours-24'!E31</f>
        <v>3.353975911522431</v>
      </c>
      <c r="M39" s="207">
        <f>'Ridership-24'!E31/'Revenue Hours-24'!L31</f>
        <v>4.039822296622992</v>
      </c>
      <c r="N39" s="97">
        <f t="shared" si="2"/>
        <v>0.83958861914202576</v>
      </c>
      <c r="O39" s="98">
        <f t="shared" si="3"/>
        <v>3.5176053414412642E-3</v>
      </c>
      <c r="P39" s="99">
        <f t="shared" si="4"/>
        <v>3.3342231021479198E-3</v>
      </c>
      <c r="Q39" s="95">
        <f>'Ridership-24'!B31/'Revenue Miles-24'!C31</f>
        <v>0.95972094977446065</v>
      </c>
      <c r="R39" s="96">
        <f>'Ridership-24'!C31/'Revenue Miles-24'!D31</f>
        <v>0.78227240838260248</v>
      </c>
      <c r="S39" s="96">
        <f>'Ridership-24'!D31/'Revenue Miles-24'!E31</f>
        <v>0.29134203947124609</v>
      </c>
      <c r="T39" s="207">
        <f>'Ridership-24'!E31/'Revenue Miles-24'!L31</f>
        <v>0.3358526722031458</v>
      </c>
      <c r="U39" s="97">
        <f t="shared" si="5"/>
        <v>0.81813252123285196</v>
      </c>
      <c r="V39" s="98">
        <f t="shared" si="6"/>
        <v>3.4277112160433719E-3</v>
      </c>
      <c r="W39" s="99">
        <f t="shared" si="7"/>
        <v>3.2524001290028461E-3</v>
      </c>
      <c r="X39" s="95">
        <f>'Op Cost-24'!B32/'Revenue Hours-24'!C31</f>
        <v>45.655272287469366</v>
      </c>
      <c r="Y39" s="96">
        <f>'Op Cost-24'!C32/'Revenue Hours-24'!D31</f>
        <v>50.245430141889301</v>
      </c>
      <c r="Z39" s="96">
        <f>'Op Cost-24'!D32/'Revenue Hours-24'!E31</f>
        <v>54.975878704341831</v>
      </c>
      <c r="AA39" s="96">
        <f>'Op Cost-24'!E32/'Revenue Hours-24'!F31</f>
        <v>56.597366641985644</v>
      </c>
      <c r="AB39" s="97">
        <f t="shared" si="8"/>
        <v>1.0011244458616895</v>
      </c>
      <c r="AC39" s="98">
        <f t="shared" si="9"/>
        <v>4.1849714814520961E-3</v>
      </c>
      <c r="AD39" s="99">
        <f t="shared" si="10"/>
        <v>4.2082951430636372E-3</v>
      </c>
      <c r="AE39" s="95">
        <f>'Op Cost-24'!B32/'Revenue Miles-24'!C31</f>
        <v>4.1852953018959314</v>
      </c>
      <c r="AF39" s="96">
        <f>'Op Cost-24'!C32/'Revenue Miles-24'!D31</f>
        <v>4.5769545384416093</v>
      </c>
      <c r="AG39" s="96">
        <f>'Op Cost-24'!D32/'Revenue Miles-24'!E31</f>
        <v>4.775462032515458</v>
      </c>
      <c r="AH39" s="96">
        <f>'Op Cost-24'!E32/'Revenue Miles-24'!F31</f>
        <v>4.7052507339893959</v>
      </c>
      <c r="AI39" s="97">
        <f t="shared" si="11"/>
        <v>0.97631099927011855</v>
      </c>
      <c r="AJ39" s="98">
        <f t="shared" si="12"/>
        <v>4.291334685820266E-3</v>
      </c>
      <c r="AK39" s="99">
        <f t="shared" si="13"/>
        <v>4.2961847203495948E-3</v>
      </c>
      <c r="AL39" s="95">
        <f>'Op Cost-24'!B32/'Ridership-24'!B31</f>
        <v>4.3609502354611482</v>
      </c>
      <c r="AM39" s="96">
        <f>'Op Cost-24'!C32/'Ridership-24'!C31</f>
        <v>5.8508449095178374</v>
      </c>
      <c r="AN39" s="96">
        <f>'Op Cost-24'!D32/'Ridership-24'!D31</f>
        <v>16.391256274523233</v>
      </c>
      <c r="AO39" s="96">
        <f>'Op Cost-24'!E32/'Ridership-24'!E31</f>
        <v>14.009865406529656</v>
      </c>
      <c r="AP39" s="100">
        <f t="shared" si="14"/>
        <v>1.1962544231491588</v>
      </c>
      <c r="AQ39" s="98">
        <f t="shared" si="15"/>
        <v>3.5023295832723542E-3</v>
      </c>
      <c r="AR39" s="99">
        <f t="shared" si="16"/>
        <v>3.7076660609641275E-3</v>
      </c>
      <c r="AT39" s="101">
        <f t="shared" si="27"/>
        <v>0</v>
      </c>
      <c r="AU39" s="102">
        <f t="shared" si="17"/>
        <v>0</v>
      </c>
      <c r="AV39" s="102">
        <f t="shared" si="18"/>
        <v>0</v>
      </c>
      <c r="AW39" s="102">
        <f t="shared" si="19"/>
        <v>0</v>
      </c>
      <c r="AX39" s="103">
        <f t="shared" si="20"/>
        <v>0</v>
      </c>
      <c r="AY39" s="104">
        <f t="shared" si="28"/>
        <v>-1</v>
      </c>
      <c r="AZ39" s="105">
        <f t="shared" si="21"/>
        <v>0</v>
      </c>
      <c r="BA39" s="106">
        <f t="shared" si="21"/>
        <v>0</v>
      </c>
      <c r="BB39" s="106">
        <f t="shared" si="21"/>
        <v>0</v>
      </c>
      <c r="BC39" s="106">
        <f t="shared" si="21"/>
        <v>0</v>
      </c>
      <c r="BD39" s="106">
        <f t="shared" si="21"/>
        <v>0</v>
      </c>
      <c r="BE39" s="107">
        <f t="shared" si="29"/>
        <v>530425.12132404733</v>
      </c>
      <c r="BG39" s="108">
        <f>'Op Cost-24'!E32</f>
        <v>1758084</v>
      </c>
      <c r="BH39" s="109">
        <f t="shared" si="22"/>
        <v>0.30170635835605542</v>
      </c>
      <c r="BI39" s="110">
        <f t="shared" si="23"/>
        <v>527425.19999999995</v>
      </c>
      <c r="BJ39" s="111">
        <f t="shared" si="24"/>
        <v>2999.9213240473764</v>
      </c>
      <c r="BK39" s="1">
        <f t="shared" si="30"/>
        <v>0.75141830857887959</v>
      </c>
      <c r="BL39" s="112">
        <f t="shared" si="31"/>
        <v>0.451195167734395</v>
      </c>
      <c r="BM39" s="112">
        <f t="shared" si="32"/>
        <v>0.54185834643773267</v>
      </c>
      <c r="BN39" s="113">
        <f t="shared" si="33"/>
        <v>1.0063098600716953</v>
      </c>
      <c r="BO39" s="114">
        <f t="shared" si="25"/>
        <v>0</v>
      </c>
      <c r="BP39" s="115">
        <f t="shared" si="34"/>
        <v>3.1482001966807289E-3</v>
      </c>
      <c r="BQ39" s="116">
        <f t="shared" si="35"/>
        <v>0</v>
      </c>
      <c r="BR39" s="117">
        <f t="shared" si="36"/>
        <v>0</v>
      </c>
      <c r="BS39" s="118">
        <f t="shared" si="37"/>
        <v>527425.19999999995</v>
      </c>
      <c r="BT39" s="119">
        <f t="shared" si="38"/>
        <v>527425.19999999995</v>
      </c>
      <c r="BU39" s="119">
        <f t="shared" si="39"/>
        <v>527425.19999999995</v>
      </c>
      <c r="BV39" s="119">
        <f t="shared" si="56"/>
        <v>0</v>
      </c>
      <c r="BW39" s="120">
        <f t="shared" si="40"/>
        <v>0</v>
      </c>
      <c r="BX39" s="121">
        <f t="shared" si="41"/>
        <v>0</v>
      </c>
      <c r="BY39" s="122">
        <f t="shared" si="42"/>
        <v>527425.19999999995</v>
      </c>
      <c r="BZ39" s="123">
        <f t="shared" si="58"/>
        <v>6665613975565.8008</v>
      </c>
      <c r="CA39" s="111">
        <f t="shared" si="57"/>
        <v>6665614502991</v>
      </c>
      <c r="CC39" s="124">
        <f t="shared" si="26"/>
        <v>1</v>
      </c>
      <c r="CD39" s="17"/>
      <c r="CE39" s="108">
        <f t="shared" si="44"/>
        <v>1758084</v>
      </c>
      <c r="CF39" s="125">
        <f t="shared" si="45"/>
        <v>3791408.4326977553</v>
      </c>
      <c r="CG39" s="110">
        <f t="shared" si="46"/>
        <v>527425.19999999995</v>
      </c>
      <c r="CH39" s="126">
        <f t="shared" si="47"/>
        <v>6665613975565.7998</v>
      </c>
      <c r="CJ39" s="127">
        <f t="shared" si="48"/>
        <v>0</v>
      </c>
      <c r="CK39" s="128" t="e">
        <f t="shared" si="49"/>
        <v>#DIV/0!</v>
      </c>
      <c r="CL39" s="129" t="e">
        <f t="shared" si="50"/>
        <v>#DIV/0!</v>
      </c>
      <c r="CM39" s="130" t="e">
        <f t="shared" si="51"/>
        <v>#DIV/0!</v>
      </c>
      <c r="CO39" s="131" t="e">
        <f t="shared" si="52"/>
        <v>#DIV/0!</v>
      </c>
      <c r="CP39" s="1">
        <f t="shared" si="53"/>
        <v>0</v>
      </c>
      <c r="CQ39" s="132">
        <f t="shared" si="54"/>
        <v>0.3</v>
      </c>
      <c r="CS39" s="104">
        <f t="shared" si="55"/>
        <v>2.5194297268435399E-3</v>
      </c>
    </row>
    <row r="40" spans="1:97">
      <c r="A40" s="133" t="s">
        <v>115</v>
      </c>
      <c r="B40" s="90" t="s">
        <v>118</v>
      </c>
      <c r="C40" s="91">
        <f>'Sizing - Reimb Expen-24'!B33</f>
        <v>10624308</v>
      </c>
      <c r="D40" s="92">
        <f>'Ridership-24'!$E32</f>
        <v>1134478</v>
      </c>
      <c r="E40" s="92">
        <f>'Revenue Hours-24'!$F32</f>
        <v>155800</v>
      </c>
      <c r="F40" s="92">
        <f>'Revenue Miles-24'!$F32</f>
        <v>2582667</v>
      </c>
      <c r="G40" s="134">
        <f t="shared" si="59"/>
        <v>2.990475036668868E-2</v>
      </c>
      <c r="H40" s="94">
        <f t="shared" si="60"/>
        <v>2.8232218247623293E-2</v>
      </c>
      <c r="J40" s="95">
        <f>'Ridership-24'!B32/'Revenue Hours-24'!C32</f>
        <v>13.489683908981412</v>
      </c>
      <c r="K40" s="96">
        <f>'Ridership-24'!C32/'Revenue Hours-24'!D32</f>
        <v>13.061303342191943</v>
      </c>
      <c r="L40" s="96">
        <f>'Ridership-24'!D32/'Revenue Hours-24'!E32</f>
        <v>7.5369057433360815</v>
      </c>
      <c r="M40" s="207">
        <f>'Ridership-24'!E32/'Revenue Hours-24'!L32</f>
        <v>7.2816302952503209</v>
      </c>
      <c r="N40" s="97">
        <f t="shared" si="2"/>
        <v>0.94844527831451908</v>
      </c>
      <c r="O40" s="98">
        <f t="shared" si="3"/>
        <v>2.677671409330332E-2</v>
      </c>
      <c r="P40" s="99">
        <f t="shared" si="4"/>
        <v>2.5380771878439699E-2</v>
      </c>
      <c r="Q40" s="95">
        <f>'Ridership-24'!B32/'Revenue Miles-24'!C32</f>
        <v>0.84707708145185789</v>
      </c>
      <c r="R40" s="96">
        <f>'Ridership-24'!C32/'Revenue Miles-24'!D32</f>
        <v>0.76270122520155903</v>
      </c>
      <c r="S40" s="96">
        <f>'Ridership-24'!D32/'Revenue Miles-24'!E32</f>
        <v>0.4322966250764449</v>
      </c>
      <c r="T40" s="207">
        <f>'Ridership-24'!E32/'Revenue Miles-24'!L32</f>
        <v>0.43926607650153893</v>
      </c>
      <c r="U40" s="97">
        <f t="shared" si="5"/>
        <v>0.93488870997493956</v>
      </c>
      <c r="V40" s="98">
        <f t="shared" si="6"/>
        <v>2.6393982097251488E-2</v>
      </c>
      <c r="W40" s="99">
        <f t="shared" si="7"/>
        <v>2.5044055746647628E-2</v>
      </c>
      <c r="X40" s="95">
        <f>'Op Cost-24'!B33/'Revenue Hours-24'!C32</f>
        <v>62.404362121162798</v>
      </c>
      <c r="Y40" s="96">
        <f>'Op Cost-24'!C33/'Revenue Hours-24'!D32</f>
        <v>69.193957147306961</v>
      </c>
      <c r="Z40" s="96">
        <f>'Op Cost-24'!D33/'Revenue Hours-24'!E32</f>
        <v>71.568899422918378</v>
      </c>
      <c r="AA40" s="96">
        <f>'Op Cost-24'!E33/'Revenue Hours-24'!F32</f>
        <v>68.191964056482675</v>
      </c>
      <c r="AB40" s="97">
        <f t="shared" si="8"/>
        <v>0.9619893036190682</v>
      </c>
      <c r="AC40" s="98">
        <f t="shared" si="9"/>
        <v>2.934774653045704E-2</v>
      </c>
      <c r="AD40" s="99">
        <f t="shared" si="10"/>
        <v>2.951130724100701E-2</v>
      </c>
      <c r="AE40" s="95">
        <f>'Op Cost-24'!B33/'Revenue Miles-24'!C32</f>
        <v>3.9186466704578953</v>
      </c>
      <c r="AF40" s="96">
        <f>'Op Cost-24'!C33/'Revenue Miles-24'!D32</f>
        <v>4.0405091674364728</v>
      </c>
      <c r="AG40" s="96">
        <f>'Op Cost-24'!D33/'Revenue Miles-24'!E32</f>
        <v>4.104999416812201</v>
      </c>
      <c r="AH40" s="96">
        <f>'Op Cost-24'!E33/'Revenue Miles-24'!F32</f>
        <v>4.1136964231161048</v>
      </c>
      <c r="AI40" s="97">
        <f t="shared" si="11"/>
        <v>0.95410645766052327</v>
      </c>
      <c r="AJ40" s="98">
        <f t="shared" si="12"/>
        <v>2.9590218178429398E-2</v>
      </c>
      <c r="AK40" s="99">
        <f t="shared" si="13"/>
        <v>2.9623660822828583E-2</v>
      </c>
      <c r="AL40" s="95">
        <f>'Op Cost-24'!B33/'Ridership-24'!B32</f>
        <v>4.6260803842567482</v>
      </c>
      <c r="AM40" s="96">
        <f>'Op Cost-24'!C33/'Ridership-24'!C32</f>
        <v>5.2976303615726961</v>
      </c>
      <c r="AN40" s="96">
        <f>'Op Cost-24'!D33/'Ridership-24'!D32</f>
        <v>9.4957933481120662</v>
      </c>
      <c r="AO40" s="96">
        <f>'Op Cost-24'!E33/'Ridership-24'!E32</f>
        <v>9.3649308316247648</v>
      </c>
      <c r="AP40" s="97">
        <f t="shared" si="14"/>
        <v>1.0470853269200342</v>
      </c>
      <c r="AQ40" s="98">
        <f t="shared" si="15"/>
        <v>2.6962672020882386E-2</v>
      </c>
      <c r="AR40" s="99">
        <f t="shared" si="16"/>
        <v>2.8543454174672047E-2</v>
      </c>
      <c r="AT40" s="101">
        <f t="shared" si="27"/>
        <v>0</v>
      </c>
      <c r="AU40" s="102">
        <f t="shared" si="17"/>
        <v>0</v>
      </c>
      <c r="AV40" s="102">
        <f t="shared" si="18"/>
        <v>0</v>
      </c>
      <c r="AW40" s="102">
        <f t="shared" si="19"/>
        <v>0</v>
      </c>
      <c r="AX40" s="103">
        <f t="shared" si="20"/>
        <v>0</v>
      </c>
      <c r="AY40" s="104">
        <f t="shared" si="28"/>
        <v>-1</v>
      </c>
      <c r="AZ40" s="105">
        <f t="shared" si="21"/>
        <v>0</v>
      </c>
      <c r="BA40" s="106">
        <f t="shared" si="21"/>
        <v>0</v>
      </c>
      <c r="BB40" s="106">
        <f t="shared" si="21"/>
        <v>0</v>
      </c>
      <c r="BC40" s="106">
        <f t="shared" si="21"/>
        <v>0</v>
      </c>
      <c r="BD40" s="106">
        <f t="shared" si="21"/>
        <v>0</v>
      </c>
      <c r="BE40" s="107">
        <f t="shared" si="29"/>
        <v>3574279.5630004099</v>
      </c>
      <c r="BG40" s="108">
        <f>'Op Cost-24'!E33</f>
        <v>10624308</v>
      </c>
      <c r="BH40" s="109">
        <f t="shared" si="22"/>
        <v>0.3364246935424321</v>
      </c>
      <c r="BI40" s="110">
        <f t="shared" si="23"/>
        <v>3187292.4</v>
      </c>
      <c r="BJ40" s="111">
        <f t="shared" si="24"/>
        <v>386987.16300040996</v>
      </c>
      <c r="BK40" s="1">
        <f t="shared" si="30"/>
        <v>1.1332074995148489</v>
      </c>
      <c r="BL40" s="112">
        <f t="shared" si="31"/>
        <v>0.81326260444468434</v>
      </c>
      <c r="BM40" s="112">
        <f t="shared" si="32"/>
        <v>0.70870357617802215</v>
      </c>
      <c r="BN40" s="113">
        <f t="shared" si="33"/>
        <v>1.5054319087183445</v>
      </c>
      <c r="BO40" s="114">
        <f t="shared" si="25"/>
        <v>0</v>
      </c>
      <c r="BP40" s="115">
        <f t="shared" si="34"/>
        <v>3.1992961446146682E-2</v>
      </c>
      <c r="BQ40" s="116">
        <f t="shared" si="35"/>
        <v>0</v>
      </c>
      <c r="BR40" s="117">
        <f t="shared" si="36"/>
        <v>0</v>
      </c>
      <c r="BS40" s="118">
        <f t="shared" si="37"/>
        <v>3187292.4</v>
      </c>
      <c r="BT40" s="119">
        <f t="shared" si="38"/>
        <v>3187292.4</v>
      </c>
      <c r="BU40" s="119">
        <f t="shared" si="39"/>
        <v>3187292.4</v>
      </c>
      <c r="BV40" s="119">
        <f t="shared" si="56"/>
        <v>0</v>
      </c>
      <c r="BW40" s="120">
        <f t="shared" si="40"/>
        <v>0</v>
      </c>
      <c r="BX40" s="121">
        <f t="shared" si="41"/>
        <v>0</v>
      </c>
      <c r="BY40" s="122">
        <f t="shared" si="42"/>
        <v>3187292.4</v>
      </c>
      <c r="BZ40" s="123">
        <f t="shared" si="58"/>
        <v>40281087755485.828</v>
      </c>
      <c r="CA40" s="111">
        <f t="shared" si="57"/>
        <v>40281090942778</v>
      </c>
      <c r="CC40" s="124">
        <f t="shared" si="26"/>
        <v>1</v>
      </c>
      <c r="CD40" s="17"/>
      <c r="CE40" s="108">
        <f t="shared" si="44"/>
        <v>10624308</v>
      </c>
      <c r="CF40" s="125">
        <f t="shared" si="45"/>
        <v>3791408.4326977343</v>
      </c>
      <c r="CG40" s="110">
        <f t="shared" si="46"/>
        <v>3187292.4</v>
      </c>
      <c r="CH40" s="126">
        <f t="shared" si="47"/>
        <v>40281087755485.602</v>
      </c>
      <c r="CJ40" s="127">
        <f t="shared" si="48"/>
        <v>0</v>
      </c>
      <c r="CK40" s="128" t="e">
        <f t="shared" si="49"/>
        <v>#DIV/0!</v>
      </c>
      <c r="CL40" s="129" t="e">
        <f t="shared" si="50"/>
        <v>#DIV/0!</v>
      </c>
      <c r="CM40" s="130" t="e">
        <f t="shared" si="51"/>
        <v>#DIV/0!</v>
      </c>
      <c r="CO40" s="131" t="e">
        <f t="shared" si="52"/>
        <v>#DIV/0!</v>
      </c>
      <c r="CP40" s="1">
        <f t="shared" si="53"/>
        <v>0</v>
      </c>
      <c r="CQ40" s="132">
        <f t="shared" si="54"/>
        <v>0.3</v>
      </c>
      <c r="CS40" s="104">
        <f t="shared" si="55"/>
        <v>2.5603205984856117E-2</v>
      </c>
    </row>
    <row r="41" spans="1:97">
      <c r="A41" s="133" t="s">
        <v>115</v>
      </c>
      <c r="B41" s="90" t="s">
        <v>119</v>
      </c>
      <c r="C41" s="91">
        <f>'Sizing - Reimb Expen-24'!B34</f>
        <v>741857</v>
      </c>
      <c r="D41" s="92">
        <f>'Ridership-24'!$E33</f>
        <v>29480</v>
      </c>
      <c r="E41" s="92">
        <f>'Revenue Hours-24'!$F33</f>
        <v>19090</v>
      </c>
      <c r="F41" s="92">
        <f>'Revenue Miles-24'!$F33</f>
        <v>220116</v>
      </c>
      <c r="G41" s="134">
        <f t="shared" si="59"/>
        <v>2.0189733452389809E-3</v>
      </c>
      <c r="H41" s="94">
        <f t="shared" si="60"/>
        <v>1.9060549049897506E-3</v>
      </c>
      <c r="J41" s="95">
        <f>'Ridership-24'!B33/'Revenue Hours-24'!C33</f>
        <v>7.7063312747903803</v>
      </c>
      <c r="K41" s="96">
        <f>'Ridership-24'!C33/'Revenue Hours-24'!D33</f>
        <v>3.4694402420574888</v>
      </c>
      <c r="L41" s="96">
        <f>'Ridership-24'!D33/'Revenue Hours-24'!E33</f>
        <v>2.0660778541053322</v>
      </c>
      <c r="M41" s="207">
        <f>'Ridership-24'!E33/'Revenue Hours-24'!L33</f>
        <v>1.5442640125720273</v>
      </c>
      <c r="N41" s="97">
        <f t="shared" si="2"/>
        <v>0.73045267772485667</v>
      </c>
      <c r="O41" s="98">
        <f t="shared" si="3"/>
        <v>1.3922829092403606E-3</v>
      </c>
      <c r="P41" s="99">
        <f t="shared" si="4"/>
        <v>1.3196994517903735E-3</v>
      </c>
      <c r="Q41" s="95">
        <f>'Ridership-24'!B33/'Revenue Miles-24'!C33</f>
        <v>0.5486185080601923</v>
      </c>
      <c r="R41" s="96">
        <f>'Ridership-24'!C33/'Revenue Miles-24'!D33</f>
        <v>0.3128535569419939</v>
      </c>
      <c r="S41" s="96">
        <f>'Ridership-24'!D33/'Revenue Miles-24'!E33</f>
        <v>0.17929853281414856</v>
      </c>
      <c r="T41" s="207">
        <f>'Ridership-24'!E33/'Revenue Miles-24'!L33</f>
        <v>0.13392938268912755</v>
      </c>
      <c r="U41" s="97">
        <f t="shared" si="5"/>
        <v>0.75640028467482434</v>
      </c>
      <c r="V41" s="98">
        <f t="shared" si="6"/>
        <v>1.4417404727400927E-3</v>
      </c>
      <c r="W41" s="99">
        <f t="shared" si="7"/>
        <v>1.3680023210768549E-3</v>
      </c>
      <c r="X41" s="95">
        <f>'Op Cost-24'!B34/'Revenue Hours-24'!C33</f>
        <v>37.027162725310035</v>
      </c>
      <c r="Y41" s="96">
        <f>'Op Cost-24'!C34/'Revenue Hours-24'!D33</f>
        <v>37.011396873424104</v>
      </c>
      <c r="Z41" s="96">
        <f>'Op Cost-24'!D34/'Revenue Hours-24'!E33</f>
        <v>43.551303020390364</v>
      </c>
      <c r="AA41" s="96">
        <f>'Op Cost-24'!E34/'Revenue Hours-24'!F33</f>
        <v>41.282399161864852</v>
      </c>
      <c r="AB41" s="97">
        <f t="shared" si="8"/>
        <v>0.96349729165483955</v>
      </c>
      <c r="AC41" s="98">
        <f t="shared" si="9"/>
        <v>1.9782670086347996E-3</v>
      </c>
      <c r="AD41" s="99">
        <f t="shared" si="10"/>
        <v>1.9892922761882751E-3</v>
      </c>
      <c r="AE41" s="95">
        <f>'Op Cost-24'!B34/'Revenue Miles-24'!C33</f>
        <v>2.6359867033634772</v>
      </c>
      <c r="AF41" s="96">
        <f>'Op Cost-24'!C34/'Revenue Miles-24'!D33</f>
        <v>3.3374683958746383</v>
      </c>
      <c r="AG41" s="96">
        <f>'Op Cost-24'!D34/'Revenue Miles-24'!E33</f>
        <v>3.7794726458078038</v>
      </c>
      <c r="AH41" s="96">
        <f>'Op Cost-24'!E34/'Revenue Miles-24'!F33</f>
        <v>3.5802985698449907</v>
      </c>
      <c r="AI41" s="97">
        <f t="shared" si="11"/>
        <v>1.0441051212287928</v>
      </c>
      <c r="AJ41" s="98">
        <f t="shared" si="12"/>
        <v>1.8255392740019712E-3</v>
      </c>
      <c r="AK41" s="99">
        <f t="shared" si="13"/>
        <v>1.8276024849052858E-3</v>
      </c>
      <c r="AL41" s="95">
        <f>'Op Cost-24'!B34/'Ridership-24'!B33</f>
        <v>4.8047717396261573</v>
      </c>
      <c r="AM41" s="96">
        <f>'Op Cost-24'!C34/'Ridership-24'!C33</f>
        <v>10.667829474265615</v>
      </c>
      <c r="AN41" s="96">
        <f>'Op Cost-24'!D34/'Ridership-24'!D33</f>
        <v>21.079216803884314</v>
      </c>
      <c r="AO41" s="96">
        <f>'Op Cost-24'!E34/'Ridership-24'!E33</f>
        <v>26.732734056987788</v>
      </c>
      <c r="AP41" s="100">
        <f t="shared" si="14"/>
        <v>1.5438760170177328</v>
      </c>
      <c r="AQ41" s="98">
        <f t="shared" si="15"/>
        <v>1.2345906562313404E-3</v>
      </c>
      <c r="AR41" s="99">
        <f t="shared" si="16"/>
        <v>1.3069729065919298E-3</v>
      </c>
      <c r="AT41" s="101">
        <f t="shared" si="27"/>
        <v>0</v>
      </c>
      <c r="AU41" s="102">
        <f t="shared" si="17"/>
        <v>0</v>
      </c>
      <c r="AV41" s="102">
        <f t="shared" si="18"/>
        <v>0</v>
      </c>
      <c r="AW41" s="102">
        <f t="shared" si="19"/>
        <v>0</v>
      </c>
      <c r="AX41" s="103">
        <f t="shared" si="20"/>
        <v>0</v>
      </c>
      <c r="AY41" s="104">
        <f t="shared" si="28"/>
        <v>-1</v>
      </c>
      <c r="AZ41" s="105">
        <f t="shared" si="21"/>
        <v>0</v>
      </c>
      <c r="BA41" s="106">
        <f t="shared" si="21"/>
        <v>0</v>
      </c>
      <c r="BB41" s="106">
        <f t="shared" si="21"/>
        <v>0</v>
      </c>
      <c r="BC41" s="106">
        <f t="shared" si="21"/>
        <v>0</v>
      </c>
      <c r="BD41" s="106">
        <f t="shared" si="21"/>
        <v>0</v>
      </c>
      <c r="BE41" s="107">
        <f t="shared" si="29"/>
        <v>241312.00152630871</v>
      </c>
      <c r="BG41" s="108">
        <f>'Op Cost-24'!E34</f>
        <v>788081</v>
      </c>
      <c r="BH41" s="109">
        <f t="shared" si="22"/>
        <v>0.30620202939330948</v>
      </c>
      <c r="BI41" s="110">
        <f t="shared" si="23"/>
        <v>236424.3</v>
      </c>
      <c r="BJ41" s="111">
        <f t="shared" si="24"/>
        <v>4887.7015263087233</v>
      </c>
      <c r="BK41" s="1">
        <f t="shared" si="30"/>
        <v>0.36082747691594208</v>
      </c>
      <c r="BL41" s="112">
        <f t="shared" si="31"/>
        <v>0.17247403697956515</v>
      </c>
      <c r="BM41" s="112">
        <f t="shared" si="32"/>
        <v>0.21607913186250124</v>
      </c>
      <c r="BN41" s="113">
        <f t="shared" si="33"/>
        <v>0.52737836941085103</v>
      </c>
      <c r="BO41" s="114">
        <f t="shared" si="25"/>
        <v>0</v>
      </c>
      <c r="BP41" s="115">
        <f t="shared" si="34"/>
        <v>6.8775698223070745E-4</v>
      </c>
      <c r="BQ41" s="116">
        <f t="shared" si="35"/>
        <v>0</v>
      </c>
      <c r="BR41" s="117">
        <f t="shared" si="36"/>
        <v>0</v>
      </c>
      <c r="BS41" s="118">
        <f t="shared" si="37"/>
        <v>236424.3</v>
      </c>
      <c r="BT41" s="119">
        <f t="shared" si="38"/>
        <v>236424.3</v>
      </c>
      <c r="BU41" s="119">
        <f t="shared" si="39"/>
        <v>236424.3</v>
      </c>
      <c r="BV41" s="119">
        <f t="shared" si="56"/>
        <v>0</v>
      </c>
      <c r="BW41" s="120">
        <f t="shared" si="40"/>
        <v>0</v>
      </c>
      <c r="BX41" s="121">
        <f t="shared" si="41"/>
        <v>0</v>
      </c>
      <c r="BY41" s="122">
        <f t="shared" si="42"/>
        <v>236424.3</v>
      </c>
      <c r="BZ41" s="123">
        <f t="shared" si="58"/>
        <v>2987936712624.5796</v>
      </c>
      <c r="CA41" s="111">
        <f t="shared" si="57"/>
        <v>2987936949049</v>
      </c>
      <c r="CC41" s="124">
        <f t="shared" si="26"/>
        <v>1</v>
      </c>
      <c r="CD41" s="17"/>
      <c r="CE41" s="108">
        <f t="shared" si="44"/>
        <v>788081</v>
      </c>
      <c r="CF41" s="125">
        <f t="shared" si="45"/>
        <v>3791408.432697908</v>
      </c>
      <c r="CG41" s="110">
        <f t="shared" si="46"/>
        <v>236424.3</v>
      </c>
      <c r="CH41" s="126">
        <f t="shared" si="47"/>
        <v>2987936712624.7002</v>
      </c>
      <c r="CJ41" s="127">
        <f t="shared" si="48"/>
        <v>0</v>
      </c>
      <c r="CK41" s="128" t="e">
        <f t="shared" si="49"/>
        <v>#DIV/0!</v>
      </c>
      <c r="CL41" s="129" t="e">
        <f t="shared" si="50"/>
        <v>#DIV/0!</v>
      </c>
      <c r="CM41" s="130" t="e">
        <f t="shared" si="51"/>
        <v>#DIV/0!</v>
      </c>
      <c r="CO41" s="131" t="e">
        <f t="shared" si="52"/>
        <v>#DIV/0!</v>
      </c>
      <c r="CP41" s="1">
        <f t="shared" si="53"/>
        <v>0</v>
      </c>
      <c r="CQ41" s="132">
        <f t="shared" si="54"/>
        <v>0.3</v>
      </c>
      <c r="CS41" s="104">
        <f t="shared" si="55"/>
        <v>5.5039555225971991E-4</v>
      </c>
    </row>
    <row r="42" spans="1:97">
      <c r="A42" s="133" t="s">
        <v>120</v>
      </c>
      <c r="B42" s="90" t="s">
        <v>121</v>
      </c>
      <c r="C42" s="91">
        <f>'Sizing - Reimb Expen-24'!B35</f>
        <v>1604354</v>
      </c>
      <c r="D42" s="92">
        <f>'Ridership-24'!$E34</f>
        <v>162733</v>
      </c>
      <c r="E42" s="92">
        <f>'Revenue Hours-24'!$F34</f>
        <v>36937</v>
      </c>
      <c r="F42" s="92">
        <f>'Revenue Miles-24'!$F34</f>
        <v>710177</v>
      </c>
      <c r="G42" s="134">
        <f t="shared" si="59"/>
        <v>5.679960093776199E-3</v>
      </c>
      <c r="H42" s="94">
        <f t="shared" si="60"/>
        <v>5.3622876311953905E-3</v>
      </c>
      <c r="J42" s="95">
        <f>'Ridership-24'!B34/'Revenue Hours-24'!C34</f>
        <v>8.7030537830446679</v>
      </c>
      <c r="K42" s="96">
        <f>'Ridership-24'!C34/'Revenue Hours-24'!D34</f>
        <v>8.9718507404266425</v>
      </c>
      <c r="L42" s="96">
        <f>'Ridership-24'!D34/'Revenue Hours-24'!E34</f>
        <v>4.4820247253569612</v>
      </c>
      <c r="M42" s="207">
        <f>'Ridership-24'!E34/'Revenue Hours-24'!L34</f>
        <v>4.4056907707718551</v>
      </c>
      <c r="N42" s="97">
        <f t="shared" si="2"/>
        <v>0.9234994985351318</v>
      </c>
      <c r="O42" s="98">
        <f t="shared" si="3"/>
        <v>4.9520699384100831E-3</v>
      </c>
      <c r="P42" s="99">
        <f t="shared" si="4"/>
        <v>4.6939051966909872E-3</v>
      </c>
      <c r="Q42" s="95">
        <f>'Ridership-24'!B34/'Revenue Miles-24'!C34</f>
        <v>0.47321678296920194</v>
      </c>
      <c r="R42" s="96">
        <f>'Ridership-24'!C34/'Revenue Miles-24'!D34</f>
        <v>0.47298136165339449</v>
      </c>
      <c r="S42" s="96">
        <f>'Ridership-24'!D34/'Revenue Miles-24'!E34</f>
        <v>0.24753017027607868</v>
      </c>
      <c r="T42" s="207">
        <f>'Ridership-24'!E34/'Revenue Miles-24'!L34</f>
        <v>0.22914428374898088</v>
      </c>
      <c r="U42" s="97">
        <f t="shared" si="5"/>
        <v>0.91652715051762312</v>
      </c>
      <c r="V42" s="98">
        <f t="shared" si="6"/>
        <v>4.9146822028754067E-3</v>
      </c>
      <c r="W42" s="99">
        <f t="shared" si="7"/>
        <v>4.6633196390129346E-3</v>
      </c>
      <c r="X42" s="95">
        <f>'Op Cost-24'!B35/'Revenue Hours-24'!C34</f>
        <v>67.114175022789425</v>
      </c>
      <c r="Y42" s="96">
        <f>'Op Cost-24'!C35/'Revenue Hours-24'!D34</f>
        <v>69.175941026811927</v>
      </c>
      <c r="Z42" s="96">
        <f>'Op Cost-24'!D35/'Revenue Hours-24'!E34</f>
        <v>68.510851019247468</v>
      </c>
      <c r="AA42" s="96">
        <f>'Op Cost-24'!E35/'Revenue Hours-24'!F34</f>
        <v>68.297046322116032</v>
      </c>
      <c r="AB42" s="97">
        <f t="shared" si="8"/>
        <v>0.93911063246421012</v>
      </c>
      <c r="AC42" s="98">
        <f t="shared" si="9"/>
        <v>5.7099637101593031E-3</v>
      </c>
      <c r="AD42" s="99">
        <f t="shared" si="10"/>
        <v>5.7417864506439592E-3</v>
      </c>
      <c r="AE42" s="95">
        <f>'Op Cost-24'!B35/'Revenue Miles-24'!C34</f>
        <v>3.649242528845507</v>
      </c>
      <c r="AF42" s="96">
        <f>'Op Cost-24'!C35/'Revenue Miles-24'!D34</f>
        <v>3.6468429677599077</v>
      </c>
      <c r="AG42" s="96">
        <f>'Op Cost-24'!D35/'Revenue Miles-24'!E34</f>
        <v>3.7836700281038187</v>
      </c>
      <c r="AH42" s="96">
        <f>'Op Cost-24'!E35/'Revenue Miles-24'!F34</f>
        <v>3.5521961426517614</v>
      </c>
      <c r="AI42" s="97">
        <f t="shared" si="11"/>
        <v>0.92788520953180242</v>
      </c>
      <c r="AJ42" s="98">
        <f t="shared" si="12"/>
        <v>5.7790420367850506E-3</v>
      </c>
      <c r="AK42" s="99">
        <f t="shared" si="13"/>
        <v>5.7855734670921449E-3</v>
      </c>
      <c r="AL42" s="95">
        <f>'Op Cost-24'!B35/'Ridership-24'!B34</f>
        <v>7.7115661577941292</v>
      </c>
      <c r="AM42" s="96">
        <f>'Op Cost-24'!C35/'Ridership-24'!C34</f>
        <v>7.7103312380252964</v>
      </c>
      <c r="AN42" s="96">
        <f>'Op Cost-24'!D35/'Ridership-24'!D34</f>
        <v>15.285692341599267</v>
      </c>
      <c r="AO42" s="96">
        <f>'Op Cost-24'!E35/'Ridership-24'!E34</f>
        <v>15.502006353966314</v>
      </c>
      <c r="AP42" s="100">
        <f t="shared" si="14"/>
        <v>1.0383695060729243</v>
      </c>
      <c r="AQ42" s="98">
        <f t="shared" si="15"/>
        <v>5.1641420513930218E-3</v>
      </c>
      <c r="AR42" s="99">
        <f t="shared" si="16"/>
        <v>5.4669081714628113E-3</v>
      </c>
      <c r="AT42" s="101">
        <f t="shared" si="27"/>
        <v>0</v>
      </c>
      <c r="AU42" s="102">
        <f t="shared" si="17"/>
        <v>0</v>
      </c>
      <c r="AV42" s="102">
        <f t="shared" si="18"/>
        <v>0</v>
      </c>
      <c r="AW42" s="102">
        <f t="shared" si="19"/>
        <v>0</v>
      </c>
      <c r="AX42" s="103">
        <f t="shared" si="20"/>
        <v>0</v>
      </c>
      <c r="AY42" s="104">
        <f t="shared" si="28"/>
        <v>-1</v>
      </c>
      <c r="AZ42" s="105">
        <f t="shared" si="21"/>
        <v>0</v>
      </c>
      <c r="BA42" s="106">
        <f t="shared" si="21"/>
        <v>0</v>
      </c>
      <c r="BB42" s="106">
        <f t="shared" si="21"/>
        <v>0</v>
      </c>
      <c r="BC42" s="106">
        <f t="shared" si="21"/>
        <v>0</v>
      </c>
      <c r="BD42" s="106">
        <f t="shared" si="21"/>
        <v>0</v>
      </c>
      <c r="BE42" s="107">
        <f t="shared" si="29"/>
        <v>678880.94810704654</v>
      </c>
      <c r="BG42" s="108">
        <f>'Op Cost-24'!E35</f>
        <v>2522688</v>
      </c>
      <c r="BH42" s="109">
        <f t="shared" si="22"/>
        <v>0.26911015080225797</v>
      </c>
      <c r="BI42" s="110">
        <f t="shared" si="23"/>
        <v>678880.94810704654</v>
      </c>
      <c r="BJ42" s="111">
        <f t="shared" si="24"/>
        <v>0</v>
      </c>
      <c r="BK42" s="1">
        <f t="shared" si="30"/>
        <v>0.67016263632925643</v>
      </c>
      <c r="BL42" s="112">
        <f t="shared" si="31"/>
        <v>0.49205787788387789</v>
      </c>
      <c r="BM42" s="112">
        <f t="shared" si="32"/>
        <v>0.36969705160713739</v>
      </c>
      <c r="BN42" s="113">
        <f t="shared" si="33"/>
        <v>0.90944780791300528</v>
      </c>
      <c r="BO42" s="114">
        <f t="shared" si="25"/>
        <v>678880.94810704654</v>
      </c>
      <c r="BP42" s="115">
        <f t="shared" si="34"/>
        <v>3.5936048156776663E-3</v>
      </c>
      <c r="BQ42" s="116">
        <f t="shared" si="35"/>
        <v>3.5936048156776663E-3</v>
      </c>
      <c r="BR42" s="117">
        <f t="shared" si="36"/>
        <v>5.9209663011486093E-3</v>
      </c>
      <c r="BS42" s="118">
        <f t="shared" si="37"/>
        <v>753710.28073239385</v>
      </c>
      <c r="BT42" s="119">
        <f t="shared" si="38"/>
        <v>756806.4</v>
      </c>
      <c r="BU42" s="119">
        <f t="shared" si="39"/>
        <v>753710.28073239385</v>
      </c>
      <c r="BV42" s="119">
        <f t="shared" si="56"/>
        <v>0</v>
      </c>
      <c r="BW42" s="120">
        <f t="shared" si="40"/>
        <v>3.5936048156776663E-3</v>
      </c>
      <c r="BX42" s="121">
        <f t="shared" si="41"/>
        <v>7.874507493593837E-3</v>
      </c>
      <c r="BY42" s="122">
        <f t="shared" si="42"/>
        <v>771546.30964623799</v>
      </c>
      <c r="BZ42" s="123">
        <f t="shared" si="58"/>
        <v>9750823177152.291</v>
      </c>
      <c r="CA42" s="111">
        <f t="shared" si="57"/>
        <v>9750823856033</v>
      </c>
      <c r="CC42" s="124">
        <f t="shared" si="26"/>
        <v>1</v>
      </c>
      <c r="CD42" s="17"/>
      <c r="CE42" s="108">
        <f t="shared" si="44"/>
        <v>2522688</v>
      </c>
      <c r="CF42" s="125">
        <f t="shared" si="45"/>
        <v>3865251.6109931152</v>
      </c>
      <c r="CG42" s="110">
        <f t="shared" si="46"/>
        <v>756806.4</v>
      </c>
      <c r="CH42" s="126">
        <f t="shared" si="47"/>
        <v>9750823099226.5996</v>
      </c>
      <c r="CJ42" s="127">
        <f t="shared" si="48"/>
        <v>0</v>
      </c>
      <c r="CK42" s="128" t="e">
        <f t="shared" si="49"/>
        <v>#DIV/0!</v>
      </c>
      <c r="CL42" s="129" t="e">
        <f t="shared" si="50"/>
        <v>#DIV/0!</v>
      </c>
      <c r="CM42" s="130" t="e">
        <f t="shared" si="51"/>
        <v>#DIV/0!</v>
      </c>
      <c r="CO42" s="131" t="e">
        <f t="shared" si="52"/>
        <v>#DIV/0!</v>
      </c>
      <c r="CP42" s="1">
        <f t="shared" si="53"/>
        <v>1</v>
      </c>
      <c r="CQ42" s="132">
        <f t="shared" si="54"/>
        <v>0.30584293802730977</v>
      </c>
      <c r="CS42" s="104">
        <f t="shared" si="55"/>
        <v>2.8758764479756486E-3</v>
      </c>
    </row>
    <row r="43" spans="1:97">
      <c r="A43" s="133" t="s">
        <v>120</v>
      </c>
      <c r="B43" s="90" t="s">
        <v>122</v>
      </c>
      <c r="C43" s="91">
        <f>'Sizing - Reimb Expen-24'!B36</f>
        <v>5885541</v>
      </c>
      <c r="D43" s="92">
        <f>'Ridership-24'!$E35</f>
        <v>1360253</v>
      </c>
      <c r="E43" s="92">
        <f>'Revenue Hours-24'!$F35</f>
        <v>74536</v>
      </c>
      <c r="F43" s="92">
        <f>'Revenue Miles-24'!$F35</f>
        <v>753636</v>
      </c>
      <c r="G43" s="134">
        <f t="shared" si="59"/>
        <v>2.1122135618256828E-2</v>
      </c>
      <c r="H43" s="94">
        <f t="shared" si="60"/>
        <v>1.9940803227529322E-2</v>
      </c>
      <c r="J43" s="95">
        <f>'Ridership-24'!B35/'Revenue Hours-24'!C35</f>
        <v>27.350763625087215</v>
      </c>
      <c r="K43" s="96">
        <f>'Ridership-24'!C35/'Revenue Hours-24'!D35</f>
        <v>28.025032050011234</v>
      </c>
      <c r="L43" s="96">
        <f>'Ridership-24'!D35/'Revenue Hours-24'!E35</f>
        <v>6.5232631919715116</v>
      </c>
      <c r="M43" s="207">
        <f>'Ridership-24'!E35/'Revenue Hours-24'!L35</f>
        <v>18.24961092626382</v>
      </c>
      <c r="N43" s="97">
        <f t="shared" si="2"/>
        <v>1.2177722543573253</v>
      </c>
      <c r="O43" s="98">
        <f t="shared" si="3"/>
        <v>2.4283356900084211E-2</v>
      </c>
      <c r="P43" s="99">
        <f t="shared" si="4"/>
        <v>2.3017400110266411E-2</v>
      </c>
      <c r="Q43" s="95">
        <f>'Ridership-24'!B35/'Revenue Miles-24'!C35</f>
        <v>2.7826950582098497</v>
      </c>
      <c r="R43" s="96">
        <f>'Ridership-24'!C35/'Revenue Miles-24'!D35</f>
        <v>2.8699282943585609</v>
      </c>
      <c r="S43" s="96">
        <f>'Ridership-24'!D35/'Revenue Miles-24'!E35</f>
        <v>0.66929775146545356</v>
      </c>
      <c r="T43" s="207">
        <f>'Ridership-24'!E35/'Revenue Miles-24'!L35</f>
        <v>1.8049204125068334</v>
      </c>
      <c r="U43" s="97">
        <f t="shared" si="5"/>
        <v>1.2111775195672629</v>
      </c>
      <c r="V43" s="98">
        <f t="shared" si="6"/>
        <v>2.4151852591297835E-2</v>
      </c>
      <c r="W43" s="99">
        <f t="shared" si="7"/>
        <v>2.2916600475540429E-2</v>
      </c>
      <c r="X43" s="95">
        <f>'Op Cost-24'!B36/'Revenue Hours-24'!C35</f>
        <v>60.134222291133682</v>
      </c>
      <c r="Y43" s="96">
        <f>'Op Cost-24'!C36/'Revenue Hours-24'!D35</f>
        <v>65.071448396177786</v>
      </c>
      <c r="Z43" s="96">
        <f>'Op Cost-24'!D36/'Revenue Hours-24'!E35</f>
        <v>76.682473292327614</v>
      </c>
      <c r="AA43" s="96">
        <f>'Op Cost-24'!E36/'Revenue Hours-24'!F35</f>
        <v>79.970349898035849</v>
      </c>
      <c r="AB43" s="97">
        <f t="shared" si="8"/>
        <v>1.0225563424064019</v>
      </c>
      <c r="AC43" s="98">
        <f t="shared" si="9"/>
        <v>1.9500933494385492E-2</v>
      </c>
      <c r="AD43" s="99">
        <f t="shared" si="10"/>
        <v>1.9609615996989883E-2</v>
      </c>
      <c r="AE43" s="95">
        <f>'Op Cost-24'!B36/'Revenue Miles-24'!C35</f>
        <v>6.1181181444361483</v>
      </c>
      <c r="AF43" s="96">
        <f>'Op Cost-24'!C36/'Revenue Miles-24'!D35</f>
        <v>6.6636994588917435</v>
      </c>
      <c r="AG43" s="96">
        <f>'Op Cost-24'!D36/'Revenue Miles-24'!E35</f>
        <v>7.8677504557122129</v>
      </c>
      <c r="AH43" s="96">
        <f>'Op Cost-24'!E36/'Revenue Miles-24'!F35</f>
        <v>7.9092161202490328</v>
      </c>
      <c r="AI43" s="97">
        <f t="shared" si="11"/>
        <v>1.0186025700982582</v>
      </c>
      <c r="AJ43" s="98">
        <f t="shared" si="12"/>
        <v>1.9576627639576599E-2</v>
      </c>
      <c r="AK43" s="99">
        <f t="shared" si="13"/>
        <v>1.9598752998461678E-2</v>
      </c>
      <c r="AL43" s="95">
        <f>'Op Cost-24'!B36/'Ridership-24'!B35</f>
        <v>2.1986304702650483</v>
      </c>
      <c r="AM43" s="96">
        <f>'Op Cost-24'!C36/'Ridership-24'!C35</f>
        <v>2.3219045130816078</v>
      </c>
      <c r="AN43" s="96">
        <f>'Op Cost-24'!D36/'Ridership-24'!D35</f>
        <v>11.755232164586637</v>
      </c>
      <c r="AO43" s="96">
        <f>'Op Cost-24'!E36/'Ridership-24'!E35</f>
        <v>4.3820304016973317</v>
      </c>
      <c r="AP43" s="100">
        <f t="shared" si="14"/>
        <v>1.2138335695226248</v>
      </c>
      <c r="AQ43" s="98">
        <f t="shared" si="15"/>
        <v>1.6427954975220878E-2</v>
      </c>
      <c r="AR43" s="99">
        <f t="shared" si="16"/>
        <v>1.7391102026372798E-2</v>
      </c>
      <c r="AT43" s="101">
        <f t="shared" si="27"/>
        <v>0</v>
      </c>
      <c r="AU43" s="102">
        <f t="shared" si="17"/>
        <v>0</v>
      </c>
      <c r="AV43" s="102">
        <f t="shared" si="18"/>
        <v>0</v>
      </c>
      <c r="AW43" s="102">
        <f t="shared" si="19"/>
        <v>0</v>
      </c>
      <c r="AX43" s="103">
        <f t="shared" si="20"/>
        <v>0</v>
      </c>
      <c r="AY43" s="104">
        <f t="shared" si="28"/>
        <v>-1</v>
      </c>
      <c r="AZ43" s="105">
        <f t="shared" si="21"/>
        <v>0</v>
      </c>
      <c r="BA43" s="106">
        <f t="shared" si="21"/>
        <v>0</v>
      </c>
      <c r="BB43" s="106">
        <f t="shared" si="21"/>
        <v>0</v>
      </c>
      <c r="BC43" s="106">
        <f t="shared" si="21"/>
        <v>0</v>
      </c>
      <c r="BD43" s="106">
        <f t="shared" si="21"/>
        <v>0</v>
      </c>
      <c r="BE43" s="107">
        <f t="shared" si="29"/>
        <v>2524562.7113261214</v>
      </c>
      <c r="BG43" s="108">
        <f>'Op Cost-24'!E36</f>
        <v>5960670</v>
      </c>
      <c r="BH43" s="109">
        <f t="shared" si="22"/>
        <v>0.4235367351868366</v>
      </c>
      <c r="BI43" s="110">
        <f t="shared" si="23"/>
        <v>1788201</v>
      </c>
      <c r="BJ43" s="111">
        <f t="shared" si="24"/>
        <v>736361.71132612135</v>
      </c>
      <c r="BK43" s="1">
        <f t="shared" si="30"/>
        <v>2.8462120133404643</v>
      </c>
      <c r="BL43" s="112">
        <f t="shared" si="31"/>
        <v>2.0382421944267728</v>
      </c>
      <c r="BM43" s="112">
        <f t="shared" si="32"/>
        <v>2.9120244414226293</v>
      </c>
      <c r="BN43" s="113">
        <f t="shared" si="33"/>
        <v>3.2172907087562272</v>
      </c>
      <c r="BO43" s="114">
        <f t="shared" si="25"/>
        <v>0</v>
      </c>
      <c r="BP43" s="115">
        <f t="shared" si="34"/>
        <v>5.6755753701852256E-2</v>
      </c>
      <c r="BQ43" s="116">
        <f t="shared" si="35"/>
        <v>0</v>
      </c>
      <c r="BR43" s="117">
        <f t="shared" si="36"/>
        <v>0</v>
      </c>
      <c r="BS43" s="118">
        <f t="shared" si="37"/>
        <v>1788201</v>
      </c>
      <c r="BT43" s="119">
        <f t="shared" si="38"/>
        <v>1788201</v>
      </c>
      <c r="BU43" s="119">
        <f t="shared" si="39"/>
        <v>1788201</v>
      </c>
      <c r="BV43" s="119">
        <f t="shared" si="56"/>
        <v>0</v>
      </c>
      <c r="BW43" s="120">
        <f t="shared" si="40"/>
        <v>0</v>
      </c>
      <c r="BX43" s="121">
        <f t="shared" si="41"/>
        <v>0</v>
      </c>
      <c r="BY43" s="122">
        <f t="shared" si="42"/>
        <v>1788201</v>
      </c>
      <c r="BZ43" s="123">
        <f t="shared" si="58"/>
        <v>22599332714327.531</v>
      </c>
      <c r="CA43" s="111">
        <f t="shared" si="57"/>
        <v>22599334502529</v>
      </c>
      <c r="CC43" s="124">
        <f t="shared" si="26"/>
        <v>1</v>
      </c>
      <c r="CD43" s="17"/>
      <c r="CE43" s="108">
        <f t="shared" si="44"/>
        <v>5960670</v>
      </c>
      <c r="CF43" s="125">
        <f t="shared" si="45"/>
        <v>3791408.4326978344</v>
      </c>
      <c r="CG43" s="110">
        <f t="shared" si="46"/>
        <v>1788201</v>
      </c>
      <c r="CH43" s="126">
        <f t="shared" si="47"/>
        <v>22599332714328</v>
      </c>
      <c r="CJ43" s="127">
        <f t="shared" si="48"/>
        <v>0</v>
      </c>
      <c r="CK43" s="128" t="e">
        <f t="shared" si="49"/>
        <v>#DIV/0!</v>
      </c>
      <c r="CL43" s="129" t="e">
        <f t="shared" si="50"/>
        <v>#DIV/0!</v>
      </c>
      <c r="CM43" s="130" t="e">
        <f t="shared" si="51"/>
        <v>#DIV/0!</v>
      </c>
      <c r="CO43" s="131" t="e">
        <f t="shared" si="52"/>
        <v>#DIV/0!</v>
      </c>
      <c r="CP43" s="1">
        <f t="shared" si="53"/>
        <v>0</v>
      </c>
      <c r="CQ43" s="132">
        <f t="shared" si="54"/>
        <v>0.3</v>
      </c>
      <c r="CS43" s="104">
        <f t="shared" si="55"/>
        <v>4.5420279560562597E-2</v>
      </c>
    </row>
    <row r="44" spans="1:97">
      <c r="A44" s="133" t="s">
        <v>120</v>
      </c>
      <c r="B44" s="90" t="s">
        <v>123</v>
      </c>
      <c r="C44" s="91">
        <f>'Sizing - Reimb Expen-24'!B37</f>
        <v>1423713</v>
      </c>
      <c r="D44" s="92">
        <f>'Ridership-24'!$E36</f>
        <v>134223</v>
      </c>
      <c r="E44" s="92">
        <f>'Revenue Hours-24'!$F36</f>
        <v>17310</v>
      </c>
      <c r="F44" s="92">
        <f>'Revenue Miles-24'!$F36</f>
        <v>185237</v>
      </c>
      <c r="G44" s="93">
        <f t="shared" si="59"/>
        <v>3.3321420204520977E-3</v>
      </c>
      <c r="H44" s="94">
        <f t="shared" si="60"/>
        <v>3.1457798376498119E-3</v>
      </c>
      <c r="J44" s="95">
        <f>'Ridership-24'!B36/'Revenue Hours-24'!C36</f>
        <v>7.7310729471533488</v>
      </c>
      <c r="K44" s="96">
        <f>'Ridership-24'!C36/'Revenue Hours-24'!D36</f>
        <v>7.608599966141866</v>
      </c>
      <c r="L44" s="96">
        <f>'Ridership-24'!D36/'Revenue Hours-24'!E36</f>
        <v>5.1692512721104915</v>
      </c>
      <c r="M44" s="207">
        <f>'Ridership-24'!E36/'Revenue Hours-24'!L36</f>
        <v>7.7540727902946278</v>
      </c>
      <c r="N44" s="97">
        <f t="shared" si="2"/>
        <v>1.1583121090765018</v>
      </c>
      <c r="O44" s="98">
        <f t="shared" si="3"/>
        <v>3.6437948784384892E-3</v>
      </c>
      <c r="P44" s="99">
        <f t="shared" si="4"/>
        <v>3.4538340387554661E-3</v>
      </c>
      <c r="Q44" s="95">
        <f>'Ridership-24'!B36/'Revenue Miles-24'!C36</f>
        <v>0.72165979381443301</v>
      </c>
      <c r="R44" s="96">
        <f>'Ridership-24'!C36/'Revenue Miles-24'!D36</f>
        <v>0.70818473562300743</v>
      </c>
      <c r="S44" s="96">
        <f>'Ridership-24'!D36/'Revenue Miles-24'!E36</f>
        <v>0.48672727894958989</v>
      </c>
      <c r="T44" s="207">
        <f>'Ridership-24'!E36/'Revenue Miles-24'!L36</f>
        <v>0.72460145651246777</v>
      </c>
      <c r="U44" s="97">
        <f t="shared" si="5"/>
        <v>1.164432865063014</v>
      </c>
      <c r="V44" s="98">
        <f t="shared" si="6"/>
        <v>3.6630494292120338E-3</v>
      </c>
      <c r="W44" s="99">
        <f t="shared" si="7"/>
        <v>3.4757019145460798E-3</v>
      </c>
      <c r="X44" s="95">
        <f>'Op Cost-24'!B37/'Revenue Hours-24'!C36</f>
        <v>56.649621735048868</v>
      </c>
      <c r="Y44" s="96">
        <f>'Op Cost-24'!C37/'Revenue Hours-24'!D36</f>
        <v>63.818012527509737</v>
      </c>
      <c r="Z44" s="96">
        <f>'Op Cost-24'!D37/'Revenue Hours-24'!E36</f>
        <v>76.918100314998782</v>
      </c>
      <c r="AA44" s="96">
        <f>'Op Cost-24'!E37/'Revenue Hours-24'!F36</f>
        <v>82.248006932409012</v>
      </c>
      <c r="AB44" s="97">
        <f t="shared" si="8"/>
        <v>1.0532047630257686</v>
      </c>
      <c r="AC44" s="98">
        <f t="shared" si="9"/>
        <v>2.9868644237918667E-3</v>
      </c>
      <c r="AD44" s="99">
        <f t="shared" si="10"/>
        <v>3.0035108012902148E-3</v>
      </c>
      <c r="AE44" s="95">
        <f>'Op Cost-24'!B37/'Revenue Miles-24'!C36</f>
        <v>5.2879793814432992</v>
      </c>
      <c r="AF44" s="96">
        <f>'Op Cost-24'!C37/'Revenue Miles-24'!D36</f>
        <v>5.9399814066841392</v>
      </c>
      <c r="AG44" s="96">
        <f>'Op Cost-24'!D37/'Revenue Miles-24'!E36</f>
        <v>7.2424681443287211</v>
      </c>
      <c r="AH44" s="96">
        <f>'Op Cost-24'!E37/'Revenue Miles-24'!F36</f>
        <v>7.6858996852680619</v>
      </c>
      <c r="AI44" s="97">
        <f t="shared" si="11"/>
        <v>1.0592800607325368</v>
      </c>
      <c r="AJ44" s="98">
        <f t="shared" si="12"/>
        <v>2.969733835520677E-3</v>
      </c>
      <c r="AK44" s="99">
        <f t="shared" si="13"/>
        <v>2.9730902066032647E-3</v>
      </c>
      <c r="AL44" s="95">
        <f>'Op Cost-24'!B37/'Ridership-24'!B36</f>
        <v>7.3275238925158215</v>
      </c>
      <c r="AM44" s="96">
        <f>'Op Cost-24'!C37/'Ridership-24'!C36</f>
        <v>8.3876156995372018</v>
      </c>
      <c r="AN44" s="96">
        <f>'Op Cost-24'!D37/'Ridership-24'!D36</f>
        <v>14.879930625541988</v>
      </c>
      <c r="AO44" s="96">
        <f>'Op Cost-24'!E37/'Ridership-24'!E36</f>
        <v>10.607071813325586</v>
      </c>
      <c r="AP44" s="100">
        <f t="shared" si="14"/>
        <v>0.9271831994846752</v>
      </c>
      <c r="AQ44" s="98">
        <f t="shared" si="15"/>
        <v>3.3928352448558429E-3</v>
      </c>
      <c r="AR44" s="99">
        <f t="shared" si="16"/>
        <v>3.5917522291095856E-3</v>
      </c>
      <c r="AT44" s="101">
        <f t="shared" si="27"/>
        <v>0</v>
      </c>
      <c r="AU44" s="102">
        <f t="shared" si="17"/>
        <v>0</v>
      </c>
      <c r="AV44" s="102">
        <f t="shared" si="18"/>
        <v>0</v>
      </c>
      <c r="AW44" s="102">
        <f t="shared" si="19"/>
        <v>0</v>
      </c>
      <c r="AX44" s="103">
        <f t="shared" si="20"/>
        <v>0</v>
      </c>
      <c r="AY44" s="104">
        <f t="shared" si="28"/>
        <v>-1</v>
      </c>
      <c r="AZ44" s="105">
        <f t="shared" si="21"/>
        <v>0</v>
      </c>
      <c r="BA44" s="106">
        <f t="shared" si="21"/>
        <v>0</v>
      </c>
      <c r="BB44" s="106">
        <f t="shared" si="21"/>
        <v>0</v>
      </c>
      <c r="BC44" s="106">
        <f t="shared" si="21"/>
        <v>0</v>
      </c>
      <c r="BD44" s="106">
        <f t="shared" si="21"/>
        <v>0</v>
      </c>
      <c r="BE44" s="107">
        <f t="shared" si="29"/>
        <v>398264.7231184899</v>
      </c>
      <c r="BG44" s="108">
        <f>'Op Cost-24'!E37</f>
        <v>1423713</v>
      </c>
      <c r="BH44" s="109">
        <f t="shared" si="22"/>
        <v>0.27973666259877511</v>
      </c>
      <c r="BI44" s="110">
        <f t="shared" si="23"/>
        <v>398264.7231184899</v>
      </c>
      <c r="BJ44" s="111">
        <f t="shared" si="24"/>
        <v>0</v>
      </c>
      <c r="BK44" s="1">
        <f t="shared" si="30"/>
        <v>1.173340792656044</v>
      </c>
      <c r="BL44" s="112">
        <f t="shared" si="31"/>
        <v>0.8660282349959495</v>
      </c>
      <c r="BM44" s="112">
        <f t="shared" si="32"/>
        <v>1.1690582792645734</v>
      </c>
      <c r="BN44" s="113">
        <f t="shared" si="33"/>
        <v>1.3291383281818265</v>
      </c>
      <c r="BO44" s="114">
        <f t="shared" si="25"/>
        <v>398264.7231184899</v>
      </c>
      <c r="BP44" s="115">
        <f t="shared" si="34"/>
        <v>3.6910718082294315E-3</v>
      </c>
      <c r="BQ44" s="116">
        <f t="shared" si="35"/>
        <v>3.6910718082294315E-3</v>
      </c>
      <c r="BR44" s="117">
        <f t="shared" si="36"/>
        <v>6.0815567967578144E-3</v>
      </c>
      <c r="BS44" s="118">
        <f t="shared" si="37"/>
        <v>475123.60278079286</v>
      </c>
      <c r="BT44" s="119">
        <f t="shared" si="38"/>
        <v>427113.89999999997</v>
      </c>
      <c r="BU44" s="119">
        <f t="shared" si="39"/>
        <v>427113.89999999997</v>
      </c>
      <c r="BV44" s="119">
        <f t="shared" si="56"/>
        <v>48009.702780792897</v>
      </c>
      <c r="BW44" s="120">
        <f t="shared" si="40"/>
        <v>0</v>
      </c>
      <c r="BX44" s="121">
        <f t="shared" si="41"/>
        <v>0</v>
      </c>
      <c r="BY44" s="122">
        <f t="shared" si="42"/>
        <v>427113.89999999997</v>
      </c>
      <c r="BZ44" s="123">
        <f t="shared" si="58"/>
        <v>5397877046827.5195</v>
      </c>
      <c r="CA44" s="111">
        <f t="shared" si="57"/>
        <v>5397877445092</v>
      </c>
      <c r="CC44" s="124">
        <f t="shared" si="26"/>
        <v>1</v>
      </c>
      <c r="CD44" s="17"/>
      <c r="CE44" s="108">
        <f t="shared" si="44"/>
        <v>1423713</v>
      </c>
      <c r="CF44" s="125">
        <f t="shared" si="45"/>
        <v>3791408.4124342478</v>
      </c>
      <c r="CG44" s="110">
        <f t="shared" si="46"/>
        <v>427113.89999999997</v>
      </c>
      <c r="CH44" s="126">
        <f t="shared" si="47"/>
        <v>5397877017978.0996</v>
      </c>
      <c r="CJ44" s="127">
        <f t="shared" si="48"/>
        <v>0</v>
      </c>
      <c r="CK44" s="128" t="e">
        <f t="shared" si="49"/>
        <v>#DIV/0!</v>
      </c>
      <c r="CL44" s="129" t="e">
        <f t="shared" si="50"/>
        <v>#DIV/0!</v>
      </c>
      <c r="CM44" s="130" t="e">
        <f t="shared" si="51"/>
        <v>#DIV/0!</v>
      </c>
      <c r="CO44" s="131" t="e">
        <f t="shared" si="52"/>
        <v>#DIV/0!</v>
      </c>
      <c r="CP44" s="1">
        <f t="shared" si="53"/>
        <v>0</v>
      </c>
      <c r="CQ44" s="132">
        <f t="shared" si="54"/>
        <v>0.3</v>
      </c>
      <c r="CS44" s="104">
        <f t="shared" si="55"/>
        <v>2.953876963533668E-3</v>
      </c>
    </row>
    <row r="45" spans="1:97">
      <c r="A45" s="133" t="s">
        <v>124</v>
      </c>
      <c r="B45" s="90" t="s">
        <v>125</v>
      </c>
      <c r="C45" s="91">
        <f>'Sizing - Reimb Expen-24'!B38</f>
        <v>4486729</v>
      </c>
      <c r="D45" s="92">
        <f>'Ridership-24'!$E37</f>
        <v>127135</v>
      </c>
      <c r="E45" s="92">
        <f>'Revenue Hours-24'!$F37</f>
        <v>60586</v>
      </c>
      <c r="F45" s="92">
        <f>'Revenue Miles-24'!$F37</f>
        <v>1402170</v>
      </c>
      <c r="G45" s="134">
        <f t="shared" si="59"/>
        <v>1.002831542190293E-2</v>
      </c>
      <c r="H45" s="94">
        <f t="shared" si="60"/>
        <v>9.4674453448219745E-3</v>
      </c>
      <c r="J45" s="95">
        <f>'Ridership-24'!B37/'Revenue Hours-24'!C37</f>
        <v>2.2830581849901463</v>
      </c>
      <c r="K45" s="96">
        <f>'Ridership-24'!C37/'Revenue Hours-24'!D37</f>
        <v>2.3373679249962795</v>
      </c>
      <c r="L45" s="96">
        <f>'Ridership-24'!D37/'Revenue Hours-24'!E37</f>
        <v>1.944317205840252</v>
      </c>
      <c r="M45" s="207">
        <f>'Ridership-24'!E37/'Revenue Hours-24'!L37</f>
        <v>2.0984220777077214</v>
      </c>
      <c r="N45" s="97">
        <f t="shared" si="2"/>
        <v>1.1616293810859883</v>
      </c>
      <c r="O45" s="98">
        <f t="shared" si="3"/>
        <v>1.0997662676370971E-2</v>
      </c>
      <c r="P45" s="99">
        <f t="shared" si="4"/>
        <v>1.042432490455618E-2</v>
      </c>
      <c r="Q45" s="95">
        <f>'Ridership-24'!B37/'Revenue Miles-24'!C37</f>
        <v>0.10105390351849336</v>
      </c>
      <c r="R45" s="96">
        <f>'Ridership-24'!C37/'Revenue Miles-24'!D37</f>
        <v>9.8864253896849164E-2</v>
      </c>
      <c r="S45" s="96">
        <f>'Ridership-24'!D37/'Revenue Miles-24'!E37</f>
        <v>8.4847547858705061E-2</v>
      </c>
      <c r="T45" s="207">
        <f>'Ridership-24'!E37/'Revenue Miles-24'!L37</f>
        <v>9.06701755136681E-2</v>
      </c>
      <c r="U45" s="97">
        <f t="shared" si="5"/>
        <v>1.1613529121666903</v>
      </c>
      <c r="V45" s="98">
        <f t="shared" si="6"/>
        <v>1.0995045221987975E-2</v>
      </c>
      <c r="W45" s="99">
        <f t="shared" si="7"/>
        <v>1.043270107791173E-2</v>
      </c>
      <c r="X45" s="95">
        <f>'Op Cost-24'!B38/'Revenue Hours-24'!C37</f>
        <v>58.289454980131168</v>
      </c>
      <c r="Y45" s="96">
        <f>'Op Cost-24'!C38/'Revenue Hours-24'!D37</f>
        <v>59.71751244274683</v>
      </c>
      <c r="Z45" s="96">
        <f>'Op Cost-24'!D38/'Revenue Hours-24'!E37</f>
        <v>69.859111079301456</v>
      </c>
      <c r="AA45" s="96">
        <f>'Op Cost-24'!E38/'Revenue Hours-24'!F37</f>
        <v>76.546396857359781</v>
      </c>
      <c r="AB45" s="97">
        <f t="shared" si="8"/>
        <v>1.0189423271546556</v>
      </c>
      <c r="AC45" s="98">
        <f t="shared" si="9"/>
        <v>9.2914437770578555E-3</v>
      </c>
      <c r="AD45" s="99">
        <f t="shared" si="10"/>
        <v>9.343226803895488E-3</v>
      </c>
      <c r="AE45" s="95">
        <f>'Op Cost-24'!B38/'Revenue Miles-24'!C37</f>
        <v>2.5800380377660677</v>
      </c>
      <c r="AF45" s="96">
        <f>'Op Cost-24'!C38/'Revenue Miles-24'!D37</f>
        <v>2.5258870240710474</v>
      </c>
      <c r="AG45" s="96">
        <f>'Op Cost-24'!D38/'Revenue Miles-24'!E37</f>
        <v>3.0485633994613872</v>
      </c>
      <c r="AH45" s="96">
        <f>'Op Cost-24'!E38/'Revenue Miles-24'!F37</f>
        <v>3.3074734162048824</v>
      </c>
      <c r="AI45" s="97">
        <f t="shared" si="11"/>
        <v>1.0165484061575014</v>
      </c>
      <c r="AJ45" s="98">
        <f t="shared" si="12"/>
        <v>9.3133246655792926E-3</v>
      </c>
      <c r="AK45" s="99">
        <f t="shared" si="13"/>
        <v>9.3238505158142245E-3</v>
      </c>
      <c r="AL45" s="95">
        <f>'Op Cost-24'!B38/'Ridership-24'!B37</f>
        <v>25.531305055364914</v>
      </c>
      <c r="AM45" s="96">
        <f>'Op Cost-24'!C38/'Ridership-24'!C37</f>
        <v>25.549042495242542</v>
      </c>
      <c r="AN45" s="96">
        <f>'Op Cost-24'!D38/'Ridership-24'!D37</f>
        <v>35.929893985128473</v>
      </c>
      <c r="AO45" s="96">
        <f>'Op Cost-24'!E38/'Ridership-24'!E37</f>
        <v>36.47807448774924</v>
      </c>
      <c r="AP45" s="100">
        <f t="shared" si="14"/>
        <v>0.9583100618876742</v>
      </c>
      <c r="AQ45" s="98">
        <f t="shared" si="15"/>
        <v>9.8793133051040399E-3</v>
      </c>
      <c r="AR45" s="99">
        <f t="shared" si="16"/>
        <v>1.0458523041895332E-2</v>
      </c>
      <c r="AT45" s="101">
        <f t="shared" si="27"/>
        <v>0</v>
      </c>
      <c r="AU45" s="102">
        <f t="shared" si="17"/>
        <v>0</v>
      </c>
      <c r="AV45" s="102">
        <f t="shared" si="18"/>
        <v>0</v>
      </c>
      <c r="AW45" s="102">
        <f t="shared" si="19"/>
        <v>0</v>
      </c>
      <c r="AX45" s="103">
        <f t="shared" si="20"/>
        <v>0</v>
      </c>
      <c r="AY45" s="104">
        <f t="shared" si="28"/>
        <v>-1</v>
      </c>
      <c r="AZ45" s="105">
        <f t="shared" si="21"/>
        <v>0</v>
      </c>
      <c r="BA45" s="106">
        <f t="shared" si="21"/>
        <v>0</v>
      </c>
      <c r="BB45" s="106">
        <f t="shared" si="21"/>
        <v>0</v>
      </c>
      <c r="BC45" s="106">
        <f t="shared" si="21"/>
        <v>0</v>
      </c>
      <c r="BD45" s="106">
        <f t="shared" si="21"/>
        <v>0</v>
      </c>
      <c r="BE45" s="107">
        <f t="shared" si="29"/>
        <v>1198605.6537611699</v>
      </c>
      <c r="BG45" s="108">
        <f>'Op Cost-24'!E38</f>
        <v>4637640</v>
      </c>
      <c r="BH45" s="109">
        <f t="shared" si="22"/>
        <v>0.25845163785053815</v>
      </c>
      <c r="BI45" s="110">
        <f t="shared" si="23"/>
        <v>1198605.6537611699</v>
      </c>
      <c r="BJ45" s="111">
        <f t="shared" si="24"/>
        <v>0</v>
      </c>
      <c r="BK45" s="1">
        <f t="shared" si="30"/>
        <v>0.28840595086501308</v>
      </c>
      <c r="BL45" s="112">
        <f t="shared" si="31"/>
        <v>0.23436622499963666</v>
      </c>
      <c r="BM45" s="112">
        <f t="shared" si="32"/>
        <v>0.14628554554223674</v>
      </c>
      <c r="BN45" s="113">
        <f t="shared" si="33"/>
        <v>0.38648601645908948</v>
      </c>
      <c r="BO45" s="114">
        <f t="shared" si="25"/>
        <v>1198605.6537611699</v>
      </c>
      <c r="BP45" s="115">
        <f t="shared" si="34"/>
        <v>2.7304675769359234E-3</v>
      </c>
      <c r="BQ45" s="116">
        <f t="shared" si="35"/>
        <v>2.7304675769359234E-3</v>
      </c>
      <c r="BR45" s="117">
        <f t="shared" si="36"/>
        <v>4.4988270382111551E-3</v>
      </c>
      <c r="BS45" s="118">
        <f t="shared" si="37"/>
        <v>1255461.951828751</v>
      </c>
      <c r="BT45" s="119">
        <f t="shared" si="38"/>
        <v>1391292</v>
      </c>
      <c r="BU45" s="119">
        <f t="shared" si="39"/>
        <v>1255461.951828751</v>
      </c>
      <c r="BV45" s="119">
        <f t="shared" si="56"/>
        <v>0</v>
      </c>
      <c r="BW45" s="120">
        <f t="shared" si="40"/>
        <v>2.7304675769359234E-3</v>
      </c>
      <c r="BX45" s="121">
        <f t="shared" si="41"/>
        <v>5.9831529893868852E-3</v>
      </c>
      <c r="BY45" s="122">
        <f t="shared" si="42"/>
        <v>1269013.99807437</v>
      </c>
      <c r="BZ45" s="123">
        <f t="shared" si="58"/>
        <v>16037833309354.867</v>
      </c>
      <c r="CA45" s="111">
        <f t="shared" si="57"/>
        <v>16037834507961</v>
      </c>
      <c r="CC45" s="124">
        <f t="shared" si="26"/>
        <v>1</v>
      </c>
      <c r="CD45" s="17"/>
      <c r="CE45" s="108">
        <f t="shared" si="44"/>
        <v>4637640</v>
      </c>
      <c r="CF45" s="125">
        <f t="shared" si="45"/>
        <v>3458188.757204311</v>
      </c>
      <c r="CG45" s="110">
        <f t="shared" si="46"/>
        <v>1391292</v>
      </c>
      <c r="CH45" s="126">
        <f t="shared" si="47"/>
        <v>16037833116669</v>
      </c>
      <c r="CJ45" s="127">
        <f t="shared" si="48"/>
        <v>0</v>
      </c>
      <c r="CK45" s="128" t="e">
        <f t="shared" si="49"/>
        <v>#DIV/0!</v>
      </c>
      <c r="CL45" s="129" t="e">
        <f t="shared" si="50"/>
        <v>#DIV/0!</v>
      </c>
      <c r="CM45" s="130" t="e">
        <f t="shared" si="51"/>
        <v>#DIV/0!</v>
      </c>
      <c r="CO45" s="131" t="e">
        <f t="shared" si="52"/>
        <v>#DIV/0!</v>
      </c>
      <c r="CP45" s="1">
        <f t="shared" si="53"/>
        <v>0</v>
      </c>
      <c r="CQ45" s="132">
        <f t="shared" si="54"/>
        <v>0.27363357183273607</v>
      </c>
      <c r="CS45" s="104">
        <f t="shared" si="55"/>
        <v>2.1851282484410773E-3</v>
      </c>
    </row>
    <row r="46" spans="1:97">
      <c r="A46" s="133" t="s">
        <v>124</v>
      </c>
      <c r="B46" s="90" t="s">
        <v>126</v>
      </c>
      <c r="C46" s="91">
        <f>'Sizing - Reimb Expen-24'!B39</f>
        <v>573381</v>
      </c>
      <c r="D46" s="92">
        <f>'Ridership-24'!$E38</f>
        <v>24049</v>
      </c>
      <c r="E46" s="92">
        <f>'Revenue Hours-24'!$F38</f>
        <v>15570</v>
      </c>
      <c r="F46" s="92">
        <f>'Revenue Miles-24'!$F38</f>
        <v>414537</v>
      </c>
      <c r="G46" s="134">
        <f t="shared" si="59"/>
        <v>2.1946758165289353E-3</v>
      </c>
      <c r="H46" s="94">
        <f t="shared" si="60"/>
        <v>2.0719305754193658E-3</v>
      </c>
      <c r="J46" s="95">
        <f>'Ridership-24'!B38/'Revenue Hours-24'!C38</f>
        <v>2.4957182320441991</v>
      </c>
      <c r="K46" s="96">
        <f>'Ridership-24'!C38/'Revenue Hours-24'!D38</f>
        <v>2.6155528221948887</v>
      </c>
      <c r="L46" s="96">
        <f>'Ridership-24'!D38/'Revenue Hours-24'!E38</f>
        <v>1.3983089137029627</v>
      </c>
      <c r="M46" s="207">
        <f>'Ridership-24'!E38/'Revenue Hours-24'!L38</f>
        <v>1.5445728965960179</v>
      </c>
      <c r="N46" s="97">
        <f t="shared" si="2"/>
        <v>0.98344145725361898</v>
      </c>
      <c r="O46" s="98">
        <f t="shared" si="3"/>
        <v>2.0376224244187504E-3</v>
      </c>
      <c r="P46" s="99">
        <f t="shared" si="4"/>
        <v>1.9313956801555231E-3</v>
      </c>
      <c r="Q46" s="95">
        <f>'Ridership-24'!B38/'Revenue Miles-24'!C38</f>
        <v>9.3473318279519824E-2</v>
      </c>
      <c r="R46" s="96">
        <f>'Ridership-24'!C38/'Revenue Miles-24'!D38</f>
        <v>9.9669556205390739E-2</v>
      </c>
      <c r="S46" s="96">
        <f>'Ridership-24'!D38/'Revenue Miles-24'!E38</f>
        <v>5.2832581392513109E-2</v>
      </c>
      <c r="T46" s="207">
        <f>'Ridership-24'!E38/'Revenue Miles-24'!L38</f>
        <v>5.8014121779238044E-2</v>
      </c>
      <c r="U46" s="97">
        <f t="shared" si="5"/>
        <v>0.98900730829066263</v>
      </c>
      <c r="V46" s="98">
        <f t="shared" si="6"/>
        <v>2.0491544813606307E-3</v>
      </c>
      <c r="W46" s="99">
        <f t="shared" si="7"/>
        <v>1.9443499990110442E-3</v>
      </c>
      <c r="X46" s="95">
        <f>'Op Cost-24'!B39/'Revenue Hours-24'!C38</f>
        <v>25.043991712707182</v>
      </c>
      <c r="Y46" s="96">
        <f>'Op Cost-24'!C39/'Revenue Hours-24'!D38</f>
        <v>27.952507858411916</v>
      </c>
      <c r="Z46" s="96">
        <f>'Op Cost-24'!D39/'Revenue Hours-24'!E38</f>
        <v>37.360937197444009</v>
      </c>
      <c r="AA46" s="96">
        <f>'Op Cost-24'!E39/'Revenue Hours-24'!F38</f>
        <v>36.826011560693644</v>
      </c>
      <c r="AB46" s="97">
        <f t="shared" si="8"/>
        <v>1.0578409227089491</v>
      </c>
      <c r="AC46" s="98">
        <f t="shared" si="9"/>
        <v>1.9586409742152035E-3</v>
      </c>
      <c r="AD46" s="99">
        <f t="shared" si="10"/>
        <v>1.9695568620542395E-3</v>
      </c>
      <c r="AE46" s="95">
        <f>'Op Cost-24'!B39/'Revenue Miles-24'!C38</f>
        <v>0.93798449612403101</v>
      </c>
      <c r="AF46" s="96">
        <f>'Op Cost-24'!C39/'Revenue Miles-24'!D38</f>
        <v>1.0651721614773884</v>
      </c>
      <c r="AG46" s="96">
        <f>'Op Cost-24'!D39/'Revenue Miles-24'!E38</f>
        <v>1.4116156566272406</v>
      </c>
      <c r="AH46" s="96">
        <f>'Op Cost-24'!E39/'Revenue Miles-24'!F38</f>
        <v>1.3831841307289821</v>
      </c>
      <c r="AI46" s="97">
        <f t="shared" si="11"/>
        <v>1.0641048167932705</v>
      </c>
      <c r="AJ46" s="98">
        <f t="shared" si="12"/>
        <v>1.9471113585062282E-3</v>
      </c>
      <c r="AK46" s="99">
        <f t="shared" si="13"/>
        <v>1.9493119692748099E-3</v>
      </c>
      <c r="AL46" s="95">
        <f>'Op Cost-24'!B39/'Ridership-24'!B38</f>
        <v>10.034783330566164</v>
      </c>
      <c r="AM46" s="96">
        <f>'Op Cost-24'!C39/'Ridership-24'!C38</f>
        <v>10.687036262932386</v>
      </c>
      <c r="AN46" s="96">
        <f>'Op Cost-24'!D39/'Ridership-24'!D38</f>
        <v>26.718657680945348</v>
      </c>
      <c r="AO46" s="96">
        <f>'Op Cost-24'!E39/'Ridership-24'!E38</f>
        <v>23.842197180755957</v>
      </c>
      <c r="AP46" s="100">
        <f t="shared" si="14"/>
        <v>1.0799884459077091</v>
      </c>
      <c r="AQ46" s="98">
        <f t="shared" si="15"/>
        <v>1.9184747607905645E-3</v>
      </c>
      <c r="AR46" s="99">
        <f t="shared" si="16"/>
        <v>2.030952139219706E-3</v>
      </c>
      <c r="AT46" s="101">
        <f t="shared" si="27"/>
        <v>0</v>
      </c>
      <c r="AU46" s="102">
        <f t="shared" si="17"/>
        <v>0</v>
      </c>
      <c r="AV46" s="102">
        <f t="shared" si="18"/>
        <v>0</v>
      </c>
      <c r="AW46" s="102">
        <f t="shared" si="19"/>
        <v>0</v>
      </c>
      <c r="AX46" s="103">
        <f t="shared" si="20"/>
        <v>0</v>
      </c>
      <c r="AY46" s="104">
        <f t="shared" si="28"/>
        <v>-1</v>
      </c>
      <c r="AZ46" s="105">
        <f t="shared" si="21"/>
        <v>0</v>
      </c>
      <c r="BA46" s="106">
        <f t="shared" si="21"/>
        <v>0</v>
      </c>
      <c r="BB46" s="106">
        <f t="shared" si="21"/>
        <v>0</v>
      </c>
      <c r="BC46" s="106">
        <f t="shared" si="21"/>
        <v>0</v>
      </c>
      <c r="BD46" s="106">
        <f t="shared" si="21"/>
        <v>0</v>
      </c>
      <c r="BE46" s="107">
        <f t="shared" si="29"/>
        <v>262312.33574076515</v>
      </c>
      <c r="BG46" s="108">
        <f>'Op Cost-24'!E39</f>
        <v>573381</v>
      </c>
      <c r="BH46" s="109">
        <f t="shared" si="22"/>
        <v>0.45748348086310003</v>
      </c>
      <c r="BI46" s="110">
        <f t="shared" si="23"/>
        <v>172014.3</v>
      </c>
      <c r="BJ46" s="111">
        <f t="shared" si="24"/>
        <v>90298.035740765161</v>
      </c>
      <c r="BK46" s="1">
        <f t="shared" si="30"/>
        <v>0.36218470921107571</v>
      </c>
      <c r="BL46" s="112">
        <f t="shared" si="31"/>
        <v>0.17250853527399049</v>
      </c>
      <c r="BM46" s="112">
        <f t="shared" si="32"/>
        <v>9.3598886354314778E-2</v>
      </c>
      <c r="BN46" s="113">
        <f t="shared" si="33"/>
        <v>0.59131570760799879</v>
      </c>
      <c r="BO46" s="114">
        <f t="shared" si="25"/>
        <v>0</v>
      </c>
      <c r="BP46" s="115">
        <f t="shared" si="34"/>
        <v>7.5042157296379981E-4</v>
      </c>
      <c r="BQ46" s="116">
        <f t="shared" si="35"/>
        <v>0</v>
      </c>
      <c r="BR46" s="117">
        <f t="shared" si="36"/>
        <v>0</v>
      </c>
      <c r="BS46" s="118">
        <f t="shared" si="37"/>
        <v>172014.3</v>
      </c>
      <c r="BT46" s="119">
        <f t="shared" si="38"/>
        <v>172014.3</v>
      </c>
      <c r="BU46" s="119">
        <f t="shared" si="39"/>
        <v>172014.3</v>
      </c>
      <c r="BV46" s="119">
        <f t="shared" si="56"/>
        <v>0</v>
      </c>
      <c r="BW46" s="120">
        <f t="shared" si="40"/>
        <v>0</v>
      </c>
      <c r="BX46" s="121">
        <f t="shared" si="41"/>
        <v>0</v>
      </c>
      <c r="BY46" s="122">
        <f t="shared" si="42"/>
        <v>172014.3</v>
      </c>
      <c r="BZ46" s="123">
        <f t="shared" si="58"/>
        <v>2173921386534.3716</v>
      </c>
      <c r="CA46" s="111">
        <f t="shared" si="57"/>
        <v>2173921558549</v>
      </c>
      <c r="CC46" s="124">
        <f t="shared" si="26"/>
        <v>1</v>
      </c>
      <c r="CD46" s="17"/>
      <c r="CE46" s="108">
        <f t="shared" si="44"/>
        <v>573381</v>
      </c>
      <c r="CF46" s="125">
        <f t="shared" si="45"/>
        <v>3791408.432698328</v>
      </c>
      <c r="CG46" s="110">
        <f t="shared" si="46"/>
        <v>172014.3</v>
      </c>
      <c r="CH46" s="126">
        <f t="shared" si="47"/>
        <v>2173921386534.7</v>
      </c>
      <c r="CJ46" s="127">
        <f t="shared" si="48"/>
        <v>0</v>
      </c>
      <c r="CK46" s="128" t="e">
        <f t="shared" si="49"/>
        <v>#DIV/0!</v>
      </c>
      <c r="CL46" s="129" t="e">
        <f t="shared" si="50"/>
        <v>#DIV/0!</v>
      </c>
      <c r="CM46" s="130" t="e">
        <f t="shared" si="51"/>
        <v>#DIV/0!</v>
      </c>
      <c r="CO46" s="131" t="e">
        <f t="shared" si="52"/>
        <v>#DIV/0!</v>
      </c>
      <c r="CP46" s="1">
        <f t="shared" si="53"/>
        <v>0</v>
      </c>
      <c r="CQ46" s="132">
        <f t="shared" si="54"/>
        <v>0.3</v>
      </c>
      <c r="CS46" s="104">
        <f t="shared" si="55"/>
        <v>6.0054453353476569E-4</v>
      </c>
    </row>
    <row r="47" spans="1:97">
      <c r="A47" s="133" t="s">
        <v>124</v>
      </c>
      <c r="B47" s="90" t="s">
        <v>127</v>
      </c>
      <c r="C47" s="91">
        <f>'Sizing - Reimb Expen-24'!B40</f>
        <v>7560831</v>
      </c>
      <c r="D47" s="92">
        <f>'Ridership-24'!$E39</f>
        <v>172720</v>
      </c>
      <c r="E47" s="92">
        <f>'Revenue Hours-24'!$F39</f>
        <v>75094</v>
      </c>
      <c r="F47" s="92">
        <f>'Revenue Miles-24'!$F39</f>
        <v>1190608</v>
      </c>
      <c r="G47" s="134">
        <f t="shared" si="59"/>
        <v>1.2740495824974669E-2</v>
      </c>
      <c r="H47" s="94">
        <f t="shared" si="60"/>
        <v>1.2027937177308283E-2</v>
      </c>
      <c r="J47" s="95">
        <f>'Ridership-24'!B39/'Revenue Hours-24'!C39</f>
        <v>2.8528395937570008</v>
      </c>
      <c r="K47" s="96">
        <f>'Ridership-24'!C39/'Revenue Hours-24'!D39</f>
        <v>2.8967768637798126</v>
      </c>
      <c r="L47" s="96">
        <f>'Ridership-24'!D39/'Revenue Hours-24'!E39</f>
        <v>2.1946189886707304</v>
      </c>
      <c r="M47" s="207">
        <f>'Ridership-24'!E39/'Revenue Hours-24'!L39</f>
        <v>2.3000506032439341</v>
      </c>
      <c r="N47" s="97">
        <f t="shared" si="2"/>
        <v>1.102579996360374</v>
      </c>
      <c r="O47" s="98">
        <f t="shared" si="3"/>
        <v>1.3261762929179374E-2</v>
      </c>
      <c r="P47" s="99">
        <f t="shared" si="4"/>
        <v>1.2570391514006936E-2</v>
      </c>
      <c r="Q47" s="95">
        <f>'Ridership-24'!B39/'Revenue Miles-24'!C39</f>
        <v>0.17268278460800451</v>
      </c>
      <c r="R47" s="96">
        <f>'Ridership-24'!C39/'Revenue Miles-24'!D39</f>
        <v>0.17887553870187622</v>
      </c>
      <c r="S47" s="96">
        <f>'Ridership-24'!D39/'Revenue Miles-24'!E39</f>
        <v>0.13508021153120933</v>
      </c>
      <c r="T47" s="207">
        <f>'Ridership-24'!E39/'Revenue Miles-24'!L39</f>
        <v>0.14506873798932982</v>
      </c>
      <c r="U47" s="97">
        <f t="shared" si="5"/>
        <v>1.1162552956184724</v>
      </c>
      <c r="V47" s="98">
        <f t="shared" si="6"/>
        <v>1.3426248569536671E-2</v>
      </c>
      <c r="W47" s="99">
        <f t="shared" si="7"/>
        <v>1.2739559965028515E-2</v>
      </c>
      <c r="X47" s="95">
        <f>'Op Cost-24'!B40/'Revenue Hours-24'!C39</f>
        <v>67.871126129489951</v>
      </c>
      <c r="Y47" s="96">
        <f>'Op Cost-24'!C40/'Revenue Hours-24'!D39</f>
        <v>82.421987686895335</v>
      </c>
      <c r="Z47" s="96">
        <f>'Op Cost-24'!D40/'Revenue Hours-24'!E39</f>
        <v>132.58479715436326</v>
      </c>
      <c r="AA47" s="96">
        <f>'Op Cost-24'!E40/'Revenue Hours-24'!F39</f>
        <v>102.20353157376088</v>
      </c>
      <c r="AB47" s="97">
        <f t="shared" si="8"/>
        <v>1.0927878671265903</v>
      </c>
      <c r="AC47" s="98">
        <f t="shared" si="9"/>
        <v>1.1006653293959886E-2</v>
      </c>
      <c r="AD47" s="99">
        <f t="shared" si="10"/>
        <v>1.1067995517686295E-2</v>
      </c>
      <c r="AE47" s="95">
        <f>'Op Cost-24'!B40/'Revenue Miles-24'!C39</f>
        <v>4.1082488760213556</v>
      </c>
      <c r="AF47" s="96">
        <f>'Op Cost-24'!C40/'Revenue Miles-24'!D39</f>
        <v>5.0895454298593386</v>
      </c>
      <c r="AG47" s="96">
        <f>'Op Cost-24'!D40/'Revenue Miles-24'!E39</f>
        <v>8.1606796158642627</v>
      </c>
      <c r="AH47" s="96">
        <f>'Op Cost-24'!E40/'Revenue Miles-24'!F39</f>
        <v>6.4461787590877941</v>
      </c>
      <c r="AI47" s="97">
        <f t="shared" si="11"/>
        <v>1.10818527996705</v>
      </c>
      <c r="AJ47" s="98">
        <f t="shared" si="12"/>
        <v>1.0853724006933132E-2</v>
      </c>
      <c r="AK47" s="99">
        <f t="shared" si="13"/>
        <v>1.0865990805041276E-2</v>
      </c>
      <c r="AL47" s="95">
        <f>'Op Cost-24'!B40/'Ridership-24'!B39</f>
        <v>23.790726361908128</v>
      </c>
      <c r="AM47" s="96">
        <f>'Op Cost-24'!C40/'Ridership-24'!C39</f>
        <v>28.452998474776663</v>
      </c>
      <c r="AN47" s="96">
        <f>'Op Cost-24'!D40/'Ridership-24'!D39</f>
        <v>60.413583332143318</v>
      </c>
      <c r="AO47" s="96">
        <f>'Op Cost-24'!E40/'Ridership-24'!E39</f>
        <v>44.435340435386756</v>
      </c>
      <c r="AP47" s="100">
        <f t="shared" si="14"/>
        <v>1.0025928662815951</v>
      </c>
      <c r="AQ47" s="98">
        <f t="shared" si="15"/>
        <v>1.1996830998725692E-2</v>
      </c>
      <c r="AR47" s="99">
        <f t="shared" si="16"/>
        <v>1.2700187710928712E-2</v>
      </c>
      <c r="AT47" s="101">
        <f t="shared" si="27"/>
        <v>0</v>
      </c>
      <c r="AU47" s="102">
        <f t="shared" si="17"/>
        <v>0</v>
      </c>
      <c r="AV47" s="102">
        <f t="shared" si="18"/>
        <v>0</v>
      </c>
      <c r="AW47" s="102">
        <f t="shared" si="19"/>
        <v>0</v>
      </c>
      <c r="AX47" s="103">
        <f t="shared" si="20"/>
        <v>0</v>
      </c>
      <c r="AY47" s="104">
        <f t="shared" si="28"/>
        <v>-1</v>
      </c>
      <c r="AZ47" s="105">
        <f t="shared" si="21"/>
        <v>0</v>
      </c>
      <c r="BA47" s="106">
        <f t="shared" si="21"/>
        <v>0</v>
      </c>
      <c r="BB47" s="106">
        <f t="shared" si="21"/>
        <v>0</v>
      </c>
      <c r="BC47" s="106">
        <f t="shared" si="21"/>
        <v>0</v>
      </c>
      <c r="BD47" s="106">
        <f t="shared" si="21"/>
        <v>0</v>
      </c>
      <c r="BE47" s="107">
        <f t="shared" si="29"/>
        <v>1522771.2417363808</v>
      </c>
      <c r="BG47" s="108">
        <f>'Op Cost-24'!E40</f>
        <v>7674872</v>
      </c>
      <c r="BH47" s="109">
        <f t="shared" si="22"/>
        <v>0.19840998543511615</v>
      </c>
      <c r="BI47" s="110">
        <f t="shared" si="23"/>
        <v>1522771.2417363808</v>
      </c>
      <c r="BJ47" s="111">
        <f t="shared" si="24"/>
        <v>0</v>
      </c>
      <c r="BK47" s="1">
        <f t="shared" si="30"/>
        <v>0.2813721454883758</v>
      </c>
      <c r="BL47" s="112">
        <f t="shared" si="31"/>
        <v>0.25688548691751806</v>
      </c>
      <c r="BM47" s="112">
        <f t="shared" si="32"/>
        <v>0.23405115692859646</v>
      </c>
      <c r="BN47" s="113">
        <f t="shared" si="33"/>
        <v>0.31727596905369437</v>
      </c>
      <c r="BO47" s="114">
        <f t="shared" si="25"/>
        <v>1522771.2417363808</v>
      </c>
      <c r="BP47" s="115">
        <f t="shared" si="34"/>
        <v>3.3843264893786305E-3</v>
      </c>
      <c r="BQ47" s="116">
        <f t="shared" si="35"/>
        <v>3.3843264893786305E-3</v>
      </c>
      <c r="BR47" s="117">
        <f t="shared" si="36"/>
        <v>5.5761510025460819E-3</v>
      </c>
      <c r="BS47" s="118">
        <f t="shared" si="37"/>
        <v>1593242.789270394</v>
      </c>
      <c r="BT47" s="119">
        <f t="shared" si="38"/>
        <v>2302461.6</v>
      </c>
      <c r="BU47" s="119">
        <f t="shared" si="39"/>
        <v>1593242.789270394</v>
      </c>
      <c r="BV47" s="119">
        <f t="shared" si="56"/>
        <v>0</v>
      </c>
      <c r="BW47" s="120">
        <f t="shared" si="40"/>
        <v>3.3843264893786305E-3</v>
      </c>
      <c r="BX47" s="121">
        <f t="shared" si="41"/>
        <v>7.4159251415502753E-3</v>
      </c>
      <c r="BY47" s="122">
        <f t="shared" si="42"/>
        <v>1610040.1134656151</v>
      </c>
      <c r="BZ47" s="123">
        <f t="shared" si="58"/>
        <v>20347730600543.836</v>
      </c>
      <c r="CA47" s="111">
        <f t="shared" si="57"/>
        <v>20347732123315</v>
      </c>
      <c r="CC47" s="124">
        <f t="shared" si="26"/>
        <v>1</v>
      </c>
      <c r="CD47" s="17"/>
      <c r="CE47" s="108">
        <f t="shared" si="44"/>
        <v>7674872</v>
      </c>
      <c r="CF47" s="125">
        <f t="shared" si="45"/>
        <v>2651214.5249217185</v>
      </c>
      <c r="CG47" s="110">
        <f t="shared" si="46"/>
        <v>2302461.6</v>
      </c>
      <c r="CH47" s="126">
        <f t="shared" si="47"/>
        <v>20347729820853.398</v>
      </c>
      <c r="CJ47" s="127">
        <f t="shared" si="48"/>
        <v>0</v>
      </c>
      <c r="CK47" s="128" t="e">
        <f t="shared" si="49"/>
        <v>#DIV/0!</v>
      </c>
      <c r="CL47" s="129" t="e">
        <f t="shared" si="50"/>
        <v>#DIV/0!</v>
      </c>
      <c r="CM47" s="130" t="e">
        <f t="shared" si="51"/>
        <v>#DIV/0!</v>
      </c>
      <c r="CO47" s="131" t="e">
        <f t="shared" si="52"/>
        <v>#DIV/0!</v>
      </c>
      <c r="CP47" s="1">
        <f t="shared" si="53"/>
        <v>0</v>
      </c>
      <c r="CQ47" s="132">
        <f t="shared" si="54"/>
        <v>0.20978071210381294</v>
      </c>
      <c r="CS47" s="104">
        <f t="shared" si="55"/>
        <v>2.7083959818293831E-3</v>
      </c>
    </row>
    <row r="48" spans="1:97" ht="16.5" customHeight="1">
      <c r="A48" s="133" t="s">
        <v>124</v>
      </c>
      <c r="B48" s="90" t="s">
        <v>128</v>
      </c>
      <c r="C48" s="91">
        <f>'Sizing - Reimb Expen-24'!B41</f>
        <v>162010</v>
      </c>
      <c r="D48" s="92">
        <f>'Ridership-24'!$E40</f>
        <v>11840</v>
      </c>
      <c r="E48" s="92">
        <f>'Revenue Hours-24'!$F40</f>
        <v>5390</v>
      </c>
      <c r="F48" s="92">
        <f>'Revenue Miles-24'!$F40</f>
        <v>55690</v>
      </c>
      <c r="G48" s="93">
        <f t="shared" si="59"/>
        <v>5.5036523846798259E-4</v>
      </c>
      <c r="H48" s="94">
        <f t="shared" si="60"/>
        <v>5.195840573088801E-4</v>
      </c>
      <c r="J48" s="95">
        <f>'Ridership-24'!B40/'Revenue Hours-24'!C40</f>
        <v>2.4101819589624469</v>
      </c>
      <c r="K48" s="96">
        <f>'Ridership-24'!C40/'Revenue Hours-24'!D40</f>
        <v>2.6243417203042716</v>
      </c>
      <c r="L48" s="96">
        <f>'Ridership-24'!D40/'Revenue Hours-24'!E40</f>
        <v>2.06749490079733</v>
      </c>
      <c r="M48" s="207">
        <f>'Ridership-24'!E40/'Revenue Hours-24'!L40</f>
        <v>2.1966604823747682</v>
      </c>
      <c r="N48" s="97">
        <f t="shared" si="2"/>
        <v>1.1505006924601566</v>
      </c>
      <c r="O48" s="98">
        <f t="shared" si="3"/>
        <v>5.977818177251243E-4</v>
      </c>
      <c r="P48" s="99">
        <f t="shared" si="4"/>
        <v>5.6661784175209386E-4</v>
      </c>
      <c r="Q48" s="95">
        <f>'Ridership-24'!B40/'Revenue Miles-24'!C40</f>
        <v>0.21125231171210912</v>
      </c>
      <c r="R48" s="96">
        <f>'Ridership-24'!C40/'Revenue Miles-24'!D40</f>
        <v>0.22349384582163678</v>
      </c>
      <c r="S48" s="96">
        <f>'Ridership-24'!D40/'Revenue Miles-24'!E40</f>
        <v>0.21433239783168659</v>
      </c>
      <c r="T48" s="207">
        <f>'Ridership-24'!E40/'Revenue Miles-24'!L40</f>
        <v>0.21260549470281917</v>
      </c>
      <c r="U48" s="97">
        <f t="shared" si="5"/>
        <v>1.2322710598478355</v>
      </c>
      <c r="V48" s="98">
        <f t="shared" si="6"/>
        <v>6.4026839698005217E-4</v>
      </c>
      <c r="W48" s="99">
        <f t="shared" si="7"/>
        <v>6.0752172096286002E-4</v>
      </c>
      <c r="X48" s="95">
        <f>'Op Cost-24'!B41/'Revenue Hours-24'!C40</f>
        <v>26.421215640727837</v>
      </c>
      <c r="Y48" s="96">
        <f>'Op Cost-24'!C41/'Revenue Hours-24'!D40</f>
        <v>28.064170079968793</v>
      </c>
      <c r="Z48" s="96">
        <f>'Op Cost-24'!D41/'Revenue Hours-24'!E40</f>
        <v>27.145188206934915</v>
      </c>
      <c r="AA48" s="96">
        <f>'Op Cost-24'!E41/'Revenue Hours-24'!F40</f>
        <v>30.05751391465677</v>
      </c>
      <c r="AB48" s="97">
        <f t="shared" si="8"/>
        <v>0.97981080740083926</v>
      </c>
      <c r="AC48" s="98">
        <f t="shared" si="9"/>
        <v>5.3029018804884342E-4</v>
      </c>
      <c r="AD48" s="99">
        <f t="shared" si="10"/>
        <v>5.3324559860702485E-4</v>
      </c>
      <c r="AE48" s="95">
        <f>'Op Cost-24'!B41/'Revenue Miles-24'!C40</f>
        <v>2.3158180491694802</v>
      </c>
      <c r="AF48" s="96">
        <f>'Op Cost-24'!C41/'Revenue Miles-24'!D40</f>
        <v>2.3899971762204539</v>
      </c>
      <c r="AG48" s="96">
        <f>'Op Cost-24'!D41/'Revenue Miles-24'!E40</f>
        <v>2.8140786590288722</v>
      </c>
      <c r="AH48" s="96">
        <f>'Op Cost-24'!E41/'Revenue Miles-24'!F40</f>
        <v>2.9091398814868019</v>
      </c>
      <c r="AI48" s="97">
        <f t="shared" si="11"/>
        <v>1.0086373581556125</v>
      </c>
      <c r="AJ48" s="98">
        <f t="shared" si="12"/>
        <v>5.1513465479703028E-4</v>
      </c>
      <c r="AK48" s="99">
        <f t="shared" si="13"/>
        <v>5.157168561506733E-4</v>
      </c>
      <c r="AL48" s="95">
        <f>'Op Cost-24'!B41/'Ridership-24'!B40</f>
        <v>10.962332342783712</v>
      </c>
      <c r="AM48" s="96">
        <f>'Op Cost-24'!C41/'Ridership-24'!C40</f>
        <v>10.693794128576737</v>
      </c>
      <c r="AN48" s="96">
        <f>'Op Cost-24'!D41/'Ridership-24'!D40</f>
        <v>13.129506726457398</v>
      </c>
      <c r="AO48" s="96">
        <f>'Op Cost-24'!E41/'Ridership-24'!E40</f>
        <v>13.683277027027026</v>
      </c>
      <c r="AP48" s="100">
        <f t="shared" si="14"/>
        <v>0.93660009397915378</v>
      </c>
      <c r="AQ48" s="98">
        <f t="shared" si="15"/>
        <v>5.5475550413562602E-4</v>
      </c>
      <c r="AR48" s="99">
        <f t="shared" si="16"/>
        <v>5.8728001060794435E-4</v>
      </c>
      <c r="AT48" s="101">
        <f t="shared" si="27"/>
        <v>0</v>
      </c>
      <c r="AU48" s="102">
        <f t="shared" si="17"/>
        <v>0</v>
      </c>
      <c r="AV48" s="102">
        <f t="shared" si="18"/>
        <v>0</v>
      </c>
      <c r="AW48" s="102">
        <f t="shared" si="19"/>
        <v>0</v>
      </c>
      <c r="AX48" s="103">
        <f t="shared" si="20"/>
        <v>0</v>
      </c>
      <c r="AY48" s="104">
        <f t="shared" si="28"/>
        <v>-1</v>
      </c>
      <c r="AZ48" s="105">
        <f t="shared" si="21"/>
        <v>0</v>
      </c>
      <c r="BA48" s="106">
        <f t="shared" si="21"/>
        <v>0</v>
      </c>
      <c r="BB48" s="106">
        <f t="shared" si="21"/>
        <v>0</v>
      </c>
      <c r="BC48" s="106">
        <f t="shared" si="21"/>
        <v>0</v>
      </c>
      <c r="BD48" s="106">
        <f t="shared" si="21"/>
        <v>0</v>
      </c>
      <c r="BE48" s="107">
        <f t="shared" si="29"/>
        <v>65780.827457874504</v>
      </c>
      <c r="BG48" s="108">
        <f>'Op Cost-24'!E41</f>
        <v>162010</v>
      </c>
      <c r="BH48" s="109">
        <f t="shared" si="22"/>
        <v>0.40602942693583421</v>
      </c>
      <c r="BI48" s="110">
        <f t="shared" si="23"/>
        <v>48603</v>
      </c>
      <c r="BJ48" s="111">
        <f t="shared" si="24"/>
        <v>17177.827457874504</v>
      </c>
      <c r="BK48" s="1">
        <f t="shared" si="30"/>
        <v>0.6622520441772074</v>
      </c>
      <c r="BL48" s="112">
        <f t="shared" si="31"/>
        <v>0.24533816639140527</v>
      </c>
      <c r="BM48" s="112">
        <f t="shared" si="32"/>
        <v>0.34301368230163709</v>
      </c>
      <c r="BN48" s="113">
        <f t="shared" si="33"/>
        <v>1.0303281640078936</v>
      </c>
      <c r="BO48" s="114">
        <f t="shared" si="25"/>
        <v>0</v>
      </c>
      <c r="BP48" s="115">
        <f t="shared" si="34"/>
        <v>3.4409560407469314E-4</v>
      </c>
      <c r="BQ48" s="116">
        <f t="shared" si="35"/>
        <v>0</v>
      </c>
      <c r="BR48" s="117">
        <f t="shared" si="36"/>
        <v>0</v>
      </c>
      <c r="BS48" s="118">
        <f t="shared" si="37"/>
        <v>48603</v>
      </c>
      <c r="BT48" s="119">
        <f t="shared" si="38"/>
        <v>48603</v>
      </c>
      <c r="BU48" s="119">
        <f t="shared" si="39"/>
        <v>48603</v>
      </c>
      <c r="BV48" s="119">
        <f t="shared" si="56"/>
        <v>0</v>
      </c>
      <c r="BW48" s="120">
        <f t="shared" si="40"/>
        <v>0</v>
      </c>
      <c r="BX48" s="121">
        <f t="shared" si="41"/>
        <v>0</v>
      </c>
      <c r="BY48" s="122">
        <f t="shared" si="42"/>
        <v>48603</v>
      </c>
      <c r="BZ48" s="123">
        <f t="shared" si="58"/>
        <v>614246031578.3634</v>
      </c>
      <c r="CA48" s="111">
        <f t="shared" si="57"/>
        <v>614246080181</v>
      </c>
      <c r="CC48" s="124">
        <f t="shared" si="26"/>
        <v>1</v>
      </c>
      <c r="CD48" s="17"/>
      <c r="CE48" s="108">
        <f t="shared" si="44"/>
        <v>162010</v>
      </c>
      <c r="CF48" s="125">
        <f t="shared" si="45"/>
        <v>3791408.4326955127</v>
      </c>
      <c r="CG48" s="110">
        <f t="shared" si="46"/>
        <v>48603</v>
      </c>
      <c r="CH48" s="126">
        <f t="shared" si="47"/>
        <v>614246031578</v>
      </c>
      <c r="CJ48" s="127">
        <f t="shared" si="48"/>
        <v>0</v>
      </c>
      <c r="CK48" s="128" t="e">
        <f t="shared" si="49"/>
        <v>#DIV/0!</v>
      </c>
      <c r="CL48" s="129" t="e">
        <f t="shared" si="50"/>
        <v>#DIV/0!</v>
      </c>
      <c r="CM48" s="130" t="e">
        <f t="shared" si="51"/>
        <v>#DIV/0!</v>
      </c>
      <c r="CO48" s="131" t="e">
        <f t="shared" si="52"/>
        <v>#DIV/0!</v>
      </c>
      <c r="CP48" s="1">
        <f t="shared" si="53"/>
        <v>0</v>
      </c>
      <c r="CQ48" s="132">
        <f t="shared" si="54"/>
        <v>0.3</v>
      </c>
      <c r="CS48" s="104">
        <f t="shared" si="55"/>
        <v>2.7537152646645529E-4</v>
      </c>
    </row>
    <row r="49" spans="1:97">
      <c r="A49" s="133" t="s">
        <v>124</v>
      </c>
      <c r="B49" s="90" t="s">
        <v>129</v>
      </c>
      <c r="C49" s="91">
        <f>'Sizing - Reimb Expen-24'!B42</f>
        <v>1205875</v>
      </c>
      <c r="D49" s="92">
        <f>'Ridership-24'!$E41</f>
        <v>49444</v>
      </c>
      <c r="E49" s="92">
        <f>'Revenue Hours-24'!$F41</f>
        <v>18141</v>
      </c>
      <c r="F49" s="92">
        <f>'Revenue Miles-24'!$F41</f>
        <v>310870</v>
      </c>
      <c r="G49" s="134">
        <f t="shared" si="59"/>
        <v>2.7367531168942466E-3</v>
      </c>
      <c r="H49" s="94">
        <f t="shared" si="60"/>
        <v>2.5836902277601957E-3</v>
      </c>
      <c r="J49" s="95">
        <f>'Ridership-24'!B41/'Revenue Hours-24'!C41</f>
        <v>2.1531983805668018</v>
      </c>
      <c r="K49" s="96">
        <f>'Ridership-24'!C41/'Revenue Hours-24'!D41</f>
        <v>2.3018086155869781</v>
      </c>
      <c r="L49" s="96">
        <f>'Ridership-24'!D41/'Revenue Hours-24'!E41</f>
        <v>1.8714498597475455</v>
      </c>
      <c r="M49" s="207">
        <f>'Ridership-24'!E41/'Revenue Hours-24'!L41</f>
        <v>2.7255388346838654</v>
      </c>
      <c r="N49" s="97">
        <f t="shared" si="2"/>
        <v>1.2621314439470319</v>
      </c>
      <c r="O49" s="98">
        <f t="shared" si="3"/>
        <v>3.2609566778748116E-3</v>
      </c>
      <c r="P49" s="99">
        <f t="shared" si="4"/>
        <v>3.0909542245631362E-3</v>
      </c>
      <c r="Q49" s="95">
        <f>'Ridership-24'!B41/'Revenue Miles-24'!C41</f>
        <v>0.14216405642296373</v>
      </c>
      <c r="R49" s="96">
        <f>'Ridership-24'!C41/'Revenue Miles-24'!D41</f>
        <v>0.15794010138539991</v>
      </c>
      <c r="S49" s="96">
        <f>'Ridership-24'!D41/'Revenue Miles-24'!E41</f>
        <v>0.12054951539089166</v>
      </c>
      <c r="T49" s="207">
        <f>'Ridership-24'!E41/'Revenue Miles-24'!L41</f>
        <v>0.1590504069225078</v>
      </c>
      <c r="U49" s="97">
        <f t="shared" si="5"/>
        <v>1.2117777521158943</v>
      </c>
      <c r="V49" s="98">
        <f t="shared" si="6"/>
        <v>3.1308583363590528E-3</v>
      </c>
      <c r="W49" s="99">
        <f t="shared" si="7"/>
        <v>2.9707298588642168E-3</v>
      </c>
      <c r="X49" s="95">
        <f>'Op Cost-24'!B42/'Revenue Hours-24'!C41</f>
        <v>27.147165991902835</v>
      </c>
      <c r="Y49" s="96">
        <f>'Op Cost-24'!C42/'Revenue Hours-24'!D41</f>
        <v>30.822514523731229</v>
      </c>
      <c r="Z49" s="96">
        <f>'Op Cost-24'!D42/'Revenue Hours-24'!E41</f>
        <v>53.352691093969142</v>
      </c>
      <c r="AA49" s="96">
        <f>'Op Cost-24'!E42/'Revenue Hours-24'!F41</f>
        <v>79.509949837384923</v>
      </c>
      <c r="AB49" s="97">
        <f t="shared" si="8"/>
        <v>1.3396410293256915</v>
      </c>
      <c r="AC49" s="98">
        <f t="shared" si="9"/>
        <v>1.9286436972303668E-3</v>
      </c>
      <c r="AD49" s="99">
        <f t="shared" si="10"/>
        <v>1.9393924043990534E-3</v>
      </c>
      <c r="AE49" s="95">
        <f>'Op Cost-24'!B42/'Revenue Miles-24'!C41</f>
        <v>1.7923807079868379</v>
      </c>
      <c r="AF49" s="96">
        <f>'Op Cost-24'!C42/'Revenue Miles-24'!D41</f>
        <v>2.1149069631011295</v>
      </c>
      <c r="AG49" s="96">
        <f>'Op Cost-24'!D42/'Revenue Miles-24'!E41</f>
        <v>3.4367156686984583</v>
      </c>
      <c r="AH49" s="96">
        <f>'Op Cost-24'!E42/'Revenue Miles-24'!F41</f>
        <v>4.639849454756007</v>
      </c>
      <c r="AI49" s="97">
        <f t="shared" si="11"/>
        <v>1.2854839634662996</v>
      </c>
      <c r="AJ49" s="98">
        <f t="shared" si="12"/>
        <v>2.0098968957911315E-3</v>
      </c>
      <c r="AK49" s="99">
        <f t="shared" si="13"/>
        <v>2.0121684663067544E-3</v>
      </c>
      <c r="AL49" s="95">
        <f>'Op Cost-24'!B42/'Ridership-24'!B41</f>
        <v>12.607833182912154</v>
      </c>
      <c r="AM49" s="96">
        <f>'Op Cost-24'!C42/'Ridership-24'!C41</f>
        <v>13.390563539910664</v>
      </c>
      <c r="AN49" s="96">
        <f>'Op Cost-24'!D42/'Ridership-24'!D41</f>
        <v>28.508747277453804</v>
      </c>
      <c r="AO49" s="96">
        <f>'Op Cost-24'!E42/'Ridership-24'!E41</f>
        <v>29.17219480624545</v>
      </c>
      <c r="AP49" s="100">
        <f t="shared" si="14"/>
        <v>1.0831038405019571</v>
      </c>
      <c r="AQ49" s="98">
        <f t="shared" si="15"/>
        <v>2.3854501582810401E-3</v>
      </c>
      <c r="AR49" s="99">
        <f t="shared" si="16"/>
        <v>2.5253056234977246E-3</v>
      </c>
      <c r="AT49" s="101">
        <f t="shared" si="27"/>
        <v>0</v>
      </c>
      <c r="AU49" s="102">
        <f t="shared" si="17"/>
        <v>0</v>
      </c>
      <c r="AV49" s="102">
        <f t="shared" si="18"/>
        <v>0</v>
      </c>
      <c r="AW49" s="102">
        <f t="shared" si="19"/>
        <v>0</v>
      </c>
      <c r="AX49" s="103">
        <f t="shared" si="20"/>
        <v>0</v>
      </c>
      <c r="AY49" s="104">
        <f t="shared" si="28"/>
        <v>-1</v>
      </c>
      <c r="AZ49" s="105">
        <f t="shared" si="21"/>
        <v>0</v>
      </c>
      <c r="BA49" s="106">
        <f t="shared" si="21"/>
        <v>0</v>
      </c>
      <c r="BB49" s="106">
        <f t="shared" si="21"/>
        <v>0</v>
      </c>
      <c r="BC49" s="106">
        <f t="shared" si="21"/>
        <v>0</v>
      </c>
      <c r="BD49" s="106">
        <f t="shared" si="21"/>
        <v>0</v>
      </c>
      <c r="BE49" s="107">
        <f t="shared" si="29"/>
        <v>327102.57115501608</v>
      </c>
      <c r="BG49" s="108">
        <f>'Op Cost-24'!E42</f>
        <v>1442390</v>
      </c>
      <c r="BH49" s="109">
        <f t="shared" si="22"/>
        <v>0.22677817452631818</v>
      </c>
      <c r="BI49" s="110">
        <f t="shared" si="23"/>
        <v>327102.57115501608</v>
      </c>
      <c r="BJ49" s="111">
        <f t="shared" si="24"/>
        <v>0</v>
      </c>
      <c r="BK49" s="1">
        <f t="shared" si="30"/>
        <v>0.38189272027462073</v>
      </c>
      <c r="BL49" s="112">
        <f t="shared" si="31"/>
        <v>0.30440694203548974</v>
      </c>
      <c r="BM49" s="112">
        <f t="shared" si="32"/>
        <v>0.25660891702880229</v>
      </c>
      <c r="BN49" s="113">
        <f t="shared" si="33"/>
        <v>0.48327751101709554</v>
      </c>
      <c r="BO49" s="114">
        <f t="shared" si="25"/>
        <v>327102.57115501608</v>
      </c>
      <c r="BP49" s="115">
        <f t="shared" si="34"/>
        <v>9.8669248942629545E-4</v>
      </c>
      <c r="BQ49" s="116">
        <f t="shared" si="35"/>
        <v>9.8669248942629545E-4</v>
      </c>
      <c r="BR49" s="117">
        <f t="shared" si="36"/>
        <v>1.6257138108236406E-3</v>
      </c>
      <c r="BS49" s="118">
        <f t="shared" si="37"/>
        <v>347648.38636766881</v>
      </c>
      <c r="BT49" s="119">
        <f t="shared" si="38"/>
        <v>432717</v>
      </c>
      <c r="BU49" s="119">
        <f t="shared" si="39"/>
        <v>347648.38636766881</v>
      </c>
      <c r="BV49" s="119">
        <f t="shared" si="56"/>
        <v>0</v>
      </c>
      <c r="BW49" s="120">
        <f t="shared" si="40"/>
        <v>9.8669248942629545E-4</v>
      </c>
      <c r="BX49" s="121">
        <f t="shared" si="41"/>
        <v>2.1620956672707883E-3</v>
      </c>
      <c r="BY49" s="122">
        <f t="shared" si="42"/>
        <v>352545.60703414364</v>
      </c>
      <c r="BZ49" s="123">
        <f t="shared" si="58"/>
        <v>4455480938853.7314</v>
      </c>
      <c r="CA49" s="111">
        <f t="shared" si="57"/>
        <v>4455481265956</v>
      </c>
      <c r="CC49" s="124">
        <f t="shared" si="26"/>
        <v>1</v>
      </c>
      <c r="CD49" s="17"/>
      <c r="CE49" s="108">
        <f t="shared" si="44"/>
        <v>1442390</v>
      </c>
      <c r="CF49" s="125">
        <f t="shared" si="45"/>
        <v>3088957.4012271301</v>
      </c>
      <c r="CG49" s="110">
        <f t="shared" si="46"/>
        <v>432717</v>
      </c>
      <c r="CH49" s="126">
        <f t="shared" si="47"/>
        <v>4455480833239</v>
      </c>
      <c r="CJ49" s="127">
        <f t="shared" si="48"/>
        <v>0</v>
      </c>
      <c r="CK49" s="128" t="e">
        <f t="shared" si="49"/>
        <v>#DIV/0!</v>
      </c>
      <c r="CL49" s="129" t="e">
        <f t="shared" si="50"/>
        <v>#DIV/0!</v>
      </c>
      <c r="CM49" s="130" t="e">
        <f t="shared" si="51"/>
        <v>#DIV/0!</v>
      </c>
      <c r="CO49" s="131" t="e">
        <f t="shared" si="52"/>
        <v>#DIV/0!</v>
      </c>
      <c r="CP49" s="1">
        <f t="shared" si="53"/>
        <v>0</v>
      </c>
      <c r="CQ49" s="132">
        <f t="shared" si="54"/>
        <v>0.24441767277514656</v>
      </c>
      <c r="CS49" s="104">
        <f t="shared" si="55"/>
        <v>7.8962652747904935E-4</v>
      </c>
    </row>
    <row r="50" spans="1:97">
      <c r="A50" s="133" t="s">
        <v>124</v>
      </c>
      <c r="B50" s="90" t="s">
        <v>130</v>
      </c>
      <c r="C50" s="91">
        <f>'Sizing - Reimb Expen-24'!B43</f>
        <v>4022350</v>
      </c>
      <c r="D50" s="92">
        <f>'Ridership-24'!$E42</f>
        <v>169413</v>
      </c>
      <c r="E50" s="92">
        <f>'Revenue Hours-24'!$F42</f>
        <v>60519</v>
      </c>
      <c r="F50" s="92">
        <f>'Revenue Miles-24'!$F42</f>
        <v>935668</v>
      </c>
      <c r="G50" s="134">
        <f t="shared" si="59"/>
        <v>8.92314296822053E-3</v>
      </c>
      <c r="H50" s="94">
        <f t="shared" si="60"/>
        <v>8.4240836871911987E-3</v>
      </c>
      <c r="J50" s="95">
        <f>'Ridership-24'!B42/'Revenue Hours-24'!C42</f>
        <v>4.7280595896966418</v>
      </c>
      <c r="K50" s="96">
        <f>'Ridership-24'!C42/'Revenue Hours-24'!D42</f>
        <v>4.6066913646259025</v>
      </c>
      <c r="L50" s="96">
        <f>'Ridership-24'!D42/'Revenue Hours-24'!E42</f>
        <v>2.6052602436323364</v>
      </c>
      <c r="M50" s="207">
        <f>'Ridership-24'!E42/'Revenue Hours-24'!L42</f>
        <v>2.7993357457988401</v>
      </c>
      <c r="N50" s="97">
        <f t="shared" si="2"/>
        <v>0.97105400854216295</v>
      </c>
      <c r="O50" s="98">
        <f t="shared" si="3"/>
        <v>8.1802402327416576E-3</v>
      </c>
      <c r="P50" s="99">
        <f t="shared" si="4"/>
        <v>7.7537822801781002E-3</v>
      </c>
      <c r="Q50" s="95">
        <f>'Ridership-24'!B42/'Revenue Miles-24'!C42</f>
        <v>0.24363623107916568</v>
      </c>
      <c r="R50" s="96">
        <f>'Ridership-24'!C42/'Revenue Miles-24'!D42</f>
        <v>0.25866990351642838</v>
      </c>
      <c r="S50" s="96">
        <f>'Ridership-24'!D42/'Revenue Miles-24'!E42</f>
        <v>0.16890249812434263</v>
      </c>
      <c r="T50" s="207">
        <f>'Ridership-24'!E42/'Revenue Miles-24'!L42</f>
        <v>0.1810610173694088</v>
      </c>
      <c r="U50" s="97">
        <f t="shared" si="5"/>
        <v>1.0591075107965426</v>
      </c>
      <c r="V50" s="98">
        <f t="shared" si="6"/>
        <v>8.9220103046828304E-3</v>
      </c>
      <c r="W50" s="99">
        <f t="shared" si="7"/>
        <v>8.465692013404429E-3</v>
      </c>
      <c r="X50" s="95">
        <f>'Op Cost-24'!B43/'Revenue Hours-24'!C42</f>
        <v>61.140297948483209</v>
      </c>
      <c r="Y50" s="96">
        <f>'Op Cost-24'!C43/'Revenue Hours-24'!D42</f>
        <v>60.089370965893899</v>
      </c>
      <c r="Z50" s="96">
        <f>'Op Cost-24'!D43/'Revenue Hours-24'!E42</f>
        <v>61.375230712440015</v>
      </c>
      <c r="AA50" s="96">
        <f>'Op Cost-24'!E43/'Revenue Hours-24'!F42</f>
        <v>66.464250896412693</v>
      </c>
      <c r="AB50" s="97">
        <f t="shared" si="8"/>
        <v>0.96052410898235108</v>
      </c>
      <c r="AC50" s="98">
        <f t="shared" si="9"/>
        <v>8.7702990569557739E-3</v>
      </c>
      <c r="AD50" s="99">
        <f t="shared" si="10"/>
        <v>8.819177642710313E-3</v>
      </c>
      <c r="AE50" s="95">
        <f>'Op Cost-24'!B43/'Revenue Miles-24'!C42</f>
        <v>3.1505507654106029</v>
      </c>
      <c r="AF50" s="96">
        <f>'Op Cost-24'!C43/'Revenue Miles-24'!D42</f>
        <v>3.3740727476265127</v>
      </c>
      <c r="AG50" s="96">
        <f>'Op Cost-24'!D43/'Revenue Miles-24'!E42</f>
        <v>3.9790381078535897</v>
      </c>
      <c r="AH50" s="96">
        <f>'Op Cost-24'!E43/'Revenue Miles-24'!F42</f>
        <v>4.2989073047277451</v>
      </c>
      <c r="AI50" s="97">
        <f t="shared" si="11"/>
        <v>1.0378270388481003</v>
      </c>
      <c r="AJ50" s="98">
        <f t="shared" si="12"/>
        <v>8.1170400961428166E-3</v>
      </c>
      <c r="AK50" s="99">
        <f t="shared" si="13"/>
        <v>8.1262139144591371E-3</v>
      </c>
      <c r="AL50" s="95">
        <f>'Op Cost-24'!B43/'Ridership-24'!B42</f>
        <v>12.931372117584932</v>
      </c>
      <c r="AM50" s="96">
        <f>'Op Cost-24'!C43/'Ridership-24'!C42</f>
        <v>13.043932447333294</v>
      </c>
      <c r="AN50" s="96">
        <f>'Op Cost-24'!D43/'Ridership-24'!D42</f>
        <v>23.558195716704567</v>
      </c>
      <c r="AO50" s="96">
        <f>'Op Cost-24'!E43/'Ridership-24'!E42</f>
        <v>23.742865069386646</v>
      </c>
      <c r="AP50" s="100">
        <f t="shared" si="14"/>
        <v>1.0138070034269091</v>
      </c>
      <c r="AQ50" s="98">
        <f t="shared" si="15"/>
        <v>8.3093563752428112E-3</v>
      </c>
      <c r="AR50" s="99">
        <f t="shared" si="16"/>
        <v>8.7965218259551513E-3</v>
      </c>
      <c r="AT50" s="101">
        <f t="shared" si="27"/>
        <v>0</v>
      </c>
      <c r="AU50" s="102">
        <f t="shared" si="17"/>
        <v>0</v>
      </c>
      <c r="AV50" s="102">
        <f t="shared" si="18"/>
        <v>0</v>
      </c>
      <c r="AW50" s="102">
        <f t="shared" si="19"/>
        <v>0</v>
      </c>
      <c r="AX50" s="103">
        <f t="shared" si="20"/>
        <v>0</v>
      </c>
      <c r="AY50" s="104">
        <f t="shared" si="28"/>
        <v>-1</v>
      </c>
      <c r="AZ50" s="105">
        <f t="shared" si="21"/>
        <v>0</v>
      </c>
      <c r="BA50" s="106">
        <f t="shared" si="21"/>
        <v>0</v>
      </c>
      <c r="BB50" s="106">
        <f t="shared" si="21"/>
        <v>0</v>
      </c>
      <c r="BC50" s="106">
        <f t="shared" si="21"/>
        <v>0</v>
      </c>
      <c r="BD50" s="106">
        <f t="shared" si="21"/>
        <v>0</v>
      </c>
      <c r="BE50" s="107">
        <f t="shared" si="29"/>
        <v>1066513.0843081176</v>
      </c>
      <c r="BG50" s="108">
        <f>'Op Cost-24'!E43</f>
        <v>4022350</v>
      </c>
      <c r="BH50" s="109">
        <f t="shared" si="22"/>
        <v>0.26514676353577327</v>
      </c>
      <c r="BI50" s="110">
        <f t="shared" si="23"/>
        <v>1066513.0843081176</v>
      </c>
      <c r="BJ50" s="111">
        <f t="shared" si="24"/>
        <v>0</v>
      </c>
      <c r="BK50" s="1">
        <f t="shared" si="30"/>
        <v>0.44808716334435389</v>
      </c>
      <c r="BL50" s="112">
        <f t="shared" si="31"/>
        <v>0.31264908915088019</v>
      </c>
      <c r="BM50" s="112">
        <f t="shared" si="32"/>
        <v>0.29212041944623385</v>
      </c>
      <c r="BN50" s="113">
        <f t="shared" si="33"/>
        <v>0.59378957239015073</v>
      </c>
      <c r="BO50" s="114">
        <f t="shared" si="25"/>
        <v>1066513.0843081176</v>
      </c>
      <c r="BP50" s="115">
        <f t="shared" si="34"/>
        <v>3.7747237631689497E-3</v>
      </c>
      <c r="BQ50" s="116">
        <f t="shared" si="35"/>
        <v>3.7747237631689497E-3</v>
      </c>
      <c r="BR50" s="117">
        <f t="shared" si="36"/>
        <v>6.2193850866302186E-3</v>
      </c>
      <c r="BS50" s="118">
        <f t="shared" si="37"/>
        <v>1145113.8416342142</v>
      </c>
      <c r="BT50" s="119">
        <f t="shared" si="38"/>
        <v>1206705</v>
      </c>
      <c r="BU50" s="119">
        <f t="shared" si="39"/>
        <v>1145113.8416342142</v>
      </c>
      <c r="BV50" s="119">
        <f t="shared" si="56"/>
        <v>0</v>
      </c>
      <c r="BW50" s="120">
        <f t="shared" si="40"/>
        <v>3.7747237631689497E-3</v>
      </c>
      <c r="BX50" s="121">
        <f t="shared" si="41"/>
        <v>8.2713854427299855E-3</v>
      </c>
      <c r="BY50" s="122">
        <f t="shared" si="42"/>
        <v>1163848.8126827655</v>
      </c>
      <c r="BZ50" s="123">
        <f t="shared" si="58"/>
        <v>14708752845453.547</v>
      </c>
      <c r="CA50" s="111">
        <f t="shared" si="57"/>
        <v>14708753911967</v>
      </c>
      <c r="CC50" s="124">
        <f t="shared" si="26"/>
        <v>1</v>
      </c>
      <c r="CD50" s="17"/>
      <c r="CE50" s="108">
        <f t="shared" si="44"/>
        <v>4022350</v>
      </c>
      <c r="CF50" s="125">
        <f t="shared" si="45"/>
        <v>3656756.3518756446</v>
      </c>
      <c r="CG50" s="110">
        <f t="shared" si="46"/>
        <v>1206705</v>
      </c>
      <c r="CH50" s="126">
        <f t="shared" si="47"/>
        <v>14708752705262</v>
      </c>
      <c r="CJ50" s="127">
        <f t="shared" si="48"/>
        <v>0</v>
      </c>
      <c r="CK50" s="128" t="e">
        <f t="shared" si="49"/>
        <v>#DIV/0!</v>
      </c>
      <c r="CL50" s="129" t="e">
        <f t="shared" si="50"/>
        <v>#DIV/0!</v>
      </c>
      <c r="CM50" s="130" t="e">
        <f t="shared" si="51"/>
        <v>#DIV/0!</v>
      </c>
      <c r="CO50" s="131" t="e">
        <f t="shared" si="52"/>
        <v>#DIV/0!</v>
      </c>
      <c r="CP50" s="1">
        <f t="shared" si="53"/>
        <v>0</v>
      </c>
      <c r="CQ50" s="132">
        <f t="shared" si="54"/>
        <v>0.28934548527173554</v>
      </c>
      <c r="CS50" s="104">
        <f t="shared" si="55"/>
        <v>3.0208216331278717E-3</v>
      </c>
    </row>
    <row r="51" spans="1:97" s="171" customFormat="1" ht="15" thickBot="1">
      <c r="A51" s="165"/>
      <c r="B51" s="166" t="s">
        <v>131</v>
      </c>
      <c r="C51" s="167">
        <f>SUM(C11:C50)-C34</f>
        <v>464821573</v>
      </c>
      <c r="D51" s="168">
        <f>SUM(D11:D50)-D34</f>
        <v>38752057</v>
      </c>
      <c r="E51" s="168">
        <f>SUM(E11:E50)-E34</f>
        <v>4348164</v>
      </c>
      <c r="F51" s="168">
        <f>SUM(F11:F50)-F34</f>
        <v>61650078.5</v>
      </c>
      <c r="G51" s="169">
        <f>SUM(G11:G50)</f>
        <v>1.0559286433946775</v>
      </c>
      <c r="H51" s="170">
        <f>SUM(H11:H50)</f>
        <v>0.99999999999999956</v>
      </c>
      <c r="J51" s="172">
        <f>'Ridership-24'!B43/'Revenue Hours-24'!C43</f>
        <v>13.582953416309731</v>
      </c>
      <c r="K51" s="173">
        <f>'Ridership-24'!C43/'Revenue Hours-24'!D43</f>
        <v>13.526760546299428</v>
      </c>
      <c r="L51" s="173">
        <f>'Ridership-24'!D43/'Revenue Hours-24'!E43</f>
        <v>6.9491805201049877</v>
      </c>
      <c r="M51" s="173">
        <f>'Ridership-24'!E43/'Revenue Hours-24'!F43</f>
        <v>8.9536027544539518</v>
      </c>
      <c r="N51" s="174"/>
      <c r="O51" s="175">
        <f>SUM(O11:O50)</f>
        <v>1.0549999906050704</v>
      </c>
      <c r="P51" s="176">
        <f>SUM(P11:P50)</f>
        <v>1.0000000000000002</v>
      </c>
      <c r="Q51" s="172">
        <f>'Ridership-24'!B43/'Revenue Miles-24'!C43</f>
        <v>0.95494323136259107</v>
      </c>
      <c r="R51" s="173">
        <f>'Ridership-24'!C43/'Revenue Miles-24'!D43</f>
        <v>0.94516480852199081</v>
      </c>
      <c r="S51" s="173">
        <f>'Ridership-24'!D43/'Revenue Miles-24'!E43</f>
        <v>0.49283534368231213</v>
      </c>
      <c r="T51" s="173">
        <f>'Ridership-24'!E43/'Revenue Miles-24'!F43</f>
        <v>0.61981636789595917</v>
      </c>
      <c r="U51" s="174"/>
      <c r="V51" s="175">
        <f>SUM(V11:V50)</f>
        <v>1.0539020661932745</v>
      </c>
      <c r="W51" s="176">
        <f>SUM(W11:W50)</f>
        <v>1.0000000000000004</v>
      </c>
      <c r="X51" s="177">
        <f>'Op Cost-24'!B44/'Revenue Hours-24'!C43</f>
        <v>101.23415773619254</v>
      </c>
      <c r="Y51" s="178">
        <f>'Op Cost-24'!C44/'Revenue Hours-24'!D43</f>
        <v>103.16343259700481</v>
      </c>
      <c r="Z51" s="178">
        <f>'Op Cost-24'!D44/'Revenue Hours-24'!E43</f>
        <v>125.95961510933006</v>
      </c>
      <c r="AA51" s="178">
        <f>'Op Cost-24'!E44/'Revenue Hours-24'!F43</f>
        <v>126.23027057650225</v>
      </c>
      <c r="AB51" s="174"/>
      <c r="AC51" s="175">
        <f>SUM(AC11:AC50)</f>
        <v>0.99445769347951163</v>
      </c>
      <c r="AD51" s="176">
        <f>SUM(AD11:AD50)</f>
        <v>1</v>
      </c>
      <c r="AE51" s="177">
        <f>'Op Cost-24'!B44/'Revenue Miles-24'!C43</f>
        <v>7.1172204416743412</v>
      </c>
      <c r="AF51" s="178">
        <f>'Op Cost-24'!C44/'Revenue Miles-24'!D43</f>
        <v>7.2084107413060252</v>
      </c>
      <c r="AG51" s="178">
        <f>'Op Cost-24'!D44/'Revenue Miles-24'!E43</f>
        <v>8.9330461372962819</v>
      </c>
      <c r="AH51" s="178">
        <f>'Op Cost-24'!E44/'Revenue Miles-24'!F43</f>
        <v>8.7383358378650051</v>
      </c>
      <c r="AI51" s="174"/>
      <c r="AJ51" s="175">
        <f>SUM(AJ11:AJ50)</f>
        <v>0.9988710833343929</v>
      </c>
      <c r="AK51" s="176">
        <f>SUM(AK11:AK50)</f>
        <v>1.0000000000000002</v>
      </c>
      <c r="AL51" s="177">
        <f>'Op Cost-24'!B44/'Ridership-24'!B43</f>
        <v>7.453029884843426</v>
      </c>
      <c r="AM51" s="178">
        <f>'Op Cost-24'!C44/'Ridership-24'!C43</f>
        <v>7.6266177880429513</v>
      </c>
      <c r="AN51" s="178">
        <f>'Op Cost-24'!D44/'Ridership-24'!D43</f>
        <v>18.125822857085176</v>
      </c>
      <c r="AO51" s="178">
        <f>'Op Cost-24'!E44/'Ridership-24'!E43</f>
        <v>14.098265696868143</v>
      </c>
      <c r="AP51" s="179"/>
      <c r="AQ51" s="175">
        <f>SUM(AQ11:AQ50)</f>
        <v>0.9446184002778345</v>
      </c>
      <c r="AR51" s="176">
        <f>SUM(AR11:AR50)</f>
        <v>1</v>
      </c>
      <c r="AT51" s="180">
        <f>SUM(AT11:AT50)</f>
        <v>0</v>
      </c>
      <c r="AU51" s="181">
        <f>SUM(AU11:AU50)</f>
        <v>0</v>
      </c>
      <c r="AV51" s="181">
        <f>SUM(AV11:AV50)</f>
        <v>0</v>
      </c>
      <c r="AW51" s="181">
        <f>SUM(AW11:AW50)</f>
        <v>0</v>
      </c>
      <c r="AX51" s="182">
        <f>SUM(AX11:AX50)</f>
        <v>0</v>
      </c>
      <c r="AZ51" s="183">
        <f t="shared" si="21"/>
        <v>0</v>
      </c>
      <c r="BA51" s="184">
        <f t="shared" si="21"/>
        <v>0</v>
      </c>
      <c r="BB51" s="184">
        <f t="shared" si="21"/>
        <v>0</v>
      </c>
      <c r="BC51" s="184">
        <f t="shared" si="21"/>
        <v>0</v>
      </c>
      <c r="BD51" s="184">
        <f t="shared" si="21"/>
        <v>0</v>
      </c>
      <c r="BE51" s="185">
        <f>SUM(BE11:BE50)</f>
        <v>126602859.5999999</v>
      </c>
      <c r="BG51" s="186">
        <f>'Op Cost-24'!E44</f>
        <v>557924668</v>
      </c>
      <c r="BH51" s="187"/>
      <c r="BI51" s="188">
        <f>SUM(BI11:BI50)</f>
        <v>120628140.89100738</v>
      </c>
      <c r="BJ51" s="189">
        <f>SUM(BJ11:BJ50)</f>
        <v>5974718.7089925185</v>
      </c>
      <c r="BO51" s="190">
        <f>SUM(BO11:BO50)</f>
        <v>90560229.496094242</v>
      </c>
      <c r="BP51" s="191">
        <f>SUM(BP11:BP50)</f>
        <v>1.2495685682906275</v>
      </c>
      <c r="BQ51" s="191">
        <f>SUM(BQ11:BQ50)</f>
        <v>0.60692877359909014</v>
      </c>
      <c r="BR51" s="192">
        <f>SUM(BR11:BR50)</f>
        <v>0.99999999999999956</v>
      </c>
      <c r="BS51" s="192">
        <f>SUM(BS11:BS50)</f>
        <v>133266167.99999994</v>
      </c>
      <c r="BT51" s="192"/>
      <c r="BU51" s="192"/>
      <c r="BV51" s="192">
        <f>SUM(BV11:BV50)</f>
        <v>2265034.2168515683</v>
      </c>
      <c r="BW51" s="191">
        <f>SUM(BW11:BW50)</f>
        <v>0.45635931118246803</v>
      </c>
      <c r="BX51" s="192">
        <f t="shared" ref="BX51" si="61">IF($BX$52=0,1,BW51/$BX$52)</f>
        <v>1</v>
      </c>
      <c r="BY51" s="193">
        <f>SUM(BY11:BY50)</f>
        <v>133266167.99999993</v>
      </c>
      <c r="BZ51" s="194">
        <f>SUM(BZ11:BZ50)</f>
        <v>1684221443895549.8</v>
      </c>
      <c r="CA51" s="189">
        <f>SUM(CA11:CA50)</f>
        <v>1684221564523691</v>
      </c>
      <c r="CC51" s="195">
        <f>SUM(CC11:CC50)</f>
        <v>39</v>
      </c>
      <c r="CE51" s="196">
        <f>SUM(CE11:CE50)</f>
        <v>557924668</v>
      </c>
      <c r="CF51" s="197"/>
      <c r="CG51" s="198">
        <f>SUM(CG11:CG50)</f>
        <v>167377400.40000004</v>
      </c>
      <c r="CH51" s="199">
        <f t="shared" si="47"/>
        <v>1684221397146290.5</v>
      </c>
      <c r="CI51" s="1"/>
      <c r="CJ51" s="200">
        <f>SUM(CJ11:CJ50)</f>
        <v>0</v>
      </c>
      <c r="CK51" s="201" t="e">
        <f t="shared" si="49"/>
        <v>#DIV/0!</v>
      </c>
      <c r="CL51" s="202" t="e">
        <f t="shared" si="50"/>
        <v>#DIV/0!</v>
      </c>
      <c r="CM51" s="203" t="e">
        <f>ROUND((CL51+CG51),0)+2</f>
        <v>#DIV/0!</v>
      </c>
      <c r="CN51" s="1"/>
      <c r="CO51" s="204" t="e">
        <f>CM51/CE51</f>
        <v>#DIV/0!</v>
      </c>
      <c r="CP51" s="171">
        <f>SUM(CP11:CP50)</f>
        <v>4</v>
      </c>
      <c r="CS51" s="205">
        <f>SUM(CS11:CS50)</f>
        <v>0.99999999999999967</v>
      </c>
    </row>
    <row r="52" spans="1:97">
      <c r="BP52" s="206">
        <f>BP51-BP34</f>
        <v>1.2192909325929808</v>
      </c>
    </row>
    <row r="55" spans="1:97">
      <c r="B55" s="1">
        <v>1</v>
      </c>
      <c r="C55" s="1">
        <f>B55+1</f>
        <v>2</v>
      </c>
      <c r="D55" s="1">
        <f t="shared" ref="D55:BO55" si="62">C55+1</f>
        <v>3</v>
      </c>
      <c r="E55" s="1">
        <f t="shared" si="62"/>
        <v>4</v>
      </c>
      <c r="F55" s="1">
        <f t="shared" si="62"/>
        <v>5</v>
      </c>
      <c r="G55" s="1">
        <f t="shared" si="62"/>
        <v>6</v>
      </c>
      <c r="H55" s="1">
        <f t="shared" si="62"/>
        <v>7</v>
      </c>
      <c r="I55" s="1">
        <f t="shared" si="62"/>
        <v>8</v>
      </c>
      <c r="J55" s="1">
        <f t="shared" si="62"/>
        <v>9</v>
      </c>
      <c r="K55" s="1">
        <f t="shared" si="62"/>
        <v>10</v>
      </c>
      <c r="L55" s="1">
        <f t="shared" si="62"/>
        <v>11</v>
      </c>
      <c r="M55" s="1">
        <f t="shared" si="62"/>
        <v>12</v>
      </c>
      <c r="N55" s="1">
        <f t="shared" si="62"/>
        <v>13</v>
      </c>
      <c r="O55" s="1">
        <f t="shared" si="62"/>
        <v>14</v>
      </c>
      <c r="P55" s="1">
        <f t="shared" si="62"/>
        <v>15</v>
      </c>
      <c r="Q55" s="1">
        <f t="shared" si="62"/>
        <v>16</v>
      </c>
      <c r="R55" s="1">
        <f t="shared" si="62"/>
        <v>17</v>
      </c>
      <c r="S55" s="1">
        <f t="shared" si="62"/>
        <v>18</v>
      </c>
      <c r="T55" s="1">
        <f t="shared" si="62"/>
        <v>19</v>
      </c>
      <c r="U55" s="1">
        <f t="shared" si="62"/>
        <v>20</v>
      </c>
      <c r="V55" s="1">
        <f t="shared" si="62"/>
        <v>21</v>
      </c>
      <c r="W55" s="1">
        <f t="shared" si="62"/>
        <v>22</v>
      </c>
      <c r="X55" s="1">
        <f t="shared" si="62"/>
        <v>23</v>
      </c>
      <c r="Y55" s="1">
        <f t="shared" si="62"/>
        <v>24</v>
      </c>
      <c r="Z55" s="1">
        <f t="shared" si="62"/>
        <v>25</v>
      </c>
      <c r="AA55" s="1">
        <f t="shared" si="62"/>
        <v>26</v>
      </c>
      <c r="AB55" s="1">
        <f t="shared" si="62"/>
        <v>27</v>
      </c>
      <c r="AC55" s="1">
        <f t="shared" si="62"/>
        <v>28</v>
      </c>
      <c r="AD55" s="1">
        <f t="shared" si="62"/>
        <v>29</v>
      </c>
      <c r="AE55" s="1">
        <f t="shared" si="62"/>
        <v>30</v>
      </c>
      <c r="AF55" s="1">
        <f t="shared" si="62"/>
        <v>31</v>
      </c>
      <c r="AG55" s="1">
        <f t="shared" si="62"/>
        <v>32</v>
      </c>
      <c r="AH55" s="1">
        <f t="shared" si="62"/>
        <v>33</v>
      </c>
      <c r="AI55" s="1">
        <f t="shared" si="62"/>
        <v>34</v>
      </c>
      <c r="AJ55" s="1">
        <f t="shared" si="62"/>
        <v>35</v>
      </c>
      <c r="AK55" s="1">
        <f t="shared" si="62"/>
        <v>36</v>
      </c>
      <c r="AL55" s="1">
        <f t="shared" si="62"/>
        <v>37</v>
      </c>
      <c r="AM55" s="1">
        <f t="shared" si="62"/>
        <v>38</v>
      </c>
      <c r="AN55" s="1">
        <f t="shared" si="62"/>
        <v>39</v>
      </c>
      <c r="AO55" s="1">
        <f t="shared" si="62"/>
        <v>40</v>
      </c>
      <c r="AP55" s="1">
        <f t="shared" si="62"/>
        <v>41</v>
      </c>
      <c r="AQ55" s="1">
        <f t="shared" si="62"/>
        <v>42</v>
      </c>
      <c r="AR55" s="1">
        <f t="shared" si="62"/>
        <v>43</v>
      </c>
      <c r="AS55" s="1">
        <f t="shared" si="62"/>
        <v>44</v>
      </c>
      <c r="AT55" s="1">
        <f t="shared" si="62"/>
        <v>45</v>
      </c>
      <c r="AU55" s="1">
        <f t="shared" si="62"/>
        <v>46</v>
      </c>
      <c r="AV55" s="1">
        <f t="shared" si="62"/>
        <v>47</v>
      </c>
      <c r="AW55" s="1">
        <f t="shared" si="62"/>
        <v>48</v>
      </c>
      <c r="AX55" s="1">
        <f t="shared" si="62"/>
        <v>49</v>
      </c>
      <c r="AY55" s="1">
        <f t="shared" si="62"/>
        <v>50</v>
      </c>
      <c r="AZ55" s="1">
        <f t="shared" si="62"/>
        <v>51</v>
      </c>
      <c r="BA55" s="1">
        <f t="shared" si="62"/>
        <v>52</v>
      </c>
      <c r="BB55" s="1">
        <f t="shared" si="62"/>
        <v>53</v>
      </c>
      <c r="BC55" s="1">
        <f t="shared" si="62"/>
        <v>54</v>
      </c>
      <c r="BD55" s="1">
        <f t="shared" si="62"/>
        <v>55</v>
      </c>
      <c r="BE55" s="1">
        <f t="shared" si="62"/>
        <v>56</v>
      </c>
      <c r="BF55" s="1">
        <f t="shared" si="62"/>
        <v>57</v>
      </c>
      <c r="BG55" s="1">
        <f t="shared" si="62"/>
        <v>58</v>
      </c>
      <c r="BH55" s="1">
        <f t="shared" si="62"/>
        <v>59</v>
      </c>
      <c r="BI55" s="1">
        <f t="shared" si="62"/>
        <v>60</v>
      </c>
      <c r="BJ55" s="1">
        <f t="shared" si="62"/>
        <v>61</v>
      </c>
      <c r="BK55" s="1">
        <f t="shared" si="62"/>
        <v>62</v>
      </c>
      <c r="BL55" s="1">
        <f t="shared" si="62"/>
        <v>63</v>
      </c>
      <c r="BM55" s="1">
        <f t="shared" si="62"/>
        <v>64</v>
      </c>
      <c r="BN55" s="1">
        <f t="shared" si="62"/>
        <v>65</v>
      </c>
      <c r="BO55" s="1">
        <f t="shared" si="62"/>
        <v>66</v>
      </c>
      <c r="BP55" s="1">
        <f t="shared" ref="BP55:BQ55" si="63">BO55+1</f>
        <v>67</v>
      </c>
      <c r="BQ55" s="1">
        <f t="shared" si="63"/>
        <v>68</v>
      </c>
    </row>
  </sheetData>
  <autoFilter ref="A10:CO10" xr:uid="{00000000-0001-0000-0F00-000000000000}"/>
  <mergeCells count="1">
    <mergeCell ref="CJ3:CM3"/>
  </mergeCells>
  <conditionalFormatting sqref="BK11:BK50">
    <cfRule type="cellIs" dxfId="7" priority="1" operator="greaterThan">
      <formula>0.93</formula>
    </cfRule>
  </conditionalFormatting>
  <conditionalFormatting sqref="CC51">
    <cfRule type="cellIs" dxfId="6" priority="2" operator="notEqual">
      <formula>0</formula>
    </cfRule>
  </conditionalFormatting>
  <printOptions horizontalCentered="1"/>
  <pageMargins left="0.25" right="0.25" top="0.75" bottom="0.75" header="0.3" footer="0.3"/>
  <pageSetup paperSize="17" scale="16" orientation="landscape" r:id="rId1"/>
  <headerFooter alignWithMargins="0">
    <oddFooter>&amp;L&amp;F&amp;R&amp;D</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1A5CE-BBB2-4E12-9FB4-095757CC7CB1}">
  <sheetPr>
    <tabColor theme="7" tint="0.59999389629810485"/>
    <pageSetUpPr fitToPage="1"/>
  </sheetPr>
  <dimension ref="A1:CS55"/>
  <sheetViews>
    <sheetView zoomScale="80" zoomScaleNormal="80" workbookViewId="0">
      <pane xSplit="2" topLeftCell="C1" activePane="topRight" state="frozen"/>
      <selection activeCell="A2" sqref="A2"/>
      <selection pane="topRight" activeCell="A2" sqref="A2"/>
    </sheetView>
  </sheetViews>
  <sheetFormatPr defaultColWidth="9.28515625" defaultRowHeight="14.25"/>
  <cols>
    <col min="1" max="1" width="13.28515625" style="10" customWidth="1"/>
    <col min="2" max="2" width="40.140625" style="1" customWidth="1"/>
    <col min="3" max="3" width="21.28515625" style="1" customWidth="1"/>
    <col min="4" max="4" width="17.42578125" style="1" customWidth="1"/>
    <col min="5" max="5" width="14.28515625" style="1" customWidth="1"/>
    <col min="6" max="6" width="13.5703125" style="1" customWidth="1"/>
    <col min="7" max="7" width="9.28515625" style="1" customWidth="1"/>
    <col min="8" max="8" width="17.42578125" style="4" customWidth="1"/>
    <col min="9" max="9" width="9.28515625" style="1" customWidth="1"/>
    <col min="10" max="10" width="8.7109375" style="1" customWidth="1"/>
    <col min="11" max="11" width="11.5703125" style="1" customWidth="1"/>
    <col min="12" max="13" width="8.7109375" style="1" customWidth="1"/>
    <col min="14" max="16" width="15.7109375" style="1" customWidth="1"/>
    <col min="17" max="20" width="8.7109375" style="1" customWidth="1"/>
    <col min="21" max="22" width="15.7109375" style="1" customWidth="1"/>
    <col min="23" max="23" width="15.7109375" style="5" customWidth="1"/>
    <col min="24" max="27" width="10.7109375" style="1" customWidth="1"/>
    <col min="28" max="29" width="15.7109375" style="1" customWidth="1"/>
    <col min="30" max="30" width="15.7109375" style="5" customWidth="1"/>
    <col min="31" max="34" width="8.7109375" style="1" customWidth="1"/>
    <col min="35" max="36" width="15.7109375" style="1" customWidth="1"/>
    <col min="37" max="37" width="15.7109375" style="5" customWidth="1"/>
    <col min="38" max="40" width="8.7109375" style="1" customWidth="1"/>
    <col min="41" max="41" width="9.28515625" style="1" customWidth="1"/>
    <col min="42" max="43" width="15.7109375" style="1" customWidth="1"/>
    <col min="44" max="44" width="15.7109375" style="5" customWidth="1"/>
    <col min="45" max="45" width="9.28515625" style="1" customWidth="1"/>
    <col min="46" max="50" width="17.7109375" style="1" customWidth="1"/>
    <col min="51" max="51" width="9.28515625" style="1" customWidth="1"/>
    <col min="52" max="52" width="20.28515625" style="1" customWidth="1"/>
    <col min="53" max="57" width="17.7109375" style="1" customWidth="1"/>
    <col min="58" max="58" width="9.28515625" style="1" customWidth="1"/>
    <col min="59" max="59" width="16.5703125" style="6" customWidth="1"/>
    <col min="60" max="60" width="18.5703125" style="1" customWidth="1"/>
    <col min="61" max="61" width="23.5703125" style="1" customWidth="1"/>
    <col min="62" max="62" width="15" style="1" customWidth="1"/>
    <col min="63" max="66" width="9.28515625" style="1" customWidth="1"/>
    <col min="67" max="77" width="21.7109375" style="1" customWidth="1"/>
    <col min="78" max="78" width="22.7109375" style="1" customWidth="1"/>
    <col min="79" max="79" width="22.7109375" style="8" customWidth="1"/>
    <col min="80" max="80" width="10" style="1" customWidth="1"/>
    <col min="81" max="81" width="23.7109375" style="1" customWidth="1"/>
    <col min="82" max="82" width="12.42578125" style="1" customWidth="1"/>
    <col min="83" max="83" width="14.85546875" style="1" customWidth="1"/>
    <col min="84" max="84" width="15.140625" style="1" customWidth="1"/>
    <col min="85" max="86" width="18.28515625" style="1" customWidth="1"/>
    <col min="87" max="87" width="9.28515625" style="1" customWidth="1"/>
    <col min="88" max="89" width="21.7109375" style="1" customWidth="1"/>
    <col min="90" max="90" width="18.42578125" style="1" customWidth="1"/>
    <col min="91" max="91" width="18.42578125" style="8" customWidth="1"/>
    <col min="92" max="92" width="9.28515625" style="1" customWidth="1"/>
    <col min="93" max="93" width="9.28515625" style="9" customWidth="1"/>
    <col min="94" max="16384" width="9.28515625" style="1"/>
  </cols>
  <sheetData>
    <row r="1" spans="1:97" ht="20.25">
      <c r="A1" s="370" t="s">
        <v>439</v>
      </c>
    </row>
    <row r="2" spans="1:97" ht="17.25">
      <c r="A2" s="1149" t="str" cm="1">
        <f t="array" aca="1" ref="A2" ca="1">"Scenario "&amp;MID(CELL("filename",A1),FIND("]",CELL("filename",A1))+1,500)</f>
        <v>Scenario S6C-Cost-24</v>
      </c>
      <c r="B2" s="11"/>
    </row>
    <row r="3" spans="1:97" ht="15" customHeight="1">
      <c r="A3" s="11"/>
      <c r="B3" s="11"/>
      <c r="C3" s="2" t="s">
        <v>0</v>
      </c>
      <c r="F3" s="3"/>
      <c r="BO3" s="7" t="s">
        <v>1</v>
      </c>
      <c r="BP3" s="7"/>
      <c r="BQ3" s="7"/>
      <c r="BR3" s="7"/>
      <c r="BS3" s="7"/>
      <c r="BT3" s="7"/>
      <c r="BU3" s="7"/>
      <c r="BV3" s="7"/>
      <c r="BW3" s="7"/>
      <c r="BX3" s="7"/>
      <c r="CJ3" s="1166" t="s">
        <v>2</v>
      </c>
      <c r="CK3" s="1166"/>
      <c r="CL3" s="1166"/>
      <c r="CM3" s="1166"/>
    </row>
    <row r="4" spans="1:97" ht="15" customHeight="1">
      <c r="A4" s="11"/>
      <c r="B4" s="11"/>
      <c r="C4" s="12">
        <v>5.592864339467718E-2</v>
      </c>
      <c r="D4" s="13"/>
      <c r="E4" s="10"/>
      <c r="F4" s="14"/>
      <c r="H4" s="15"/>
      <c r="L4" s="16"/>
      <c r="N4" s="17"/>
      <c r="O4" s="17"/>
      <c r="R4" s="16"/>
      <c r="Y4" s="16"/>
      <c r="AF4" s="16"/>
      <c r="AM4" s="16"/>
    </row>
    <row r="5" spans="1:97" ht="15" customHeight="1">
      <c r="A5" s="11"/>
      <c r="B5" s="11"/>
      <c r="C5" s="18" t="s">
        <v>3</v>
      </c>
      <c r="D5" s="19"/>
      <c r="E5" s="20"/>
      <c r="F5" s="21"/>
      <c r="H5" s="15"/>
      <c r="L5" s="16"/>
      <c r="N5" s="17"/>
      <c r="O5" s="17"/>
      <c r="R5" s="16"/>
      <c r="Y5" s="16"/>
      <c r="AF5" s="16"/>
      <c r="AM5" s="16"/>
      <c r="AT5" s="22" t="s">
        <v>4</v>
      </c>
      <c r="AU5" s="23"/>
      <c r="AV5" s="23"/>
      <c r="AW5" s="23"/>
      <c r="AX5" s="24"/>
      <c r="AZ5" s="25" t="s">
        <v>5</v>
      </c>
      <c r="BI5" s="25" t="s">
        <v>6</v>
      </c>
      <c r="BO5" s="25" t="s">
        <v>7</v>
      </c>
      <c r="BP5" s="7"/>
      <c r="BQ5" s="7"/>
      <c r="BR5" s="7"/>
      <c r="BS5" s="7"/>
      <c r="BT5" s="7"/>
      <c r="BU5" s="7"/>
      <c r="BV5" s="7"/>
      <c r="BW5" s="7"/>
      <c r="BX5" s="7"/>
      <c r="CK5" s="25" t="s">
        <v>7</v>
      </c>
    </row>
    <row r="6" spans="1:97">
      <c r="B6" s="26"/>
      <c r="C6" s="27">
        <v>0.35</v>
      </c>
      <c r="D6" s="27">
        <v>0.35</v>
      </c>
      <c r="E6" s="27">
        <v>0.15</v>
      </c>
      <c r="F6" s="27">
        <v>0.15</v>
      </c>
      <c r="H6" s="15"/>
      <c r="L6" s="16"/>
      <c r="N6" s="17"/>
      <c r="O6" s="17"/>
      <c r="R6" s="16"/>
      <c r="Y6" s="16"/>
      <c r="AF6" s="16"/>
      <c r="AM6" s="16"/>
      <c r="AT6" s="28">
        <v>0</v>
      </c>
      <c r="AU6" s="28">
        <v>0</v>
      </c>
      <c r="AV6" s="28">
        <v>0</v>
      </c>
      <c r="AW6" s="28">
        <v>0</v>
      </c>
      <c r="AX6" s="28">
        <v>0</v>
      </c>
      <c r="AY6" s="29"/>
      <c r="AZ6" s="30">
        <f>133266168*(1-AY8)</f>
        <v>126602859.59999999</v>
      </c>
      <c r="BA6" s="1" t="s">
        <v>8</v>
      </c>
      <c r="BI6" s="28">
        <v>0.3</v>
      </c>
      <c r="BO6" s="31">
        <f>$BJ$51+AZ8</f>
        <v>12573199.080400638</v>
      </c>
      <c r="BP6" s="32"/>
      <c r="BQ6" s="32"/>
      <c r="BR6" s="32"/>
      <c r="BS6" s="32"/>
      <c r="BT6" s="32"/>
      <c r="BU6" s="33">
        <v>0.3</v>
      </c>
      <c r="BV6" s="32"/>
      <c r="BW6" s="32"/>
      <c r="BX6" s="32"/>
      <c r="CK6" s="31">
        <f>CH51</f>
        <v>1675582014261686.5</v>
      </c>
    </row>
    <row r="7" spans="1:97" ht="15" customHeight="1" thickBot="1">
      <c r="A7" s="34" t="s">
        <v>9</v>
      </c>
      <c r="G7" s="35"/>
      <c r="BO7" s="16">
        <v>0.25</v>
      </c>
      <c r="BP7" s="16">
        <v>0.25</v>
      </c>
      <c r="BQ7" s="16">
        <v>0.5</v>
      </c>
    </row>
    <row r="8" spans="1:97" s="29" customFormat="1">
      <c r="A8" s="36"/>
      <c r="B8" s="37"/>
      <c r="C8" s="38" t="s">
        <v>10</v>
      </c>
      <c r="D8" s="39"/>
      <c r="E8" s="39"/>
      <c r="F8" s="39"/>
      <c r="G8" s="40"/>
      <c r="H8" s="41"/>
      <c r="J8" s="42" t="s">
        <v>11</v>
      </c>
      <c r="K8" s="43"/>
      <c r="L8" s="43"/>
      <c r="M8" s="43"/>
      <c r="N8" s="43"/>
      <c r="O8" s="43"/>
      <c r="P8" s="44"/>
      <c r="Q8" s="42" t="s">
        <v>12</v>
      </c>
      <c r="R8" s="43"/>
      <c r="S8" s="43"/>
      <c r="T8" s="43"/>
      <c r="U8" s="43"/>
      <c r="V8" s="43"/>
      <c r="W8" s="44"/>
      <c r="X8" s="42" t="s">
        <v>13</v>
      </c>
      <c r="Y8" s="43"/>
      <c r="Z8" s="43"/>
      <c r="AA8" s="43"/>
      <c r="AB8" s="43"/>
      <c r="AC8" s="43"/>
      <c r="AD8" s="44"/>
      <c r="AE8" s="42" t="s">
        <v>14</v>
      </c>
      <c r="AF8" s="43"/>
      <c r="AG8" s="43"/>
      <c r="AH8" s="43"/>
      <c r="AI8" s="43"/>
      <c r="AJ8" s="43"/>
      <c r="AK8" s="44"/>
      <c r="AL8" s="42" t="s">
        <v>15</v>
      </c>
      <c r="AM8" s="43"/>
      <c r="AN8" s="43"/>
      <c r="AO8" s="43"/>
      <c r="AP8" s="43"/>
      <c r="AQ8" s="43"/>
      <c r="AR8" s="44"/>
      <c r="AX8" s="45" t="s">
        <v>16</v>
      </c>
      <c r="AY8" s="16">
        <v>0.05</v>
      </c>
      <c r="AZ8" s="46">
        <f>133266168*AY8</f>
        <v>6663308.4000000004</v>
      </c>
      <c r="BA8" s="46"/>
      <c r="BB8" s="46"/>
      <c r="BC8" s="46"/>
      <c r="BD8" s="46"/>
      <c r="BG8" s="47"/>
      <c r="BO8" s="48" t="s">
        <v>17</v>
      </c>
      <c r="BP8" s="48"/>
      <c r="BQ8" s="48"/>
      <c r="BR8" s="48"/>
      <c r="BS8" s="48"/>
      <c r="BT8" s="48"/>
      <c r="BU8" s="48"/>
      <c r="BV8" s="48"/>
      <c r="BW8" s="48"/>
      <c r="BX8" s="48"/>
      <c r="BY8" s="48"/>
      <c r="BZ8" s="48"/>
      <c r="CA8" s="49" t="s">
        <v>18</v>
      </c>
      <c r="CB8" s="50">
        <f>AZ6-CA51</f>
        <v>-1675582055036227.5</v>
      </c>
      <c r="CJ8" s="48" t="s">
        <v>17</v>
      </c>
      <c r="CK8" s="48"/>
      <c r="CL8" s="48"/>
      <c r="CM8" s="49" t="s">
        <v>18</v>
      </c>
      <c r="CO8" s="51"/>
    </row>
    <row r="9" spans="1:97" s="29" customFormat="1" ht="15" thickBot="1">
      <c r="A9" s="52"/>
      <c r="B9" s="53" t="s">
        <v>19</v>
      </c>
      <c r="C9" s="54">
        <f>C$6</f>
        <v>0.35</v>
      </c>
      <c r="D9" s="54">
        <f>D$6</f>
        <v>0.35</v>
      </c>
      <c r="E9" s="54">
        <f>E$6</f>
        <v>0.15</v>
      </c>
      <c r="F9" s="54">
        <f>F$6</f>
        <v>0.15</v>
      </c>
      <c r="G9" s="54"/>
      <c r="H9" s="55"/>
      <c r="J9" s="56" t="s">
        <v>20</v>
      </c>
      <c r="K9" s="57"/>
      <c r="L9" s="57"/>
      <c r="M9" s="57"/>
      <c r="N9" s="57"/>
      <c r="O9" s="57"/>
      <c r="P9" s="58"/>
      <c r="Q9" s="56" t="s">
        <v>21</v>
      </c>
      <c r="R9" s="57"/>
      <c r="S9" s="57"/>
      <c r="T9" s="57"/>
      <c r="U9" s="57"/>
      <c r="V9" s="57"/>
      <c r="W9" s="58"/>
      <c r="X9" s="56" t="s">
        <v>22</v>
      </c>
      <c r="Y9" s="57"/>
      <c r="Z9" s="57"/>
      <c r="AA9" s="57"/>
      <c r="AB9" s="57"/>
      <c r="AC9" s="57"/>
      <c r="AD9" s="58"/>
      <c r="AE9" s="56" t="s">
        <v>23</v>
      </c>
      <c r="AF9" s="57"/>
      <c r="AG9" s="57"/>
      <c r="AH9" s="57"/>
      <c r="AI9" s="57"/>
      <c r="AJ9" s="57"/>
      <c r="AK9" s="58"/>
      <c r="AL9" s="56" t="s">
        <v>24</v>
      </c>
      <c r="AM9" s="57"/>
      <c r="AN9" s="57"/>
      <c r="AO9" s="57"/>
      <c r="AP9" s="57"/>
      <c r="AQ9" s="57"/>
      <c r="AR9" s="58"/>
      <c r="BG9" s="59" t="s">
        <v>25</v>
      </c>
      <c r="BO9" s="59" t="s">
        <v>26</v>
      </c>
      <c r="BP9" s="59"/>
      <c r="BQ9" s="59"/>
      <c r="BR9" s="59"/>
      <c r="BS9" s="59"/>
      <c r="BT9" s="59"/>
      <c r="BU9" s="59"/>
      <c r="BV9" s="59"/>
      <c r="BW9" s="59"/>
      <c r="BX9" s="59"/>
      <c r="CA9" s="60"/>
      <c r="CE9" s="59" t="s">
        <v>27</v>
      </c>
      <c r="CJ9" s="59" t="s">
        <v>28</v>
      </c>
      <c r="CM9" s="60"/>
      <c r="CO9" s="51"/>
    </row>
    <row r="10" spans="1:97" s="45" customFormat="1" ht="101.25" customHeight="1">
      <c r="A10" s="61" t="s">
        <v>29</v>
      </c>
      <c r="B10" s="62" t="s">
        <v>30</v>
      </c>
      <c r="C10" s="63" t="s">
        <v>31</v>
      </c>
      <c r="D10" s="64" t="s">
        <v>32</v>
      </c>
      <c r="E10" s="64" t="s">
        <v>33</v>
      </c>
      <c r="F10" s="64" t="s">
        <v>34</v>
      </c>
      <c r="G10" s="64" t="s">
        <v>35</v>
      </c>
      <c r="H10" s="65" t="s">
        <v>36</v>
      </c>
      <c r="J10" s="66">
        <v>2018</v>
      </c>
      <c r="K10" s="66">
        <v>2019</v>
      </c>
      <c r="L10" s="66">
        <v>2021</v>
      </c>
      <c r="M10" s="66">
        <v>2022</v>
      </c>
      <c r="N10" s="67" t="s">
        <v>37</v>
      </c>
      <c r="O10" s="67" t="s">
        <v>38</v>
      </c>
      <c r="P10" s="68" t="s">
        <v>39</v>
      </c>
      <c r="Q10" s="66">
        <v>2018</v>
      </c>
      <c r="R10" s="66">
        <v>2019</v>
      </c>
      <c r="S10" s="66">
        <v>2021</v>
      </c>
      <c r="T10" s="66">
        <v>2022</v>
      </c>
      <c r="U10" s="67" t="s">
        <v>40</v>
      </c>
      <c r="V10" s="67" t="s">
        <v>41</v>
      </c>
      <c r="W10" s="68" t="s">
        <v>39</v>
      </c>
      <c r="X10" s="66">
        <v>2018</v>
      </c>
      <c r="Y10" s="66">
        <v>2019</v>
      </c>
      <c r="Z10" s="66">
        <v>2021</v>
      </c>
      <c r="AA10" s="66">
        <v>2022</v>
      </c>
      <c r="AB10" s="67" t="s">
        <v>42</v>
      </c>
      <c r="AC10" s="67" t="s">
        <v>43</v>
      </c>
      <c r="AD10" s="68" t="s">
        <v>39</v>
      </c>
      <c r="AE10" s="66">
        <v>2018</v>
      </c>
      <c r="AF10" s="66">
        <v>2019</v>
      </c>
      <c r="AG10" s="66">
        <v>2021</v>
      </c>
      <c r="AH10" s="66">
        <v>2022</v>
      </c>
      <c r="AI10" s="67" t="s">
        <v>44</v>
      </c>
      <c r="AJ10" s="67" t="s">
        <v>45</v>
      </c>
      <c r="AK10" s="68" t="s">
        <v>39</v>
      </c>
      <c r="AL10" s="66">
        <v>2018</v>
      </c>
      <c r="AM10" s="66">
        <v>2019</v>
      </c>
      <c r="AN10" s="66">
        <v>2021</v>
      </c>
      <c r="AO10" s="66">
        <v>2022</v>
      </c>
      <c r="AP10" s="67" t="s">
        <v>46</v>
      </c>
      <c r="AQ10" s="67" t="s">
        <v>47</v>
      </c>
      <c r="AR10" s="68" t="s">
        <v>39</v>
      </c>
      <c r="AT10" s="69" t="s">
        <v>48</v>
      </c>
      <c r="AU10" s="70" t="s">
        <v>49</v>
      </c>
      <c r="AV10" s="70" t="s">
        <v>50</v>
      </c>
      <c r="AW10" s="70" t="s">
        <v>51</v>
      </c>
      <c r="AX10" s="71" t="s">
        <v>52</v>
      </c>
      <c r="AZ10" s="72" t="s">
        <v>53</v>
      </c>
      <c r="BA10" s="73" t="s">
        <v>54</v>
      </c>
      <c r="BB10" s="73" t="s">
        <v>55</v>
      </c>
      <c r="BC10" s="73" t="s">
        <v>56</v>
      </c>
      <c r="BD10" s="73" t="s">
        <v>57</v>
      </c>
      <c r="BE10" s="74" t="s">
        <v>58</v>
      </c>
      <c r="BG10" s="75" t="s">
        <v>59</v>
      </c>
      <c r="BH10" s="76" t="s">
        <v>60</v>
      </c>
      <c r="BI10" s="76" t="s">
        <v>61</v>
      </c>
      <c r="BJ10" s="77" t="s">
        <v>62</v>
      </c>
      <c r="BL10" s="78" t="s">
        <v>63</v>
      </c>
      <c r="BM10" s="78" t="s">
        <v>64</v>
      </c>
      <c r="BN10" s="78" t="s">
        <v>65</v>
      </c>
      <c r="BO10" s="75" t="s">
        <v>66</v>
      </c>
      <c r="BP10" s="79" t="s">
        <v>67</v>
      </c>
      <c r="BQ10" s="79" t="s">
        <v>68</v>
      </c>
      <c r="BR10" s="79" t="s">
        <v>69</v>
      </c>
      <c r="BS10" s="79" t="s">
        <v>70</v>
      </c>
      <c r="BT10" s="79" t="s">
        <v>71</v>
      </c>
      <c r="BU10" s="80" t="s">
        <v>72</v>
      </c>
      <c r="BV10" s="80" t="s">
        <v>73</v>
      </c>
      <c r="BW10" s="79" t="s">
        <v>74</v>
      </c>
      <c r="BX10" s="79" t="s">
        <v>75</v>
      </c>
      <c r="BY10" s="79" t="s">
        <v>76</v>
      </c>
      <c r="BZ10" s="76" t="s">
        <v>77</v>
      </c>
      <c r="CA10" s="81" t="s">
        <v>78</v>
      </c>
      <c r="CC10" s="82" t="s">
        <v>79</v>
      </c>
      <c r="CE10" s="83" t="s">
        <v>59</v>
      </c>
      <c r="CF10" s="84" t="s">
        <v>60</v>
      </c>
      <c r="CG10" s="84" t="s">
        <v>61</v>
      </c>
      <c r="CH10" s="85" t="s">
        <v>62</v>
      </c>
      <c r="CJ10" s="86" t="s">
        <v>66</v>
      </c>
      <c r="CK10" s="87" t="s">
        <v>80</v>
      </c>
      <c r="CL10" s="87" t="s">
        <v>77</v>
      </c>
      <c r="CM10" s="88" t="s">
        <v>78</v>
      </c>
      <c r="CO10" s="51" t="s">
        <v>81</v>
      </c>
    </row>
    <row r="11" spans="1:97">
      <c r="A11" s="89" t="s">
        <v>82</v>
      </c>
      <c r="B11" s="90" t="s">
        <v>83</v>
      </c>
      <c r="C11" s="208">
        <f>'Op Cost-24'!E4</f>
        <v>2305461</v>
      </c>
      <c r="D11" s="92">
        <f>'Ridership-24'!$E3</f>
        <v>97489</v>
      </c>
      <c r="E11" s="92">
        <f>'Revenue Hours-24'!$F3</f>
        <v>30762</v>
      </c>
      <c r="F11" s="92">
        <f>'Revenue Miles-24'!$F3</f>
        <v>634178</v>
      </c>
      <c r="G11" s="93">
        <f t="shared" ref="G11:G33" si="0">IFERROR($C$9*(C11/C$51),0) + IFERROR($D$9*(D11/D$51),0) + IFERROR($E$9*(E11/E$51),0) + IFERROR($F$9*(F11/F$51),0)</f>
        <v>5.1804858844442178E-3</v>
      </c>
      <c r="H11" s="94">
        <f t="shared" ref="H11:H33" si="1">G11/(SUM($G$11:$G$50)-$G$34)*(1-$G$34)</f>
        <v>4.890748336801979E-3</v>
      </c>
      <c r="J11" s="95">
        <f>'Ridership-24'!B3/'Revenue Hours-24'!C3</f>
        <v>4.2981751308530205</v>
      </c>
      <c r="K11" s="96">
        <f>'Ridership-24'!C3/'Revenue Hours-24'!D3</f>
        <v>4.5693508022964817</v>
      </c>
      <c r="L11" s="96">
        <f>'Ridership-24'!D3/'Revenue Hours-24'!E3</f>
        <v>3.0233116215289679</v>
      </c>
      <c r="M11" s="96">
        <f>'Ridership-24'!E3/'Revenue Hours-24'!F3</f>
        <v>3.1691372472531043</v>
      </c>
      <c r="N11" s="97">
        <f t="shared" ref="N11:N50" si="2">IF(J11=0,IF(K11=0,1,AVERAGE(1,(L11/K11)/($L$51/$K$51),(M11/L11)/($M$51/$L$51))), AVERAGE((K11/J11)/($K$51/$J$51),(L11/K11)/($L$51/$K$51),(M11/L11)/($M$51/$L$51)))</f>
        <v>1.056331491706916</v>
      </c>
      <c r="O11" s="98">
        <f t="shared" ref="O11:O50" si="3">$H11*N11</f>
        <v>5.1662514861771525E-3</v>
      </c>
      <c r="P11" s="99">
        <f t="shared" ref="P11:P50" si="4">O11/SUM($O$11:$O$50)</f>
        <v>4.9572105258444141E-3</v>
      </c>
      <c r="Q11" s="95">
        <f>'Ridership-24'!B3/'Revenue Miles-24'!C3</f>
        <v>0.20104759295799438</v>
      </c>
      <c r="R11" s="96">
        <f>'Ridership-24'!C3/'Revenue Miles-24'!D3</f>
        <v>0.21529352848722441</v>
      </c>
      <c r="S11" s="96">
        <f>'Ridership-24'!D3/'Revenue Miles-24'!E3</f>
        <v>0.1472857600940598</v>
      </c>
      <c r="T11" s="96">
        <f>'Ridership-24'!E3/'Revenue Miles-24'!F3</f>
        <v>0.15372497942218116</v>
      </c>
      <c r="U11" s="97">
        <f t="shared" ref="U11:U50" si="5">IF(Q11=0,IF(R11=0,1,AVERAGE(1,(S11/R11)/($S$51/$R$51),(T11/S11)/($T$51/$S$51))), AVERAGE((R11/Q11)/($R$51/$Q$51),(S11/R11)/($S$51/$R$51),(T11/S11)/($T$51/$S$51)))</f>
        <v>1.0746120182687253</v>
      </c>
      <c r="V11" s="98">
        <f t="shared" ref="V11:V50" si="6">$H11*U11</f>
        <v>5.2556569410551861E-3</v>
      </c>
      <c r="W11" s="99">
        <f t="shared" ref="W11:W50" si="7">V11/SUM($V$11:$V$50)</f>
        <v>5.0607217772137498E-3</v>
      </c>
      <c r="X11" s="95">
        <f>'Op Cost-24'!B4/'Revenue Hours-24'!C3</f>
        <v>46.229197906351679</v>
      </c>
      <c r="Y11" s="96">
        <f>'Op Cost-24'!C4/'Revenue Hours-24'!D3</f>
        <v>50.181245399676136</v>
      </c>
      <c r="Z11" s="96">
        <f>'Op Cost-24'!D4/'Revenue Hours-24'!E3</f>
        <v>64.628076791223862</v>
      </c>
      <c r="AA11" s="96">
        <f>'Op Cost-24'!E4/'Revenue Hours-24'!F3</f>
        <v>74.945094597230351</v>
      </c>
      <c r="AB11" s="97">
        <f t="shared" ref="AB11:AB50" si="8">IF(X11=0,IF(Y11=0,1,AVERAGE(1,(Z11/Y11)/($Z$51/$Z$51),(AA11/Z11)/($AA$51/$Z$51))), AVERAGE((Y11/X11)/($Y$51/$X$51),(Z11/Y11)/($Z$51/$Y$51),(AA11/Z11)/($AA$51/$Z$51)))</f>
        <v>1.0923828812408631</v>
      </c>
      <c r="AC11" s="98">
        <f t="shared" ref="AC11:AC50" si="9">$H11*(1/AB11)</f>
        <v>4.4771374769682079E-3</v>
      </c>
      <c r="AD11" s="99">
        <f t="shared" ref="AD11:AD50" si="10">AC11/SUM($AC$11:$AC$50)</f>
        <v>4.5025383284219038E-3</v>
      </c>
      <c r="AE11" s="95">
        <f>'Op Cost-24'!B4/'Revenue Miles-24'!C3</f>
        <v>2.1623755851023705</v>
      </c>
      <c r="AF11" s="96">
        <f>'Op Cost-24'!C4/'Revenue Miles-24'!D3</f>
        <v>2.3643834438252824</v>
      </c>
      <c r="AG11" s="96">
        <f>'Op Cost-24'!D4/'Revenue Miles-24'!E3</f>
        <v>3.148466517916789</v>
      </c>
      <c r="AH11" s="96">
        <f>'Op Cost-24'!E4/'Revenue Miles-24'!F3</f>
        <v>3.6353531658304137</v>
      </c>
      <c r="AI11" s="97">
        <f t="shared" ref="AI11:AI50" si="11">IF(AE11=0,IF(AF11=0,1,AVERAGE(1,(AG11/AF11)/($AG$51/$AF$51),(AH11/AG11)/($AH$51/$AG$51))), AVERAGE((AF11/AE11)/($AF$51/$AE$51),(AG11/AF11)/($AG$51/$AF$51),(AH11/AG11)/($AH$51/$AG$51)))</f>
        <v>1.1114980012916114</v>
      </c>
      <c r="AJ11" s="98">
        <f t="shared" ref="AJ11:AJ50" si="12">$H11*(1/AI11)</f>
        <v>4.4001413687822259E-3</v>
      </c>
      <c r="AK11" s="99">
        <f t="shared" ref="AK11:AK50" si="13">AJ11/SUM($AJ$11:$AJ$50)</f>
        <v>4.4050315580701537E-3</v>
      </c>
      <c r="AL11" s="95">
        <f>'Op Cost-24'!B4/'Ridership-24'!B3</f>
        <v>10.755540781600722</v>
      </c>
      <c r="AM11" s="96">
        <f>'Op Cost-24'!C4/'Ridership-24'!C3</f>
        <v>10.982138945089499</v>
      </c>
      <c r="AN11" s="96">
        <f>'Op Cost-24'!D4/'Ridership-24'!D3</f>
        <v>21.37658464678535</v>
      </c>
      <c r="AO11" s="96">
        <f>'Op Cost-24'!E4/'Ridership-24'!E3</f>
        <v>23.64842187323698</v>
      </c>
      <c r="AP11" s="100">
        <f t="shared" ref="AP11:AP50" si="14">IF(AL11=0,IF(AM11=0,1,AVERAGE(1,(AN11/AM11)/($AN$51/$AM$51),(AO11/AN11)/($AO$51/$AN$51))), AVERAGE((AM11/AL11)/($AM$51/$AL$51),(AN11/AM11)/($AN$51/$AM$51),(AO11/AN11)/($AO$51/$AN$51)))</f>
        <v>1.0797154331714658</v>
      </c>
      <c r="AQ11" s="98">
        <f t="shared" ref="AQ11:AQ50" si="15">$H11*(1/AP11)</f>
        <v>4.5296641934961549E-3</v>
      </c>
      <c r="AR11" s="99">
        <f t="shared" ref="AR11:AR50" si="16">AQ11/SUM($AQ$11:$AQ$50)</f>
        <v>4.7967345657155096E-3</v>
      </c>
      <c r="AT11" s="101">
        <f>P11*AT$6</f>
        <v>0</v>
      </c>
      <c r="AU11" s="102">
        <f t="shared" ref="AU11:AU50" si="17">W11*AU$6</f>
        <v>0</v>
      </c>
      <c r="AV11" s="102">
        <f t="shared" ref="AV11:AV50" si="18">AD11*AV$6</f>
        <v>0</v>
      </c>
      <c r="AW11" s="102">
        <f t="shared" ref="AW11:AW50" si="19">AK11*AW$6</f>
        <v>0</v>
      </c>
      <c r="AX11" s="103">
        <f t="shared" ref="AX11:AX50" si="20">AR11*AX$6</f>
        <v>0</v>
      </c>
      <c r="AY11" s="104">
        <f>(SUM(AT11:AX11)-H11)/H11</f>
        <v>-1</v>
      </c>
      <c r="AZ11" s="105">
        <f t="shared" ref="AZ11:BD51" si="21">AT11*$AZ$6</f>
        <v>0</v>
      </c>
      <c r="BA11" s="106">
        <f t="shared" si="21"/>
        <v>0</v>
      </c>
      <c r="BB11" s="106">
        <f t="shared" si="21"/>
        <v>0</v>
      </c>
      <c r="BC11" s="106">
        <f t="shared" si="21"/>
        <v>0</v>
      </c>
      <c r="BD11" s="106">
        <f t="shared" si="21"/>
        <v>0</v>
      </c>
      <c r="BE11" s="107">
        <f>$AZ$6*H11</f>
        <v>619182.72502307442</v>
      </c>
      <c r="BG11" s="108">
        <f>'Op Cost-24'!E4</f>
        <v>2305461</v>
      </c>
      <c r="BH11" s="109">
        <f t="shared" ref="BH11:BH50" si="22">BE11/BG11</f>
        <v>0.26857219663359061</v>
      </c>
      <c r="BI11" s="110">
        <f t="shared" ref="BI11:BI50" si="23">IF(BE11&gt;BG11*$BI$6,BG11*$BI$6,BE11)</f>
        <v>619182.72502307442</v>
      </c>
      <c r="BJ11" s="111">
        <f t="shared" ref="BJ11:BJ50" si="24">BE11-BI11</f>
        <v>0</v>
      </c>
      <c r="BK11" s="1">
        <f>BL11*$BO$7+BM11*$BP$7+BN11*$BQ$7</f>
        <v>0.44857248597549548</v>
      </c>
      <c r="BL11" s="112">
        <f>M11/$M$51</f>
        <v>0.35395106686820826</v>
      </c>
      <c r="BM11" s="112">
        <f>T11/$T$51</f>
        <v>0.24801697306577913</v>
      </c>
      <c r="BN11" s="113">
        <f>(1/AO11)/(1/$AO$51)</f>
        <v>0.59616095198399732</v>
      </c>
      <c r="BO11" s="114">
        <f t="shared" ref="BO11:BO50" si="25">IF(OR(BJ11&gt;0,BH11&gt;=0.294),0,BI11)</f>
        <v>619182.72502307442</v>
      </c>
      <c r="BP11" s="115">
        <f>(BL11*$BO$7+BM11*$BP$7+BN11*$BQ$7)*H11</f>
        <v>2.1938551397197837E-3</v>
      </c>
      <c r="BQ11" s="116">
        <f>IF(BO11=0,0,BP11)</f>
        <v>2.1938551397197837E-3</v>
      </c>
      <c r="BR11" s="117">
        <f>BQ11/$BQ$51</f>
        <v>3.6953607518326733E-3</v>
      </c>
      <c r="BS11" s="118">
        <f>$BO$6*BR11+BI11</f>
        <v>665645.23142976558</v>
      </c>
      <c r="BT11" s="119">
        <f>BG11*$BU$6</f>
        <v>691638.29999999993</v>
      </c>
      <c r="BU11" s="119">
        <f>IF(BS11&lt;=BT11,BS11,BT11)</f>
        <v>665645.23142976558</v>
      </c>
      <c r="BV11" s="119">
        <f>BS11-BU11</f>
        <v>0</v>
      </c>
      <c r="BW11" s="120">
        <f>IF(AND(BV11=0, BJ11=0),BP11,0)</f>
        <v>2.1938551397197837E-3</v>
      </c>
      <c r="BX11" s="121">
        <f>IF($BW$51=0,1,BW11/$BW$51)</f>
        <v>4.8742783552716724E-3</v>
      </c>
      <c r="BY11" s="122">
        <f>$BV$51*BX11+BU11</f>
        <v>676506.71769061696</v>
      </c>
      <c r="BZ11" s="123">
        <f>BY11*$BO$6</f>
        <v>8505853640752.5195</v>
      </c>
      <c r="CA11" s="111">
        <f>ROUND((BZ11+BI11),0)</f>
        <v>8505854259935</v>
      </c>
      <c r="CC11" s="124">
        <f t="shared" ref="CC11:CC50" si="26">IF(CA11&gt;($BI$6*BG11),1,0)</f>
        <v>1</v>
      </c>
      <c r="CD11" s="17"/>
      <c r="CE11" s="108">
        <f>BG11</f>
        <v>2305461</v>
      </c>
      <c r="CF11" s="125">
        <f>CA11/BG11</f>
        <v>3689437.4964204556</v>
      </c>
      <c r="CG11" s="110">
        <f>IF(CA11&gt;BG11*$BI$6,BG11*$BI$6,CA11)</f>
        <v>691638.29999999993</v>
      </c>
      <c r="CH11" s="126">
        <f>CA11-CG11</f>
        <v>8505853568296.7002</v>
      </c>
      <c r="CJ11" s="127">
        <f>IF(OR(CH11&gt;0,CF11&gt;=0.294),0,CG11)</f>
        <v>0</v>
      </c>
      <c r="CK11" s="128" t="e">
        <f>CJ11/$CJ$51</f>
        <v>#DIV/0!</v>
      </c>
      <c r="CL11" s="129" t="e">
        <f>CK11*$CK$6</f>
        <v>#DIV/0!</v>
      </c>
      <c r="CM11" s="130" t="e">
        <f>ROUND((CL11+CG11),0)+2</f>
        <v>#DIV/0!</v>
      </c>
      <c r="CO11" s="131" t="e">
        <f>CM11/CE11</f>
        <v>#DIV/0!</v>
      </c>
      <c r="CP11" s="1">
        <f>IF(BY11&lt;=BG11*$BU$6, 0, 1)</f>
        <v>0</v>
      </c>
      <c r="CQ11" s="132">
        <f>BY11/BG11</f>
        <v>0.29343663488153432</v>
      </c>
      <c r="CS11" s="104">
        <f>BP11/$BP$51</f>
        <v>1.7702540283726477E-3</v>
      </c>
    </row>
    <row r="12" spans="1:97">
      <c r="A12" s="133" t="s">
        <v>82</v>
      </c>
      <c r="B12" s="90" t="s">
        <v>84</v>
      </c>
      <c r="C12" s="208">
        <f>'Op Cost-24'!E5</f>
        <v>453078</v>
      </c>
      <c r="D12" s="92">
        <f>'Ridership-24'!$E4</f>
        <v>35313</v>
      </c>
      <c r="E12" s="92">
        <f>'Revenue Hours-24'!$F4</f>
        <v>7303</v>
      </c>
      <c r="F12" s="92">
        <f>'Revenue Miles-24'!$F4</f>
        <v>84107</v>
      </c>
      <c r="G12" s="134">
        <f t="shared" si="0"/>
        <v>1.1087719752309712E-3</v>
      </c>
      <c r="H12" s="94">
        <f t="shared" si="1"/>
        <v>1.0467598628222665E-3</v>
      </c>
      <c r="J12" s="95">
        <f>'Ridership-24'!B4/'Revenue Hours-24'!C4</f>
        <v>7.2127544097693352</v>
      </c>
      <c r="K12" s="96">
        <f>'Ridership-24'!C4/'Revenue Hours-24'!D4</f>
        <v>7.0756269072575293</v>
      </c>
      <c r="L12" s="96">
        <f>'Ridership-24'!D4/'Revenue Hours-24'!E4</f>
        <v>3.8435006435006436</v>
      </c>
      <c r="M12" s="96">
        <f>'Ridership-24'!E4/'Revenue Hours-24'!F4</f>
        <v>4.8354101054361225</v>
      </c>
      <c r="N12" s="97">
        <f t="shared" si="2"/>
        <v>1.0062847146966858</v>
      </c>
      <c r="O12" s="98">
        <f t="shared" si="3"/>
        <v>1.0533384499160465E-3</v>
      </c>
      <c r="P12" s="99">
        <f t="shared" si="4"/>
        <v>1.0107174351019221E-3</v>
      </c>
      <c r="Q12" s="95">
        <f>'Ridership-24'!B4/'Revenue Miles-24'!C4</f>
        <v>0.593228283189001</v>
      </c>
      <c r="R12" s="96">
        <f>'Ridership-24'!C4/'Revenue Miles-24'!D4</f>
        <v>0.61203433791631279</v>
      </c>
      <c r="S12" s="96">
        <f>'Ridership-24'!D4/'Revenue Miles-24'!E4</f>
        <v>0.31931227680003421</v>
      </c>
      <c r="T12" s="96">
        <f>'Ridership-24'!E4/'Revenue Miles-24'!F4</f>
        <v>0.41985803797543603</v>
      </c>
      <c r="U12" s="97">
        <f t="shared" si="5"/>
        <v>1.029481442041561</v>
      </c>
      <c r="V12" s="98">
        <f t="shared" si="6"/>
        <v>1.0776198530494936E-3</v>
      </c>
      <c r="W12" s="99">
        <f t="shared" si="7"/>
        <v>1.0376503487669684E-3</v>
      </c>
      <c r="X12" s="95">
        <f>'Op Cost-24'!B5/'Revenue Hours-24'!C4</f>
        <v>55.602306648575308</v>
      </c>
      <c r="Y12" s="96">
        <f>'Op Cost-24'!C5/'Revenue Hours-24'!D4</f>
        <v>54.185219583388616</v>
      </c>
      <c r="Z12" s="96">
        <f>'Op Cost-24'!D5/'Revenue Hours-24'!E4</f>
        <v>108.14491634491634</v>
      </c>
      <c r="AA12" s="96">
        <f>'Op Cost-24'!E5/'Revenue Hours-24'!F4</f>
        <v>62.039983568396551</v>
      </c>
      <c r="AB12" s="97">
        <f t="shared" si="8"/>
        <v>1.0544549449941367</v>
      </c>
      <c r="AC12" s="98">
        <f t="shared" si="9"/>
        <v>9.9270231297372987E-4</v>
      </c>
      <c r="AD12" s="99">
        <f t="shared" si="10"/>
        <v>9.9833436785685611E-4</v>
      </c>
      <c r="AE12" s="95">
        <f>'Op Cost-24'!B5/'Revenue Miles-24'!C4</f>
        <v>4.5731296312829208</v>
      </c>
      <c r="AF12" s="96">
        <f>'Op Cost-24'!C5/'Revenue Miles-24'!D4</f>
        <v>4.6869649046296509</v>
      </c>
      <c r="AG12" s="96">
        <f>'Op Cost-24'!D5/'Revenue Miles-24'!E4</f>
        <v>8.9845176742296253</v>
      </c>
      <c r="AH12" s="96">
        <f>'Op Cost-24'!E5/'Revenue Miles-24'!F4</f>
        <v>5.3869237994459436</v>
      </c>
      <c r="AI12" s="97">
        <f t="shared" si="11"/>
        <v>1.0572322657484516</v>
      </c>
      <c r="AJ12" s="98">
        <f t="shared" si="12"/>
        <v>9.9009451067143565E-4</v>
      </c>
      <c r="AK12" s="99">
        <f t="shared" si="13"/>
        <v>9.9119487294717368E-4</v>
      </c>
      <c r="AL12" s="95">
        <f>'Op Cost-24'!B5/'Ridership-24'!B4</f>
        <v>7.7088867150758116</v>
      </c>
      <c r="AM12" s="96">
        <f>'Op Cost-24'!C5/'Ridership-24'!C4</f>
        <v>7.6580097132892044</v>
      </c>
      <c r="AN12" s="96">
        <f>'Op Cost-24'!D5/'Ridership-24'!D4</f>
        <v>28.137088132869007</v>
      </c>
      <c r="AO12" s="96">
        <f>'Op Cost-24'!E5/'Ridership-24'!E4</f>
        <v>12.830345765015716</v>
      </c>
      <c r="AP12" s="100">
        <f t="shared" si="14"/>
        <v>1.0343360813707996</v>
      </c>
      <c r="AQ12" s="98">
        <f t="shared" si="15"/>
        <v>1.0120113584696781E-3</v>
      </c>
      <c r="AR12" s="99">
        <f t="shared" si="16"/>
        <v>1.0716798545548376E-3</v>
      </c>
      <c r="AT12" s="101">
        <f t="shared" ref="AT12:AT50" si="27">P12*AT$6</f>
        <v>0</v>
      </c>
      <c r="AU12" s="102">
        <f t="shared" si="17"/>
        <v>0</v>
      </c>
      <c r="AV12" s="102">
        <f t="shared" si="18"/>
        <v>0</v>
      </c>
      <c r="AW12" s="102">
        <f t="shared" si="19"/>
        <v>0</v>
      </c>
      <c r="AX12" s="103">
        <f t="shared" si="20"/>
        <v>0</v>
      </c>
      <c r="AY12" s="104">
        <f t="shared" ref="AY12:AY50" si="28">(SUM(AT12:AX12)-H12)/H12</f>
        <v>-1</v>
      </c>
      <c r="AZ12" s="105">
        <f t="shared" si="21"/>
        <v>0</v>
      </c>
      <c r="BA12" s="106">
        <f t="shared" si="21"/>
        <v>0</v>
      </c>
      <c r="BB12" s="106">
        <f t="shared" si="21"/>
        <v>0</v>
      </c>
      <c r="BC12" s="106">
        <f t="shared" si="21"/>
        <v>0</v>
      </c>
      <c r="BD12" s="106">
        <f t="shared" si="21"/>
        <v>0</v>
      </c>
      <c r="BE12" s="107">
        <f t="shared" ref="BE12:BE50" si="29">$AZ$6*H12</f>
        <v>132522.79194780267</v>
      </c>
      <c r="BG12" s="108">
        <f>'Op Cost-24'!E5</f>
        <v>453078</v>
      </c>
      <c r="BH12" s="109">
        <f t="shared" si="22"/>
        <v>0.29249443130719804</v>
      </c>
      <c r="BI12" s="110">
        <f t="shared" si="23"/>
        <v>132522.79194780267</v>
      </c>
      <c r="BJ12" s="111">
        <f t="shared" si="24"/>
        <v>0</v>
      </c>
      <c r="BK12" s="1">
        <f t="shared" ref="BK12:BK50" si="30">BL12*$BO$7+BM12*$BP$7+BN12*$BQ$7</f>
        <v>0.85377170706696559</v>
      </c>
      <c r="BL12" s="112">
        <f t="shared" ref="BL12:BL50" si="31">M12/$M$51</f>
        <v>0.54005189174053514</v>
      </c>
      <c r="BM12" s="112">
        <f t="shared" ref="BM12:BM50" si="32">T12/$T$51</f>
        <v>0.6773910140525885</v>
      </c>
      <c r="BN12" s="113">
        <f t="shared" ref="BN12:BN50" si="33">(1/AO12)/(1/$AO$51)</f>
        <v>1.0988219612373693</v>
      </c>
      <c r="BO12" s="114">
        <f t="shared" si="25"/>
        <v>132522.79194780267</v>
      </c>
      <c r="BP12" s="115">
        <f t="shared" ref="BP12:BP50" si="34">(BL12*$BO$7+BM12*$BP$7+BN12*$BQ$7)*H12</f>
        <v>8.936939549709492E-4</v>
      </c>
      <c r="BQ12" s="116">
        <f t="shared" ref="BQ12:BQ50" si="35">IF(BO12=0,0,BP12)</f>
        <v>8.936939549709492E-4</v>
      </c>
      <c r="BR12" s="117">
        <f t="shared" ref="BR12:BR50" si="36">BQ12/$BQ$51</f>
        <v>1.505350788918354E-3</v>
      </c>
      <c r="BS12" s="118">
        <f t="shared" ref="BS12:BS50" si="37">$BO$6*BR12+BI12</f>
        <v>151449.86710271129</v>
      </c>
      <c r="BT12" s="119">
        <f t="shared" ref="BT12:BT50" si="38">BG12*$BU$6</f>
        <v>135923.4</v>
      </c>
      <c r="BU12" s="119">
        <f t="shared" ref="BU12:BU50" si="39">IF(BS12&lt;=BT12,BS12,BT12)</f>
        <v>135923.4</v>
      </c>
      <c r="BV12" s="119">
        <f>BS12-BU12</f>
        <v>15526.467102711293</v>
      </c>
      <c r="BW12" s="120">
        <f t="shared" ref="BW12:BW50" si="40">IF(AND(BV12=0, BJ12=0),BP12,0)</f>
        <v>0</v>
      </c>
      <c r="BX12" s="121">
        <f t="shared" ref="BX12:BX50" si="41">IF($BW$51=0,1,BW12/$BW$51)</f>
        <v>0</v>
      </c>
      <c r="BY12" s="122">
        <f t="shared" ref="BY12:BY50" si="42">$BV$51*BX12+BU12</f>
        <v>135923.4</v>
      </c>
      <c r="BZ12" s="123">
        <f t="shared" ref="BZ12:BZ16" si="43">BY12*$BO$6</f>
        <v>1708991967884.928</v>
      </c>
      <c r="CA12" s="135">
        <f>ROUND((BZ12+BI12),0)</f>
        <v>1708992100408</v>
      </c>
      <c r="CC12" s="124">
        <f t="shared" si="26"/>
        <v>1</v>
      </c>
      <c r="CD12" s="17"/>
      <c r="CE12" s="108">
        <f t="shared" ref="CE12:CE50" si="44">BG12</f>
        <v>453078</v>
      </c>
      <c r="CF12" s="125">
        <f t="shared" ref="CF12:CF50" si="45">CA12/BG12</f>
        <v>3771960.0166152408</v>
      </c>
      <c r="CG12" s="110">
        <f t="shared" ref="CG12:CG50" si="46">IF(CA12&gt;BG12*$BI$6,BG12*$BI$6,CA12)</f>
        <v>135923.4</v>
      </c>
      <c r="CH12" s="126">
        <f t="shared" ref="CH12:CH51" si="47">CA12-CG12</f>
        <v>1708991964484.6001</v>
      </c>
      <c r="CJ12" s="127">
        <f t="shared" ref="CJ12:CJ50" si="48">IF(OR(CH12&gt;0,CF12&gt;=0.294),0,CG12)</f>
        <v>0</v>
      </c>
      <c r="CK12" s="128" t="e">
        <f t="shared" ref="CK12:CK51" si="49">CJ12/$CJ$51</f>
        <v>#DIV/0!</v>
      </c>
      <c r="CL12" s="129" t="e">
        <f t="shared" ref="CL12:CL51" si="50">CK12*$CK$6</f>
        <v>#DIV/0!</v>
      </c>
      <c r="CM12" s="130" t="e">
        <f t="shared" ref="CM12:CM50" si="51">ROUND((CL12+CG12),0)</f>
        <v>#DIV/0!</v>
      </c>
      <c r="CO12" s="131" t="e">
        <f t="shared" ref="CO12:CO50" si="52">CM12/CE12</f>
        <v>#DIV/0!</v>
      </c>
      <c r="CP12" s="1">
        <f t="shared" ref="CP12:CP50" si="53">IF(BY12&lt;=BG12*$BU$6, 0, 1)</f>
        <v>0</v>
      </c>
      <c r="CQ12" s="132">
        <f t="shared" ref="CQ12:CQ50" si="54">BY12/BG12</f>
        <v>0.3</v>
      </c>
      <c r="CS12" s="104">
        <f t="shared" ref="CS12:CS50" si="55">BP12/$BP$51</f>
        <v>7.2113481664139428E-4</v>
      </c>
    </row>
    <row r="13" spans="1:97">
      <c r="A13" s="133" t="s">
        <v>82</v>
      </c>
      <c r="B13" s="90" t="s">
        <v>85</v>
      </c>
      <c r="C13" s="208">
        <f>'Op Cost-24'!E6</f>
        <v>2625058</v>
      </c>
      <c r="D13" s="92">
        <f>'Ridership-24'!$E5</f>
        <v>135181</v>
      </c>
      <c r="E13" s="92">
        <f>'Revenue Hours-24'!$F5</f>
        <v>44776</v>
      </c>
      <c r="F13" s="92">
        <f>'Revenue Miles-24'!$F5</f>
        <v>440288</v>
      </c>
      <c r="G13" s="93">
        <f t="shared" si="0"/>
        <v>5.7676838321114752E-3</v>
      </c>
      <c r="H13" s="94">
        <f t="shared" si="1"/>
        <v>5.445105099852068E-3</v>
      </c>
      <c r="J13" s="95">
        <f>'Ridership-24'!B5/'Revenue Hours-24'!C5</f>
        <v>3.509629413481179</v>
      </c>
      <c r="K13" s="96">
        <f>'Ridership-24'!C5/'Revenue Hours-24'!D5</f>
        <v>3.5903165735567972</v>
      </c>
      <c r="L13" s="96">
        <f>'Ridership-24'!D5/'Revenue Hours-24'!E5</f>
        <v>3.0037184124655352</v>
      </c>
      <c r="M13" s="96">
        <f>'Ridership-24'!E5/'Revenue Hours-24'!F5</f>
        <v>3.0190503841343577</v>
      </c>
      <c r="N13" s="97">
        <f t="shared" si="2"/>
        <v>1.1452766111970489</v>
      </c>
      <c r="O13" s="98">
        <f t="shared" si="3"/>
        <v>6.2361515163703455E-3</v>
      </c>
      <c r="P13" s="99">
        <f t="shared" si="4"/>
        <v>5.9838194134422427E-3</v>
      </c>
      <c r="Q13" s="95">
        <f>'Ridership-24'!B5/'Revenue Miles-24'!C5</f>
        <v>0.34036493443752919</v>
      </c>
      <c r="R13" s="96">
        <f>'Ridership-24'!C5/'Revenue Miles-24'!D5</f>
        <v>0.34236028901498144</v>
      </c>
      <c r="S13" s="96">
        <f>'Ridership-24'!D5/'Revenue Miles-24'!E5</f>
        <v>0.30898734605406614</v>
      </c>
      <c r="T13" s="96">
        <f>'Ridership-24'!E5/'Revenue Miles-24'!F5</f>
        <v>0.30702858129224508</v>
      </c>
      <c r="U13" s="97">
        <f t="shared" si="5"/>
        <v>1.179074556111199</v>
      </c>
      <c r="V13" s="98">
        <f t="shared" si="6"/>
        <v>6.4201848785869035E-3</v>
      </c>
      <c r="W13" s="99">
        <f t="shared" si="7"/>
        <v>6.1820567425163661E-3</v>
      </c>
      <c r="X13" s="95">
        <f>'Op Cost-24'!B6/'Revenue Hours-24'!C5</f>
        <v>41.66076118220851</v>
      </c>
      <c r="Y13" s="96">
        <f>'Op Cost-24'!C6/'Revenue Hours-24'!D5</f>
        <v>45.864958582161435</v>
      </c>
      <c r="Z13" s="96">
        <f>'Op Cost-24'!D6/'Revenue Hours-24'!E5</f>
        <v>61.145979308425872</v>
      </c>
      <c r="AA13" s="96">
        <f>'Op Cost-24'!E6/'Revenue Hours-24'!F5</f>
        <v>58.62645167053779</v>
      </c>
      <c r="AB13" s="97">
        <f t="shared" si="8"/>
        <v>1.0429873193694781</v>
      </c>
      <c r="AC13" s="98">
        <f t="shared" si="9"/>
        <v>5.2206819764058325E-3</v>
      </c>
      <c r="AD13" s="99">
        <f t="shared" si="10"/>
        <v>5.2503012963511899E-3</v>
      </c>
      <c r="AE13" s="95">
        <f>'Op Cost-24'!B6/'Revenue Miles-24'!C5</f>
        <v>4.0402733673054803</v>
      </c>
      <c r="AF13" s="96">
        <f>'Op Cost-24'!C6/'Revenue Miles-24'!D5</f>
        <v>4.3735253296321996</v>
      </c>
      <c r="AG13" s="96">
        <f>'Op Cost-24'!D6/'Revenue Miles-24'!E5</f>
        <v>6.2899817073329398</v>
      </c>
      <c r="AH13" s="96">
        <f>'Op Cost-24'!E6/'Revenue Miles-24'!F5</f>
        <v>5.9621384184897162</v>
      </c>
      <c r="AI13" s="97">
        <f t="shared" si="11"/>
        <v>1.0661071555891768</v>
      </c>
      <c r="AJ13" s="98">
        <f t="shared" si="12"/>
        <v>5.1074651092111543E-3</v>
      </c>
      <c r="AK13" s="99">
        <f t="shared" si="13"/>
        <v>5.1131413975555994E-3</v>
      </c>
      <c r="AL13" s="95">
        <f>'Op Cost-24'!B6/'Ridership-24'!B5</f>
        <v>11.87041601092734</v>
      </c>
      <c r="AM13" s="96">
        <f>'Op Cost-24'!C6/'Ridership-24'!C5</f>
        <v>12.774627986836457</v>
      </c>
      <c r="AN13" s="96">
        <f>'Op Cost-24'!D6/'Ridership-24'!D5</f>
        <v>20.356761490913378</v>
      </c>
      <c r="AO13" s="96">
        <f>'Op Cost-24'!E6/'Ridership-24'!E5</f>
        <v>19.418838446231348</v>
      </c>
      <c r="AP13" s="100">
        <f t="shared" si="14"/>
        <v>0.98287116513299766</v>
      </c>
      <c r="AQ13" s="98">
        <f t="shared" si="15"/>
        <v>5.5399988248869434E-3</v>
      </c>
      <c r="AR13" s="99">
        <f t="shared" si="16"/>
        <v>5.8666388328552513E-3</v>
      </c>
      <c r="AT13" s="101">
        <f t="shared" si="27"/>
        <v>0</v>
      </c>
      <c r="AU13" s="102">
        <f t="shared" si="17"/>
        <v>0</v>
      </c>
      <c r="AV13" s="102">
        <f t="shared" si="18"/>
        <v>0</v>
      </c>
      <c r="AW13" s="102">
        <f t="shared" si="19"/>
        <v>0</v>
      </c>
      <c r="AX13" s="103">
        <f t="shared" si="20"/>
        <v>0</v>
      </c>
      <c r="AY13" s="104">
        <f t="shared" si="28"/>
        <v>-1</v>
      </c>
      <c r="AZ13" s="105">
        <f t="shared" si="21"/>
        <v>0</v>
      </c>
      <c r="BA13" s="106">
        <f t="shared" si="21"/>
        <v>0</v>
      </c>
      <c r="BB13" s="106">
        <f t="shared" si="21"/>
        <v>0</v>
      </c>
      <c r="BC13" s="106">
        <f t="shared" si="21"/>
        <v>0</v>
      </c>
      <c r="BD13" s="106">
        <f t="shared" si="21"/>
        <v>0</v>
      </c>
      <c r="BE13" s="107">
        <f t="shared" si="29"/>
        <v>689365.87646381534</v>
      </c>
      <c r="BG13" s="108">
        <f>'Op Cost-24'!E6</f>
        <v>2625058</v>
      </c>
      <c r="BH13" s="109">
        <f t="shared" si="22"/>
        <v>0.26260976956083076</v>
      </c>
      <c r="BI13" s="110">
        <f t="shared" si="23"/>
        <v>689365.87646381534</v>
      </c>
      <c r="BJ13" s="111">
        <f t="shared" si="24"/>
        <v>0</v>
      </c>
      <c r="BK13" s="1">
        <f t="shared" si="30"/>
        <v>0.5711404750769975</v>
      </c>
      <c r="BL13" s="112">
        <f t="shared" si="31"/>
        <v>0.33718833266670639</v>
      </c>
      <c r="BM13" s="112">
        <f t="shared" si="32"/>
        <v>0.49535410356214105</v>
      </c>
      <c r="BN13" s="113">
        <f t="shared" si="33"/>
        <v>0.7260097320395712</v>
      </c>
      <c r="BO13" s="114">
        <f t="shared" si="25"/>
        <v>689365.87646381534</v>
      </c>
      <c r="BP13" s="115">
        <f t="shared" si="34"/>
        <v>3.109919913573692E-3</v>
      </c>
      <c r="BQ13" s="116">
        <f t="shared" si="35"/>
        <v>3.109919913573692E-3</v>
      </c>
      <c r="BR13" s="117">
        <f t="shared" si="36"/>
        <v>5.2383932657609125E-3</v>
      </c>
      <c r="BS13" s="118">
        <f t="shared" si="37"/>
        <v>755229.23785565735</v>
      </c>
      <c r="BT13" s="119">
        <f t="shared" si="38"/>
        <v>787517.4</v>
      </c>
      <c r="BU13" s="119">
        <f t="shared" si="39"/>
        <v>755229.23785565735</v>
      </c>
      <c r="BV13" s="119">
        <f t="shared" ref="BV13:BV50" si="56">BS13-BU13</f>
        <v>0</v>
      </c>
      <c r="BW13" s="120">
        <f t="shared" si="40"/>
        <v>3.109919913573692E-3</v>
      </c>
      <c r="BX13" s="121">
        <f t="shared" si="41"/>
        <v>6.9095789630379944E-3</v>
      </c>
      <c r="BY13" s="122">
        <f t="shared" si="42"/>
        <v>770626.03949587105</v>
      </c>
      <c r="BZ13" s="123">
        <f t="shared" si="43"/>
        <v>9689234611122.2715</v>
      </c>
      <c r="CA13" s="111">
        <f>ROUND((BZ13+BI13),0)</f>
        <v>9689235300488</v>
      </c>
      <c r="CC13" s="124">
        <f t="shared" si="26"/>
        <v>1</v>
      </c>
      <c r="CD13" s="17"/>
      <c r="CE13" s="108">
        <f t="shared" si="44"/>
        <v>2625058</v>
      </c>
      <c r="CF13" s="125">
        <f t="shared" si="45"/>
        <v>3691055.7025741907</v>
      </c>
      <c r="CG13" s="110">
        <f t="shared" si="46"/>
        <v>787517.4</v>
      </c>
      <c r="CH13" s="126">
        <f t="shared" si="47"/>
        <v>9689234512970.5996</v>
      </c>
      <c r="CJ13" s="127">
        <f t="shared" si="48"/>
        <v>0</v>
      </c>
      <c r="CK13" s="128" t="e">
        <f t="shared" si="49"/>
        <v>#DIV/0!</v>
      </c>
      <c r="CL13" s="129" t="e">
        <f t="shared" si="50"/>
        <v>#DIV/0!</v>
      </c>
      <c r="CM13" s="130" t="e">
        <f t="shared" si="51"/>
        <v>#DIV/0!</v>
      </c>
      <c r="CO13" s="131" t="e">
        <f t="shared" si="52"/>
        <v>#DIV/0!</v>
      </c>
      <c r="CP13" s="1">
        <f t="shared" si="53"/>
        <v>0</v>
      </c>
      <c r="CQ13" s="132">
        <f t="shared" si="54"/>
        <v>0.2935653381738122</v>
      </c>
      <c r="CS13" s="104">
        <f t="shared" si="55"/>
        <v>2.5094401882994567E-3</v>
      </c>
    </row>
    <row r="14" spans="1:97">
      <c r="A14" s="133" t="s">
        <v>82</v>
      </c>
      <c r="B14" s="90" t="s">
        <v>86</v>
      </c>
      <c r="C14" s="208">
        <f>'Op Cost-24'!E7</f>
        <v>2166873</v>
      </c>
      <c r="D14" s="92">
        <f>'Ridership-24'!$E6</f>
        <v>100658</v>
      </c>
      <c r="E14" s="92">
        <f>'Revenue Hours-24'!$F6</f>
        <v>40013</v>
      </c>
      <c r="F14" s="92">
        <f>'Revenue Miles-24'!$F6</f>
        <v>639628</v>
      </c>
      <c r="G14" s="93">
        <f t="shared" si="0"/>
        <v>5.4395649140650208E-3</v>
      </c>
      <c r="H14" s="94">
        <f t="shared" si="1"/>
        <v>5.1353374277640813E-3</v>
      </c>
      <c r="J14" s="95">
        <f>'Ridership-24'!B6/'Revenue Hours-24'!C6</f>
        <v>1.7480527968917374</v>
      </c>
      <c r="K14" s="96">
        <f>'Ridership-24'!C6/'Revenue Hours-24'!D6</f>
        <v>1.8670980965213595</v>
      </c>
      <c r="L14" s="96">
        <f>'Ridership-24'!D6/'Revenue Hours-24'!E6</f>
        <v>1.3455313359222201</v>
      </c>
      <c r="M14" s="96">
        <f>'Ridership-24'!E6/'Revenue Hours-24'!F6</f>
        <v>2.5156324194636741</v>
      </c>
      <c r="N14" s="97">
        <f t="shared" si="2"/>
        <v>1.3087942373646106</v>
      </c>
      <c r="O14" s="98">
        <f t="shared" si="3"/>
        <v>6.7211000323804324E-3</v>
      </c>
      <c r="P14" s="99">
        <f t="shared" si="4"/>
        <v>6.4491455584218208E-3</v>
      </c>
      <c r="Q14" s="95">
        <f>'Ridership-24'!B6/'Revenue Miles-24'!C6</f>
        <v>0.10544016540836285</v>
      </c>
      <c r="R14" s="96">
        <f>'Ridership-24'!C6/'Revenue Miles-24'!D6</f>
        <v>0.11380730389718556</v>
      </c>
      <c r="S14" s="96">
        <f>'Ridership-24'!D6/'Revenue Miles-24'!E6</f>
        <v>8.6154544217069737E-2</v>
      </c>
      <c r="T14" s="96">
        <f>'Ridership-24'!E6/'Revenue Miles-24'!F6</f>
        <v>0.15736959607772016</v>
      </c>
      <c r="U14" s="97">
        <f t="shared" si="5"/>
        <v>1.331576106473251</v>
      </c>
      <c r="V14" s="98">
        <f t="shared" si="6"/>
        <v>6.8380926174884549E-3</v>
      </c>
      <c r="W14" s="99">
        <f t="shared" si="7"/>
        <v>6.5844640569292104E-3</v>
      </c>
      <c r="X14" s="95">
        <f>'Op Cost-24'!B7/'Revenue Hours-24'!C6</f>
        <v>32.57793351368035</v>
      </c>
      <c r="Y14" s="96">
        <f>'Op Cost-24'!C7/'Revenue Hours-24'!D6</f>
        <v>28.535460118042245</v>
      </c>
      <c r="Z14" s="96">
        <f>'Op Cost-24'!D7/'Revenue Hours-24'!E6</f>
        <v>42.25856741971144</v>
      </c>
      <c r="AA14" s="96">
        <f>'Op Cost-24'!E7/'Revenue Hours-24'!F6</f>
        <v>54.154224876915002</v>
      </c>
      <c r="AB14" s="97">
        <f t="shared" si="8"/>
        <v>1.1170601959171089</v>
      </c>
      <c r="AC14" s="98">
        <f t="shared" si="9"/>
        <v>4.5971895216872869E-3</v>
      </c>
      <c r="AD14" s="99">
        <f t="shared" si="10"/>
        <v>4.6232714833749902E-3</v>
      </c>
      <c r="AE14" s="95">
        <f>'Op Cost-24'!B7/'Revenue Miles-24'!C6</f>
        <v>1.9650566072449389</v>
      </c>
      <c r="AF14" s="96">
        <f>'Op Cost-24'!C7/'Revenue Miles-24'!D6</f>
        <v>1.7393535923745185</v>
      </c>
      <c r="AG14" s="96">
        <f>'Op Cost-24'!D7/'Revenue Miles-24'!E6</f>
        <v>2.7058214982530968</v>
      </c>
      <c r="AH14" s="96">
        <f>'Op Cost-24'!E7/'Revenue Miles-24'!F6</f>
        <v>3.3877081678725758</v>
      </c>
      <c r="AI14" s="97">
        <f t="shared" si="11"/>
        <v>1.1363865749613105</v>
      </c>
      <c r="AJ14" s="98">
        <f t="shared" si="12"/>
        <v>4.5190057159368675E-3</v>
      </c>
      <c r="AK14" s="99">
        <f t="shared" si="13"/>
        <v>4.5240280076070723E-3</v>
      </c>
      <c r="AL14" s="95">
        <f>'Op Cost-24'!B7/'Ridership-24'!B6</f>
        <v>18.63669882946791</v>
      </c>
      <c r="AM14" s="96">
        <f>'Op Cost-24'!C7/'Ridership-24'!C6</f>
        <v>15.283321305510098</v>
      </c>
      <c r="AN14" s="96">
        <f>'Op Cost-24'!D7/'Ridership-24'!D6</f>
        <v>31.406602203543365</v>
      </c>
      <c r="AO14" s="96">
        <f>'Op Cost-24'!E7/'Ridership-24'!E6</f>
        <v>21.527081801744522</v>
      </c>
      <c r="AP14" s="100">
        <f t="shared" si="14"/>
        <v>0.84909631981797562</v>
      </c>
      <c r="AQ14" s="98">
        <f t="shared" si="15"/>
        <v>6.0480033983246629E-3</v>
      </c>
      <c r="AR14" s="99">
        <f t="shared" si="16"/>
        <v>6.404595509742924E-3</v>
      </c>
      <c r="AT14" s="101">
        <f t="shared" si="27"/>
        <v>0</v>
      </c>
      <c r="AU14" s="102">
        <f t="shared" si="17"/>
        <v>0</v>
      </c>
      <c r="AV14" s="102">
        <f t="shared" si="18"/>
        <v>0</v>
      </c>
      <c r="AW14" s="102">
        <f t="shared" si="19"/>
        <v>0</v>
      </c>
      <c r="AX14" s="103">
        <f t="shared" si="20"/>
        <v>0</v>
      </c>
      <c r="AY14" s="104">
        <f t="shared" si="28"/>
        <v>-1</v>
      </c>
      <c r="AZ14" s="105">
        <f t="shared" si="21"/>
        <v>0</v>
      </c>
      <c r="BA14" s="106">
        <f t="shared" si="21"/>
        <v>0</v>
      </c>
      <c r="BB14" s="106">
        <f t="shared" si="21"/>
        <v>0</v>
      </c>
      <c r="BC14" s="106">
        <f t="shared" si="21"/>
        <v>0</v>
      </c>
      <c r="BD14" s="106">
        <f t="shared" si="21"/>
        <v>0</v>
      </c>
      <c r="BE14" s="107">
        <f t="shared" si="29"/>
        <v>650148.40336584114</v>
      </c>
      <c r="BG14" s="108">
        <f>'Op Cost-24'!E7</f>
        <v>2166873</v>
      </c>
      <c r="BH14" s="109">
        <f t="shared" si="22"/>
        <v>0.30003992082869702</v>
      </c>
      <c r="BI14" s="110">
        <f t="shared" si="23"/>
        <v>650061.9</v>
      </c>
      <c r="BJ14" s="111">
        <f t="shared" si="24"/>
        <v>86.5033658411121</v>
      </c>
      <c r="BK14" s="1">
        <f t="shared" si="30"/>
        <v>0.4611692459687568</v>
      </c>
      <c r="BL14" s="112">
        <f t="shared" si="31"/>
        <v>0.28096314840551506</v>
      </c>
      <c r="BM14" s="112">
        <f t="shared" si="32"/>
        <v>0.25389712861557706</v>
      </c>
      <c r="BN14" s="113">
        <f t="shared" si="33"/>
        <v>0.65490835342696752</v>
      </c>
      <c r="BO14" s="114">
        <f t="shared" si="25"/>
        <v>0</v>
      </c>
      <c r="BP14" s="115">
        <f t="shared" si="34"/>
        <v>2.3682596893570963E-3</v>
      </c>
      <c r="BQ14" s="116">
        <f t="shared" si="35"/>
        <v>0</v>
      </c>
      <c r="BR14" s="117">
        <f t="shared" si="36"/>
        <v>0</v>
      </c>
      <c r="BS14" s="118">
        <f t="shared" si="37"/>
        <v>650061.9</v>
      </c>
      <c r="BT14" s="119">
        <f t="shared" si="38"/>
        <v>650061.9</v>
      </c>
      <c r="BU14" s="119">
        <f t="shared" si="39"/>
        <v>650061.9</v>
      </c>
      <c r="BV14" s="119">
        <f t="shared" si="56"/>
        <v>0</v>
      </c>
      <c r="BW14" s="120">
        <f t="shared" si="40"/>
        <v>0</v>
      </c>
      <c r="BX14" s="121">
        <f t="shared" si="41"/>
        <v>0</v>
      </c>
      <c r="BY14" s="122">
        <f t="shared" si="42"/>
        <v>650061.9</v>
      </c>
      <c r="BZ14" s="123">
        <f t="shared" si="43"/>
        <v>8173357683283.4922</v>
      </c>
      <c r="CA14" s="111">
        <f t="shared" ref="CA14:CA50" si="57">ROUND((BZ14+BI14),0)</f>
        <v>8173358333345</v>
      </c>
      <c r="CC14" s="124">
        <f t="shared" si="26"/>
        <v>1</v>
      </c>
      <c r="CD14" s="17"/>
      <c r="CE14" s="108">
        <f t="shared" si="44"/>
        <v>2166873</v>
      </c>
      <c r="CF14" s="125">
        <f t="shared" si="45"/>
        <v>3771960.0241200109</v>
      </c>
      <c r="CG14" s="110">
        <f t="shared" si="46"/>
        <v>650061.9</v>
      </c>
      <c r="CH14" s="126">
        <f t="shared" si="47"/>
        <v>8173357683283.0996</v>
      </c>
      <c r="CJ14" s="127">
        <f t="shared" si="48"/>
        <v>0</v>
      </c>
      <c r="CK14" s="128" t="e">
        <f t="shared" si="49"/>
        <v>#DIV/0!</v>
      </c>
      <c r="CL14" s="129" t="e">
        <f t="shared" si="50"/>
        <v>#DIV/0!</v>
      </c>
      <c r="CM14" s="130" t="e">
        <f t="shared" si="51"/>
        <v>#DIV/0!</v>
      </c>
      <c r="CO14" s="131" t="e">
        <f t="shared" si="52"/>
        <v>#DIV/0!</v>
      </c>
      <c r="CP14" s="1">
        <f t="shared" si="53"/>
        <v>0</v>
      </c>
      <c r="CQ14" s="132">
        <f t="shared" si="54"/>
        <v>0.3</v>
      </c>
      <c r="CS14" s="104">
        <f t="shared" si="55"/>
        <v>1.9109836285054098E-3</v>
      </c>
    </row>
    <row r="15" spans="1:97">
      <c r="A15" s="133" t="s">
        <v>82</v>
      </c>
      <c r="B15" s="90" t="s">
        <v>87</v>
      </c>
      <c r="C15" s="208">
        <f>'Op Cost-24'!E8</f>
        <v>476060</v>
      </c>
      <c r="D15" s="92">
        <f>'Ridership-24'!$E7</f>
        <v>29128</v>
      </c>
      <c r="E15" s="92">
        <f>'Revenue Hours-24'!$F7</f>
        <v>7979</v>
      </c>
      <c r="F15" s="92">
        <f>'Revenue Miles-24'!$F7</f>
        <v>129480</v>
      </c>
      <c r="G15" s="93">
        <f t="shared" si="0"/>
        <v>1.2035313581384992E-3</v>
      </c>
      <c r="H15" s="94">
        <f t="shared" si="1"/>
        <v>1.1362194819948598E-3</v>
      </c>
      <c r="J15" s="95">
        <f>'Ridership-24'!B7/'Revenue Hours-24'!C7</f>
        <v>5.4228308164832351</v>
      </c>
      <c r="K15" s="96">
        <f>'Ridership-24'!C7/'Revenue Hours-24'!D7</f>
        <v>5.5566235366605055</v>
      </c>
      <c r="L15" s="96">
        <f>'Ridership-24'!D7/'Revenue Hours-24'!E7</f>
        <v>3.8071505958829901</v>
      </c>
      <c r="M15" s="96">
        <f>'Ridership-24'!E7/'Revenue Hours-24'!F7</f>
        <v>3.650582779796967</v>
      </c>
      <c r="N15" s="97">
        <f t="shared" si="2"/>
        <v>1.0356052461268719</v>
      </c>
      <c r="O15" s="98">
        <f t="shared" si="3"/>
        <v>1.1766748563054336E-3</v>
      </c>
      <c r="P15" s="99">
        <f t="shared" si="4"/>
        <v>1.1290633061090095E-3</v>
      </c>
      <c r="Q15" s="95">
        <f>'Ridership-24'!B7/'Revenue Miles-24'!C7</f>
        <v>0.32596387581156344</v>
      </c>
      <c r="R15" s="96">
        <f>'Ridership-24'!C7/'Revenue Miles-24'!D7</f>
        <v>0.3373331737387037</v>
      </c>
      <c r="S15" s="96">
        <f>'Ridership-24'!D7/'Revenue Miles-24'!E7</f>
        <v>0.2437813629741542</v>
      </c>
      <c r="T15" s="96">
        <f>'Ridership-24'!E7/'Revenue Miles-24'!F7</f>
        <v>0.22496138399752857</v>
      </c>
      <c r="U15" s="97">
        <f t="shared" si="5"/>
        <v>1.0550937211571547</v>
      </c>
      <c r="V15" s="98">
        <f t="shared" si="6"/>
        <v>1.1988180413092114E-3</v>
      </c>
      <c r="W15" s="99">
        <f t="shared" si="7"/>
        <v>1.1543532305501281E-3</v>
      </c>
      <c r="X15" s="95">
        <f>'Op Cost-24'!B8/'Revenue Hours-24'!C7</f>
        <v>40.351676478116204</v>
      </c>
      <c r="Y15" s="96">
        <f>'Op Cost-24'!C8/'Revenue Hours-24'!D7</f>
        <v>38.559704251386322</v>
      </c>
      <c r="Z15" s="96">
        <f>'Op Cost-24'!D8/'Revenue Hours-24'!E7</f>
        <v>43.683519922956542</v>
      </c>
      <c r="AA15" s="96">
        <f>'Op Cost-24'!E8/'Revenue Hours-24'!F7</f>
        <v>59.664118310565236</v>
      </c>
      <c r="AB15" s="97">
        <f t="shared" si="8"/>
        <v>1.0761566622611438</v>
      </c>
      <c r="AC15" s="98">
        <f t="shared" si="9"/>
        <v>1.0558123383332648E-3</v>
      </c>
      <c r="AD15" s="99">
        <f t="shared" si="10"/>
        <v>1.0618024452948994E-3</v>
      </c>
      <c r="AE15" s="95">
        <f>'Op Cost-24'!B8/'Revenue Miles-24'!C7</f>
        <v>2.425520785254931</v>
      </c>
      <c r="AF15" s="96">
        <f>'Op Cost-24'!C8/'Revenue Miles-24'!D7</f>
        <v>2.340894128912562</v>
      </c>
      <c r="AG15" s="96">
        <f>'Op Cost-24'!D8/'Revenue Miles-24'!E7</f>
        <v>2.7971649027603269</v>
      </c>
      <c r="AH15" s="96">
        <f>'Op Cost-24'!E8/'Revenue Miles-24'!F7</f>
        <v>3.6767068273092369</v>
      </c>
      <c r="AI15" s="97">
        <f t="shared" si="11"/>
        <v>1.0869500841393458</v>
      </c>
      <c r="AJ15" s="98">
        <f t="shared" si="12"/>
        <v>1.045328114486992E-3</v>
      </c>
      <c r="AK15" s="99">
        <f t="shared" si="13"/>
        <v>1.0464898617854087E-3</v>
      </c>
      <c r="AL15" s="95">
        <f>'Op Cost-24'!B8/'Ridership-24'!B7</f>
        <v>7.4410723556898102</v>
      </c>
      <c r="AM15" s="96">
        <f>'Op Cost-24'!C8/'Ridership-24'!C7</f>
        <v>6.9394127561429961</v>
      </c>
      <c r="AN15" s="96">
        <f>'Op Cost-24'!D8/'Ridership-24'!D7</f>
        <v>11.474071966103839</v>
      </c>
      <c r="AO15" s="96">
        <f>'Op Cost-24'!E8/'Ridership-24'!E7</f>
        <v>16.343724251579236</v>
      </c>
      <c r="AP15" s="100">
        <f t="shared" si="14"/>
        <v>1.1461309032866442</v>
      </c>
      <c r="AQ15" s="98">
        <f t="shared" si="15"/>
        <v>9.9135227811817783E-4</v>
      </c>
      <c r="AR15" s="99">
        <f t="shared" si="16"/>
        <v>1.0498027085712079E-3</v>
      </c>
      <c r="AT15" s="101">
        <f t="shared" si="27"/>
        <v>0</v>
      </c>
      <c r="AU15" s="102">
        <f t="shared" si="17"/>
        <v>0</v>
      </c>
      <c r="AV15" s="102">
        <f t="shared" si="18"/>
        <v>0</v>
      </c>
      <c r="AW15" s="102">
        <f t="shared" si="19"/>
        <v>0</v>
      </c>
      <c r="AX15" s="103">
        <f t="shared" si="20"/>
        <v>0</v>
      </c>
      <c r="AY15" s="104">
        <f t="shared" si="28"/>
        <v>-1</v>
      </c>
      <c r="AZ15" s="105">
        <f t="shared" si="21"/>
        <v>0</v>
      </c>
      <c r="BA15" s="106">
        <f t="shared" si="21"/>
        <v>0</v>
      </c>
      <c r="BB15" s="106">
        <f t="shared" si="21"/>
        <v>0</v>
      </c>
      <c r="BC15" s="106">
        <f t="shared" si="21"/>
        <v>0</v>
      </c>
      <c r="BD15" s="106">
        <f t="shared" si="21"/>
        <v>0</v>
      </c>
      <c r="BE15" s="107">
        <f t="shared" si="29"/>
        <v>143848.63555377995</v>
      </c>
      <c r="BG15" s="108">
        <f>'Op Cost-24'!E8</f>
        <v>476060</v>
      </c>
      <c r="BH15" s="109">
        <f t="shared" si="22"/>
        <v>0.30216492785316967</v>
      </c>
      <c r="BI15" s="110">
        <f t="shared" si="23"/>
        <v>142818</v>
      </c>
      <c r="BJ15" s="111">
        <f t="shared" si="24"/>
        <v>1030.6355537799536</v>
      </c>
      <c r="BK15" s="1">
        <f t="shared" si="30"/>
        <v>0.62397283972918538</v>
      </c>
      <c r="BL15" s="112">
        <f t="shared" si="31"/>
        <v>0.40772221863215807</v>
      </c>
      <c r="BM15" s="112">
        <f t="shared" si="32"/>
        <v>0.3629484402956103</v>
      </c>
      <c r="BN15" s="113">
        <f t="shared" si="33"/>
        <v>0.8626103499944866</v>
      </c>
      <c r="BO15" s="114">
        <f t="shared" si="25"/>
        <v>0</v>
      </c>
      <c r="BP15" s="115">
        <f t="shared" si="34"/>
        <v>7.0897009673595666E-4</v>
      </c>
      <c r="BQ15" s="116">
        <f t="shared" si="35"/>
        <v>0</v>
      </c>
      <c r="BR15" s="117">
        <f t="shared" si="36"/>
        <v>0</v>
      </c>
      <c r="BS15" s="118">
        <f t="shared" si="37"/>
        <v>142818</v>
      </c>
      <c r="BT15" s="119">
        <f t="shared" si="38"/>
        <v>142818</v>
      </c>
      <c r="BU15" s="119">
        <f t="shared" si="39"/>
        <v>142818</v>
      </c>
      <c r="BV15" s="119">
        <f t="shared" si="56"/>
        <v>0</v>
      </c>
      <c r="BW15" s="120">
        <f t="shared" si="40"/>
        <v>0</v>
      </c>
      <c r="BX15" s="121">
        <f t="shared" si="41"/>
        <v>0</v>
      </c>
      <c r="BY15" s="122">
        <f t="shared" si="42"/>
        <v>142818</v>
      </c>
      <c r="BZ15" s="123">
        <f t="shared" si="43"/>
        <v>1795679146264.6584</v>
      </c>
      <c r="CA15" s="111">
        <f t="shared" si="57"/>
        <v>1795679289083</v>
      </c>
      <c r="CC15" s="124">
        <f t="shared" si="26"/>
        <v>1</v>
      </c>
      <c r="CD15" s="17"/>
      <c r="CE15" s="108">
        <f t="shared" si="44"/>
        <v>476060</v>
      </c>
      <c r="CF15" s="125">
        <f t="shared" si="45"/>
        <v>3771960.0241209092</v>
      </c>
      <c r="CG15" s="110">
        <f t="shared" si="46"/>
        <v>142818</v>
      </c>
      <c r="CH15" s="126">
        <f t="shared" si="47"/>
        <v>1795679146265</v>
      </c>
      <c r="CJ15" s="127">
        <f t="shared" si="48"/>
        <v>0</v>
      </c>
      <c r="CK15" s="128" t="e">
        <f t="shared" si="49"/>
        <v>#DIV/0!</v>
      </c>
      <c r="CL15" s="129" t="e">
        <f t="shared" si="50"/>
        <v>#DIV/0!</v>
      </c>
      <c r="CM15" s="130" t="e">
        <f t="shared" si="51"/>
        <v>#DIV/0!</v>
      </c>
      <c r="CO15" s="131" t="e">
        <f t="shared" si="52"/>
        <v>#DIV/0!</v>
      </c>
      <c r="CP15" s="1">
        <f t="shared" si="53"/>
        <v>0</v>
      </c>
      <c r="CQ15" s="132">
        <f t="shared" si="54"/>
        <v>0.3</v>
      </c>
      <c r="CS15" s="104">
        <f t="shared" si="55"/>
        <v>5.7207841439470741E-4</v>
      </c>
    </row>
    <row r="16" spans="1:97">
      <c r="A16" s="133" t="s">
        <v>88</v>
      </c>
      <c r="B16" s="90" t="s">
        <v>89</v>
      </c>
      <c r="C16" s="208">
        <f>'Op Cost-24'!E9</f>
        <v>9197369</v>
      </c>
      <c r="D16" s="92">
        <f>'Ridership-24'!$E8</f>
        <v>1154287</v>
      </c>
      <c r="E16" s="92">
        <f>'Revenue Hours-24'!$F8</f>
        <v>58751</v>
      </c>
      <c r="F16" s="92">
        <f>'Revenue Miles-24'!$F8</f>
        <v>807792</v>
      </c>
      <c r="G16" s="93">
        <f t="shared" si="0"/>
        <v>2.1182522702909302E-2</v>
      </c>
      <c r="H16" s="94">
        <f t="shared" si="1"/>
        <v>1.9997812944458637E-2</v>
      </c>
      <c r="J16" s="95">
        <f>'Ridership-24'!B8/'Revenue Hours-24'!C8</f>
        <v>19.767837879488365</v>
      </c>
      <c r="K16" s="96">
        <f>'Ridership-24'!C8/'Revenue Hours-24'!D8</f>
        <v>17.327594346172003</v>
      </c>
      <c r="L16" s="96">
        <f>'Ridership-24'!D8/'Revenue Hours-24'!E8</f>
        <v>8.228226225879153</v>
      </c>
      <c r="M16" s="96">
        <f>'Ridership-24'!E8/'Revenue Hours-24'!F8</f>
        <v>19.647103879082909</v>
      </c>
      <c r="N16" s="97">
        <f t="shared" si="2"/>
        <v>1.2192511161277548</v>
      </c>
      <c r="O16" s="98">
        <f t="shared" si="3"/>
        <v>2.4382355752645257E-2</v>
      </c>
      <c r="P16" s="99">
        <f t="shared" si="4"/>
        <v>2.3395777558504929E-2</v>
      </c>
      <c r="Q16" s="95">
        <f>'Ridership-24'!B8/'Revenue Miles-24'!C8</f>
        <v>2.1316609992044087</v>
      </c>
      <c r="R16" s="96">
        <f>'Ridership-24'!C8/'Revenue Miles-24'!D8</f>
        <v>1.9171644901717197</v>
      </c>
      <c r="S16" s="96">
        <f>'Ridership-24'!D8/'Revenue Miles-24'!E8</f>
        <v>0.84464065708418889</v>
      </c>
      <c r="T16" s="96">
        <f>'Ridership-24'!E8/'Revenue Miles-24'!F8</f>
        <v>1.4289408659654961</v>
      </c>
      <c r="U16" s="97">
        <f t="shared" si="5"/>
        <v>1.0329293204224002</v>
      </c>
      <c r="V16" s="98">
        <f t="shared" si="6"/>
        <v>2.0656327334653935E-2</v>
      </c>
      <c r="W16" s="99">
        <f t="shared" si="7"/>
        <v>1.9890172960709072E-2</v>
      </c>
      <c r="X16" s="95">
        <f>'Op Cost-24'!B9/'Revenue Hours-24'!C8</f>
        <v>77.294084219448294</v>
      </c>
      <c r="Y16" s="96">
        <f>'Op Cost-24'!C9/'Revenue Hours-24'!D8</f>
        <v>81.344653948330603</v>
      </c>
      <c r="Z16" s="96">
        <f>'Op Cost-24'!D9/'Revenue Hours-24'!E8</f>
        <v>121.31553469268006</v>
      </c>
      <c r="AA16" s="96">
        <f>'Op Cost-24'!E9/'Revenue Hours-24'!F8</f>
        <v>156.54829705026299</v>
      </c>
      <c r="AB16" s="97">
        <f t="shared" si="8"/>
        <v>1.1806154944392757</v>
      </c>
      <c r="AC16" s="98">
        <f t="shared" si="9"/>
        <v>1.6938463910264403E-2</v>
      </c>
      <c r="AD16" s="99">
        <f t="shared" si="10"/>
        <v>1.703456357391149E-2</v>
      </c>
      <c r="AE16" s="95">
        <f>'Op Cost-24'!B9/'Revenue Miles-24'!C8</f>
        <v>8.3349927191978441</v>
      </c>
      <c r="AF16" s="96">
        <f>'Op Cost-24'!C9/'Revenue Miles-24'!D8</f>
        <v>9.0001577194989437</v>
      </c>
      <c r="AG16" s="96">
        <f>'Op Cost-24'!D9/'Revenue Miles-24'!E8</f>
        <v>12.453234770704997</v>
      </c>
      <c r="AH16" s="96">
        <f>'Op Cost-24'!E9/'Revenue Miles-24'!F8</f>
        <v>11.385813427218888</v>
      </c>
      <c r="AI16" s="97">
        <f t="shared" si="11"/>
        <v>1.0391119823445312</v>
      </c>
      <c r="AJ16" s="98">
        <f t="shared" si="12"/>
        <v>1.9245098973200082E-2</v>
      </c>
      <c r="AK16" s="99">
        <f t="shared" si="13"/>
        <v>1.9266487417105897E-2</v>
      </c>
      <c r="AL16" s="95">
        <f>'Op Cost-24'!B9/'Ridership-24'!B8</f>
        <v>3.910092984911147</v>
      </c>
      <c r="AM16" s="96">
        <f>'Op Cost-24'!C9/'Ridership-24'!C8</f>
        <v>4.6945151371402689</v>
      </c>
      <c r="AN16" s="96">
        <f>'Op Cost-24'!D9/'Ridership-24'!D8</f>
        <v>14.743825869921071</v>
      </c>
      <c r="AO16" s="96">
        <f>'Op Cost-24'!E9/'Ridership-24'!E8</f>
        <v>7.9680088227624495</v>
      </c>
      <c r="AP16" s="97">
        <f t="shared" si="14"/>
        <v>1.063188575491355</v>
      </c>
      <c r="AQ16" s="98">
        <f t="shared" si="15"/>
        <v>1.8809281255883135E-2</v>
      </c>
      <c r="AR16" s="99">
        <f t="shared" si="16"/>
        <v>1.9918282173302135E-2</v>
      </c>
      <c r="AT16" s="101">
        <f t="shared" si="27"/>
        <v>0</v>
      </c>
      <c r="AU16" s="102">
        <f t="shared" si="17"/>
        <v>0</v>
      </c>
      <c r="AV16" s="102">
        <f t="shared" si="18"/>
        <v>0</v>
      </c>
      <c r="AW16" s="102">
        <f t="shared" si="19"/>
        <v>0</v>
      </c>
      <c r="AX16" s="103">
        <f t="shared" si="20"/>
        <v>0</v>
      </c>
      <c r="AY16" s="104">
        <f t="shared" si="28"/>
        <v>-1</v>
      </c>
      <c r="AZ16" s="105">
        <f t="shared" si="21"/>
        <v>0</v>
      </c>
      <c r="BA16" s="106">
        <f t="shared" si="21"/>
        <v>0</v>
      </c>
      <c r="BB16" s="106">
        <f t="shared" si="21"/>
        <v>0</v>
      </c>
      <c r="BC16" s="106">
        <f t="shared" si="21"/>
        <v>0</v>
      </c>
      <c r="BD16" s="106">
        <f t="shared" si="21"/>
        <v>0</v>
      </c>
      <c r="BE16" s="107">
        <f t="shared" si="29"/>
        <v>2531780.3045143592</v>
      </c>
      <c r="BG16" s="108">
        <f>'Op Cost-24'!E9</f>
        <v>9197369</v>
      </c>
      <c r="BH16" s="109">
        <f t="shared" si="22"/>
        <v>0.27527223323478262</v>
      </c>
      <c r="BI16" s="110">
        <f t="shared" si="23"/>
        <v>2531780.3045143592</v>
      </c>
      <c r="BJ16" s="111">
        <f t="shared" si="24"/>
        <v>0</v>
      </c>
      <c r="BK16" s="1">
        <f t="shared" si="30"/>
        <v>2.0096168438181419</v>
      </c>
      <c r="BL16" s="112">
        <f t="shared" si="31"/>
        <v>2.1943238289536016</v>
      </c>
      <c r="BM16" s="112">
        <f t="shared" si="32"/>
        <v>2.305426155195299</v>
      </c>
      <c r="BN16" s="113">
        <f t="shared" si="33"/>
        <v>1.769358695561833</v>
      </c>
      <c r="BO16" s="114">
        <f t="shared" si="25"/>
        <v>2531780.3045143592</v>
      </c>
      <c r="BP16" s="115">
        <f t="shared" si="34"/>
        <v>4.0187941732708544E-2</v>
      </c>
      <c r="BQ16" s="116">
        <f t="shared" si="35"/>
        <v>4.0187941732708544E-2</v>
      </c>
      <c r="BR16" s="117">
        <f t="shared" si="36"/>
        <v>6.7693139755325066E-2</v>
      </c>
      <c r="BS16" s="118">
        <f t="shared" si="37"/>
        <v>3382899.6270354441</v>
      </c>
      <c r="BT16" s="119">
        <f t="shared" si="38"/>
        <v>2759210.6999999997</v>
      </c>
      <c r="BU16" s="119">
        <f t="shared" si="39"/>
        <v>2759210.6999999997</v>
      </c>
      <c r="BV16" s="119">
        <f t="shared" si="56"/>
        <v>623688.92703544442</v>
      </c>
      <c r="BW16" s="120">
        <f t="shared" si="40"/>
        <v>0</v>
      </c>
      <c r="BX16" s="121">
        <f t="shared" si="41"/>
        <v>0</v>
      </c>
      <c r="BY16" s="122">
        <f t="shared" si="42"/>
        <v>2759210.6999999997</v>
      </c>
      <c r="BZ16" s="123">
        <f t="shared" si="43"/>
        <v>34692105435871.598</v>
      </c>
      <c r="CA16" s="111">
        <f>ROUND((BZ16+BI16),0)</f>
        <v>34692107967652</v>
      </c>
      <c r="CC16" s="124">
        <f t="shared" si="26"/>
        <v>1</v>
      </c>
      <c r="CD16" s="17"/>
      <c r="CE16" s="108">
        <f t="shared" si="44"/>
        <v>9197369</v>
      </c>
      <c r="CF16" s="125">
        <f t="shared" si="45"/>
        <v>3771959.999392435</v>
      </c>
      <c r="CG16" s="110">
        <f t="shared" si="46"/>
        <v>2759210.6999999997</v>
      </c>
      <c r="CH16" s="126">
        <f t="shared" si="47"/>
        <v>34692105208441.301</v>
      </c>
      <c r="CJ16" s="127">
        <f t="shared" si="48"/>
        <v>0</v>
      </c>
      <c r="CK16" s="128" t="e">
        <f t="shared" si="49"/>
        <v>#DIV/0!</v>
      </c>
      <c r="CL16" s="129" t="e">
        <f t="shared" si="50"/>
        <v>#DIV/0!</v>
      </c>
      <c r="CM16" s="130" t="e">
        <f t="shared" si="51"/>
        <v>#DIV/0!</v>
      </c>
      <c r="CO16" s="131" t="e">
        <f t="shared" si="52"/>
        <v>#DIV/0!</v>
      </c>
      <c r="CP16" s="1">
        <f t="shared" si="53"/>
        <v>0</v>
      </c>
      <c r="CQ16" s="132">
        <f t="shared" si="54"/>
        <v>0.3</v>
      </c>
      <c r="CS16" s="104">
        <f t="shared" si="55"/>
        <v>3.2428242164347948E-2</v>
      </c>
    </row>
    <row r="17" spans="1:97" ht="16.5" customHeight="1">
      <c r="A17" s="136"/>
      <c r="B17" s="137"/>
      <c r="C17" s="208"/>
      <c r="D17" s="139"/>
      <c r="E17" s="139"/>
      <c r="F17" s="139"/>
      <c r="G17" s="140"/>
      <c r="H17" s="141"/>
      <c r="J17" s="142"/>
      <c r="K17" s="143"/>
      <c r="L17" s="143"/>
      <c r="M17" s="143"/>
      <c r="N17" s="144"/>
      <c r="O17" s="145"/>
      <c r="P17" s="146"/>
      <c r="Q17" s="142"/>
      <c r="R17" s="143"/>
      <c r="S17" s="143"/>
      <c r="T17" s="143"/>
      <c r="U17" s="144"/>
      <c r="V17" s="145"/>
      <c r="W17" s="146"/>
      <c r="X17" s="142"/>
      <c r="Y17" s="143"/>
      <c r="Z17" s="143"/>
      <c r="AA17" s="143"/>
      <c r="AB17" s="144"/>
      <c r="AC17" s="145"/>
      <c r="AD17" s="146"/>
      <c r="AE17" s="142"/>
      <c r="AF17" s="143"/>
      <c r="AG17" s="143"/>
      <c r="AH17" s="143"/>
      <c r="AI17" s="144"/>
      <c r="AJ17" s="145"/>
      <c r="AK17" s="146"/>
      <c r="AL17" s="142"/>
      <c r="AM17" s="143"/>
      <c r="AN17" s="143"/>
      <c r="AO17" s="143"/>
      <c r="AP17" s="147"/>
      <c r="AQ17" s="145"/>
      <c r="AR17" s="146"/>
      <c r="AT17" s="148"/>
      <c r="AU17" s="149"/>
      <c r="AV17" s="149"/>
      <c r="AW17" s="149"/>
      <c r="AX17" s="150"/>
      <c r="AY17" s="104" t="e">
        <f t="shared" si="28"/>
        <v>#DIV/0!</v>
      </c>
      <c r="AZ17" s="151"/>
      <c r="BA17" s="152"/>
      <c r="BB17" s="152"/>
      <c r="BC17" s="152"/>
      <c r="BD17" s="152"/>
      <c r="BE17" s="107">
        <f t="shared" si="29"/>
        <v>0</v>
      </c>
      <c r="BG17" s="153"/>
      <c r="BH17" s="154"/>
      <c r="BI17" s="155"/>
      <c r="BJ17" s="156"/>
      <c r="BL17" s="112"/>
      <c r="BM17" s="112"/>
      <c r="BN17" s="113"/>
      <c r="BO17" s="157"/>
      <c r="BP17" s="115"/>
      <c r="BQ17" s="116">
        <f t="shared" si="35"/>
        <v>0</v>
      </c>
      <c r="BR17" s="117">
        <f t="shared" si="36"/>
        <v>0</v>
      </c>
      <c r="BS17" s="118">
        <f t="shared" si="37"/>
        <v>0</v>
      </c>
      <c r="BT17" s="119">
        <f t="shared" si="38"/>
        <v>0</v>
      </c>
      <c r="BU17" s="119">
        <f t="shared" si="39"/>
        <v>0</v>
      </c>
      <c r="BV17" s="119">
        <f t="shared" si="56"/>
        <v>0</v>
      </c>
      <c r="BW17" s="120">
        <f t="shared" si="40"/>
        <v>0</v>
      </c>
      <c r="BX17" s="121">
        <f t="shared" si="41"/>
        <v>0</v>
      </c>
      <c r="BY17" s="122">
        <f t="shared" si="42"/>
        <v>0</v>
      </c>
      <c r="BZ17" s="158"/>
      <c r="CA17" s="156"/>
      <c r="CC17" s="159"/>
      <c r="CD17" s="17"/>
      <c r="CE17" s="153"/>
      <c r="CF17" s="160"/>
      <c r="CG17" s="155">
        <f t="shared" si="46"/>
        <v>0</v>
      </c>
      <c r="CH17" s="161">
        <f t="shared" si="47"/>
        <v>0</v>
      </c>
      <c r="CJ17" s="127"/>
      <c r="CK17" s="128" t="e">
        <f t="shared" si="49"/>
        <v>#DIV/0!</v>
      </c>
      <c r="CL17" s="129" t="e">
        <f t="shared" si="50"/>
        <v>#DIV/0!</v>
      </c>
      <c r="CM17" s="162"/>
      <c r="CO17" s="131"/>
      <c r="CP17" s="1">
        <f t="shared" si="53"/>
        <v>0</v>
      </c>
      <c r="CQ17" s="132"/>
      <c r="CS17" s="104">
        <f t="shared" si="55"/>
        <v>0</v>
      </c>
    </row>
    <row r="18" spans="1:97">
      <c r="A18" s="133" t="s">
        <v>90</v>
      </c>
      <c r="B18" s="90" t="s">
        <v>91</v>
      </c>
      <c r="C18" s="208">
        <f>'Op Cost-24'!E11</f>
        <v>4537045</v>
      </c>
      <c r="D18" s="92">
        <f>'Ridership-24'!$E10</f>
        <v>179874</v>
      </c>
      <c r="E18" s="92">
        <f>'Revenue Hours-24'!$F10</f>
        <v>40268</v>
      </c>
      <c r="F18" s="92">
        <f>'Revenue Miles-24'!$F10</f>
        <v>598250</v>
      </c>
      <c r="G18" s="134">
        <f t="shared" si="0"/>
        <v>7.80651477588823E-3</v>
      </c>
      <c r="H18" s="94">
        <f t="shared" si="1"/>
        <v>7.3699069948322997E-3</v>
      </c>
      <c r="J18" s="95">
        <f>'Ridership-24'!B10/'Revenue Hours-24'!C10</f>
        <v>6.326061550447994</v>
      </c>
      <c r="K18" s="96">
        <f>'Ridership-24'!C10/'Revenue Hours-24'!D10</f>
        <v>5.5934530095036958</v>
      </c>
      <c r="L18" s="96">
        <f>'Ridership-24'!D10/'Revenue Hours-24'!E10</f>
        <v>3.4815432129025932</v>
      </c>
      <c r="M18" s="96">
        <f>'Ridership-24'!E10/'Revenue Hours-24'!F10</f>
        <v>4.4669216251117509</v>
      </c>
      <c r="N18" s="97">
        <f t="shared" si="2"/>
        <v>1.0317484320832804</v>
      </c>
      <c r="O18" s="98">
        <f t="shared" si="3"/>
        <v>7.6038899865178257E-3</v>
      </c>
      <c r="P18" s="99">
        <f t="shared" si="4"/>
        <v>7.2962153660896256E-3</v>
      </c>
      <c r="Q18" s="95">
        <f>'Ridership-24'!B10/'Revenue Miles-24'!C10</f>
        <v>0.39410887442709325</v>
      </c>
      <c r="R18" s="96">
        <f>'Ridership-24'!C10/'Revenue Miles-24'!D10</f>
        <v>0.3427235145820865</v>
      </c>
      <c r="S18" s="96">
        <f>'Ridership-24'!D10/'Revenue Miles-24'!E10</f>
        <v>0.23255357049300571</v>
      </c>
      <c r="T18" s="96">
        <f>'Ridership-24'!E10/'Revenue Miles-24'!F10</f>
        <v>0.30066694525699961</v>
      </c>
      <c r="U18" s="97">
        <f t="shared" si="5"/>
        <v>1.0693183510750313</v>
      </c>
      <c r="V18" s="98">
        <f t="shared" si="6"/>
        <v>7.8807767952904142E-3</v>
      </c>
      <c r="W18" s="99">
        <f t="shared" si="7"/>
        <v>7.5884745135742686E-3</v>
      </c>
      <c r="X18" s="95">
        <f>'Op Cost-24'!B11/'Revenue Hours-24'!C10</f>
        <v>73.36560186988703</v>
      </c>
      <c r="Y18" s="96">
        <f>'Op Cost-24'!C11/'Revenue Hours-24'!D10</f>
        <v>71.54291748378337</v>
      </c>
      <c r="Z18" s="96">
        <f>'Op Cost-24'!D11/'Revenue Hours-24'!E10</f>
        <v>97.854576204715912</v>
      </c>
      <c r="AA18" s="96">
        <f>'Op Cost-24'!E11/'Revenue Hours-24'!F10</f>
        <v>112.67122777391477</v>
      </c>
      <c r="AB18" s="97">
        <f t="shared" si="8"/>
        <v>1.0753667804942089</v>
      </c>
      <c r="AC18" s="98">
        <f t="shared" si="9"/>
        <v>6.8533891212868734E-3</v>
      </c>
      <c r="AD18" s="99">
        <f t="shared" si="10"/>
        <v>6.8922715366515385E-3</v>
      </c>
      <c r="AE18" s="95">
        <f>'Op Cost-24'!B11/'Revenue Miles-24'!C10</f>
        <v>4.5706217911458378</v>
      </c>
      <c r="AF18" s="96">
        <f>'Op Cost-24'!C11/'Revenue Miles-24'!D10</f>
        <v>4.38359633697433</v>
      </c>
      <c r="AG18" s="96">
        <f>'Op Cost-24'!D11/'Revenue Miles-24'!E10</f>
        <v>6.5363057971394145</v>
      </c>
      <c r="AH18" s="96">
        <f>'Op Cost-24'!E11/'Revenue Miles-24'!F10</f>
        <v>7.5838612620142083</v>
      </c>
      <c r="AI18" s="97">
        <f t="shared" si="11"/>
        <v>1.1120931991872134</v>
      </c>
      <c r="AJ18" s="98">
        <f t="shared" si="12"/>
        <v>6.6270587754863391E-3</v>
      </c>
      <c r="AK18" s="99">
        <f t="shared" si="13"/>
        <v>6.6344238960854805E-3</v>
      </c>
      <c r="AL18" s="95">
        <f>'Op Cost-24'!B11/'Ridership-24'!B10</f>
        <v>11.597358211712544</v>
      </c>
      <c r="AM18" s="96">
        <f>'Op Cost-24'!C11/'Ridership-24'!C10</f>
        <v>12.790474392513282</v>
      </c>
      <c r="AN18" s="96">
        <f>'Op Cost-24'!D11/'Ridership-24'!D10</f>
        <v>28.106667136018022</v>
      </c>
      <c r="AO18" s="96">
        <f>'Op Cost-24'!E11/'Ridership-24'!E10</f>
        <v>25.223461978940815</v>
      </c>
      <c r="AP18" s="100">
        <f t="shared" si="14"/>
        <v>1.0520580090790668</v>
      </c>
      <c r="AQ18" s="98">
        <f t="shared" si="15"/>
        <v>7.0052287338068439E-3</v>
      </c>
      <c r="AR18" s="99">
        <f t="shared" si="16"/>
        <v>7.4182591408082721E-3</v>
      </c>
      <c r="AT18" s="101">
        <f t="shared" si="27"/>
        <v>0</v>
      </c>
      <c r="AU18" s="102">
        <f t="shared" si="17"/>
        <v>0</v>
      </c>
      <c r="AV18" s="102">
        <f t="shared" si="18"/>
        <v>0</v>
      </c>
      <c r="AW18" s="102">
        <f t="shared" si="19"/>
        <v>0</v>
      </c>
      <c r="AX18" s="103">
        <f t="shared" si="20"/>
        <v>0</v>
      </c>
      <c r="AY18" s="104">
        <f t="shared" si="28"/>
        <v>-1</v>
      </c>
      <c r="AZ18" s="105">
        <f t="shared" si="21"/>
        <v>0</v>
      </c>
      <c r="BA18" s="106">
        <f t="shared" si="21"/>
        <v>0</v>
      </c>
      <c r="BB18" s="106">
        <f t="shared" si="21"/>
        <v>0</v>
      </c>
      <c r="BC18" s="106">
        <f t="shared" si="21"/>
        <v>0</v>
      </c>
      <c r="BD18" s="106">
        <f t="shared" si="21"/>
        <v>0</v>
      </c>
      <c r="BE18" s="107">
        <f t="shared" si="29"/>
        <v>933051.30053181155</v>
      </c>
      <c r="BG18" s="108">
        <f>'Op Cost-24'!E11</f>
        <v>4537045</v>
      </c>
      <c r="BH18" s="109">
        <f t="shared" si="22"/>
        <v>0.20565176244269376</v>
      </c>
      <c r="BI18" s="110">
        <f t="shared" si="23"/>
        <v>933051.30053181155</v>
      </c>
      <c r="BJ18" s="111">
        <f t="shared" si="24"/>
        <v>0</v>
      </c>
      <c r="BK18" s="1">
        <f t="shared" si="30"/>
        <v>0.52546403169420941</v>
      </c>
      <c r="BL18" s="112">
        <f t="shared" si="31"/>
        <v>0.49889656126297199</v>
      </c>
      <c r="BM18" s="112">
        <f t="shared" si="32"/>
        <v>0.48509036035568009</v>
      </c>
      <c r="BN18" s="113">
        <f t="shared" si="33"/>
        <v>0.55893460257909289</v>
      </c>
      <c r="BO18" s="114">
        <f t="shared" si="25"/>
        <v>933051.30053181155</v>
      </c>
      <c r="BP18" s="115">
        <f t="shared" si="34"/>
        <v>3.8726210427159351E-3</v>
      </c>
      <c r="BQ18" s="116">
        <f t="shared" si="35"/>
        <v>3.8726210427159351E-3</v>
      </c>
      <c r="BR18" s="117">
        <f t="shared" si="36"/>
        <v>6.5230978786510341E-3</v>
      </c>
      <c r="BS18" s="118">
        <f t="shared" si="37"/>
        <v>1015067.5087810301</v>
      </c>
      <c r="BT18" s="119">
        <f t="shared" si="38"/>
        <v>1361113.5</v>
      </c>
      <c r="BU18" s="119">
        <f t="shared" si="39"/>
        <v>1015067.5087810301</v>
      </c>
      <c r="BV18" s="119">
        <f t="shared" si="56"/>
        <v>0</v>
      </c>
      <c r="BW18" s="120">
        <f t="shared" si="40"/>
        <v>3.8726210427159351E-3</v>
      </c>
      <c r="BX18" s="121">
        <f t="shared" si="41"/>
        <v>8.604138251849627E-3</v>
      </c>
      <c r="BY18" s="122">
        <f t="shared" si="42"/>
        <v>1034240.3427058423</v>
      </c>
      <c r="BZ18" s="123">
        <f t="shared" ref="BZ18:BZ50" si="58">BY18*$BO$6</f>
        <v>13003709725822.338</v>
      </c>
      <c r="CA18" s="111">
        <f t="shared" si="57"/>
        <v>13003710658874</v>
      </c>
      <c r="CC18" s="124">
        <f t="shared" si="26"/>
        <v>1</v>
      </c>
      <c r="CD18" s="17"/>
      <c r="CE18" s="108">
        <f t="shared" si="44"/>
        <v>4537045</v>
      </c>
      <c r="CF18" s="125">
        <f t="shared" si="45"/>
        <v>2866118.9516246808</v>
      </c>
      <c r="CG18" s="110">
        <f t="shared" si="46"/>
        <v>1361113.5</v>
      </c>
      <c r="CH18" s="126">
        <f t="shared" si="47"/>
        <v>13003709297760.5</v>
      </c>
      <c r="CJ18" s="127">
        <f t="shared" si="48"/>
        <v>0</v>
      </c>
      <c r="CK18" s="128" t="e">
        <f t="shared" si="49"/>
        <v>#DIV/0!</v>
      </c>
      <c r="CL18" s="129" t="e">
        <f t="shared" si="50"/>
        <v>#DIV/0!</v>
      </c>
      <c r="CM18" s="130" t="e">
        <f t="shared" si="51"/>
        <v>#DIV/0!</v>
      </c>
      <c r="CO18" s="131" t="e">
        <f t="shared" si="52"/>
        <v>#DIV/0!</v>
      </c>
      <c r="CP18" s="1">
        <f t="shared" si="53"/>
        <v>0</v>
      </c>
      <c r="CQ18" s="132">
        <f t="shared" si="54"/>
        <v>0.22795461422706681</v>
      </c>
      <c r="CS18" s="104">
        <f t="shared" si="55"/>
        <v>3.1248749642167391E-3</v>
      </c>
    </row>
    <row r="19" spans="1:97">
      <c r="A19" s="133" t="s">
        <v>92</v>
      </c>
      <c r="B19" s="90" t="s">
        <v>93</v>
      </c>
      <c r="C19" s="208">
        <f>'Op Cost-24'!E12</f>
        <v>1726724</v>
      </c>
      <c r="D19" s="92">
        <f>'Ridership-24'!$E11</f>
        <v>75266</v>
      </c>
      <c r="E19" s="92">
        <f>'Revenue Hours-24'!$F11</f>
        <v>21618</v>
      </c>
      <c r="F19" s="92">
        <f>'Revenue Miles-24'!$F11</f>
        <v>415022</v>
      </c>
      <c r="G19" s="134">
        <f t="shared" si="0"/>
        <v>3.7054165337023076E-3</v>
      </c>
      <c r="H19" s="94">
        <f t="shared" si="1"/>
        <v>3.4981776137601307E-3</v>
      </c>
      <c r="J19" s="95">
        <f>'Ridership-24'!B11/'Revenue Hours-24'!C11</f>
        <v>7.655356409905596</v>
      </c>
      <c r="K19" s="96">
        <f>'Ridership-24'!C11/'Revenue Hours-24'!D11</f>
        <v>6.7021276595744679</v>
      </c>
      <c r="L19" s="96">
        <f>'Ridership-24'!D11/'Revenue Hours-24'!E11</f>
        <v>5.361326293975428</v>
      </c>
      <c r="M19" s="96">
        <f>'Ridership-24'!E11/'Revenue Hours-24'!F11</f>
        <v>3.4816356739753909</v>
      </c>
      <c r="N19" s="97">
        <f t="shared" si="2"/>
        <v>0.98008321006467869</v>
      </c>
      <c r="O19" s="98">
        <f t="shared" si="3"/>
        <v>3.4285051450704267E-3</v>
      </c>
      <c r="P19" s="99">
        <f t="shared" si="4"/>
        <v>3.2897782538323875E-3</v>
      </c>
      <c r="Q19" s="95">
        <f>'Ridership-24'!B11/'Revenue Miles-24'!C11</f>
        <v>0.43287508026520399</v>
      </c>
      <c r="R19" s="96">
        <f>'Ridership-24'!C11/'Revenue Miles-24'!D11</f>
        <v>0.35838935027674113</v>
      </c>
      <c r="S19" s="96">
        <f>'Ridership-24'!D11/'Revenue Miles-24'!E11</f>
        <v>0.29459705668644059</v>
      </c>
      <c r="T19" s="96">
        <f>'Ridership-24'!E11/'Revenue Miles-24'!F11</f>
        <v>0.18135424146189841</v>
      </c>
      <c r="U19" s="97">
        <f t="shared" si="5"/>
        <v>0.96747421208448736</v>
      </c>
      <c r="V19" s="98">
        <f t="shared" si="6"/>
        <v>3.3843966306041748E-3</v>
      </c>
      <c r="W19" s="99">
        <f t="shared" si="7"/>
        <v>3.2588675256624861E-3</v>
      </c>
      <c r="X19" s="95">
        <f>'Op Cost-24'!B12/'Revenue Hours-24'!C11</f>
        <v>69.455055411136954</v>
      </c>
      <c r="Y19" s="96">
        <f>'Op Cost-24'!C12/'Revenue Hours-24'!D11</f>
        <v>66.919313392948922</v>
      </c>
      <c r="Z19" s="96">
        <f>'Op Cost-24'!D12/'Revenue Hours-24'!E11</f>
        <v>71.305225243005879</v>
      </c>
      <c r="AA19" s="96">
        <f>'Op Cost-24'!E12/'Revenue Hours-24'!F11</f>
        <v>79.874363955962622</v>
      </c>
      <c r="AB19" s="97">
        <f t="shared" si="8"/>
        <v>0.97864829271439469</v>
      </c>
      <c r="AC19" s="98">
        <f t="shared" si="9"/>
        <v>3.5744992759937579E-3</v>
      </c>
      <c r="AD19" s="99">
        <f t="shared" si="10"/>
        <v>3.5947790475214228E-3</v>
      </c>
      <c r="AE19" s="95">
        <f>'Op Cost-24'!B12/'Revenue Miles-24'!C11</f>
        <v>3.9273628915588081</v>
      </c>
      <c r="AF19" s="96">
        <f>'Op Cost-24'!C12/'Revenue Miles-24'!D11</f>
        <v>3.578441125871858</v>
      </c>
      <c r="AG19" s="96">
        <f>'Op Cost-24'!D12/'Revenue Miles-24'!E11</f>
        <v>3.9181180795800845</v>
      </c>
      <c r="AH19" s="96">
        <f>'Op Cost-24'!E12/'Revenue Miles-24'!F11</f>
        <v>4.1605601630756928</v>
      </c>
      <c r="AI19" s="97">
        <f t="shared" si="11"/>
        <v>0.95623417116569043</v>
      </c>
      <c r="AJ19" s="98">
        <f t="shared" si="12"/>
        <v>3.6582855112735646E-3</v>
      </c>
      <c r="AK19" s="99">
        <f t="shared" si="13"/>
        <v>3.6623512235132516E-3</v>
      </c>
      <c r="AL19" s="95">
        <f>'Op Cost-24'!B12/'Ridership-24'!B11</f>
        <v>9.0727396207531328</v>
      </c>
      <c r="AM19" s="96">
        <f>'Op Cost-24'!C12/'Ridership-24'!C11</f>
        <v>9.9847864427574571</v>
      </c>
      <c r="AN19" s="96">
        <f>'Op Cost-24'!D12/'Ridership-24'!D11</f>
        <v>13.299922693220932</v>
      </c>
      <c r="AO19" s="96">
        <f>'Op Cost-24'!E12/'Ridership-24'!E11</f>
        <v>22.941620386363031</v>
      </c>
      <c r="AP19" s="100">
        <f t="shared" si="14"/>
        <v>1.2845529000575469</v>
      </c>
      <c r="AQ19" s="98">
        <f t="shared" si="15"/>
        <v>2.7232647356161162E-3</v>
      </c>
      <c r="AR19" s="99">
        <f t="shared" si="16"/>
        <v>2.8838292489054515E-3</v>
      </c>
      <c r="AT19" s="101">
        <f t="shared" si="27"/>
        <v>0</v>
      </c>
      <c r="AU19" s="102">
        <f t="shared" si="17"/>
        <v>0</v>
      </c>
      <c r="AV19" s="102">
        <f t="shared" si="18"/>
        <v>0</v>
      </c>
      <c r="AW19" s="102">
        <f t="shared" si="19"/>
        <v>0</v>
      </c>
      <c r="AX19" s="103">
        <f t="shared" si="20"/>
        <v>0</v>
      </c>
      <c r="AY19" s="104">
        <f t="shared" si="28"/>
        <v>-1</v>
      </c>
      <c r="AZ19" s="105">
        <f t="shared" si="21"/>
        <v>0</v>
      </c>
      <c r="BA19" s="106">
        <f t="shared" si="21"/>
        <v>0</v>
      </c>
      <c r="BB19" s="106">
        <f t="shared" si="21"/>
        <v>0</v>
      </c>
      <c r="BC19" s="106">
        <f t="shared" si="21"/>
        <v>0</v>
      </c>
      <c r="BD19" s="106">
        <f t="shared" si="21"/>
        <v>0</v>
      </c>
      <c r="BE19" s="107">
        <f t="shared" si="29"/>
        <v>442879.28929073684</v>
      </c>
      <c r="BG19" s="108">
        <f>'Op Cost-24'!E12</f>
        <v>1726724</v>
      </c>
      <c r="BH19" s="109">
        <f t="shared" si="22"/>
        <v>0.25648528038686952</v>
      </c>
      <c r="BI19" s="110">
        <f t="shared" si="23"/>
        <v>442879.28929073684</v>
      </c>
      <c r="BJ19" s="111">
        <f t="shared" si="24"/>
        <v>0</v>
      </c>
      <c r="BK19" s="1">
        <f t="shared" si="30"/>
        <v>0.4776255838631982</v>
      </c>
      <c r="BL19" s="112">
        <f t="shared" si="31"/>
        <v>0.38885304267530274</v>
      </c>
      <c r="BM19" s="112">
        <f t="shared" si="32"/>
        <v>0.29259350164876585</v>
      </c>
      <c r="BN19" s="113">
        <f t="shared" si="33"/>
        <v>0.61452789556436216</v>
      </c>
      <c r="BO19" s="114">
        <f t="shared" si="25"/>
        <v>442879.28929073684</v>
      </c>
      <c r="BP19" s="115">
        <f t="shared" si="34"/>
        <v>1.6708191252293519E-3</v>
      </c>
      <c r="BQ19" s="116">
        <f t="shared" si="35"/>
        <v>1.6708191252293519E-3</v>
      </c>
      <c r="BR19" s="117">
        <f t="shared" si="36"/>
        <v>2.8143514614973964E-3</v>
      </c>
      <c r="BS19" s="118">
        <f t="shared" si="37"/>
        <v>478264.69049836008</v>
      </c>
      <c r="BT19" s="119">
        <f t="shared" si="38"/>
        <v>518017.19999999995</v>
      </c>
      <c r="BU19" s="119">
        <f t="shared" si="39"/>
        <v>478264.69049836008</v>
      </c>
      <c r="BV19" s="119">
        <f t="shared" si="56"/>
        <v>0</v>
      </c>
      <c r="BW19" s="120">
        <f t="shared" si="40"/>
        <v>1.6708191252293519E-3</v>
      </c>
      <c r="BX19" s="121">
        <f t="shared" si="41"/>
        <v>3.712203850760903E-3</v>
      </c>
      <c r="BY19" s="122">
        <f t="shared" si="42"/>
        <v>486536.69471800257</v>
      </c>
      <c r="BZ19" s="123">
        <f t="shared" si="58"/>
        <v>6117322722609.5557</v>
      </c>
      <c r="CA19" s="111">
        <f t="shared" si="57"/>
        <v>6117323165489</v>
      </c>
      <c r="CC19" s="124">
        <f t="shared" si="26"/>
        <v>1</v>
      </c>
      <c r="CD19" s="17"/>
      <c r="CE19" s="108">
        <f t="shared" si="44"/>
        <v>1726724</v>
      </c>
      <c r="CF19" s="125">
        <f t="shared" si="45"/>
        <v>3542733.6189738489</v>
      </c>
      <c r="CG19" s="110">
        <f t="shared" si="46"/>
        <v>518017.19999999995</v>
      </c>
      <c r="CH19" s="126">
        <f t="shared" si="47"/>
        <v>6117322647471.7998</v>
      </c>
      <c r="CJ19" s="127">
        <f t="shared" si="48"/>
        <v>0</v>
      </c>
      <c r="CK19" s="128" t="e">
        <f t="shared" si="49"/>
        <v>#DIV/0!</v>
      </c>
      <c r="CL19" s="129" t="e">
        <f t="shared" si="50"/>
        <v>#DIV/0!</v>
      </c>
      <c r="CM19" s="130" t="e">
        <f t="shared" si="51"/>
        <v>#DIV/0!</v>
      </c>
      <c r="CO19" s="131" t="e">
        <f t="shared" si="52"/>
        <v>#DIV/0!</v>
      </c>
      <c r="CP19" s="1">
        <f t="shared" si="53"/>
        <v>0</v>
      </c>
      <c r="CQ19" s="132">
        <f t="shared" si="54"/>
        <v>0.28176865249918492</v>
      </c>
      <c r="CS19" s="104">
        <f>BP19/$BP$51</f>
        <v>1.3482085638056821E-3</v>
      </c>
    </row>
    <row r="20" spans="1:97">
      <c r="A20" s="133" t="s">
        <v>92</v>
      </c>
      <c r="B20" s="90" t="s">
        <v>94</v>
      </c>
      <c r="C20" s="208">
        <f>'Op Cost-24'!E13</f>
        <v>167538</v>
      </c>
      <c r="D20" s="92">
        <f>'Ridership-24'!$E12</f>
        <v>5437</v>
      </c>
      <c r="E20" s="92">
        <f>'Revenue Hours-24'!$F12</f>
        <v>3090</v>
      </c>
      <c r="F20" s="92">
        <f>'Revenue Miles-24'!$F12</f>
        <v>52366</v>
      </c>
      <c r="G20" s="134">
        <f t="shared" si="0"/>
        <v>4.063452481176381E-4</v>
      </c>
      <c r="H20" s="94">
        <f t="shared" si="1"/>
        <v>3.8361890964054514E-4</v>
      </c>
      <c r="J20" s="95">
        <f>'Ridership-24'!B12/'Revenue Hours-24'!C12</f>
        <v>1.4845748683220465</v>
      </c>
      <c r="K20" s="96">
        <f>'Ridership-24'!C12/'Revenue Hours-24'!D12</f>
        <v>2.5672572178477688</v>
      </c>
      <c r="L20" s="96">
        <f>'Ridership-24'!D12/'Revenue Hours-24'!E12</f>
        <v>1.3415032679738561</v>
      </c>
      <c r="M20" s="96">
        <f>'Ridership-24'!E12/'Revenue Hours-24'!F12</f>
        <v>1.759546925566343</v>
      </c>
      <c r="N20" s="97">
        <f t="shared" si="2"/>
        <v>1.2572030407161214</v>
      </c>
      <c r="O20" s="98">
        <f t="shared" si="3"/>
        <v>4.8228685967629636E-4</v>
      </c>
      <c r="P20" s="99">
        <f t="shared" si="4"/>
        <v>4.6277218669292693E-4</v>
      </c>
      <c r="Q20" s="95">
        <f>'Ridership-24'!B12/'Revenue Miles-24'!C12</f>
        <v>0.10409137671792978</v>
      </c>
      <c r="R20" s="96">
        <f>'Ridership-24'!C12/'Revenue Miles-24'!D12</f>
        <v>0.14723314580314975</v>
      </c>
      <c r="S20" s="96">
        <f>'Ridership-24'!D12/'Revenue Miles-24'!E12</f>
        <v>8.4451119157340354E-2</v>
      </c>
      <c r="T20" s="96">
        <f>'Ridership-24'!E12/'Revenue Miles-24'!F12</f>
        <v>0.10382691059084138</v>
      </c>
      <c r="U20" s="97">
        <f t="shared" si="5"/>
        <v>1.1688954873954811</v>
      </c>
      <c r="V20" s="98">
        <f t="shared" si="6"/>
        <v>4.4841041235840805E-4</v>
      </c>
      <c r="W20" s="99">
        <f t="shared" si="7"/>
        <v>4.3177862718261559E-4</v>
      </c>
      <c r="X20" s="95">
        <f>'Op Cost-24'!B13/'Revenue Hours-24'!C12</f>
        <v>60.401805869074494</v>
      </c>
      <c r="Y20" s="96">
        <f>'Op Cost-24'!C13/'Revenue Hours-24'!D12</f>
        <v>44.952755905511808</v>
      </c>
      <c r="Z20" s="96">
        <f>'Op Cost-24'!D13/'Revenue Hours-24'!E12</f>
        <v>49.306209150326801</v>
      </c>
      <c r="AA20" s="96">
        <f>'Op Cost-24'!E13/'Revenue Hours-24'!F12</f>
        <v>54.219417475728157</v>
      </c>
      <c r="AB20" s="97">
        <f t="shared" si="8"/>
        <v>0.90864591691387275</v>
      </c>
      <c r="AC20" s="98">
        <f t="shared" si="9"/>
        <v>4.2218745773212664E-4</v>
      </c>
      <c r="AD20" s="99">
        <f t="shared" si="10"/>
        <v>4.2458272054338376E-4</v>
      </c>
      <c r="AE20" s="95">
        <f>'Op Cost-24'!B13/'Revenue Miles-24'!C12</f>
        <v>4.2350892927800787</v>
      </c>
      <c r="AF20" s="96">
        <f>'Op Cost-24'!C13/'Revenue Miles-24'!D12</f>
        <v>2.5780570869475228</v>
      </c>
      <c r="AG20" s="96">
        <f>'Op Cost-24'!D13/'Revenue Miles-24'!E12</f>
        <v>3.103954081632653</v>
      </c>
      <c r="AH20" s="96">
        <f>'Op Cost-24'!E13/'Revenue Miles-24'!F12</f>
        <v>3.1993660008402398</v>
      </c>
      <c r="AI20" s="97">
        <f t="shared" si="11"/>
        <v>0.87542903217382262</v>
      </c>
      <c r="AJ20" s="98">
        <f t="shared" si="12"/>
        <v>4.3820674839622516E-4</v>
      </c>
      <c r="AK20" s="99">
        <f t="shared" si="13"/>
        <v>4.3869375864596585E-4</v>
      </c>
      <c r="AL20" s="95">
        <f>'Op Cost-24'!B13/'Ridership-24'!B12</f>
        <v>40.686264571718198</v>
      </c>
      <c r="AM20" s="96">
        <f>'Op Cost-24'!C13/'Ridership-24'!C12</f>
        <v>17.510031948881789</v>
      </c>
      <c r="AN20" s="96">
        <f>'Op Cost-24'!D13/'Ridership-24'!D12</f>
        <v>36.754445797807549</v>
      </c>
      <c r="AO20" s="96">
        <f>'Op Cost-24'!E13/'Ridership-24'!E12</f>
        <v>30.814419716755562</v>
      </c>
      <c r="AP20" s="100">
        <f t="shared" si="14"/>
        <v>0.79388736805371352</v>
      </c>
      <c r="AQ20" s="98">
        <f t="shared" si="15"/>
        <v>4.832157873742487E-4</v>
      </c>
      <c r="AR20" s="99">
        <f t="shared" si="16"/>
        <v>5.1170633649301283E-4</v>
      </c>
      <c r="AT20" s="101">
        <f t="shared" si="27"/>
        <v>0</v>
      </c>
      <c r="AU20" s="102">
        <f t="shared" si="17"/>
        <v>0</v>
      </c>
      <c r="AV20" s="102">
        <f t="shared" si="18"/>
        <v>0</v>
      </c>
      <c r="AW20" s="102">
        <f t="shared" si="19"/>
        <v>0</v>
      </c>
      <c r="AX20" s="103">
        <f t="shared" si="20"/>
        <v>0</v>
      </c>
      <c r="AY20" s="104">
        <f t="shared" si="28"/>
        <v>-1</v>
      </c>
      <c r="AZ20" s="105">
        <f t="shared" si="21"/>
        <v>0</v>
      </c>
      <c r="BA20" s="106">
        <f t="shared" si="21"/>
        <v>0</v>
      </c>
      <c r="BB20" s="106">
        <f t="shared" si="21"/>
        <v>0</v>
      </c>
      <c r="BC20" s="106">
        <f t="shared" si="21"/>
        <v>0</v>
      </c>
      <c r="BD20" s="106">
        <f t="shared" si="21"/>
        <v>0</v>
      </c>
      <c r="BE20" s="107">
        <f t="shared" si="29"/>
        <v>48567.25095712702</v>
      </c>
      <c r="BG20" s="108">
        <f>'Op Cost-24'!E13</f>
        <v>167538</v>
      </c>
      <c r="BH20" s="109">
        <f t="shared" si="22"/>
        <v>0.28988797142813583</v>
      </c>
      <c r="BI20" s="110">
        <f t="shared" si="23"/>
        <v>48567.25095712702</v>
      </c>
      <c r="BJ20" s="111">
        <f t="shared" si="24"/>
        <v>0</v>
      </c>
      <c r="BK20" s="1">
        <f t="shared" si="30"/>
        <v>0.31976852202394845</v>
      </c>
      <c r="BL20" s="112">
        <f t="shared" si="31"/>
        <v>0.19651831489743721</v>
      </c>
      <c r="BM20" s="112">
        <f t="shared" si="32"/>
        <v>0.16751237296829424</v>
      </c>
      <c r="BN20" s="113">
        <f t="shared" si="33"/>
        <v>0.45752170011503124</v>
      </c>
      <c r="BO20" s="114">
        <f t="shared" si="25"/>
        <v>48567.25095712702</v>
      </c>
      <c r="BP20" s="115">
        <f t="shared" si="34"/>
        <v>1.2266925175619575E-4</v>
      </c>
      <c r="BQ20" s="116">
        <f t="shared" si="35"/>
        <v>1.2266925175619575E-4</v>
      </c>
      <c r="BR20" s="117">
        <f t="shared" si="36"/>
        <v>2.0662582965912097E-4</v>
      </c>
      <c r="BS20" s="118">
        <f t="shared" si="37"/>
        <v>51165.198648584097</v>
      </c>
      <c r="BT20" s="119">
        <f t="shared" si="38"/>
        <v>50261.4</v>
      </c>
      <c r="BU20" s="119">
        <f t="shared" si="39"/>
        <v>50261.4</v>
      </c>
      <c r="BV20" s="119">
        <f t="shared" si="56"/>
        <v>903.79864858409564</v>
      </c>
      <c r="BW20" s="120">
        <f t="shared" si="40"/>
        <v>0</v>
      </c>
      <c r="BX20" s="121">
        <f t="shared" si="41"/>
        <v>0</v>
      </c>
      <c r="BY20" s="122">
        <f t="shared" si="42"/>
        <v>50261.4</v>
      </c>
      <c r="BZ20" s="123">
        <f t="shared" si="58"/>
        <v>631946588259.64868</v>
      </c>
      <c r="CA20" s="111">
        <f t="shared" si="57"/>
        <v>631946636827</v>
      </c>
      <c r="CC20" s="124">
        <f t="shared" si="26"/>
        <v>1</v>
      </c>
      <c r="CD20" s="17"/>
      <c r="CE20" s="108">
        <f t="shared" si="44"/>
        <v>167538</v>
      </c>
      <c r="CF20" s="125">
        <f t="shared" si="45"/>
        <v>3771960.0140087623</v>
      </c>
      <c r="CG20" s="110">
        <f t="shared" si="46"/>
        <v>50261.4</v>
      </c>
      <c r="CH20" s="126">
        <f t="shared" si="47"/>
        <v>631946586565.59998</v>
      </c>
      <c r="CJ20" s="127">
        <f t="shared" si="48"/>
        <v>0</v>
      </c>
      <c r="CK20" s="128" t="e">
        <f t="shared" si="49"/>
        <v>#DIV/0!</v>
      </c>
      <c r="CL20" s="129" t="e">
        <f t="shared" si="50"/>
        <v>#DIV/0!</v>
      </c>
      <c r="CM20" s="130" t="e">
        <f t="shared" si="51"/>
        <v>#DIV/0!</v>
      </c>
      <c r="CO20" s="131" t="e">
        <f t="shared" si="52"/>
        <v>#DIV/0!</v>
      </c>
      <c r="CP20" s="1">
        <f t="shared" si="53"/>
        <v>0</v>
      </c>
      <c r="CQ20" s="132">
        <f t="shared" si="54"/>
        <v>0.3</v>
      </c>
      <c r="CS20" s="104">
        <f t="shared" si="55"/>
        <v>9.8983626196304307E-5</v>
      </c>
    </row>
    <row r="21" spans="1:97">
      <c r="A21" s="133" t="s">
        <v>92</v>
      </c>
      <c r="B21" s="90" t="s">
        <v>95</v>
      </c>
      <c r="C21" s="208">
        <f>'Op Cost-24'!E14</f>
        <v>99766003</v>
      </c>
      <c r="D21" s="92">
        <f>'Ridership-24'!$E13</f>
        <v>6381801</v>
      </c>
      <c r="E21" s="92">
        <f>'Revenue Hours-24'!$F13</f>
        <v>886831</v>
      </c>
      <c r="F21" s="92">
        <f>'Revenue Miles-24'!$F13</f>
        <v>12904187</v>
      </c>
      <c r="G21" s="134">
        <f t="shared" si="0"/>
        <v>0.19301168961880577</v>
      </c>
      <c r="H21" s="94">
        <f t="shared" si="1"/>
        <v>0.1822168076591115</v>
      </c>
      <c r="J21" s="95">
        <f>'Ridership-24'!B13/'Revenue Hours-24'!C13</f>
        <v>12.656717268983227</v>
      </c>
      <c r="K21" s="96">
        <f>'Ridership-24'!C13/'Revenue Hours-24'!D13</f>
        <v>12.193537039037592</v>
      </c>
      <c r="L21" s="96">
        <f>'Ridership-24'!D13/'Revenue Hours-24'!E13</f>
        <v>6.640780447028594</v>
      </c>
      <c r="M21" s="96">
        <f>'Ridership-24'!E13/'Revenue Hours-24'!F13</f>
        <v>7.1961861955660096</v>
      </c>
      <c r="N21" s="97">
        <f t="shared" si="2"/>
        <v>0.95618600608247295</v>
      </c>
      <c r="O21" s="98">
        <f t="shared" si="3"/>
        <v>0.17423316155666399</v>
      </c>
      <c r="P21" s="99">
        <f t="shared" si="4"/>
        <v>0.16718320134642942</v>
      </c>
      <c r="Q21" s="95">
        <f>'Ridership-24'!B13/'Revenue Miles-24'!C13</f>
        <v>0.95192676699971746</v>
      </c>
      <c r="R21" s="96">
        <f>'Ridership-24'!C13/'Revenue Miles-24'!D13</f>
        <v>0.90434093823673278</v>
      </c>
      <c r="S21" s="96">
        <f>'Ridership-24'!D13/'Revenue Miles-24'!E13</f>
        <v>0.46622665154015291</v>
      </c>
      <c r="T21" s="96">
        <f>'Ridership-24'!E13/'Revenue Miles-24'!F13</f>
        <v>0.49455273703023678</v>
      </c>
      <c r="U21" s="97">
        <f t="shared" si="5"/>
        <v>0.93066455285606553</v>
      </c>
      <c r="V21" s="98">
        <f t="shared" si="6"/>
        <v>0.16958272382292669</v>
      </c>
      <c r="W21" s="99">
        <f t="shared" si="7"/>
        <v>0.16329280870406387</v>
      </c>
      <c r="X21" s="95">
        <f>'Op Cost-24'!B14/'Revenue Hours-24'!C13</f>
        <v>88.602471990302604</v>
      </c>
      <c r="Y21" s="96">
        <f>'Op Cost-24'!C14/'Revenue Hours-24'!D13</f>
        <v>89.156752379659721</v>
      </c>
      <c r="Z21" s="96">
        <f>'Op Cost-24'!D14/'Revenue Hours-24'!E13</f>
        <v>107.97198556298591</v>
      </c>
      <c r="AA21" s="96">
        <f>'Op Cost-24'!E14/'Revenue Hours-24'!F13</f>
        <v>112.49719845156518</v>
      </c>
      <c r="AB21" s="97">
        <f t="shared" si="8"/>
        <v>1.0063255941642135</v>
      </c>
      <c r="AC21" s="98">
        <f t="shared" si="9"/>
        <v>0.18107142332044981</v>
      </c>
      <c r="AD21" s="99">
        <f t="shared" si="10"/>
        <v>0.18209872443638217</v>
      </c>
      <c r="AE21" s="95">
        <f>'Op Cost-24'!B14/'Revenue Miles-24'!C13</f>
        <v>6.6638973532737733</v>
      </c>
      <c r="AF21" s="96">
        <f>'Op Cost-24'!C14/'Revenue Miles-24'!D13</f>
        <v>6.6123636512548227</v>
      </c>
      <c r="AG21" s="96">
        <f>'Op Cost-24'!D14/'Revenue Miles-24'!E13</f>
        <v>7.5803465708156237</v>
      </c>
      <c r="AH21" s="96">
        <f>'Op Cost-24'!E14/'Revenue Miles-24'!F13</f>
        <v>7.7312893094311175</v>
      </c>
      <c r="AI21" s="97">
        <f t="shared" si="11"/>
        <v>0.98247248937261578</v>
      </c>
      <c r="AJ21" s="98">
        <f t="shared" si="12"/>
        <v>0.18546759286407186</v>
      </c>
      <c r="AK21" s="99">
        <f t="shared" si="13"/>
        <v>0.18567371615872696</v>
      </c>
      <c r="AL21" s="95">
        <f>'Op Cost-24'!B14/'Ridership-24'!B13</f>
        <v>7.0004306888827621</v>
      </c>
      <c r="AM21" s="96">
        <f>'Op Cost-24'!C14/'Ridership-24'!C13</f>
        <v>7.311803957639567</v>
      </c>
      <c r="AN21" s="96">
        <f>'Op Cost-24'!D14/'Ridership-24'!D13</f>
        <v>16.258930170067252</v>
      </c>
      <c r="AO21" s="96">
        <f>'Op Cost-24'!E14/'Ridership-24'!E13</f>
        <v>15.632891561488677</v>
      </c>
      <c r="AP21" s="97">
        <f t="shared" si="14"/>
        <v>1.0641680221867109</v>
      </c>
      <c r="AQ21" s="98">
        <f t="shared" si="15"/>
        <v>0.17122935839086989</v>
      </c>
      <c r="AR21" s="99">
        <f t="shared" si="16"/>
        <v>0.18132509320185036</v>
      </c>
      <c r="AT21" s="101">
        <f t="shared" si="27"/>
        <v>0</v>
      </c>
      <c r="AU21" s="102">
        <f t="shared" si="17"/>
        <v>0</v>
      </c>
      <c r="AV21" s="102">
        <f t="shared" si="18"/>
        <v>0</v>
      </c>
      <c r="AW21" s="102">
        <f t="shared" si="19"/>
        <v>0</v>
      </c>
      <c r="AX21" s="103">
        <f t="shared" si="20"/>
        <v>0</v>
      </c>
      <c r="AY21" s="104">
        <f t="shared" si="28"/>
        <v>-1</v>
      </c>
      <c r="AZ21" s="105">
        <f t="shared" si="21"/>
        <v>0</v>
      </c>
      <c r="BA21" s="106">
        <f t="shared" si="21"/>
        <v>0</v>
      </c>
      <c r="BB21" s="106">
        <f t="shared" si="21"/>
        <v>0</v>
      </c>
      <c r="BC21" s="106">
        <f t="shared" si="21"/>
        <v>0</v>
      </c>
      <c r="BD21" s="106">
        <f t="shared" si="21"/>
        <v>0</v>
      </c>
      <c r="BE21" s="107">
        <f t="shared" si="29"/>
        <v>23069168.916826695</v>
      </c>
      <c r="BG21" s="108">
        <f>'Op Cost-24'!E14</f>
        <v>99766003</v>
      </c>
      <c r="BH21" s="109">
        <f t="shared" si="22"/>
        <v>0.23123276690584363</v>
      </c>
      <c r="BI21" s="110">
        <f t="shared" si="23"/>
        <v>23069168.916826695</v>
      </c>
      <c r="BJ21" s="111">
        <f t="shared" si="24"/>
        <v>0</v>
      </c>
      <c r="BK21" s="1">
        <f t="shared" si="30"/>
        <v>0.85132217412883193</v>
      </c>
      <c r="BL21" s="112">
        <f t="shared" si="31"/>
        <v>0.80371961912050216</v>
      </c>
      <c r="BM21" s="112">
        <f t="shared" si="32"/>
        <v>0.79790202815884848</v>
      </c>
      <c r="BN21" s="113">
        <f t="shared" si="33"/>
        <v>0.90183352461798849</v>
      </c>
      <c r="BO21" s="114">
        <f t="shared" si="25"/>
        <v>23069168.916826695</v>
      </c>
      <c r="BP21" s="115">
        <f t="shared" si="34"/>
        <v>0.15512520885917</v>
      </c>
      <c r="BQ21" s="116">
        <f t="shared" si="35"/>
        <v>0.15512520885917</v>
      </c>
      <c r="BR21" s="117">
        <f t="shared" si="36"/>
        <v>0.26129510470378736</v>
      </c>
      <c r="BS21" s="118">
        <f t="shared" si="37"/>
        <v>26354484.287001543</v>
      </c>
      <c r="BT21" s="119">
        <f t="shared" si="38"/>
        <v>29929800.899999999</v>
      </c>
      <c r="BU21" s="119">
        <f t="shared" si="39"/>
        <v>26354484.287001543</v>
      </c>
      <c r="BV21" s="119">
        <f t="shared" si="56"/>
        <v>0</v>
      </c>
      <c r="BW21" s="120">
        <f t="shared" si="40"/>
        <v>0.15512520885917</v>
      </c>
      <c r="BX21" s="121">
        <f t="shared" si="41"/>
        <v>0.34465513889664923</v>
      </c>
      <c r="BY21" s="122">
        <f t="shared" si="42"/>
        <v>27122488.652572729</v>
      </c>
      <c r="BZ21" s="123">
        <f t="shared" si="58"/>
        <v>341016449384704.19</v>
      </c>
      <c r="CA21" s="111">
        <f>ROUND((BZ21+BI21),0)</f>
        <v>341016472453873</v>
      </c>
      <c r="CC21" s="124">
        <f t="shared" si="26"/>
        <v>1</v>
      </c>
      <c r="CD21" s="17"/>
      <c r="CE21" s="108">
        <f t="shared" si="44"/>
        <v>99766003</v>
      </c>
      <c r="CF21" s="125">
        <f t="shared" si="45"/>
        <v>3418163.1237033019</v>
      </c>
      <c r="CG21" s="110">
        <f t="shared" si="46"/>
        <v>29929800.899999999</v>
      </c>
      <c r="CH21" s="126">
        <f t="shared" si="47"/>
        <v>341016442524072.13</v>
      </c>
      <c r="CJ21" s="127">
        <f t="shared" si="48"/>
        <v>0</v>
      </c>
      <c r="CK21" s="128" t="e">
        <f t="shared" si="49"/>
        <v>#DIV/0!</v>
      </c>
      <c r="CL21" s="129" t="e">
        <f t="shared" si="50"/>
        <v>#DIV/0!</v>
      </c>
      <c r="CM21" s="130" t="e">
        <f t="shared" si="51"/>
        <v>#DIV/0!</v>
      </c>
      <c r="CO21" s="131" t="e">
        <f t="shared" si="52"/>
        <v>#DIV/0!</v>
      </c>
      <c r="CP21" s="1">
        <f t="shared" si="53"/>
        <v>0</v>
      </c>
      <c r="CQ21" s="132">
        <f t="shared" si="54"/>
        <v>0.27186103318755517</v>
      </c>
      <c r="CS21" s="104">
        <f t="shared" si="55"/>
        <v>0.12517281606850739</v>
      </c>
    </row>
    <row r="22" spans="1:97">
      <c r="A22" s="133" t="s">
        <v>92</v>
      </c>
      <c r="B22" s="90" t="s">
        <v>96</v>
      </c>
      <c r="C22" s="208">
        <f>'Op Cost-24'!E15</f>
        <v>1200984</v>
      </c>
      <c r="D22" s="92">
        <f>'Ridership-24'!$E14</f>
        <v>63727</v>
      </c>
      <c r="E22" s="92">
        <f>'Revenue Hours-24'!$F14</f>
        <v>20345</v>
      </c>
      <c r="F22" s="92">
        <f>'Revenue Miles-24'!$F14</f>
        <v>483018</v>
      </c>
      <c r="G22" s="134">
        <f t="shared" si="0"/>
        <v>3.3360185530061674E-3</v>
      </c>
      <c r="H22" s="94">
        <f t="shared" si="1"/>
        <v>3.1494395609970591E-3</v>
      </c>
      <c r="J22" s="95">
        <f>'Ridership-24'!B14/'Revenue Hours-24'!C14</f>
        <v>5.3304602970841737</v>
      </c>
      <c r="K22" s="96">
        <f>'Ridership-24'!C14/'Revenue Hours-24'!D14</f>
        <v>5.1587647801630121</v>
      </c>
      <c r="L22" s="96">
        <f>'Ridership-24'!D14/'Revenue Hours-24'!E14</f>
        <v>2.5445369916707494</v>
      </c>
      <c r="M22" s="96">
        <f>'Ridership-24'!E14/'Revenue Hours-24'!F14</f>
        <v>3.1323175227328584</v>
      </c>
      <c r="N22" s="97">
        <f t="shared" si="2"/>
        <v>0.96244724110818003</v>
      </c>
      <c r="O22" s="98">
        <f t="shared" si="3"/>
        <v>3.0311694165185772E-3</v>
      </c>
      <c r="P22" s="99">
        <f t="shared" si="4"/>
        <v>2.9085198382981527E-3</v>
      </c>
      <c r="Q22" s="95">
        <f>'Ridership-24'!B14/'Revenue Miles-24'!C14</f>
        <v>0.21260136238851965</v>
      </c>
      <c r="R22" s="96">
        <f>'Ridership-24'!C14/'Revenue Miles-24'!D14</f>
        <v>0.22008311029377553</v>
      </c>
      <c r="S22" s="96">
        <f>'Ridership-24'!D14/'Revenue Miles-24'!E14</f>
        <v>0.1120356208297289</v>
      </c>
      <c r="T22" s="96">
        <f>'Ridership-24'!E14/'Revenue Miles-24'!F14</f>
        <v>0.13193504175827817</v>
      </c>
      <c r="U22" s="97">
        <f t="shared" si="5"/>
        <v>0.98618094333957085</v>
      </c>
      <c r="V22" s="98">
        <f t="shared" si="6"/>
        <v>3.1059172772550437E-3</v>
      </c>
      <c r="W22" s="99">
        <f t="shared" si="7"/>
        <v>2.9907171224294697E-3</v>
      </c>
      <c r="X22" s="95">
        <f>'Op Cost-24'!B15/'Revenue Hours-24'!C14</f>
        <v>53.481447521242131</v>
      </c>
      <c r="Y22" s="96">
        <f>'Op Cost-24'!C15/'Revenue Hours-24'!D14</f>
        <v>42.671162897485935</v>
      </c>
      <c r="Z22" s="96">
        <f>'Op Cost-24'!D15/'Revenue Hours-24'!E14</f>
        <v>48.696570308672221</v>
      </c>
      <c r="AA22" s="96">
        <f>'Op Cost-24'!E15/'Revenue Hours-24'!F14</f>
        <v>59.030916687146721</v>
      </c>
      <c r="AB22" s="97">
        <f t="shared" si="8"/>
        <v>0.9757458596773475</v>
      </c>
      <c r="AC22" s="98">
        <f t="shared" si="9"/>
        <v>3.2277252624351312E-3</v>
      </c>
      <c r="AD22" s="99">
        <f t="shared" si="10"/>
        <v>3.2460376261599943E-3</v>
      </c>
      <c r="AE22" s="95">
        <f>'Op Cost-24'!B15/'Revenue Miles-24'!C14</f>
        <v>2.1330669345283084</v>
      </c>
      <c r="AF22" s="96">
        <f>'Op Cost-24'!C15/'Revenue Miles-24'!D14</f>
        <v>1.8204362188489445</v>
      </c>
      <c r="AG22" s="96">
        <f>'Op Cost-24'!D15/'Revenue Miles-24'!E14</f>
        <v>2.1441034281165527</v>
      </c>
      <c r="AH22" s="96">
        <f>'Op Cost-24'!E15/'Revenue Miles-24'!F14</f>
        <v>2.4864166552799274</v>
      </c>
      <c r="AI22" s="97">
        <f t="shared" si="11"/>
        <v>0.99284699161436885</v>
      </c>
      <c r="AJ22" s="98">
        <f t="shared" si="12"/>
        <v>3.1721298322877241E-3</v>
      </c>
      <c r="AK22" s="99">
        <f t="shared" si="13"/>
        <v>3.1756552452291867E-3</v>
      </c>
      <c r="AL22" s="95">
        <f>'Op Cost-24'!B15/'Ridership-24'!B14</f>
        <v>10.033176225043292</v>
      </c>
      <c r="AM22" s="96">
        <f>'Op Cost-24'!C15/'Ridership-24'!C14</f>
        <v>8.2715852952957416</v>
      </c>
      <c r="AN22" s="96">
        <f>'Op Cost-24'!D15/'Ridership-24'!D14</f>
        <v>19.13769399622598</v>
      </c>
      <c r="AO22" s="96">
        <f>'Op Cost-24'!E15/'Ridership-24'!E14</f>
        <v>18.84576396189998</v>
      </c>
      <c r="AP22" s="100">
        <f t="shared" si="14"/>
        <v>1.0150741605069409</v>
      </c>
      <c r="AQ22" s="98">
        <f t="shared" si="15"/>
        <v>3.1026694240982246E-3</v>
      </c>
      <c r="AR22" s="99">
        <f t="shared" si="16"/>
        <v>3.2856037526864893E-3</v>
      </c>
      <c r="AT22" s="101">
        <f t="shared" si="27"/>
        <v>0</v>
      </c>
      <c r="AU22" s="102">
        <f t="shared" si="17"/>
        <v>0</v>
      </c>
      <c r="AV22" s="102">
        <f t="shared" si="18"/>
        <v>0</v>
      </c>
      <c r="AW22" s="102">
        <f t="shared" si="19"/>
        <v>0</v>
      </c>
      <c r="AX22" s="103">
        <f t="shared" si="20"/>
        <v>0</v>
      </c>
      <c r="AY22" s="104">
        <f t="shared" si="28"/>
        <v>-1</v>
      </c>
      <c r="AZ22" s="105">
        <f t="shared" si="21"/>
        <v>0</v>
      </c>
      <c r="BA22" s="106">
        <f t="shared" si="21"/>
        <v>0</v>
      </c>
      <c r="BB22" s="106">
        <f t="shared" si="21"/>
        <v>0</v>
      </c>
      <c r="BC22" s="106">
        <f t="shared" si="21"/>
        <v>0</v>
      </c>
      <c r="BD22" s="106">
        <f t="shared" si="21"/>
        <v>0</v>
      </c>
      <c r="BE22" s="107">
        <f t="shared" si="29"/>
        <v>398728.05455959629</v>
      </c>
      <c r="BG22" s="108">
        <f>'Op Cost-24'!E15</f>
        <v>1200984</v>
      </c>
      <c r="BH22" s="109">
        <f t="shared" si="22"/>
        <v>0.33200113786661295</v>
      </c>
      <c r="BI22" s="110">
        <f t="shared" si="23"/>
        <v>360295.2</v>
      </c>
      <c r="BJ22" s="111">
        <f t="shared" si="24"/>
        <v>38432.854559596279</v>
      </c>
      <c r="BK22" s="1">
        <f t="shared" si="30"/>
        <v>0.51471843025831654</v>
      </c>
      <c r="BL22" s="112">
        <f t="shared" si="31"/>
        <v>0.34983878653480505</v>
      </c>
      <c r="BM22" s="112">
        <f t="shared" si="32"/>
        <v>0.21286149994093809</v>
      </c>
      <c r="BN22" s="113">
        <f t="shared" si="33"/>
        <v>0.74808671727876153</v>
      </c>
      <c r="BO22" s="114">
        <f t="shared" si="25"/>
        <v>0</v>
      </c>
      <c r="BP22" s="115">
        <f t="shared" si="34"/>
        <v>1.6210745870298478E-3</v>
      </c>
      <c r="BQ22" s="116">
        <f t="shared" si="35"/>
        <v>0</v>
      </c>
      <c r="BR22" s="117">
        <f t="shared" si="36"/>
        <v>0</v>
      </c>
      <c r="BS22" s="118">
        <f t="shared" si="37"/>
        <v>360295.2</v>
      </c>
      <c r="BT22" s="119">
        <f t="shared" si="38"/>
        <v>360295.2</v>
      </c>
      <c r="BU22" s="119">
        <f t="shared" si="39"/>
        <v>360295.2</v>
      </c>
      <c r="BV22" s="119">
        <f t="shared" si="56"/>
        <v>0</v>
      </c>
      <c r="BW22" s="120">
        <f t="shared" si="40"/>
        <v>0</v>
      </c>
      <c r="BX22" s="121">
        <f t="shared" si="41"/>
        <v>0</v>
      </c>
      <c r="BY22" s="122">
        <f t="shared" si="42"/>
        <v>360295.2</v>
      </c>
      <c r="BZ22" s="123">
        <f t="shared" si="58"/>
        <v>4530063277312.7646</v>
      </c>
      <c r="CA22" s="111">
        <f t="shared" si="57"/>
        <v>4530063637608</v>
      </c>
      <c r="CC22" s="124">
        <f t="shared" si="26"/>
        <v>1</v>
      </c>
      <c r="CD22" s="17"/>
      <c r="CE22" s="108">
        <f t="shared" si="44"/>
        <v>1200984</v>
      </c>
      <c r="CF22" s="125">
        <f t="shared" si="45"/>
        <v>3771960.0241202214</v>
      </c>
      <c r="CG22" s="110">
        <f t="shared" si="46"/>
        <v>360295.2</v>
      </c>
      <c r="CH22" s="126">
        <f t="shared" si="47"/>
        <v>4530063277312.7998</v>
      </c>
      <c r="CJ22" s="127">
        <f t="shared" si="48"/>
        <v>0</v>
      </c>
      <c r="CK22" s="128" t="e">
        <f t="shared" si="49"/>
        <v>#DIV/0!</v>
      </c>
      <c r="CL22" s="129" t="e">
        <f t="shared" si="50"/>
        <v>#DIV/0!</v>
      </c>
      <c r="CM22" s="130" t="e">
        <f t="shared" si="51"/>
        <v>#DIV/0!</v>
      </c>
      <c r="CO22" s="131" t="e">
        <f t="shared" si="52"/>
        <v>#DIV/0!</v>
      </c>
      <c r="CP22" s="1">
        <f t="shared" si="53"/>
        <v>0</v>
      </c>
      <c r="CQ22" s="132">
        <f t="shared" si="54"/>
        <v>0.3</v>
      </c>
      <c r="CS22" s="104">
        <f t="shared" si="55"/>
        <v>1.3080689631807946E-3</v>
      </c>
    </row>
    <row r="23" spans="1:97">
      <c r="A23" s="133" t="s">
        <v>92</v>
      </c>
      <c r="B23" s="90" t="s">
        <v>97</v>
      </c>
      <c r="C23" s="208">
        <f>'Op Cost-24'!E16</f>
        <v>67079</v>
      </c>
      <c r="D23" s="92">
        <f>'Ridership-24'!$E15</f>
        <v>3001</v>
      </c>
      <c r="E23" s="92">
        <f>'Revenue Hours-24'!$F15</f>
        <v>880</v>
      </c>
      <c r="F23" s="92">
        <f>'Revenue Miles-24'!$F15</f>
        <v>6777</v>
      </c>
      <c r="G23" s="93">
        <f t="shared" si="0"/>
        <v>1.2329065510036772E-4</v>
      </c>
      <c r="H23" s="94">
        <f t="shared" si="1"/>
        <v>1.1639517601736315E-4</v>
      </c>
      <c r="J23" s="95">
        <f>'Ridership-24'!B15/'Revenue Hours-24'!C15</f>
        <v>8.7948148148148153</v>
      </c>
      <c r="K23" s="96">
        <f>'Ridership-24'!C15/'Revenue Hours-24'!D15</f>
        <v>8.9790310918293557</v>
      </c>
      <c r="L23" s="96">
        <f>'Ridership-24'!D15/'Revenue Hours-24'!E15</f>
        <v>1.0119225037257824</v>
      </c>
      <c r="M23" s="96">
        <f>'Ridership-24'!E15/'Revenue Hours-24'!F15</f>
        <v>3.4102272727272727</v>
      </c>
      <c r="N23" s="97">
        <f t="shared" si="2"/>
        <v>1.2867202290035118</v>
      </c>
      <c r="O23" s="98">
        <f t="shared" si="3"/>
        <v>1.4976802753996558E-4</v>
      </c>
      <c r="P23" s="99">
        <f t="shared" si="4"/>
        <v>1.4370799496356829E-4</v>
      </c>
      <c r="Q23" s="95">
        <f>'Ridership-24'!B15/'Revenue Miles-24'!C15</f>
        <v>0.80829191912315335</v>
      </c>
      <c r="R23" s="96">
        <f>'Ridership-24'!C15/'Revenue Miles-24'!D15</f>
        <v>0.71335018382352944</v>
      </c>
      <c r="S23" s="96">
        <f>'Ridership-24'!D15/'Revenue Miles-24'!E15</f>
        <v>0.14279705573080967</v>
      </c>
      <c r="T23" s="96">
        <f>'Ridership-24'!E15/'Revenue Miles-24'!F15</f>
        <v>0.44282130736314002</v>
      </c>
      <c r="U23" s="97">
        <f t="shared" si="5"/>
        <v>1.2471062801138642</v>
      </c>
      <c r="V23" s="98">
        <f t="shared" si="6"/>
        <v>1.4515715498621221E-4</v>
      </c>
      <c r="W23" s="99">
        <f t="shared" si="7"/>
        <v>1.3977319745105525E-4</v>
      </c>
      <c r="X23" s="95">
        <f>'Op Cost-24'!B16/'Revenue Hours-24'!C15</f>
        <v>61.958518518518517</v>
      </c>
      <c r="Y23" s="96">
        <f>'Op Cost-24'!C16/'Revenue Hours-24'!D15</f>
        <v>67.96963123644251</v>
      </c>
      <c r="Z23" s="96">
        <f>'Op Cost-24'!D16/'Revenue Hours-24'!E15</f>
        <v>58.488077496274215</v>
      </c>
      <c r="AA23" s="96">
        <f>'Op Cost-24'!E16/'Revenue Hours-24'!F15</f>
        <v>76.226136363636357</v>
      </c>
      <c r="AB23" s="97">
        <f t="shared" si="8"/>
        <v>1.0272513597950881</v>
      </c>
      <c r="AC23" s="98">
        <f t="shared" si="9"/>
        <v>1.1330739541739928E-4</v>
      </c>
      <c r="AD23" s="99">
        <f t="shared" si="10"/>
        <v>1.1395024016684208E-4</v>
      </c>
      <c r="AE23" s="95">
        <f>'Op Cost-24'!B16/'Revenue Miles-24'!C15</f>
        <v>5.6943290897950849</v>
      </c>
      <c r="AF23" s="96">
        <f>'Op Cost-24'!C16/'Revenue Miles-24'!D15</f>
        <v>5.399931066176471</v>
      </c>
      <c r="AG23" s="96">
        <f>'Op Cost-24'!D16/'Revenue Miles-24'!E15</f>
        <v>8.2535226077812833</v>
      </c>
      <c r="AH23" s="96">
        <f>'Op Cost-24'!E16/'Revenue Miles-24'!F15</f>
        <v>9.8980374797107871</v>
      </c>
      <c r="AI23" s="97">
        <f t="shared" si="11"/>
        <v>1.1318796204022947</v>
      </c>
      <c r="AJ23" s="98">
        <f t="shared" si="12"/>
        <v>1.0283352921929432E-4</v>
      </c>
      <c r="AK23" s="99">
        <f t="shared" si="13"/>
        <v>1.029478154162324E-4</v>
      </c>
      <c r="AL23" s="95">
        <f>'Op Cost-24'!B16/'Ridership-24'!B15</f>
        <v>7.0448917712456831</v>
      </c>
      <c r="AM23" s="96">
        <f>'Op Cost-24'!C16/'Ridership-24'!C15</f>
        <v>7.5698180061201485</v>
      </c>
      <c r="AN23" s="96">
        <f>'Op Cost-24'!D16/'Ridership-24'!D15</f>
        <v>57.798969072164951</v>
      </c>
      <c r="AO23" s="96">
        <f>'Op Cost-24'!E16/'Ridership-24'!E15</f>
        <v>22.352215928023991</v>
      </c>
      <c r="AP23" s="100">
        <f t="shared" si="14"/>
        <v>1.5866490338867194</v>
      </c>
      <c r="AQ23" s="98">
        <f t="shared" si="15"/>
        <v>7.3359119459605267E-5</v>
      </c>
      <c r="AR23" s="99">
        <f t="shared" si="16"/>
        <v>7.7684395352659719E-5</v>
      </c>
      <c r="AT23" s="101">
        <f t="shared" si="27"/>
        <v>0</v>
      </c>
      <c r="AU23" s="102">
        <f t="shared" si="17"/>
        <v>0</v>
      </c>
      <c r="AV23" s="102">
        <f t="shared" si="18"/>
        <v>0</v>
      </c>
      <c r="AW23" s="102">
        <f t="shared" si="19"/>
        <v>0</v>
      </c>
      <c r="AX23" s="103">
        <f t="shared" si="20"/>
        <v>0</v>
      </c>
      <c r="AY23" s="104">
        <f t="shared" si="28"/>
        <v>-1</v>
      </c>
      <c r="AZ23" s="105">
        <f t="shared" si="21"/>
        <v>0</v>
      </c>
      <c r="BA23" s="106">
        <f t="shared" si="21"/>
        <v>0</v>
      </c>
      <c r="BB23" s="106">
        <f t="shared" si="21"/>
        <v>0</v>
      </c>
      <c r="BC23" s="106">
        <f t="shared" si="21"/>
        <v>0</v>
      </c>
      <c r="BD23" s="106">
        <f t="shared" si="21"/>
        <v>0</v>
      </c>
      <c r="BE23" s="107">
        <f t="shared" si="29"/>
        <v>14735.962127443512</v>
      </c>
      <c r="BG23" s="108">
        <f>'Op Cost-24'!E16</f>
        <v>67079</v>
      </c>
      <c r="BH23" s="109">
        <f t="shared" si="22"/>
        <v>0.21968070674046292</v>
      </c>
      <c r="BI23" s="110">
        <f t="shared" si="23"/>
        <v>14735.962127443512</v>
      </c>
      <c r="BJ23" s="111">
        <f t="shared" si="24"/>
        <v>0</v>
      </c>
      <c r="BK23" s="1">
        <f t="shared" si="30"/>
        <v>0.58919547016895712</v>
      </c>
      <c r="BL23" s="112">
        <f t="shared" si="31"/>
        <v>0.38087766078642049</v>
      </c>
      <c r="BM23" s="112">
        <f t="shared" si="32"/>
        <v>0.71443951837920949</v>
      </c>
      <c r="BN23" s="113">
        <f t="shared" si="33"/>
        <v>0.63073235075509926</v>
      </c>
      <c r="BO23" s="114">
        <f t="shared" si="25"/>
        <v>14735.962127443512</v>
      </c>
      <c r="BP23" s="115">
        <f t="shared" si="34"/>
        <v>6.8579510458948801E-5</v>
      </c>
      <c r="BQ23" s="116">
        <f t="shared" si="35"/>
        <v>6.8579510458948801E-5</v>
      </c>
      <c r="BR23" s="117">
        <f t="shared" si="36"/>
        <v>1.1551630130067169E-4</v>
      </c>
      <c r="BS23" s="118">
        <f t="shared" si="37"/>
        <v>16188.371580728401</v>
      </c>
      <c r="BT23" s="119">
        <f t="shared" si="38"/>
        <v>20123.7</v>
      </c>
      <c r="BU23" s="119">
        <f t="shared" si="39"/>
        <v>16188.371580728401</v>
      </c>
      <c r="BV23" s="119">
        <f t="shared" si="56"/>
        <v>0</v>
      </c>
      <c r="BW23" s="120">
        <f t="shared" si="40"/>
        <v>6.8579510458948801E-5</v>
      </c>
      <c r="BX23" s="121">
        <f t="shared" si="41"/>
        <v>1.5236904998562381E-4</v>
      </c>
      <c r="BY23" s="122">
        <f t="shared" si="42"/>
        <v>16527.899654911515</v>
      </c>
      <c r="BZ23" s="123">
        <f t="shared" si="58"/>
        <v>207808572742.08749</v>
      </c>
      <c r="CA23" s="111">
        <f t="shared" si="57"/>
        <v>207808587478</v>
      </c>
      <c r="CC23" s="124">
        <f t="shared" si="26"/>
        <v>1</v>
      </c>
      <c r="CD23" s="17"/>
      <c r="CE23" s="108">
        <f t="shared" si="44"/>
        <v>67079</v>
      </c>
      <c r="CF23" s="125">
        <f t="shared" si="45"/>
        <v>3097967.8808270846</v>
      </c>
      <c r="CG23" s="110">
        <f t="shared" si="46"/>
        <v>20123.7</v>
      </c>
      <c r="CH23" s="126">
        <f t="shared" si="47"/>
        <v>207808567354.29999</v>
      </c>
      <c r="CJ23" s="127">
        <f t="shared" si="48"/>
        <v>0</v>
      </c>
      <c r="CK23" s="128" t="e">
        <f t="shared" si="49"/>
        <v>#DIV/0!</v>
      </c>
      <c r="CL23" s="129" t="e">
        <f t="shared" si="50"/>
        <v>#DIV/0!</v>
      </c>
      <c r="CM23" s="130" t="e">
        <f t="shared" si="51"/>
        <v>#DIV/0!</v>
      </c>
      <c r="CO23" s="131" t="e">
        <f t="shared" si="52"/>
        <v>#DIV/0!</v>
      </c>
      <c r="CP23" s="1">
        <f t="shared" si="53"/>
        <v>0</v>
      </c>
      <c r="CQ23" s="132">
        <f t="shared" si="54"/>
        <v>0.24639454456553489</v>
      </c>
      <c r="CS23" s="104">
        <f t="shared" si="55"/>
        <v>5.5337817185725767E-5</v>
      </c>
    </row>
    <row r="24" spans="1:97">
      <c r="A24" s="133" t="s">
        <v>92</v>
      </c>
      <c r="B24" s="90" t="s">
        <v>98</v>
      </c>
      <c r="C24" s="208">
        <f>'Op Cost-24'!E17</f>
        <v>7464284</v>
      </c>
      <c r="D24" s="92">
        <f>'Ridership-24'!$E16</f>
        <v>1544283</v>
      </c>
      <c r="E24" s="92">
        <f>'Revenue Hours-24'!$F16</f>
        <v>79332</v>
      </c>
      <c r="F24" s="92">
        <f>'Revenue Miles-24'!$F16</f>
        <v>1099092</v>
      </c>
      <c r="G24" s="134">
        <f t="shared" si="0"/>
        <v>2.4848865936477633E-2</v>
      </c>
      <c r="H24" s="94">
        <f t="shared" si="1"/>
        <v>2.3459102574754236E-2</v>
      </c>
      <c r="J24" s="95">
        <f>'Ridership-24'!B16/'Revenue Hours-24'!C16</f>
        <v>23.927803085810158</v>
      </c>
      <c r="K24" s="96">
        <f>'Ridership-24'!C16/'Revenue Hours-24'!D16</f>
        <v>23.310953988801508</v>
      </c>
      <c r="L24" s="96">
        <f>'Ridership-24'!D16/'Revenue Hours-24'!E16</f>
        <v>14.316342020333447</v>
      </c>
      <c r="M24" s="96">
        <f>'Ridership-24'!E16/'Revenue Hours-24'!F16</f>
        <v>19.466079261836335</v>
      </c>
      <c r="N24" s="97">
        <f t="shared" si="2"/>
        <v>1.076344980447</v>
      </c>
      <c r="O24" s="98">
        <f t="shared" si="3"/>
        <v>2.5250087302128014E-2</v>
      </c>
      <c r="P24" s="99">
        <f t="shared" si="4"/>
        <v>2.4228398266616488E-2</v>
      </c>
      <c r="Q24" s="95">
        <f>'Ridership-24'!B16/'Revenue Miles-24'!C16</f>
        <v>1.6630463742338306</v>
      </c>
      <c r="R24" s="96">
        <f>'Ridership-24'!C16/'Revenue Miles-24'!D16</f>
        <v>1.6285925776934442</v>
      </c>
      <c r="S24" s="96">
        <f>'Ridership-24'!D16/'Revenue Miles-24'!E16</f>
        <v>1.0462325686324412</v>
      </c>
      <c r="T24" s="96">
        <f>'Ridership-24'!E16/'Revenue Miles-24'!F16</f>
        <v>1.4050534441156883</v>
      </c>
      <c r="U24" s="97">
        <f t="shared" si="5"/>
        <v>1.0964259555786009</v>
      </c>
      <c r="V24" s="98">
        <f t="shared" si="6"/>
        <v>2.572116895754133E-2</v>
      </c>
      <c r="W24" s="99">
        <f t="shared" si="7"/>
        <v>2.4767156863303511E-2</v>
      </c>
      <c r="X24" s="95">
        <f>'Op Cost-24'!B17/'Revenue Hours-24'!C16</f>
        <v>80.153154301126648</v>
      </c>
      <c r="Y24" s="96">
        <f>'Op Cost-24'!C17/'Revenue Hours-24'!D16</f>
        <v>79.983720905617247</v>
      </c>
      <c r="Z24" s="96">
        <f>'Op Cost-24'!D17/'Revenue Hours-24'!E16</f>
        <v>90.654407919074401</v>
      </c>
      <c r="AA24" s="96">
        <f>'Op Cost-24'!E17/'Revenue Hours-24'!F16</f>
        <v>94.089194776382797</v>
      </c>
      <c r="AB24" s="97">
        <f t="shared" si="8"/>
        <v>0.98105796356384378</v>
      </c>
      <c r="AC24" s="98">
        <f t="shared" si="9"/>
        <v>2.391204541017683E-2</v>
      </c>
      <c r="AD24" s="99">
        <f t="shared" si="10"/>
        <v>2.4047709395601115E-2</v>
      </c>
      <c r="AE24" s="95">
        <f>'Op Cost-24'!B17/'Revenue Miles-24'!C16</f>
        <v>5.5708588108092147</v>
      </c>
      <c r="AF24" s="96">
        <f>'Op Cost-24'!C17/'Revenue Miles-24'!D16</f>
        <v>5.5879692553882192</v>
      </c>
      <c r="AG24" s="96">
        <f>'Op Cost-24'!D17/'Revenue Miles-24'!E16</f>
        <v>6.6249879976545323</v>
      </c>
      <c r="AH24" s="96">
        <f>'Op Cost-24'!E17/'Revenue Miles-24'!F16</f>
        <v>6.7913186521237527</v>
      </c>
      <c r="AI24" s="97">
        <f t="shared" si="11"/>
        <v>0.99833996202258612</v>
      </c>
      <c r="AJ24" s="98">
        <f t="shared" si="12"/>
        <v>2.3498110330299995E-2</v>
      </c>
      <c r="AK24" s="99">
        <f t="shared" si="13"/>
        <v>2.3524225447473058E-2</v>
      </c>
      <c r="AL24" s="95">
        <f>'Op Cost-24'!B17/'Ridership-24'!B16</f>
        <v>3.3497916216411721</v>
      </c>
      <c r="AM24" s="96">
        <f>'Op Cost-24'!C17/'Ridership-24'!C16</f>
        <v>3.4311646337614974</v>
      </c>
      <c r="AN24" s="96">
        <f>'Op Cost-24'!D17/'Ridership-24'!D16</f>
        <v>6.3322326185221254</v>
      </c>
      <c r="AO24" s="96">
        <f>'Op Cost-24'!E17/'Ridership-24'!E16</f>
        <v>4.833494896984555</v>
      </c>
      <c r="AP24" s="97">
        <f t="shared" si="14"/>
        <v>0.9196236726899828</v>
      </c>
      <c r="AQ24" s="98">
        <f t="shared" si="15"/>
        <v>2.5509459218393357E-2</v>
      </c>
      <c r="AR24" s="99">
        <f t="shared" si="16"/>
        <v>2.7013504656983007E-2</v>
      </c>
      <c r="AT24" s="101">
        <f t="shared" si="27"/>
        <v>0</v>
      </c>
      <c r="AU24" s="102">
        <f t="shared" si="17"/>
        <v>0</v>
      </c>
      <c r="AV24" s="102">
        <f t="shared" si="18"/>
        <v>0</v>
      </c>
      <c r="AW24" s="102">
        <f t="shared" si="19"/>
        <v>0</v>
      </c>
      <c r="AX24" s="103">
        <f t="shared" si="20"/>
        <v>0</v>
      </c>
      <c r="AY24" s="104">
        <f t="shared" si="28"/>
        <v>-1</v>
      </c>
      <c r="AZ24" s="105">
        <f t="shared" si="21"/>
        <v>0</v>
      </c>
      <c r="BA24" s="106">
        <f t="shared" si="21"/>
        <v>0</v>
      </c>
      <c r="BB24" s="106">
        <f t="shared" si="21"/>
        <v>0</v>
      </c>
      <c r="BC24" s="106">
        <f t="shared" si="21"/>
        <v>0</v>
      </c>
      <c r="BD24" s="106">
        <f t="shared" si="21"/>
        <v>0</v>
      </c>
      <c r="BE24" s="107">
        <f t="shared" si="29"/>
        <v>2969989.4696136089</v>
      </c>
      <c r="BG24" s="108">
        <f>'Op Cost-24'!E17</f>
        <v>7464284</v>
      </c>
      <c r="BH24" s="109">
        <f t="shared" si="22"/>
        <v>0.3978934174548569</v>
      </c>
      <c r="BI24" s="110">
        <f t="shared" si="23"/>
        <v>2239285.1999999997</v>
      </c>
      <c r="BJ24" s="111">
        <f t="shared" si="24"/>
        <v>730704.26961360918</v>
      </c>
      <c r="BK24" s="1">
        <f t="shared" si="30"/>
        <v>2.5686406278896179</v>
      </c>
      <c r="BL24" s="112">
        <f t="shared" si="31"/>
        <v>2.1741057533687176</v>
      </c>
      <c r="BM24" s="112">
        <f t="shared" si="32"/>
        <v>2.2668866407728316</v>
      </c>
      <c r="BN24" s="113">
        <f t="shared" si="33"/>
        <v>2.9167850587084612</v>
      </c>
      <c r="BO24" s="114">
        <f t="shared" si="25"/>
        <v>0</v>
      </c>
      <c r="BP24" s="115">
        <f t="shared" si="34"/>
        <v>6.0258003967343675E-2</v>
      </c>
      <c r="BQ24" s="116">
        <f t="shared" si="35"/>
        <v>0</v>
      </c>
      <c r="BR24" s="117">
        <f t="shared" si="36"/>
        <v>0</v>
      </c>
      <c r="BS24" s="118">
        <f t="shared" si="37"/>
        <v>2239285.1999999997</v>
      </c>
      <c r="BT24" s="119">
        <f t="shared" si="38"/>
        <v>2239285.1999999997</v>
      </c>
      <c r="BU24" s="119">
        <f t="shared" si="39"/>
        <v>2239285.1999999997</v>
      </c>
      <c r="BV24" s="119">
        <f t="shared" si="56"/>
        <v>0</v>
      </c>
      <c r="BW24" s="120">
        <f t="shared" si="40"/>
        <v>0</v>
      </c>
      <c r="BX24" s="121">
        <f t="shared" si="41"/>
        <v>0</v>
      </c>
      <c r="BY24" s="122">
        <f t="shared" si="42"/>
        <v>2239285.1999999997</v>
      </c>
      <c r="BZ24" s="123">
        <f t="shared" si="58"/>
        <v>28154978617394.758</v>
      </c>
      <c r="CA24" s="111">
        <f t="shared" si="57"/>
        <v>28154980856680</v>
      </c>
      <c r="CC24" s="124">
        <f t="shared" si="26"/>
        <v>1</v>
      </c>
      <c r="CD24" s="17"/>
      <c r="CE24" s="108">
        <f t="shared" si="44"/>
        <v>7464284</v>
      </c>
      <c r="CF24" s="125">
        <f t="shared" si="45"/>
        <v>3771960.0241201967</v>
      </c>
      <c r="CG24" s="110">
        <f t="shared" si="46"/>
        <v>2239285.1999999997</v>
      </c>
      <c r="CH24" s="126">
        <f t="shared" si="47"/>
        <v>28154978617394.801</v>
      </c>
      <c r="CJ24" s="127">
        <f t="shared" si="48"/>
        <v>0</v>
      </c>
      <c r="CK24" s="128" t="e">
        <f t="shared" si="49"/>
        <v>#DIV/0!</v>
      </c>
      <c r="CL24" s="129" t="e">
        <f t="shared" si="50"/>
        <v>#DIV/0!</v>
      </c>
      <c r="CM24" s="130" t="e">
        <f t="shared" si="51"/>
        <v>#DIV/0!</v>
      </c>
      <c r="CO24" s="131" t="e">
        <f t="shared" si="52"/>
        <v>#DIV/0!</v>
      </c>
      <c r="CP24" s="1">
        <f t="shared" si="53"/>
        <v>0</v>
      </c>
      <c r="CQ24" s="132">
        <f t="shared" si="54"/>
        <v>0.3</v>
      </c>
      <c r="CS24" s="104">
        <f t="shared" si="55"/>
        <v>4.8623071019406557E-2</v>
      </c>
    </row>
    <row r="25" spans="1:97">
      <c r="A25" s="133" t="s">
        <v>99</v>
      </c>
      <c r="B25" s="90" t="s">
        <v>100</v>
      </c>
      <c r="C25" s="208">
        <f>'Op Cost-24'!E18</f>
        <v>3169013</v>
      </c>
      <c r="D25" s="92">
        <f>'Ridership-24'!$E17</f>
        <v>228559</v>
      </c>
      <c r="E25" s="92">
        <f>'Revenue Hours-24'!$F17</f>
        <v>35273</v>
      </c>
      <c r="F25" s="92">
        <f>'Revenue Miles-24'!$F17</f>
        <v>531990</v>
      </c>
      <c r="G25" s="93">
        <f t="shared" si="0"/>
        <v>6.9064475017984036E-3</v>
      </c>
      <c r="H25" s="94">
        <f t="shared" si="1"/>
        <v>6.5201792623462628E-3</v>
      </c>
      <c r="J25" s="95">
        <f>'Ridership-24'!B17/'Revenue Hours-24'!C17</f>
        <v>8.9080882352941178</v>
      </c>
      <c r="K25" s="96">
        <f>'Ridership-24'!C17/'Revenue Hours-24'!D17</f>
        <v>8.8925454444382677</v>
      </c>
      <c r="L25" s="96">
        <f>'Ridership-24'!D17/'Revenue Hours-24'!E17</f>
        <v>5.7639186016175321</v>
      </c>
      <c r="M25" s="96">
        <f>'Ridership-24'!E17/'Revenue Hours-24'!F17</f>
        <v>6.4797153630255435</v>
      </c>
      <c r="N25" s="97">
        <f t="shared" si="2"/>
        <v>1.0455356770573143</v>
      </c>
      <c r="O25" s="98">
        <f t="shared" si="3"/>
        <v>6.8170800395922606E-3</v>
      </c>
      <c r="P25" s="99">
        <f t="shared" si="4"/>
        <v>6.5412419465465822E-3</v>
      </c>
      <c r="Q25" s="95">
        <f>'Ridership-24'!B17/'Revenue Miles-24'!C17</f>
        <v>0.57308420056764431</v>
      </c>
      <c r="R25" s="96">
        <f>'Ridership-24'!C17/'Revenue Miles-24'!D17</f>
        <v>0.59288580032429927</v>
      </c>
      <c r="S25" s="96">
        <f>'Ridership-24'!D17/'Revenue Miles-24'!E17</f>
        <v>0.39323250859241093</v>
      </c>
      <c r="T25" s="96">
        <f>'Ridership-24'!E17/'Revenue Miles-24'!F17</f>
        <v>0.42963025620782347</v>
      </c>
      <c r="U25" s="97">
        <f t="shared" si="5"/>
        <v>1.0619919413280272</v>
      </c>
      <c r="V25" s="98">
        <f t="shared" si="6"/>
        <v>6.9243778326258517E-3</v>
      </c>
      <c r="W25" s="99">
        <f t="shared" si="7"/>
        <v>6.6675489066815473E-3</v>
      </c>
      <c r="X25" s="95">
        <f>'Op Cost-24'!B18/'Revenue Hours-24'!C17</f>
        <v>71.858939628482972</v>
      </c>
      <c r="Y25" s="96">
        <f>'Op Cost-24'!C18/'Revenue Hours-24'!D17</f>
        <v>81.611429206737455</v>
      </c>
      <c r="Z25" s="96">
        <f>'Op Cost-24'!D18/'Revenue Hours-24'!E17</f>
        <v>72.997808505087406</v>
      </c>
      <c r="AA25" s="96">
        <f>'Op Cost-24'!E18/'Revenue Hours-24'!F17</f>
        <v>89.842457403679873</v>
      </c>
      <c r="AB25" s="97">
        <f t="shared" si="8"/>
        <v>1.0250571937013797</v>
      </c>
      <c r="AC25" s="98">
        <f t="shared" si="9"/>
        <v>6.360795575515687E-3</v>
      </c>
      <c r="AD25" s="99">
        <f t="shared" si="10"/>
        <v>6.3968832820853793E-3</v>
      </c>
      <c r="AE25" s="95">
        <f>'Op Cost-24'!B18/'Revenue Miles-24'!C17</f>
        <v>4.6229024548125279</v>
      </c>
      <c r="AF25" s="96">
        <f>'Op Cost-24'!C18/'Revenue Miles-24'!D17</f>
        <v>5.4412156590224692</v>
      </c>
      <c r="AG25" s="96">
        <f>'Op Cost-24'!D18/'Revenue Miles-24'!E17</f>
        <v>4.9801382261276927</v>
      </c>
      <c r="AH25" s="96">
        <f>'Op Cost-24'!E18/'Revenue Miles-24'!F17</f>
        <v>5.9569033252504751</v>
      </c>
      <c r="AI25" s="97">
        <f t="shared" si="11"/>
        <v>1.0411556949490044</v>
      </c>
      <c r="AJ25" s="98">
        <f t="shared" si="12"/>
        <v>6.2624440263620894E-3</v>
      </c>
      <c r="AK25" s="99">
        <f t="shared" si="13"/>
        <v>6.2694039247215456E-3</v>
      </c>
      <c r="AL25" s="95">
        <f>'Op Cost-24'!B18/'Ridership-24'!B17</f>
        <v>8.0667072137628431</v>
      </c>
      <c r="AM25" s="96">
        <f>'Op Cost-24'!C18/'Ridership-24'!C17</f>
        <v>9.1775105021004197</v>
      </c>
      <c r="AN25" s="96">
        <f>'Op Cost-24'!D18/'Ridership-24'!D17</f>
        <v>12.664614743969837</v>
      </c>
      <c r="AO25" s="96">
        <f>'Op Cost-24'!E18/'Ridership-24'!E17</f>
        <v>13.865185794477576</v>
      </c>
      <c r="AP25" s="100">
        <f t="shared" si="14"/>
        <v>1.033331970083422</v>
      </c>
      <c r="AQ25" s="98">
        <f t="shared" si="15"/>
        <v>6.3098592234786671E-3</v>
      </c>
      <c r="AR25" s="99">
        <f t="shared" si="16"/>
        <v>6.6818904336257258E-3</v>
      </c>
      <c r="AT25" s="101">
        <f t="shared" si="27"/>
        <v>0</v>
      </c>
      <c r="AU25" s="102">
        <f t="shared" si="17"/>
        <v>0</v>
      </c>
      <c r="AV25" s="102">
        <f t="shared" si="18"/>
        <v>0</v>
      </c>
      <c r="AW25" s="102">
        <f t="shared" si="19"/>
        <v>0</v>
      </c>
      <c r="AX25" s="103">
        <f t="shared" si="20"/>
        <v>0</v>
      </c>
      <c r="AY25" s="104">
        <f t="shared" si="28"/>
        <v>-1</v>
      </c>
      <c r="AZ25" s="105">
        <f t="shared" si="21"/>
        <v>0</v>
      </c>
      <c r="BA25" s="106">
        <f t="shared" si="21"/>
        <v>0</v>
      </c>
      <c r="BB25" s="106">
        <f t="shared" si="21"/>
        <v>0</v>
      </c>
      <c r="BC25" s="106">
        <f t="shared" si="21"/>
        <v>0</v>
      </c>
      <c r="BD25" s="106">
        <f t="shared" si="21"/>
        <v>0</v>
      </c>
      <c r="BE25" s="107">
        <f t="shared" si="29"/>
        <v>825473.33971765544</v>
      </c>
      <c r="BG25" s="108">
        <f>'Op Cost-24'!E18</f>
        <v>3169013</v>
      </c>
      <c r="BH25" s="109">
        <f t="shared" si="22"/>
        <v>0.26048278745390296</v>
      </c>
      <c r="BI25" s="110">
        <f t="shared" si="23"/>
        <v>825473.33971765544</v>
      </c>
      <c r="BJ25" s="111">
        <f t="shared" si="24"/>
        <v>0</v>
      </c>
      <c r="BK25" s="1">
        <f t="shared" si="30"/>
        <v>0.86261935847201276</v>
      </c>
      <c r="BL25" s="112">
        <f t="shared" si="31"/>
        <v>0.72369922373451534</v>
      </c>
      <c r="BM25" s="112">
        <f t="shared" si="32"/>
        <v>0.69315732604199332</v>
      </c>
      <c r="BN25" s="113">
        <f t="shared" si="33"/>
        <v>1.0168104420557713</v>
      </c>
      <c r="BO25" s="114">
        <f t="shared" si="25"/>
        <v>825473.33971765544</v>
      </c>
      <c r="BP25" s="115">
        <f t="shared" si="34"/>
        <v>5.6244328524076544E-3</v>
      </c>
      <c r="BQ25" s="116">
        <f t="shared" si="35"/>
        <v>5.6244328524076544E-3</v>
      </c>
      <c r="BR25" s="117">
        <f t="shared" si="36"/>
        <v>9.4738745680174093E-3</v>
      </c>
      <c r="BS25" s="118">
        <f t="shared" si="37"/>
        <v>944590.25072408293</v>
      </c>
      <c r="BT25" s="119">
        <f t="shared" si="38"/>
        <v>950703.89999999991</v>
      </c>
      <c r="BU25" s="119">
        <f t="shared" si="39"/>
        <v>944590.25072408293</v>
      </c>
      <c r="BV25" s="119">
        <f>BS25-BU25</f>
        <v>0</v>
      </c>
      <c r="BW25" s="120">
        <f t="shared" si="40"/>
        <v>5.6244328524076544E-3</v>
      </c>
      <c r="BX25" s="121">
        <f t="shared" si="41"/>
        <v>1.2496290578543489E-2</v>
      </c>
      <c r="BY25" s="122">
        <f t="shared" si="42"/>
        <v>972436.07292331429</v>
      </c>
      <c r="BZ25" s="123">
        <f t="shared" si="58"/>
        <v>12226632337827.824</v>
      </c>
      <c r="CA25" s="111">
        <f t="shared" si="57"/>
        <v>12226633163301</v>
      </c>
      <c r="CC25" s="124">
        <f t="shared" si="26"/>
        <v>1</v>
      </c>
      <c r="CD25" s="17"/>
      <c r="CE25" s="108">
        <f t="shared" si="44"/>
        <v>3169013</v>
      </c>
      <c r="CF25" s="125">
        <f t="shared" si="45"/>
        <v>3858183.3407755033</v>
      </c>
      <c r="CG25" s="110">
        <f t="shared" si="46"/>
        <v>950703.89999999991</v>
      </c>
      <c r="CH25" s="126">
        <f t="shared" si="47"/>
        <v>12226632212597.1</v>
      </c>
      <c r="CJ25" s="127">
        <f t="shared" si="48"/>
        <v>0</v>
      </c>
      <c r="CK25" s="128" t="e">
        <f t="shared" si="49"/>
        <v>#DIV/0!</v>
      </c>
      <c r="CL25" s="129" t="e">
        <f t="shared" si="50"/>
        <v>#DIV/0!</v>
      </c>
      <c r="CM25" s="130" t="e">
        <f t="shared" si="51"/>
        <v>#DIV/0!</v>
      </c>
      <c r="CO25" s="131" t="e">
        <f t="shared" si="52"/>
        <v>#DIV/0!</v>
      </c>
      <c r="CP25" s="1">
        <f t="shared" si="53"/>
        <v>1</v>
      </c>
      <c r="CQ25" s="132">
        <f t="shared" si="54"/>
        <v>0.30685771024710667</v>
      </c>
      <c r="CS25" s="104">
        <f t="shared" si="55"/>
        <v>4.5384377181612165E-3</v>
      </c>
    </row>
    <row r="26" spans="1:97">
      <c r="A26" s="133" t="s">
        <v>99</v>
      </c>
      <c r="B26" s="90" t="s">
        <v>101</v>
      </c>
      <c r="C26" s="208">
        <f>'Op Cost-24'!E19</f>
        <v>605988</v>
      </c>
      <c r="D26" s="92">
        <f>'Ridership-24'!$E18</f>
        <v>77681</v>
      </c>
      <c r="E26" s="92">
        <f>'Revenue Hours-24'!$F18</f>
        <v>11837</v>
      </c>
      <c r="F26" s="92">
        <f>'Revenue Miles-24'!$F18</f>
        <v>174059</v>
      </c>
      <c r="G26" s="93">
        <f t="shared" si="0"/>
        <v>1.9791744224356834E-3</v>
      </c>
      <c r="H26" s="94">
        <f t="shared" si="1"/>
        <v>1.8684818819474124E-3</v>
      </c>
      <c r="J26" s="95">
        <f>'Ridership-24'!B18/'Revenue Hours-24'!C18</f>
        <v>10.856297723051524</v>
      </c>
      <c r="K26" s="96">
        <f>'Ridership-24'!C18/'Revenue Hours-24'!D18</f>
        <v>12.121389319430746</v>
      </c>
      <c r="L26" s="96">
        <f>'Ridership-24'!D18/'Revenue Hours-24'!E18</f>
        <v>6.5520235467255334</v>
      </c>
      <c r="M26" s="96">
        <f>'Ridership-24'!E18/'Revenue Hours-24'!F18</f>
        <v>6.5625580805947452</v>
      </c>
      <c r="N26" s="97">
        <f t="shared" si="2"/>
        <v>0.98357091089663873</v>
      </c>
      <c r="O26" s="98">
        <f t="shared" si="3"/>
        <v>1.8377844266208821E-3</v>
      </c>
      <c r="P26" s="99">
        <f t="shared" si="4"/>
        <v>1.7634225372600422E-3</v>
      </c>
      <c r="Q26" s="95">
        <f>'Ridership-24'!B18/'Revenue Miles-24'!C18</f>
        <v>0.71788643403976582</v>
      </c>
      <c r="R26" s="96">
        <f>'Ridership-24'!C18/'Revenue Miles-24'!D18</f>
        <v>0.79351997048242784</v>
      </c>
      <c r="S26" s="96">
        <f>'Ridership-24'!D18/'Revenue Miles-24'!E18</f>
        <v>0.47317713453679738</v>
      </c>
      <c r="T26" s="96">
        <f>'Ridership-24'!E18/'Revenue Miles-24'!F18</f>
        <v>0.44629120011030743</v>
      </c>
      <c r="U26" s="97">
        <f t="shared" si="5"/>
        <v>1.0034455573175893</v>
      </c>
      <c r="V26" s="98">
        <f t="shared" si="6"/>
        <v>1.8749198433685393E-3</v>
      </c>
      <c r="W26" s="99">
        <f t="shared" si="7"/>
        <v>1.8053780504098788E-3</v>
      </c>
      <c r="X26" s="95">
        <f>'Op Cost-24'!B19/'Revenue Hours-24'!C18</f>
        <v>48.505056063837102</v>
      </c>
      <c r="Y26" s="96">
        <f>'Op Cost-24'!C19/'Revenue Hours-24'!D18</f>
        <v>47.958362688459914</v>
      </c>
      <c r="Z26" s="96">
        <f>'Op Cost-24'!D19/'Revenue Hours-24'!E18</f>
        <v>45.519278881530539</v>
      </c>
      <c r="AA26" s="96">
        <f>'Op Cost-24'!E19/'Revenue Hours-24'!F18</f>
        <v>51.194390470558417</v>
      </c>
      <c r="AB26" s="97">
        <f t="shared" si="8"/>
        <v>0.956622704001726</v>
      </c>
      <c r="AC26" s="98">
        <f t="shared" si="9"/>
        <v>1.9532067074419356E-3</v>
      </c>
      <c r="AD26" s="99">
        <f t="shared" si="10"/>
        <v>1.9642881436697309E-3</v>
      </c>
      <c r="AE26" s="95">
        <f>'Op Cost-24'!B19/'Revenue Miles-24'!C18</f>
        <v>3.2074582531602962</v>
      </c>
      <c r="AF26" s="96">
        <f>'Op Cost-24'!C19/'Revenue Miles-24'!D18</f>
        <v>3.1395673830827415</v>
      </c>
      <c r="AG26" s="96">
        <f>'Op Cost-24'!D19/'Revenue Miles-24'!E18</f>
        <v>3.2873328054671349</v>
      </c>
      <c r="AH26" s="96">
        <f>'Op Cost-24'!E19/'Revenue Miles-24'!F18</f>
        <v>3.4815091434513583</v>
      </c>
      <c r="AI26" s="97">
        <f t="shared" si="11"/>
        <v>0.96467791237883294</v>
      </c>
      <c r="AJ26" s="98">
        <f t="shared" si="12"/>
        <v>1.9368971321628561E-3</v>
      </c>
      <c r="AK26" s="99">
        <f t="shared" si="13"/>
        <v>1.9390497433663782E-3</v>
      </c>
      <c r="AL26" s="95">
        <f>'Op Cost-24'!B19/'Ridership-24'!B18</f>
        <v>4.4679187418418689</v>
      </c>
      <c r="AM26" s="96">
        <f>'Op Cost-24'!C19/'Ridership-24'!C18</f>
        <v>3.95650708220237</v>
      </c>
      <c r="AN26" s="96">
        <f>'Op Cost-24'!D19/'Ridership-24'!D18</f>
        <v>6.9473619190943596</v>
      </c>
      <c r="AO26" s="96">
        <f>'Op Cost-24'!E19/'Ridership-24'!E18</f>
        <v>7.8009809348489334</v>
      </c>
      <c r="AP26" s="100">
        <f t="shared" si="14"/>
        <v>1.0159518574690711</v>
      </c>
      <c r="AQ26" s="98">
        <f t="shared" si="15"/>
        <v>1.839144117125939E-3</v>
      </c>
      <c r="AR26" s="99">
        <f t="shared" si="16"/>
        <v>1.9475806110786508E-3</v>
      </c>
      <c r="AT26" s="101">
        <f t="shared" si="27"/>
        <v>0</v>
      </c>
      <c r="AU26" s="102">
        <f t="shared" si="17"/>
        <v>0</v>
      </c>
      <c r="AV26" s="102">
        <f t="shared" si="18"/>
        <v>0</v>
      </c>
      <c r="AW26" s="102">
        <f t="shared" si="19"/>
        <v>0</v>
      </c>
      <c r="AX26" s="103">
        <f t="shared" si="20"/>
        <v>0</v>
      </c>
      <c r="AY26" s="104">
        <f t="shared" si="28"/>
        <v>-1</v>
      </c>
      <c r="AZ26" s="105">
        <f t="shared" si="21"/>
        <v>0</v>
      </c>
      <c r="BA26" s="106">
        <f t="shared" si="21"/>
        <v>0</v>
      </c>
      <c r="BB26" s="106">
        <f t="shared" si="21"/>
        <v>0</v>
      </c>
      <c r="BC26" s="106">
        <f t="shared" si="21"/>
        <v>0</v>
      </c>
      <c r="BD26" s="106">
        <f t="shared" si="21"/>
        <v>0</v>
      </c>
      <c r="BE26" s="107">
        <f t="shared" si="29"/>
        <v>236555.14936533201</v>
      </c>
      <c r="BG26" s="108">
        <f>'Op Cost-24'!E19</f>
        <v>605988</v>
      </c>
      <c r="BH26" s="109">
        <f t="shared" si="22"/>
        <v>0.39036276191167485</v>
      </c>
      <c r="BI26" s="110">
        <f t="shared" si="23"/>
        <v>181796.4</v>
      </c>
      <c r="BJ26" s="111">
        <f t="shared" si="24"/>
        <v>54758.749365332013</v>
      </c>
      <c r="BK26" s="1">
        <f t="shared" si="30"/>
        <v>1.2668687019740705</v>
      </c>
      <c r="BL26" s="112">
        <f t="shared" si="31"/>
        <v>0.73295166879390683</v>
      </c>
      <c r="BM26" s="112">
        <f t="shared" si="32"/>
        <v>0.72003777768130961</v>
      </c>
      <c r="BN26" s="113">
        <f t="shared" si="33"/>
        <v>1.8072426807105326</v>
      </c>
      <c r="BO26" s="114">
        <f t="shared" si="25"/>
        <v>0</v>
      </c>
      <c r="BP26" s="115">
        <f t="shared" si="34"/>
        <v>2.3671212164447868E-3</v>
      </c>
      <c r="BQ26" s="116">
        <f t="shared" si="35"/>
        <v>0</v>
      </c>
      <c r="BR26" s="117">
        <f t="shared" si="36"/>
        <v>0</v>
      </c>
      <c r="BS26" s="118">
        <f t="shared" si="37"/>
        <v>181796.4</v>
      </c>
      <c r="BT26" s="119">
        <f t="shared" si="38"/>
        <v>181796.4</v>
      </c>
      <c r="BU26" s="119">
        <f t="shared" si="39"/>
        <v>181796.4</v>
      </c>
      <c r="BV26" s="119">
        <f t="shared" si="56"/>
        <v>0</v>
      </c>
      <c r="BW26" s="120">
        <f t="shared" si="40"/>
        <v>0</v>
      </c>
      <c r="BX26" s="121">
        <f t="shared" si="41"/>
        <v>0</v>
      </c>
      <c r="BY26" s="122">
        <f t="shared" si="42"/>
        <v>181796.4</v>
      </c>
      <c r="BZ26" s="123">
        <f t="shared" si="58"/>
        <v>2285762329300.1465</v>
      </c>
      <c r="CA26" s="111">
        <f t="shared" si="57"/>
        <v>2285762511097</v>
      </c>
      <c r="CC26" s="124">
        <f t="shared" si="26"/>
        <v>1</v>
      </c>
      <c r="CD26" s="17"/>
      <c r="CE26" s="108">
        <f t="shared" si="44"/>
        <v>605988</v>
      </c>
      <c r="CF26" s="125">
        <f t="shared" si="45"/>
        <v>3771960.0241209399</v>
      </c>
      <c r="CG26" s="110">
        <f t="shared" si="46"/>
        <v>181796.4</v>
      </c>
      <c r="CH26" s="126">
        <f t="shared" si="47"/>
        <v>2285762329300.6001</v>
      </c>
      <c r="CJ26" s="127">
        <f t="shared" si="48"/>
        <v>0</v>
      </c>
      <c r="CK26" s="128" t="e">
        <f t="shared" si="49"/>
        <v>#DIV/0!</v>
      </c>
      <c r="CL26" s="129" t="e">
        <f t="shared" si="50"/>
        <v>#DIV/0!</v>
      </c>
      <c r="CM26" s="130" t="e">
        <f t="shared" si="51"/>
        <v>#DIV/0!</v>
      </c>
      <c r="CO26" s="131" t="e">
        <f t="shared" si="52"/>
        <v>#DIV/0!</v>
      </c>
      <c r="CP26" s="1">
        <f t="shared" si="53"/>
        <v>0</v>
      </c>
      <c r="CQ26" s="132">
        <f t="shared" si="54"/>
        <v>0.3</v>
      </c>
      <c r="CS26" s="104">
        <f t="shared" si="55"/>
        <v>1.9100649779424258E-3</v>
      </c>
    </row>
    <row r="27" spans="1:97">
      <c r="A27" s="133" t="s">
        <v>99</v>
      </c>
      <c r="B27" s="90" t="s">
        <v>102</v>
      </c>
      <c r="C27" s="208">
        <f>'Op Cost-24'!E20</f>
        <v>7696112</v>
      </c>
      <c r="D27" s="92">
        <f>'Ridership-24'!$E19</f>
        <v>445943</v>
      </c>
      <c r="E27" s="92">
        <f>'Revenue Hours-24'!$F19</f>
        <v>74332</v>
      </c>
      <c r="F27" s="92">
        <f>'Revenue Miles-24'!$F19</f>
        <v>1073547</v>
      </c>
      <c r="G27" s="93">
        <f t="shared" si="0"/>
        <v>1.4864782308569458E-2</v>
      </c>
      <c r="H27" s="94">
        <f t="shared" si="1"/>
        <v>1.4033415199693972E-2</v>
      </c>
      <c r="J27" s="95">
        <f>'Ridership-24'!B19/'Revenue Hours-24'!C19</f>
        <v>22.056571921738222</v>
      </c>
      <c r="K27" s="96">
        <f>'Ridership-24'!C19/'Revenue Hours-24'!D19</f>
        <v>21.272344057919085</v>
      </c>
      <c r="L27" s="96">
        <f>'Ridership-24'!D19/'Revenue Hours-24'!E19</f>
        <v>6.2106387495687709</v>
      </c>
      <c r="M27" s="96">
        <f>'Ridership-24'!E19/'Revenue Hours-24'!F19</f>
        <v>5.9993407953505891</v>
      </c>
      <c r="N27" s="97">
        <f t="shared" si="2"/>
        <v>0.76216084942828932</v>
      </c>
      <c r="O27" s="98">
        <f t="shared" si="3"/>
        <v>1.0695719648978624E-2</v>
      </c>
      <c r="P27" s="99">
        <f t="shared" si="4"/>
        <v>1.0262940967403702E-2</v>
      </c>
      <c r="Q27" s="95">
        <f>'Ridership-24'!B19/'Revenue Miles-24'!C19</f>
        <v>1.8438212046014921</v>
      </c>
      <c r="R27" s="96">
        <f>'Ridership-24'!C19/'Revenue Miles-24'!D19</f>
        <v>1.6130997617774709</v>
      </c>
      <c r="S27" s="96">
        <f>'Ridership-24'!D19/'Revenue Miles-24'!E19</f>
        <v>0.43710720015539234</v>
      </c>
      <c r="T27" s="96">
        <f>'Ridership-24'!E19/'Revenue Miles-24'!F19</f>
        <v>0.41539215330115964</v>
      </c>
      <c r="U27" s="97">
        <f t="shared" si="5"/>
        <v>0.71974151668977804</v>
      </c>
      <c r="V27" s="98">
        <f t="shared" si="6"/>
        <v>1.0100431540165124E-2</v>
      </c>
      <c r="W27" s="99">
        <f t="shared" si="7"/>
        <v>9.7258010611909768E-3</v>
      </c>
      <c r="X27" s="95">
        <f>'Op Cost-24'!B20/'Revenue Hours-24'!C19</f>
        <v>79.05589855938392</v>
      </c>
      <c r="Y27" s="96">
        <f>'Op Cost-24'!C20/'Revenue Hours-24'!D19</f>
        <v>85.260382965718563</v>
      </c>
      <c r="Z27" s="96">
        <f>'Op Cost-24'!D20/'Revenue Hours-24'!E19</f>
        <v>88.890998593530242</v>
      </c>
      <c r="AA27" s="96">
        <f>'Op Cost-24'!E20/'Revenue Hours-24'!F19</f>
        <v>103.53699617930367</v>
      </c>
      <c r="AB27" s="97">
        <f t="shared" si="8"/>
        <v>1.0248251681607927</v>
      </c>
      <c r="AC27" s="98">
        <f t="shared" si="9"/>
        <v>1.3693472443576991E-2</v>
      </c>
      <c r="AD27" s="99">
        <f t="shared" si="10"/>
        <v>1.3771161784414503E-2</v>
      </c>
      <c r="AE27" s="95">
        <f>'Op Cost-24'!B20/'Revenue Miles-24'!C19</f>
        <v>6.6086852766524222</v>
      </c>
      <c r="AF27" s="96">
        <f>'Op Cost-24'!C20/'Revenue Miles-24'!D19</f>
        <v>6.465366631744411</v>
      </c>
      <c r="AG27" s="96">
        <f>'Op Cost-24'!D20/'Revenue Miles-24'!E19</f>
        <v>6.2561834749980854</v>
      </c>
      <c r="AH27" s="96">
        <f>'Op Cost-24'!E20/'Revenue Miles-24'!F19</f>
        <v>7.168863589577354</v>
      </c>
      <c r="AI27" s="97">
        <f t="shared" si="11"/>
        <v>0.9727281441536425</v>
      </c>
      <c r="AJ27" s="98">
        <f t="shared" si="12"/>
        <v>1.4426862514504766E-2</v>
      </c>
      <c r="AK27" s="99">
        <f t="shared" si="13"/>
        <v>1.4442896110385883E-2</v>
      </c>
      <c r="AL27" s="95">
        <f>'Op Cost-24'!B20/'Ridership-24'!B19</f>
        <v>3.5842332543739066</v>
      </c>
      <c r="AM27" s="96">
        <f>'Op Cost-24'!C20/'Ridership-24'!C19</f>
        <v>4.008038922912144</v>
      </c>
      <c r="AN27" s="96">
        <f>'Op Cost-24'!D20/'Ridership-24'!D19</f>
        <v>14.312698287225656</v>
      </c>
      <c r="AO27" s="96">
        <f>'Op Cost-24'!E20/'Ridership-24'!E19</f>
        <v>17.258062129016487</v>
      </c>
      <c r="AP27" s="97">
        <f t="shared" si="14"/>
        <v>1.3818582831318029</v>
      </c>
      <c r="AQ27" s="98">
        <f t="shared" si="15"/>
        <v>1.0155466281165282E-2</v>
      </c>
      <c r="AR27" s="99">
        <f t="shared" si="16"/>
        <v>1.0754235647703805E-2</v>
      </c>
      <c r="AT27" s="101">
        <f t="shared" si="27"/>
        <v>0</v>
      </c>
      <c r="AU27" s="102">
        <f t="shared" si="17"/>
        <v>0</v>
      </c>
      <c r="AV27" s="102">
        <f t="shared" si="18"/>
        <v>0</v>
      </c>
      <c r="AW27" s="102">
        <f t="shared" si="19"/>
        <v>0</v>
      </c>
      <c r="AX27" s="103">
        <f t="shared" si="20"/>
        <v>0</v>
      </c>
      <c r="AY27" s="104">
        <f t="shared" si="28"/>
        <v>-1</v>
      </c>
      <c r="AZ27" s="105">
        <f t="shared" si="21"/>
        <v>0</v>
      </c>
      <c r="BA27" s="106">
        <f t="shared" si="21"/>
        <v>0</v>
      </c>
      <c r="BB27" s="106">
        <f t="shared" si="21"/>
        <v>0</v>
      </c>
      <c r="BC27" s="106">
        <f t="shared" si="21"/>
        <v>0</v>
      </c>
      <c r="BD27" s="106">
        <f t="shared" si="21"/>
        <v>0</v>
      </c>
      <c r="BE27" s="107">
        <f t="shared" si="29"/>
        <v>1776670.4942353617</v>
      </c>
      <c r="BG27" s="108">
        <f>'Op Cost-24'!E20</f>
        <v>7696112</v>
      </c>
      <c r="BH27" s="109">
        <f t="shared" si="22"/>
        <v>0.23085299359408512</v>
      </c>
      <c r="BI27" s="110">
        <f t="shared" si="23"/>
        <v>1776670.4942353617</v>
      </c>
      <c r="BJ27" s="111">
        <f t="shared" si="24"/>
        <v>0</v>
      </c>
      <c r="BK27" s="1">
        <f t="shared" si="30"/>
        <v>0.743512864459001</v>
      </c>
      <c r="BL27" s="112">
        <f t="shared" si="31"/>
        <v>0.67004768470057807</v>
      </c>
      <c r="BM27" s="112">
        <f t="shared" si="32"/>
        <v>0.67018584022112548</v>
      </c>
      <c r="BN27" s="113">
        <f t="shared" si="33"/>
        <v>0.81690896645715028</v>
      </c>
      <c r="BO27" s="114">
        <f t="shared" si="25"/>
        <v>1776670.4942353617</v>
      </c>
      <c r="BP27" s="115">
        <f t="shared" si="34"/>
        <v>1.0434024733266949E-2</v>
      </c>
      <c r="BQ27" s="116">
        <f t="shared" si="35"/>
        <v>1.0434024733266949E-2</v>
      </c>
      <c r="BR27" s="117">
        <f t="shared" si="36"/>
        <v>1.7575219432168582E-2</v>
      </c>
      <c r="BS27" s="118">
        <f t="shared" si="37"/>
        <v>1997647.2270377432</v>
      </c>
      <c r="BT27" s="119">
        <f t="shared" si="38"/>
        <v>2308833.6</v>
      </c>
      <c r="BU27" s="119">
        <f t="shared" si="39"/>
        <v>1997647.2270377432</v>
      </c>
      <c r="BV27" s="119">
        <f t="shared" si="56"/>
        <v>0</v>
      </c>
      <c r="BW27" s="120">
        <f t="shared" si="40"/>
        <v>1.0434024733266949E-2</v>
      </c>
      <c r="BX27" s="121">
        <f t="shared" si="41"/>
        <v>2.318217825550159E-2</v>
      </c>
      <c r="BY27" s="122">
        <f t="shared" si="42"/>
        <v>2049304.7016968213</v>
      </c>
      <c r="BZ27" s="123">
        <f t="shared" si="58"/>
        <v>25766315990835.176</v>
      </c>
      <c r="CA27" s="111">
        <f t="shared" si="57"/>
        <v>25766317767506</v>
      </c>
      <c r="CC27" s="124">
        <f t="shared" si="26"/>
        <v>1</v>
      </c>
      <c r="CD27" s="17"/>
      <c r="CE27" s="108">
        <f t="shared" si="44"/>
        <v>7696112</v>
      </c>
      <c r="CF27" s="125">
        <f t="shared" si="45"/>
        <v>3347965.5399383479</v>
      </c>
      <c r="CG27" s="110">
        <f t="shared" si="46"/>
        <v>2308833.6</v>
      </c>
      <c r="CH27" s="126">
        <f t="shared" si="47"/>
        <v>25766315458672.398</v>
      </c>
      <c r="CJ27" s="127">
        <f t="shared" si="48"/>
        <v>0</v>
      </c>
      <c r="CK27" s="128" t="e">
        <f t="shared" si="49"/>
        <v>#DIV/0!</v>
      </c>
      <c r="CL27" s="129" t="e">
        <f t="shared" si="50"/>
        <v>#DIV/0!</v>
      </c>
      <c r="CM27" s="130" t="e">
        <f t="shared" si="51"/>
        <v>#DIV/0!</v>
      </c>
      <c r="CO27" s="131" t="e">
        <f t="shared" si="52"/>
        <v>#DIV/0!</v>
      </c>
      <c r="CP27" s="1">
        <f t="shared" si="53"/>
        <v>0</v>
      </c>
      <c r="CQ27" s="132">
        <f t="shared" si="54"/>
        <v>0.26627792081206997</v>
      </c>
      <c r="CS27" s="104">
        <f t="shared" si="55"/>
        <v>8.4193682535324103E-3</v>
      </c>
    </row>
    <row r="28" spans="1:97">
      <c r="A28" s="133" t="s">
        <v>99</v>
      </c>
      <c r="B28" s="90" t="s">
        <v>103</v>
      </c>
      <c r="C28" s="208">
        <f>'Op Cost-24'!E21</f>
        <v>107836</v>
      </c>
      <c r="D28" s="92">
        <f>'Ridership-24'!$E20</f>
        <v>14878</v>
      </c>
      <c r="E28" s="92">
        <f>'Revenue Hours-24'!$F20</f>
        <v>3043</v>
      </c>
      <c r="F28" s="92">
        <f>'Revenue Miles-24'!$F20</f>
        <v>48696</v>
      </c>
      <c r="G28" s="134">
        <f t="shared" si="0"/>
        <v>4.3714996511028229E-4</v>
      </c>
      <c r="H28" s="94">
        <f t="shared" si="1"/>
        <v>4.1270076060163376E-4</v>
      </c>
      <c r="J28" s="95">
        <f>'Ridership-24'!B20/'Revenue Hours-24'!C20</f>
        <v>6.4826216484607748</v>
      </c>
      <c r="K28" s="96">
        <f>'Ridership-24'!C20/'Revenue Hours-24'!D20</f>
        <v>5.9558432934926957</v>
      </c>
      <c r="L28" s="96">
        <f>'Ridership-24'!D20/'Revenue Hours-24'!E20</f>
        <v>4.686815011624045</v>
      </c>
      <c r="M28" s="96">
        <f>'Ridership-24'!E20/'Revenue Hours-24'!F20</f>
        <v>4.8892540256325994</v>
      </c>
      <c r="N28" s="97">
        <f t="shared" si="2"/>
        <v>1.08799560674147</v>
      </c>
      <c r="O28" s="98">
        <f t="shared" si="3"/>
        <v>4.490166144334407E-4</v>
      </c>
      <c r="P28" s="99">
        <f t="shared" si="4"/>
        <v>4.3084814846974123E-4</v>
      </c>
      <c r="Q28" s="95">
        <f>'Ridership-24'!B20/'Revenue Miles-24'!C20</f>
        <v>0.40805950867834895</v>
      </c>
      <c r="R28" s="96">
        <f>'Ridership-24'!C20/'Revenue Miles-24'!D20</f>
        <v>0.37067112984544176</v>
      </c>
      <c r="S28" s="96">
        <f>'Ridership-24'!D20/'Revenue Miles-24'!E20</f>
        <v>0.28707433174661295</v>
      </c>
      <c r="T28" s="96">
        <f>'Ridership-24'!E20/'Revenue Miles-24'!F20</f>
        <v>0.30552817479875144</v>
      </c>
      <c r="U28" s="97">
        <f t="shared" si="5"/>
        <v>1.0831024445606128</v>
      </c>
      <c r="V28" s="98">
        <f t="shared" si="6"/>
        <v>4.4699720267965374E-4</v>
      </c>
      <c r="W28" s="99">
        <f t="shared" si="7"/>
        <v>4.3041783421662622E-4</v>
      </c>
      <c r="X28" s="95">
        <f>'Op Cost-24'!B21/'Revenue Hours-24'!C20</f>
        <v>33.555445216815627</v>
      </c>
      <c r="Y28" s="96">
        <f>'Op Cost-24'!C21/'Revenue Hours-24'!D20</f>
        <v>35.128818061088978</v>
      </c>
      <c r="Z28" s="96">
        <f>'Op Cost-24'!D21/'Revenue Hours-24'!E20</f>
        <v>38.42344735968117</v>
      </c>
      <c r="AA28" s="96">
        <f>'Op Cost-24'!E21/'Revenue Hours-24'!F20</f>
        <v>35.43739730529083</v>
      </c>
      <c r="AB28" s="97">
        <f t="shared" si="8"/>
        <v>0.9478174478679624</v>
      </c>
      <c r="AC28" s="98">
        <f t="shared" si="9"/>
        <v>4.3542220237659718E-4</v>
      </c>
      <c r="AD28" s="99">
        <f t="shared" si="10"/>
        <v>4.3789255195578826E-4</v>
      </c>
      <c r="AE28" s="95">
        <f>'Op Cost-24'!B21/'Revenue Miles-24'!C20</f>
        <v>2.1122038630633635</v>
      </c>
      <c r="AF28" s="96">
        <f>'Op Cost-24'!C21/'Revenue Miles-24'!D20</f>
        <v>2.1862963881312507</v>
      </c>
      <c r="AG28" s="96">
        <f>'Op Cost-24'!D21/'Revenue Miles-24'!E20</f>
        <v>2.3534928190731925</v>
      </c>
      <c r="AH28" s="96">
        <f>'Op Cost-24'!E21/'Revenue Miles-24'!F20</f>
        <v>2.2144734680466569</v>
      </c>
      <c r="AI28" s="97">
        <f t="shared" si="11"/>
        <v>0.95084288699013142</v>
      </c>
      <c r="AJ28" s="98">
        <f t="shared" si="12"/>
        <v>4.3403675438749648E-4</v>
      </c>
      <c r="AK28" s="99">
        <f t="shared" si="13"/>
        <v>4.3451913022703913E-4</v>
      </c>
      <c r="AL28" s="95">
        <f>'Op Cost-24'!B21/'Ridership-24'!B20</f>
        <v>5.1762152777777777</v>
      </c>
      <c r="AM28" s="96">
        <f>'Op Cost-24'!C21/'Ridership-24'!C20</f>
        <v>5.8982106025976924</v>
      </c>
      <c r="AN28" s="96">
        <f>'Op Cost-24'!D21/'Ridership-24'!D20</f>
        <v>8.1982001133786842</v>
      </c>
      <c r="AO28" s="96">
        <f>'Op Cost-24'!E21/'Ridership-24'!E20</f>
        <v>7.2480172066137918</v>
      </c>
      <c r="AP28" s="100">
        <f t="shared" si="14"/>
        <v>0.94501573326470911</v>
      </c>
      <c r="AQ28" s="98">
        <f t="shared" si="15"/>
        <v>4.3671311077106884E-4</v>
      </c>
      <c r="AR28" s="99">
        <f t="shared" si="16"/>
        <v>4.6246184799847022E-4</v>
      </c>
      <c r="AT28" s="101">
        <f t="shared" si="27"/>
        <v>0</v>
      </c>
      <c r="AU28" s="102">
        <f t="shared" si="17"/>
        <v>0</v>
      </c>
      <c r="AV28" s="102">
        <f t="shared" si="18"/>
        <v>0</v>
      </c>
      <c r="AW28" s="102">
        <f t="shared" si="19"/>
        <v>0</v>
      </c>
      <c r="AX28" s="103">
        <f t="shared" si="20"/>
        <v>0</v>
      </c>
      <c r="AY28" s="104">
        <f t="shared" si="28"/>
        <v>-1</v>
      </c>
      <c r="AZ28" s="105">
        <f t="shared" si="21"/>
        <v>0</v>
      </c>
      <c r="BA28" s="106">
        <f t="shared" si="21"/>
        <v>0</v>
      </c>
      <c r="BB28" s="106">
        <f t="shared" si="21"/>
        <v>0</v>
      </c>
      <c r="BC28" s="106">
        <f t="shared" si="21"/>
        <v>0</v>
      </c>
      <c r="BD28" s="106">
        <f t="shared" si="21"/>
        <v>0</v>
      </c>
      <c r="BE28" s="107">
        <f t="shared" si="29"/>
        <v>52249.096451261845</v>
      </c>
      <c r="BG28" s="108">
        <f>'Op Cost-24'!E21</f>
        <v>107836</v>
      </c>
      <c r="BH28" s="109">
        <f t="shared" si="22"/>
        <v>0.48452368829761716</v>
      </c>
      <c r="BI28" s="110">
        <f t="shared" si="23"/>
        <v>32350.799999999999</v>
      </c>
      <c r="BJ28" s="111">
        <f t="shared" si="24"/>
        <v>19898.296451261846</v>
      </c>
      <c r="BK28" s="1">
        <f t="shared" si="30"/>
        <v>1.2323099021423269</v>
      </c>
      <c r="BL28" s="112">
        <f t="shared" si="31"/>
        <v>0.54606555145641789</v>
      </c>
      <c r="BM28" s="112">
        <f t="shared" si="32"/>
        <v>0.49293337611574117</v>
      </c>
      <c r="BN28" s="113">
        <f t="shared" si="33"/>
        <v>1.9451203404985742</v>
      </c>
      <c r="BO28" s="114">
        <f t="shared" si="25"/>
        <v>0</v>
      </c>
      <c r="BP28" s="115">
        <f t="shared" si="34"/>
        <v>5.085752339110632E-4</v>
      </c>
      <c r="BQ28" s="116">
        <f t="shared" si="35"/>
        <v>0</v>
      </c>
      <c r="BR28" s="117">
        <f t="shared" si="36"/>
        <v>0</v>
      </c>
      <c r="BS28" s="118">
        <f t="shared" si="37"/>
        <v>32350.799999999999</v>
      </c>
      <c r="BT28" s="119">
        <f t="shared" si="38"/>
        <v>32350.799999999999</v>
      </c>
      <c r="BU28" s="119">
        <f t="shared" si="39"/>
        <v>32350.799999999999</v>
      </c>
      <c r="BV28" s="119">
        <f t="shared" si="56"/>
        <v>0</v>
      </c>
      <c r="BW28" s="120">
        <f t="shared" si="40"/>
        <v>0</v>
      </c>
      <c r="BX28" s="121">
        <f t="shared" si="41"/>
        <v>0</v>
      </c>
      <c r="BY28" s="122">
        <f t="shared" si="42"/>
        <v>32350.799999999999</v>
      </c>
      <c r="BZ28" s="123">
        <f t="shared" si="58"/>
        <v>406753048810.22498</v>
      </c>
      <c r="CA28" s="111">
        <f t="shared" si="57"/>
        <v>406753081161</v>
      </c>
      <c r="CC28" s="124">
        <f t="shared" si="26"/>
        <v>1</v>
      </c>
      <c r="CD28" s="17"/>
      <c r="CE28" s="108">
        <f t="shared" si="44"/>
        <v>107836</v>
      </c>
      <c r="CF28" s="125">
        <f t="shared" si="45"/>
        <v>3771960.0241199601</v>
      </c>
      <c r="CG28" s="110">
        <f t="shared" si="46"/>
        <v>32350.799999999999</v>
      </c>
      <c r="CH28" s="126">
        <f t="shared" si="47"/>
        <v>406753048810.20001</v>
      </c>
      <c r="CJ28" s="127">
        <f t="shared" si="48"/>
        <v>0</v>
      </c>
      <c r="CK28" s="128" t="e">
        <f t="shared" si="49"/>
        <v>#DIV/0!</v>
      </c>
      <c r="CL28" s="129" t="e">
        <f t="shared" si="50"/>
        <v>#DIV/0!</v>
      </c>
      <c r="CM28" s="130" t="e">
        <f t="shared" si="51"/>
        <v>#DIV/0!</v>
      </c>
      <c r="CO28" s="131" t="e">
        <f t="shared" si="52"/>
        <v>#DIV/0!</v>
      </c>
      <c r="CP28" s="1">
        <f t="shared" si="53"/>
        <v>0</v>
      </c>
      <c r="CQ28" s="132">
        <f t="shared" si="54"/>
        <v>0.3</v>
      </c>
      <c r="CS28" s="104">
        <f t="shared" si="55"/>
        <v>4.103768477059135E-4</v>
      </c>
    </row>
    <row r="29" spans="1:97">
      <c r="A29" s="133" t="s">
        <v>104</v>
      </c>
      <c r="B29" s="90" t="s">
        <v>105</v>
      </c>
      <c r="C29" s="208">
        <f>'Op Cost-24'!E22</f>
        <v>15647246</v>
      </c>
      <c r="D29" s="92">
        <f>'Ridership-24'!$E21</f>
        <v>421563</v>
      </c>
      <c r="E29" s="92">
        <f>'Revenue Hours-24'!$F21</f>
        <v>98775</v>
      </c>
      <c r="F29" s="92">
        <f>'Revenue Miles-24'!$F21</f>
        <v>2248360.5</v>
      </c>
      <c r="G29" s="134">
        <f t="shared" si="0"/>
        <v>2.4194644989165483E-2</v>
      </c>
      <c r="H29" s="94">
        <f t="shared" si="1"/>
        <v>2.2841471317505638E-2</v>
      </c>
      <c r="J29" s="95">
        <f>'Ridership-24'!B21/'Revenue Hours-24'!C21</f>
        <v>9.2001258890004944</v>
      </c>
      <c r="K29" s="96">
        <f>'Ridership-24'!C21/'Revenue Hours-24'!D21</f>
        <v>9.5977192221126977</v>
      </c>
      <c r="L29" s="96">
        <f>'Ridership-24'!D21/'Revenue Hours-24'!E21</f>
        <v>3.470492023892092</v>
      </c>
      <c r="M29" s="96">
        <f>'Ridership-24'!E21/'Revenue Hours-24'!F21</f>
        <v>4.2679119210326499</v>
      </c>
      <c r="N29" s="97">
        <f t="shared" si="2"/>
        <v>0.90195672942429905</v>
      </c>
      <c r="O29" s="98">
        <f t="shared" si="3"/>
        <v>2.0602018764776322E-2</v>
      </c>
      <c r="P29" s="99">
        <f t="shared" si="4"/>
        <v>1.9768403560618167E-2</v>
      </c>
      <c r="Q29" s="95">
        <f>'Ridership-24'!B21/'Revenue Miles-24'!C21</f>
        <v>0.3814515427407344</v>
      </c>
      <c r="R29" s="96">
        <f>'Ridership-24'!C21/'Revenue Miles-24'!D21</f>
        <v>0.37124438856652447</v>
      </c>
      <c r="S29" s="96">
        <f>'Ridership-24'!D21/'Revenue Miles-24'!E21</f>
        <v>0.16305901321605187</v>
      </c>
      <c r="T29" s="96">
        <f>'Ridership-24'!E21/'Revenue Miles-24'!F21</f>
        <v>0.18749795684455406</v>
      </c>
      <c r="U29" s="97">
        <f t="shared" si="5"/>
        <v>0.91332005834349295</v>
      </c>
      <c r="V29" s="98">
        <f t="shared" si="6"/>
        <v>2.0861573916355472E-2</v>
      </c>
      <c r="W29" s="99">
        <f t="shared" si="7"/>
        <v>2.0087806835477753E-2</v>
      </c>
      <c r="X29" s="95">
        <f>'Op Cost-24'!B22/'Revenue Hours-24'!C21</f>
        <v>93.378558519513959</v>
      </c>
      <c r="Y29" s="96">
        <f>'Op Cost-24'!C22/'Revenue Hours-24'!D21</f>
        <v>112.24563612250527</v>
      </c>
      <c r="Z29" s="96">
        <f>'Op Cost-24'!D22/'Revenue Hours-24'!E21</f>
        <v>179.69728056645377</v>
      </c>
      <c r="AA29" s="96">
        <f>'Op Cost-24'!E22/'Revenue Hours-24'!F21</f>
        <v>158.41301948873704</v>
      </c>
      <c r="AB29" s="97">
        <f t="shared" si="8"/>
        <v>1.1234756688906935</v>
      </c>
      <c r="AC29" s="98">
        <f t="shared" si="9"/>
        <v>2.0331077877333147E-2</v>
      </c>
      <c r="AD29" s="99">
        <f t="shared" si="10"/>
        <v>2.0446425393846168E-2</v>
      </c>
      <c r="AE29" s="95">
        <f>'Op Cost-24'!B22/'Revenue Miles-24'!C21</f>
        <v>3.8716204143206845</v>
      </c>
      <c r="AF29" s="96">
        <f>'Op Cost-24'!C22/'Revenue Miles-24'!D21</f>
        <v>4.3417151082679135</v>
      </c>
      <c r="AG29" s="96">
        <f>'Op Cost-24'!D22/'Revenue Miles-24'!E21</f>
        <v>8.4429703468712045</v>
      </c>
      <c r="AH29" s="96">
        <f>'Op Cost-24'!E22/'Revenue Miles-24'!F21</f>
        <v>6.9594026402794391</v>
      </c>
      <c r="AI29" s="97">
        <f t="shared" si="11"/>
        <v>1.1730229212345462</v>
      </c>
      <c r="AJ29" s="98">
        <f t="shared" si="12"/>
        <v>1.9472314567788807E-2</v>
      </c>
      <c r="AK29" s="99">
        <f t="shared" si="13"/>
        <v>1.9493955532505564E-2</v>
      </c>
      <c r="AL29" s="95">
        <f>'Op Cost-24'!B22/'Ridership-24'!B21</f>
        <v>10.149704432974739</v>
      </c>
      <c r="AM29" s="96">
        <f>'Op Cost-24'!C22/'Ridership-24'!C21</f>
        <v>11.695032280575219</v>
      </c>
      <c r="AN29" s="96">
        <f>'Op Cost-24'!D22/'Ridership-24'!D21</f>
        <v>51.778617939287642</v>
      </c>
      <c r="AO29" s="96">
        <f>'Op Cost-24'!E22/'Ridership-24'!E21</f>
        <v>37.117218541475417</v>
      </c>
      <c r="AP29" s="97">
        <f t="shared" si="14"/>
        <v>1.303510424877655</v>
      </c>
      <c r="AQ29" s="98">
        <f t="shared" si="15"/>
        <v>1.7523044604456844E-2</v>
      </c>
      <c r="AR29" s="99">
        <f t="shared" si="16"/>
        <v>1.8556208619495348E-2</v>
      </c>
      <c r="AT29" s="101">
        <f t="shared" si="27"/>
        <v>0</v>
      </c>
      <c r="AU29" s="102">
        <f t="shared" si="17"/>
        <v>0</v>
      </c>
      <c r="AV29" s="102">
        <f t="shared" si="18"/>
        <v>0</v>
      </c>
      <c r="AW29" s="102">
        <f t="shared" si="19"/>
        <v>0</v>
      </c>
      <c r="AX29" s="103">
        <f t="shared" si="20"/>
        <v>0</v>
      </c>
      <c r="AY29" s="104">
        <f t="shared" si="28"/>
        <v>-1</v>
      </c>
      <c r="AZ29" s="105">
        <f t="shared" si="21"/>
        <v>0</v>
      </c>
      <c r="BA29" s="106">
        <f t="shared" si="21"/>
        <v>0</v>
      </c>
      <c r="BB29" s="106">
        <f t="shared" si="21"/>
        <v>0</v>
      </c>
      <c r="BC29" s="106">
        <f t="shared" si="21"/>
        <v>0</v>
      </c>
      <c r="BD29" s="106">
        <f t="shared" si="21"/>
        <v>0</v>
      </c>
      <c r="BE29" s="107">
        <f t="shared" si="29"/>
        <v>2891795.5862675933</v>
      </c>
      <c r="BG29" s="108">
        <f>'Op Cost-24'!E22</f>
        <v>15647246</v>
      </c>
      <c r="BH29" s="109">
        <f t="shared" si="22"/>
        <v>0.18481179283994087</v>
      </c>
      <c r="BI29" s="110">
        <f t="shared" si="23"/>
        <v>2891795.5862675933</v>
      </c>
      <c r="BJ29" s="111">
        <f t="shared" si="24"/>
        <v>0</v>
      </c>
      <c r="BK29" s="1">
        <f t="shared" si="30"/>
        <v>0.38470929964477962</v>
      </c>
      <c r="BL29" s="112">
        <f t="shared" si="31"/>
        <v>0.47666978735566368</v>
      </c>
      <c r="BM29" s="112">
        <f t="shared" si="32"/>
        <v>0.30250565579776201</v>
      </c>
      <c r="BN29" s="113">
        <f t="shared" si="33"/>
        <v>0.3798308777128464</v>
      </c>
      <c r="BO29" s="114">
        <f t="shared" si="25"/>
        <v>2891795.5862675933</v>
      </c>
      <c r="BP29" s="115">
        <f t="shared" si="34"/>
        <v>8.7873264334139157E-3</v>
      </c>
      <c r="BQ29" s="116">
        <f t="shared" si="35"/>
        <v>8.7873264334139157E-3</v>
      </c>
      <c r="BR29" s="117">
        <f t="shared" si="36"/>
        <v>1.4801497431469971E-2</v>
      </c>
      <c r="BS29" s="118">
        <f t="shared" si="37"/>
        <v>3077897.7601615041</v>
      </c>
      <c r="BT29" s="119">
        <f t="shared" si="38"/>
        <v>4694173.8</v>
      </c>
      <c r="BU29" s="119">
        <f t="shared" si="39"/>
        <v>3077897.7601615041</v>
      </c>
      <c r="BV29" s="119">
        <f t="shared" si="56"/>
        <v>0</v>
      </c>
      <c r="BW29" s="120">
        <f t="shared" si="40"/>
        <v>8.7873264334139157E-3</v>
      </c>
      <c r="BX29" s="121">
        <f t="shared" si="41"/>
        <v>1.9523565735779114E-2</v>
      </c>
      <c r="BY29" s="122">
        <f t="shared" si="42"/>
        <v>3121402.6496130168</v>
      </c>
      <c r="BZ29" s="123">
        <f t="shared" si="58"/>
        <v>39246016923674.5</v>
      </c>
      <c r="CA29" s="111">
        <f t="shared" si="57"/>
        <v>39246019815470</v>
      </c>
      <c r="CC29" s="124">
        <f t="shared" si="26"/>
        <v>1</v>
      </c>
      <c r="CD29" s="17"/>
      <c r="CE29" s="108">
        <f t="shared" si="44"/>
        <v>15647246</v>
      </c>
      <c r="CF29" s="125">
        <f t="shared" si="45"/>
        <v>2508174.2701220396</v>
      </c>
      <c r="CG29" s="110">
        <f t="shared" si="46"/>
        <v>4694173.8</v>
      </c>
      <c r="CH29" s="126">
        <f t="shared" si="47"/>
        <v>39246015121296.203</v>
      </c>
      <c r="CJ29" s="127">
        <f t="shared" si="48"/>
        <v>0</v>
      </c>
      <c r="CK29" s="128" t="e">
        <f t="shared" si="49"/>
        <v>#DIV/0!</v>
      </c>
      <c r="CL29" s="129" t="e">
        <f t="shared" si="50"/>
        <v>#DIV/0!</v>
      </c>
      <c r="CM29" s="130" t="e">
        <f t="shared" si="51"/>
        <v>#DIV/0!</v>
      </c>
      <c r="CO29" s="131" t="e">
        <f t="shared" si="52"/>
        <v>#DIV/0!</v>
      </c>
      <c r="CP29" s="1">
        <f t="shared" si="53"/>
        <v>0</v>
      </c>
      <c r="CQ29" s="132">
        <f t="shared" si="54"/>
        <v>0.19948575293141149</v>
      </c>
      <c r="CS29" s="104">
        <f t="shared" si="55"/>
        <v>7.0906231390297468E-3</v>
      </c>
    </row>
    <row r="30" spans="1:97">
      <c r="A30" s="133" t="s">
        <v>104</v>
      </c>
      <c r="B30" s="90" t="s">
        <v>106</v>
      </c>
      <c r="C30" s="208">
        <f>'Op Cost-24'!E23</f>
        <v>26239078</v>
      </c>
      <c r="D30" s="92">
        <f>'Ridership-24'!$E22</f>
        <v>1815957</v>
      </c>
      <c r="E30" s="92">
        <f>'Revenue Hours-24'!$F22</f>
        <v>204460</v>
      </c>
      <c r="F30" s="92">
        <f>'Revenue Miles-24'!$F22</f>
        <v>2083544</v>
      </c>
      <c r="G30" s="134">
        <f t="shared" si="0"/>
        <v>4.7824107256183815E-2</v>
      </c>
      <c r="H30" s="94">
        <f t="shared" si="1"/>
        <v>4.5149369815783921E-2</v>
      </c>
      <c r="J30" s="95">
        <f>'Ridership-24'!B22/'Revenue Hours-24'!C22</f>
        <v>13.865819939305384</v>
      </c>
      <c r="K30" s="96">
        <f>'Ridership-24'!C22/'Revenue Hours-24'!D22</f>
        <v>12.903471027599291</v>
      </c>
      <c r="L30" s="96">
        <f>'Ridership-24'!D22/'Revenue Hours-24'!E22</f>
        <v>7.8216167510040826</v>
      </c>
      <c r="M30" s="96">
        <f>'Ridership-24'!E22/'Revenue Hours-24'!F22</f>
        <v>8.8817225863249529</v>
      </c>
      <c r="N30" s="97">
        <f t="shared" si="2"/>
        <v>0.99856691724436875</v>
      </c>
      <c r="O30" s="98">
        <f t="shared" si="3"/>
        <v>4.5084667032473304E-2</v>
      </c>
      <c r="P30" s="99">
        <f t="shared" si="4"/>
        <v>4.3260415518979176E-2</v>
      </c>
      <c r="Q30" s="95">
        <f>'Ridership-24'!B22/'Revenue Miles-24'!C22</f>
        <v>1.3701537016658529</v>
      </c>
      <c r="R30" s="96">
        <f>'Ridership-24'!C22/'Revenue Miles-24'!D22</f>
        <v>1.2587048387152435</v>
      </c>
      <c r="S30" s="96">
        <f>'Ridership-24'!D22/'Revenue Miles-24'!E22</f>
        <v>0.78433143162528551</v>
      </c>
      <c r="T30" s="96">
        <f>'Ridership-24'!E22/'Revenue Miles-24'!F22</f>
        <v>0.87157122671755427</v>
      </c>
      <c r="U30" s="97">
        <f t="shared" si="5"/>
        <v>1.0022577420680119</v>
      </c>
      <c r="V30" s="98">
        <f t="shared" si="6"/>
        <v>4.5251305447361244E-2</v>
      </c>
      <c r="W30" s="99">
        <f t="shared" si="7"/>
        <v>4.3572910007865673E-2</v>
      </c>
      <c r="X30" s="95">
        <f>'Op Cost-24'!B23/'Revenue Hours-24'!C22</f>
        <v>71.878358997414864</v>
      </c>
      <c r="Y30" s="96">
        <f>'Op Cost-24'!C23/'Revenue Hours-24'!D22</f>
        <v>70.784446046283321</v>
      </c>
      <c r="Z30" s="96">
        <f>'Op Cost-24'!D23/'Revenue Hours-24'!E22</f>
        <v>115.12446224595757</v>
      </c>
      <c r="AA30" s="96">
        <f>'Op Cost-24'!E23/'Revenue Hours-24'!F22</f>
        <v>128.33355179497212</v>
      </c>
      <c r="AB30" s="97">
        <f t="shared" si="8"/>
        <v>1.1369244024920826</v>
      </c>
      <c r="AC30" s="98">
        <f t="shared" si="9"/>
        <v>3.9711848665415848E-2</v>
      </c>
      <c r="AD30" s="99">
        <f t="shared" si="10"/>
        <v>3.9937152171080133E-2</v>
      </c>
      <c r="AE30" s="95">
        <f>'Op Cost-24'!B23/'Revenue Miles-24'!C22</f>
        <v>7.1026740633492365</v>
      </c>
      <c r="AF30" s="96">
        <f>'Op Cost-24'!C23/'Revenue Miles-24'!D22</f>
        <v>6.9048649432129956</v>
      </c>
      <c r="AG30" s="96">
        <f>'Op Cost-24'!D23/'Revenue Miles-24'!E22</f>
        <v>11.544382339734495</v>
      </c>
      <c r="AH30" s="96">
        <f>'Op Cost-24'!E23/'Revenue Miles-24'!F22</f>
        <v>12.593483986899244</v>
      </c>
      <c r="AI30" s="97">
        <f t="shared" si="11"/>
        <v>1.1413899080937748</v>
      </c>
      <c r="AJ30" s="98">
        <f t="shared" si="12"/>
        <v>3.9556482404148365E-2</v>
      </c>
      <c r="AK30" s="99">
        <f t="shared" si="13"/>
        <v>3.9600444329529506E-2</v>
      </c>
      <c r="AL30" s="95">
        <f>'Op Cost-24'!B23/'Ridership-24'!B22</f>
        <v>5.1838520413539744</v>
      </c>
      <c r="AM30" s="96">
        <f>'Op Cost-24'!C23/'Ridership-24'!C22</f>
        <v>5.485690315023156</v>
      </c>
      <c r="AN30" s="96">
        <f>'Op Cost-24'!D23/'Ridership-24'!D22</f>
        <v>14.718755202519828</v>
      </c>
      <c r="AO30" s="96">
        <f>'Op Cost-24'!E23/'Ridership-24'!E22</f>
        <v>14.449173631313958</v>
      </c>
      <c r="AP30" s="97">
        <f t="shared" si="14"/>
        <v>1.1417394937986716</v>
      </c>
      <c r="AQ30" s="98">
        <f t="shared" si="15"/>
        <v>3.9544370726432389E-2</v>
      </c>
      <c r="AR30" s="99">
        <f t="shared" si="16"/>
        <v>4.1875918796651916E-2</v>
      </c>
      <c r="AT30" s="101">
        <f t="shared" si="27"/>
        <v>0</v>
      </c>
      <c r="AU30" s="102">
        <f t="shared" si="17"/>
        <v>0</v>
      </c>
      <c r="AV30" s="102">
        <f t="shared" si="18"/>
        <v>0</v>
      </c>
      <c r="AW30" s="102">
        <f t="shared" si="19"/>
        <v>0</v>
      </c>
      <c r="AX30" s="103">
        <f t="shared" si="20"/>
        <v>0</v>
      </c>
      <c r="AY30" s="104">
        <f t="shared" si="28"/>
        <v>-1</v>
      </c>
      <c r="AZ30" s="105">
        <f t="shared" si="21"/>
        <v>0</v>
      </c>
      <c r="BA30" s="106">
        <f t="shared" si="21"/>
        <v>0</v>
      </c>
      <c r="BB30" s="106">
        <f t="shared" si="21"/>
        <v>0</v>
      </c>
      <c r="BC30" s="106">
        <f t="shared" si="21"/>
        <v>0</v>
      </c>
      <c r="BD30" s="106">
        <f t="shared" si="21"/>
        <v>0</v>
      </c>
      <c r="BE30" s="107">
        <f t="shared" si="29"/>
        <v>5716039.3278161697</v>
      </c>
      <c r="BG30" s="108">
        <f>'Op Cost-24'!E23</f>
        <v>26239078</v>
      </c>
      <c r="BH30" s="109">
        <f t="shared" si="22"/>
        <v>0.21784451907251351</v>
      </c>
      <c r="BI30" s="110">
        <f t="shared" si="23"/>
        <v>5716039.3278161697</v>
      </c>
      <c r="BJ30" s="111">
        <f t="shared" si="24"/>
        <v>0</v>
      </c>
      <c r="BK30" s="1">
        <f t="shared" si="30"/>
        <v>1.0873942758975399</v>
      </c>
      <c r="BL30" s="112">
        <f t="shared" si="31"/>
        <v>0.99197192793780775</v>
      </c>
      <c r="BM30" s="112">
        <f t="shared" si="32"/>
        <v>1.4061765255993595</v>
      </c>
      <c r="BN30" s="113">
        <f t="shared" si="33"/>
        <v>0.97571432502649613</v>
      </c>
      <c r="BO30" s="114">
        <f t="shared" si="25"/>
        <v>5716039.3278161697</v>
      </c>
      <c r="BP30" s="115">
        <f t="shared" si="34"/>
        <v>4.9095166298064603E-2</v>
      </c>
      <c r="BQ30" s="116">
        <f t="shared" si="35"/>
        <v>4.9095166298064603E-2</v>
      </c>
      <c r="BR30" s="117">
        <f t="shared" si="36"/>
        <v>8.2696595302887269E-2</v>
      </c>
      <c r="BS30" s="118">
        <f t="shared" si="37"/>
        <v>6755800.0838306956</v>
      </c>
      <c r="BT30" s="119">
        <f t="shared" si="38"/>
        <v>7871723.3999999994</v>
      </c>
      <c r="BU30" s="119">
        <f t="shared" si="39"/>
        <v>6755800.0838306956</v>
      </c>
      <c r="BV30" s="119">
        <f t="shared" si="56"/>
        <v>0</v>
      </c>
      <c r="BW30" s="120">
        <f t="shared" si="40"/>
        <v>4.9095166298064603E-2</v>
      </c>
      <c r="BX30" s="121">
        <f t="shared" si="41"/>
        <v>0.1090789916355577</v>
      </c>
      <c r="BY30" s="122">
        <f t="shared" si="42"/>
        <v>6998863.7504175212</v>
      </c>
      <c r="BZ30" s="123">
        <f t="shared" si="58"/>
        <v>87998107270598.938</v>
      </c>
      <c r="CA30" s="111">
        <f t="shared" si="57"/>
        <v>87998112986638</v>
      </c>
      <c r="CC30" s="124">
        <f t="shared" si="26"/>
        <v>1</v>
      </c>
      <c r="CD30" s="17"/>
      <c r="CE30" s="108">
        <f t="shared" si="44"/>
        <v>26239078</v>
      </c>
      <c r="CF30" s="125">
        <f t="shared" si="45"/>
        <v>3353704.4627344757</v>
      </c>
      <c r="CG30" s="110">
        <f t="shared" si="46"/>
        <v>7871723.3999999994</v>
      </c>
      <c r="CH30" s="126">
        <f t="shared" si="47"/>
        <v>87998105114914.594</v>
      </c>
      <c r="CJ30" s="127">
        <f t="shared" si="48"/>
        <v>0</v>
      </c>
      <c r="CK30" s="128" t="e">
        <f t="shared" si="49"/>
        <v>#DIV/0!</v>
      </c>
      <c r="CL30" s="129" t="e">
        <f t="shared" si="50"/>
        <v>#DIV/0!</v>
      </c>
      <c r="CM30" s="130" t="e">
        <f t="shared" si="51"/>
        <v>#DIV/0!</v>
      </c>
      <c r="CO30" s="131" t="e">
        <f t="shared" si="52"/>
        <v>#DIV/0!</v>
      </c>
      <c r="CP30" s="1">
        <f t="shared" si="53"/>
        <v>0</v>
      </c>
      <c r="CQ30" s="132">
        <f t="shared" si="54"/>
        <v>0.26673436278582352</v>
      </c>
      <c r="CS30" s="104">
        <f t="shared" si="55"/>
        <v>3.9615612872176631E-2</v>
      </c>
    </row>
    <row r="31" spans="1:97">
      <c r="A31" s="133" t="s">
        <v>104</v>
      </c>
      <c r="B31" s="90" t="s">
        <v>107</v>
      </c>
      <c r="C31" s="208">
        <f>'Op Cost-24'!E24</f>
        <v>27269531</v>
      </c>
      <c r="D31" s="92">
        <f>'Ridership-24'!$E23</f>
        <v>3047077</v>
      </c>
      <c r="E31" s="92">
        <f>'Revenue Hours-24'!$F23</f>
        <v>276476</v>
      </c>
      <c r="F31" s="92">
        <f>'Revenue Miles-24'!$F23</f>
        <v>2503129</v>
      </c>
      <c r="G31" s="134">
        <f t="shared" si="0"/>
        <v>6.3206500702821328E-2</v>
      </c>
      <c r="H31" s="94">
        <f t="shared" si="1"/>
        <v>5.9671446864787835E-2</v>
      </c>
      <c r="J31" s="95">
        <f>'Ridership-24'!B23/'Revenue Hours-24'!C23</f>
        <v>16.336445534406419</v>
      </c>
      <c r="K31" s="96">
        <f>'Ridership-24'!C23/'Revenue Hours-24'!D23</f>
        <v>15.892603773584906</v>
      </c>
      <c r="L31" s="96">
        <f>'Ridership-24'!D23/'Revenue Hours-24'!E23</f>
        <v>7.2218469159098948</v>
      </c>
      <c r="M31" s="96">
        <f>'Ridership-24'!E23/'Revenue Hours-24'!F23</f>
        <v>11.021126607734487</v>
      </c>
      <c r="N31" s="97">
        <f t="shared" si="2"/>
        <v>1.0152818096633436</v>
      </c>
      <c r="O31" s="98">
        <f t="shared" si="3"/>
        <v>6.0583334558111844E-2</v>
      </c>
      <c r="P31" s="99">
        <f t="shared" si="4"/>
        <v>5.8131963681167083E-2</v>
      </c>
      <c r="Q31" s="95">
        <f>'Ridership-24'!B23/'Revenue Miles-24'!C23</f>
        <v>1.802680802858009</v>
      </c>
      <c r="R31" s="96">
        <f>'Ridership-24'!C23/'Revenue Miles-24'!D23</f>
        <v>1.6926824335930128</v>
      </c>
      <c r="S31" s="96">
        <f>'Ridership-24'!D23/'Revenue Miles-24'!E23</f>
        <v>0.80452628182287345</v>
      </c>
      <c r="T31" s="96">
        <f>'Ridership-24'!E23/'Revenue Miles-24'!F23</f>
        <v>1.2173072182855937</v>
      </c>
      <c r="U31" s="97">
        <f t="shared" si="5"/>
        <v>1.0211052742749469</v>
      </c>
      <c r="V31" s="98">
        <f t="shared" si="6"/>
        <v>6.0930829117252103E-2</v>
      </c>
      <c r="W31" s="99">
        <f t="shared" si="7"/>
        <v>5.8670871648532415E-2</v>
      </c>
      <c r="X31" s="95">
        <f>'Op Cost-24'!B24/'Revenue Hours-24'!C23</f>
        <v>76.667882499885891</v>
      </c>
      <c r="Y31" s="96">
        <f>'Op Cost-24'!C24/'Revenue Hours-24'!D23</f>
        <v>83.128810327706063</v>
      </c>
      <c r="Z31" s="96">
        <f>'Op Cost-24'!D24/'Revenue Hours-24'!E23</f>
        <v>113.69054841372804</v>
      </c>
      <c r="AA31" s="96">
        <f>'Op Cost-24'!E24/'Revenue Hours-24'!F23</f>
        <v>98.632543150219192</v>
      </c>
      <c r="AB31" s="97">
        <f t="shared" si="8"/>
        <v>1.0166046781627676</v>
      </c>
      <c r="AC31" s="98">
        <f t="shared" si="9"/>
        <v>5.869680530353992E-2</v>
      </c>
      <c r="AD31" s="99">
        <f t="shared" si="10"/>
        <v>5.9029819163398285E-2</v>
      </c>
      <c r="AE31" s="95">
        <f>'Op Cost-24'!B24/'Revenue Miles-24'!C23</f>
        <v>8.4600851321810815</v>
      </c>
      <c r="AF31" s="96">
        <f>'Op Cost-24'!C24/'Revenue Miles-24'!D23</f>
        <v>8.8538466680374093</v>
      </c>
      <c r="AG31" s="96">
        <f>'Op Cost-24'!D24/'Revenue Miles-24'!E23</f>
        <v>12.665324432756394</v>
      </c>
      <c r="AH31" s="96">
        <f>'Op Cost-24'!E24/'Revenue Miles-24'!F23</f>
        <v>10.894177247756708</v>
      </c>
      <c r="AI31" s="97">
        <f t="shared" si="11"/>
        <v>1.0223143327218718</v>
      </c>
      <c r="AJ31" s="98">
        <f t="shared" si="12"/>
        <v>5.8368981980243734E-2</v>
      </c>
      <c r="AK31" s="99">
        <f t="shared" si="13"/>
        <v>5.8433851571128279E-2</v>
      </c>
      <c r="AL31" s="95">
        <f>'Op Cost-24'!B24/'Ridership-24'!B23</f>
        <v>4.6930577608461137</v>
      </c>
      <c r="AM31" s="96">
        <f>'Op Cost-24'!C24/'Ridership-24'!C23</f>
        <v>5.2306602185523836</v>
      </c>
      <c r="AN31" s="96">
        <f>'Op Cost-24'!D24/'Ridership-24'!D23</f>
        <v>15.742586313102974</v>
      </c>
      <c r="AO31" s="96">
        <f>'Op Cost-24'!E24/'Ridership-24'!E23</f>
        <v>8.9494065952386492</v>
      </c>
      <c r="AP31" s="97">
        <f t="shared" si="14"/>
        <v>1.0288072437017239</v>
      </c>
      <c r="AQ31" s="98">
        <f t="shared" si="15"/>
        <v>5.8000609181254971E-2</v>
      </c>
      <c r="AR31" s="99">
        <f t="shared" si="16"/>
        <v>6.1420342658458096E-2</v>
      </c>
      <c r="AT31" s="101">
        <f t="shared" si="27"/>
        <v>0</v>
      </c>
      <c r="AU31" s="102">
        <f t="shared" si="17"/>
        <v>0</v>
      </c>
      <c r="AV31" s="102">
        <f t="shared" si="18"/>
        <v>0</v>
      </c>
      <c r="AW31" s="102">
        <f t="shared" si="19"/>
        <v>0</v>
      </c>
      <c r="AX31" s="103">
        <f t="shared" si="20"/>
        <v>0</v>
      </c>
      <c r="AY31" s="104">
        <f t="shared" si="28"/>
        <v>-1</v>
      </c>
      <c r="AZ31" s="105">
        <f t="shared" si="21"/>
        <v>0</v>
      </c>
      <c r="BA31" s="106">
        <f t="shared" si="21"/>
        <v>0</v>
      </c>
      <c r="BB31" s="106">
        <f t="shared" si="21"/>
        <v>0</v>
      </c>
      <c r="BC31" s="106">
        <f t="shared" si="21"/>
        <v>0</v>
      </c>
      <c r="BD31" s="106">
        <f t="shared" si="21"/>
        <v>0</v>
      </c>
      <c r="BE31" s="107">
        <f t="shared" si="29"/>
        <v>7554575.8095515938</v>
      </c>
      <c r="BG31" s="108">
        <f>'Op Cost-24'!E24</f>
        <v>27269531</v>
      </c>
      <c r="BH31" s="109">
        <f t="shared" si="22"/>
        <v>0.27703358042907278</v>
      </c>
      <c r="BI31" s="110">
        <f t="shared" si="23"/>
        <v>7554575.8095515938</v>
      </c>
      <c r="BJ31" s="111">
        <f t="shared" si="24"/>
        <v>0</v>
      </c>
      <c r="BK31" s="1">
        <f t="shared" si="30"/>
        <v>1.5863887654453428</v>
      </c>
      <c r="BL31" s="112">
        <f t="shared" si="31"/>
        <v>1.2309152985653791</v>
      </c>
      <c r="BM31" s="112">
        <f t="shared" si="32"/>
        <v>1.9639804324914631</v>
      </c>
      <c r="BN31" s="113">
        <f t="shared" si="33"/>
        <v>1.5753296653622644</v>
      </c>
      <c r="BO31" s="114">
        <f t="shared" si="25"/>
        <v>7554575.8095515938</v>
      </c>
      <c r="BP31" s="115">
        <f t="shared" si="34"/>
        <v>9.4662112924168137E-2</v>
      </c>
      <c r="BQ31" s="116">
        <f t="shared" si="35"/>
        <v>9.4662112924168137E-2</v>
      </c>
      <c r="BR31" s="117">
        <f t="shared" si="36"/>
        <v>0.15945020728679649</v>
      </c>
      <c r="BS31" s="118">
        <f t="shared" si="37"/>
        <v>9559375.009179635</v>
      </c>
      <c r="BT31" s="119">
        <f t="shared" si="38"/>
        <v>8180859.2999999998</v>
      </c>
      <c r="BU31" s="119">
        <f t="shared" si="39"/>
        <v>8180859.2999999998</v>
      </c>
      <c r="BV31" s="119">
        <f t="shared" si="56"/>
        <v>1378515.7091796352</v>
      </c>
      <c r="BW31" s="120">
        <f t="shared" si="40"/>
        <v>0</v>
      </c>
      <c r="BX31" s="121">
        <f t="shared" si="41"/>
        <v>0</v>
      </c>
      <c r="BY31" s="122">
        <f t="shared" si="42"/>
        <v>8180859.2999999998</v>
      </c>
      <c r="BZ31" s="123">
        <f t="shared" si="58"/>
        <v>102859572627647</v>
      </c>
      <c r="CA31" s="111">
        <f t="shared" si="57"/>
        <v>102859580182223</v>
      </c>
      <c r="CC31" s="124">
        <f t="shared" si="26"/>
        <v>1</v>
      </c>
      <c r="CD31" s="17"/>
      <c r="CE31" s="108">
        <f t="shared" si="44"/>
        <v>27269531</v>
      </c>
      <c r="CF31" s="125">
        <f t="shared" si="45"/>
        <v>3771960.0011537788</v>
      </c>
      <c r="CG31" s="110">
        <f t="shared" si="46"/>
        <v>8180859.2999999998</v>
      </c>
      <c r="CH31" s="126">
        <f t="shared" si="47"/>
        <v>102859572001363.7</v>
      </c>
      <c r="CJ31" s="127">
        <f t="shared" si="48"/>
        <v>0</v>
      </c>
      <c r="CK31" s="128" t="e">
        <f t="shared" si="49"/>
        <v>#DIV/0!</v>
      </c>
      <c r="CL31" s="129" t="e">
        <f t="shared" si="50"/>
        <v>#DIV/0!</v>
      </c>
      <c r="CM31" s="130" t="e">
        <f t="shared" si="51"/>
        <v>#DIV/0!</v>
      </c>
      <c r="CO31" s="131" t="e">
        <f t="shared" si="52"/>
        <v>#DIV/0!</v>
      </c>
      <c r="CP31" s="1">
        <f t="shared" si="53"/>
        <v>0</v>
      </c>
      <c r="CQ31" s="132">
        <f t="shared" si="54"/>
        <v>0.3</v>
      </c>
      <c r="CS31" s="104">
        <f t="shared" si="55"/>
        <v>7.638425331933231E-2</v>
      </c>
    </row>
    <row r="32" spans="1:97">
      <c r="A32" s="133" t="s">
        <v>104</v>
      </c>
      <c r="B32" s="90" t="s">
        <v>108</v>
      </c>
      <c r="C32" s="208">
        <f>'Op Cost-24'!E25</f>
        <v>5346157</v>
      </c>
      <c r="D32" s="92">
        <f>'Ridership-24'!$E24</f>
        <v>471899</v>
      </c>
      <c r="E32" s="92">
        <f>'Revenue Hours-24'!$F24</f>
        <v>35046</v>
      </c>
      <c r="F32" s="92">
        <f>'Revenue Miles-24'!$F24</f>
        <v>434291</v>
      </c>
      <c r="G32" s="134">
        <f t="shared" si="0"/>
        <v>1.0460086639716528E-2</v>
      </c>
      <c r="H32" s="94">
        <f t="shared" si="1"/>
        <v>9.8750681841663964E-3</v>
      </c>
      <c r="J32" s="95">
        <f>'Ridership-24'!B24/'Revenue Hours-24'!C24</f>
        <v>18.030378842030022</v>
      </c>
      <c r="K32" s="96">
        <f>'Ridership-24'!C24/'Revenue Hours-24'!D24</f>
        <v>17.559390774078722</v>
      </c>
      <c r="L32" s="96">
        <f>'Ridership-24'!D24/'Revenue Hours-24'!E24</f>
        <v>9.5356184364060681</v>
      </c>
      <c r="M32" s="96">
        <f>'Ridership-24'!E24/'Revenue Hours-24'!F24</f>
        <v>13.465131541402728</v>
      </c>
      <c r="N32" s="97">
        <f t="shared" si="2"/>
        <v>1.0436502726700094</v>
      </c>
      <c r="O32" s="98">
        <f t="shared" si="3"/>
        <v>1.0306117603040194E-2</v>
      </c>
      <c r="P32" s="99">
        <f t="shared" si="4"/>
        <v>9.8891033080903672E-3</v>
      </c>
      <c r="Q32" s="95">
        <f>'Ridership-24'!B24/'Revenue Miles-24'!C24</f>
        <v>1.3764010967774205</v>
      </c>
      <c r="R32" s="96">
        <f>'Ridership-24'!C24/'Revenue Miles-24'!D24</f>
        <v>1.3807895890071515</v>
      </c>
      <c r="S32" s="96">
        <f>'Ridership-24'!D24/'Revenue Miles-24'!E24</f>
        <v>0.74451206457520036</v>
      </c>
      <c r="T32" s="96">
        <f>'Ridership-24'!E24/'Revenue Miles-24'!F24</f>
        <v>1.0865963144527517</v>
      </c>
      <c r="U32" s="97">
        <f t="shared" si="5"/>
        <v>1.0693702541727059</v>
      </c>
      <c r="V32" s="98">
        <f t="shared" si="6"/>
        <v>1.0560104174074821E-2</v>
      </c>
      <c r="W32" s="99">
        <f t="shared" si="7"/>
        <v>1.0168424188024853E-2</v>
      </c>
      <c r="X32" s="95">
        <f>'Op Cost-24'!B25/'Revenue Hours-24'!C24</f>
        <v>116.72551822730522</v>
      </c>
      <c r="Y32" s="96">
        <f>'Op Cost-24'!C25/'Revenue Hours-24'!D24</f>
        <v>115.9866367111137</v>
      </c>
      <c r="Z32" s="96">
        <f>'Op Cost-24'!D25/'Revenue Hours-24'!E24</f>
        <v>133.20037922987166</v>
      </c>
      <c r="AA32" s="96">
        <f>'Op Cost-24'!E25/'Revenue Hours-24'!F24</f>
        <v>152.54685270786965</v>
      </c>
      <c r="AB32" s="97">
        <f t="shared" si="8"/>
        <v>1.0194822652763735</v>
      </c>
      <c r="AC32" s="98">
        <f t="shared" si="9"/>
        <v>9.6863560264967875E-3</v>
      </c>
      <c r="AD32" s="99">
        <f t="shared" si="10"/>
        <v>9.7413111606248718E-3</v>
      </c>
      <c r="AE32" s="95">
        <f>'Op Cost-24'!B25/'Revenue Miles-24'!C24</f>
        <v>8.9105799005988615</v>
      </c>
      <c r="AF32" s="96">
        <f>'Op Cost-24'!C25/'Revenue Miles-24'!D24</f>
        <v>9.1206547251673182</v>
      </c>
      <c r="AG32" s="96">
        <f>'Op Cost-24'!D25/'Revenue Miles-24'!E24</f>
        <v>10.399880196968939</v>
      </c>
      <c r="AH32" s="96">
        <f>'Op Cost-24'!E25/'Revenue Miles-24'!F24</f>
        <v>12.310080107577638</v>
      </c>
      <c r="AI32" s="97">
        <f t="shared" si="11"/>
        <v>1.0469308779778348</v>
      </c>
      <c r="AJ32" s="98">
        <f t="shared" si="12"/>
        <v>9.4323974885909025E-3</v>
      </c>
      <c r="AK32" s="99">
        <f t="shared" si="13"/>
        <v>9.4428803811373637E-3</v>
      </c>
      <c r="AL32" s="95">
        <f>'Op Cost-24'!B25/'Ridership-24'!B24</f>
        <v>6.4738250510416462</v>
      </c>
      <c r="AM32" s="96">
        <f>'Op Cost-24'!C25/'Ridership-24'!C24</f>
        <v>6.6053907110680559</v>
      </c>
      <c r="AN32" s="96">
        <f>'Op Cost-24'!D25/'Ridership-24'!D24</f>
        <v>13.968719503427852</v>
      </c>
      <c r="AO32" s="96">
        <f>'Op Cost-24'!E25/'Ridership-24'!E24</f>
        <v>11.329028033541075</v>
      </c>
      <c r="AP32" s="100">
        <f t="shared" si="14"/>
        <v>0.97654005192677629</v>
      </c>
      <c r="AQ32" s="98">
        <f t="shared" si="15"/>
        <v>1.011230227032906E-2</v>
      </c>
      <c r="AR32" s="99">
        <f t="shared" si="16"/>
        <v>1.0708526673720631E-2</v>
      </c>
      <c r="AT32" s="101">
        <f t="shared" si="27"/>
        <v>0</v>
      </c>
      <c r="AU32" s="102">
        <f t="shared" si="17"/>
        <v>0</v>
      </c>
      <c r="AV32" s="102">
        <f t="shared" si="18"/>
        <v>0</v>
      </c>
      <c r="AW32" s="102">
        <f t="shared" si="19"/>
        <v>0</v>
      </c>
      <c r="AX32" s="103">
        <f t="shared" si="20"/>
        <v>0</v>
      </c>
      <c r="AY32" s="104">
        <f t="shared" si="28"/>
        <v>-1</v>
      </c>
      <c r="AZ32" s="105">
        <f t="shared" si="21"/>
        <v>0</v>
      </c>
      <c r="BA32" s="106">
        <f t="shared" si="21"/>
        <v>0</v>
      </c>
      <c r="BB32" s="106">
        <f t="shared" si="21"/>
        <v>0</v>
      </c>
      <c r="BC32" s="106">
        <f t="shared" si="21"/>
        <v>0</v>
      </c>
      <c r="BD32" s="106">
        <f t="shared" si="21"/>
        <v>0</v>
      </c>
      <c r="BE32" s="107">
        <f t="shared" si="29"/>
        <v>1250211.8708604451</v>
      </c>
      <c r="BG32" s="108">
        <f>'Op Cost-24'!E25</f>
        <v>5346157</v>
      </c>
      <c r="BH32" s="109">
        <f t="shared" si="22"/>
        <v>0.23385244220482959</v>
      </c>
      <c r="BI32" s="110">
        <f t="shared" si="23"/>
        <v>1250211.8708604451</v>
      </c>
      <c r="BJ32" s="111">
        <f t="shared" si="24"/>
        <v>0</v>
      </c>
      <c r="BK32" s="1">
        <f t="shared" si="30"/>
        <v>1.4364618106420306</v>
      </c>
      <c r="BL32" s="112">
        <f t="shared" si="31"/>
        <v>1.5038785962113994</v>
      </c>
      <c r="BM32" s="112">
        <f t="shared" si="32"/>
        <v>1.7530939335166849</v>
      </c>
      <c r="BN32" s="113">
        <f t="shared" si="33"/>
        <v>1.2444373564200191</v>
      </c>
      <c r="BO32" s="114">
        <f t="shared" si="25"/>
        <v>1250211.8708604451</v>
      </c>
      <c r="BP32" s="115">
        <f t="shared" si="34"/>
        <v>1.418515832404117E-2</v>
      </c>
      <c r="BQ32" s="116">
        <f t="shared" si="35"/>
        <v>1.418515832404117E-2</v>
      </c>
      <c r="BR32" s="117">
        <f t="shared" si="36"/>
        <v>2.3893682121550509E-2</v>
      </c>
      <c r="BS32" s="118">
        <f t="shared" si="37"/>
        <v>1550631.8929385091</v>
      </c>
      <c r="BT32" s="119">
        <f t="shared" si="38"/>
        <v>1603847.0999999999</v>
      </c>
      <c r="BU32" s="119">
        <f t="shared" si="39"/>
        <v>1550631.8929385091</v>
      </c>
      <c r="BV32" s="119">
        <f t="shared" si="56"/>
        <v>0</v>
      </c>
      <c r="BW32" s="120">
        <f t="shared" si="40"/>
        <v>1.418515832404117E-2</v>
      </c>
      <c r="BX32" s="121">
        <f t="shared" si="41"/>
        <v>3.1516397292214601E-2</v>
      </c>
      <c r="BY32" s="122">
        <f t="shared" si="42"/>
        <v>1620860.7332366221</v>
      </c>
      <c r="BZ32" s="123">
        <f t="shared" si="58"/>
        <v>20379404680588.199</v>
      </c>
      <c r="CA32" s="111">
        <f t="shared" si="57"/>
        <v>20379405930800</v>
      </c>
      <c r="CC32" s="124">
        <f t="shared" si="26"/>
        <v>1</v>
      </c>
      <c r="CD32" s="17"/>
      <c r="CE32" s="108">
        <f t="shared" si="44"/>
        <v>5346157</v>
      </c>
      <c r="CF32" s="125">
        <f t="shared" si="45"/>
        <v>3811972.9612878934</v>
      </c>
      <c r="CG32" s="110">
        <f t="shared" si="46"/>
        <v>1603847.0999999999</v>
      </c>
      <c r="CH32" s="126">
        <f t="shared" si="47"/>
        <v>20379404326952.898</v>
      </c>
      <c r="CJ32" s="127">
        <f t="shared" si="48"/>
        <v>0</v>
      </c>
      <c r="CK32" s="128" t="e">
        <f t="shared" si="49"/>
        <v>#DIV/0!</v>
      </c>
      <c r="CL32" s="129" t="e">
        <f t="shared" si="50"/>
        <v>#DIV/0!</v>
      </c>
      <c r="CM32" s="130" t="e">
        <f t="shared" si="51"/>
        <v>#DIV/0!</v>
      </c>
      <c r="CO32" s="131" t="e">
        <f t="shared" si="52"/>
        <v>#DIV/0!</v>
      </c>
      <c r="CP32" s="1">
        <f t="shared" si="53"/>
        <v>1</v>
      </c>
      <c r="CQ32" s="132">
        <f t="shared" si="54"/>
        <v>0.30318240433953253</v>
      </c>
      <c r="CS32" s="104">
        <f t="shared" si="55"/>
        <v>1.1446213203231411E-2</v>
      </c>
    </row>
    <row r="33" spans="1:97">
      <c r="A33" s="133" t="s">
        <v>104</v>
      </c>
      <c r="B33" s="90" t="s">
        <v>109</v>
      </c>
      <c r="C33" s="208">
        <f>'Op Cost-24'!E26</f>
        <v>103826125</v>
      </c>
      <c r="D33" s="92">
        <f>'Ridership-24'!$E25</f>
        <v>5191499</v>
      </c>
      <c r="E33" s="92">
        <f>'Revenue Hours-24'!$F25</f>
        <v>842949</v>
      </c>
      <c r="F33" s="92">
        <f>'Revenue Miles-24'!$F25</f>
        <v>10941805</v>
      </c>
      <c r="G33" s="134">
        <f t="shared" si="0"/>
        <v>0.17895909018040188</v>
      </c>
      <c r="H33" s="94">
        <f t="shared" si="1"/>
        <v>0.16895015104346633</v>
      </c>
      <c r="J33" s="95">
        <f>'Ridership-24'!B25/'Revenue Hours-24'!C25</f>
        <v>11.061264869468026</v>
      </c>
      <c r="K33" s="96">
        <f>'Ridership-24'!C25/'Revenue Hours-24'!D25</f>
        <v>10.935817531005453</v>
      </c>
      <c r="L33" s="96">
        <f>'Ridership-24'!D25/'Revenue Hours-24'!E25</f>
        <v>5.8735316212753474</v>
      </c>
      <c r="M33" s="96">
        <f>'Ridership-24'!E25/'Revenue Hours-24'!F25</f>
        <v>6.1587343955565519</v>
      </c>
      <c r="N33" s="97">
        <f t="shared" si="2"/>
        <v>0.95068239501028584</v>
      </c>
      <c r="O33" s="98">
        <f t="shared" si="3"/>
        <v>0.16061793423135212</v>
      </c>
      <c r="P33" s="99">
        <f t="shared" si="4"/>
        <v>0.1541188841351232</v>
      </c>
      <c r="Q33" s="95">
        <f>'Ridership-24'!B25/'Revenue Miles-24'!C25</f>
        <v>0.83785839609808965</v>
      </c>
      <c r="R33" s="96">
        <f>'Ridership-24'!C25/'Revenue Miles-24'!D25</f>
        <v>0.82322383518472986</v>
      </c>
      <c r="S33" s="96">
        <f>'Ridership-24'!D25/'Revenue Miles-24'!E25</f>
        <v>0.454872375587629</v>
      </c>
      <c r="T33" s="96">
        <f>'Ridership-24'!E25/'Revenue Miles-24'!F25</f>
        <v>0.47446458788106716</v>
      </c>
      <c r="U33" s="97">
        <f t="shared" si="5"/>
        <v>0.96058791074745009</v>
      </c>
      <c r="V33" s="98">
        <f t="shared" si="6"/>
        <v>0.16229147261130944</v>
      </c>
      <c r="W33" s="99">
        <f t="shared" si="7"/>
        <v>0.15627199395081642</v>
      </c>
      <c r="X33" s="95">
        <f>'Op Cost-24'!B26/'Revenue Hours-24'!C25</f>
        <v>114.34052079729622</v>
      </c>
      <c r="Y33" s="96">
        <f>'Op Cost-24'!C26/'Revenue Hours-24'!D25</f>
        <v>111.12397982480542</v>
      </c>
      <c r="Z33" s="96">
        <f>'Op Cost-24'!D26/'Revenue Hours-24'!E25</f>
        <v>123.96447205256577</v>
      </c>
      <c r="AA33" s="96">
        <f>'Op Cost-24'!E26/'Revenue Hours-24'!F25</f>
        <v>123.17011468072208</v>
      </c>
      <c r="AB33" s="97">
        <f t="shared" si="8"/>
        <v>0.95293795539383053</v>
      </c>
      <c r="AC33" s="98">
        <f t="shared" si="9"/>
        <v>0.17729396765778163</v>
      </c>
      <c r="AD33" s="99">
        <f t="shared" si="10"/>
        <v>0.17829983753764989</v>
      </c>
      <c r="AE33" s="95">
        <f>'Op Cost-24'!B26/'Revenue Miles-24'!C25</f>
        <v>8.6609593473056652</v>
      </c>
      <c r="AF33" s="96">
        <f>'Op Cost-24'!C26/'Revenue Miles-24'!D25</f>
        <v>8.3651641583266318</v>
      </c>
      <c r="AG33" s="96">
        <f>'Op Cost-24'!D26/'Revenue Miles-24'!E25</f>
        <v>9.6003592943580749</v>
      </c>
      <c r="AH33" s="96">
        <f>'Op Cost-24'!E26/'Revenue Miles-24'!F25</f>
        <v>9.4889394391510358</v>
      </c>
      <c r="AI33" s="97">
        <f t="shared" si="11"/>
        <v>0.96337874086375253</v>
      </c>
      <c r="AJ33" s="98">
        <f t="shared" si="12"/>
        <v>0.17537251329833983</v>
      </c>
      <c r="AK33" s="99">
        <f t="shared" si="13"/>
        <v>0.17556741721483965</v>
      </c>
      <c r="AL33" s="95">
        <f>'Op Cost-24'!B26/'Ridership-24'!B25</f>
        <v>10.337020417339961</v>
      </c>
      <c r="AM33" s="96">
        <f>'Op Cost-24'!C26/'Ridership-24'!C25</f>
        <v>10.161469822420175</v>
      </c>
      <c r="AN33" s="96">
        <f>'Op Cost-24'!D26/'Ridership-24'!D25</f>
        <v>21.10561073742015</v>
      </c>
      <c r="AO33" s="96">
        <f>'Op Cost-24'!E26/'Ridership-24'!E25</f>
        <v>19.999257439903197</v>
      </c>
      <c r="AP33" s="97">
        <f t="shared" si="14"/>
        <v>1.0176178200882871</v>
      </c>
      <c r="AQ33" s="98">
        <f t="shared" si="15"/>
        <v>0.16602514982374078</v>
      </c>
      <c r="AR33" s="99">
        <f t="shared" si="16"/>
        <v>0.17581404292201194</v>
      </c>
      <c r="AT33" s="101">
        <f t="shared" si="27"/>
        <v>0</v>
      </c>
      <c r="AU33" s="102">
        <f t="shared" si="17"/>
        <v>0</v>
      </c>
      <c r="AV33" s="102">
        <f t="shared" si="18"/>
        <v>0</v>
      </c>
      <c r="AW33" s="102">
        <f t="shared" si="19"/>
        <v>0</v>
      </c>
      <c r="AX33" s="103">
        <f t="shared" si="20"/>
        <v>0</v>
      </c>
      <c r="AY33" s="104">
        <f t="shared" si="28"/>
        <v>-1</v>
      </c>
      <c r="AZ33" s="105">
        <f t="shared" si="21"/>
        <v>0</v>
      </c>
      <c r="BA33" s="106">
        <f t="shared" si="21"/>
        <v>0</v>
      </c>
      <c r="BB33" s="106">
        <f t="shared" si="21"/>
        <v>0</v>
      </c>
      <c r="BC33" s="106">
        <f t="shared" si="21"/>
        <v>0</v>
      </c>
      <c r="BD33" s="106">
        <f t="shared" si="21"/>
        <v>0</v>
      </c>
      <c r="BE33" s="107">
        <f t="shared" si="29"/>
        <v>21389572.25195476</v>
      </c>
      <c r="BG33" s="108">
        <f>'Op Cost-24'!E26</f>
        <v>103826125</v>
      </c>
      <c r="BH33" s="109">
        <f t="shared" si="22"/>
        <v>0.20601339260185969</v>
      </c>
      <c r="BI33" s="110">
        <f t="shared" si="23"/>
        <v>21389572.25195476</v>
      </c>
      <c r="BJ33" s="111">
        <f t="shared" si="24"/>
        <v>0</v>
      </c>
      <c r="BK33" s="1">
        <f t="shared" si="30"/>
        <v>0.71580524086916419</v>
      </c>
      <c r="BL33" s="112">
        <f t="shared" si="31"/>
        <v>0.68784985937564647</v>
      </c>
      <c r="BM33" s="112">
        <f t="shared" si="32"/>
        <v>0.76549218842299049</v>
      </c>
      <c r="BN33" s="113">
        <f t="shared" si="33"/>
        <v>0.70493945783900991</v>
      </c>
      <c r="BO33" s="114">
        <f t="shared" si="25"/>
        <v>21389572.25195476</v>
      </c>
      <c r="BP33" s="115">
        <f t="shared" si="34"/>
        <v>0.12093540356255009</v>
      </c>
      <c r="BQ33" s="116">
        <f t="shared" si="35"/>
        <v>0.12093540356255009</v>
      </c>
      <c r="BR33" s="117">
        <f t="shared" si="36"/>
        <v>0.20370531113972021</v>
      </c>
      <c r="BS33" s="118">
        <f t="shared" si="37"/>
        <v>23950799.682649415</v>
      </c>
      <c r="BT33" s="119">
        <f t="shared" si="38"/>
        <v>31147837.5</v>
      </c>
      <c r="BU33" s="119">
        <f t="shared" si="39"/>
        <v>23950799.682649415</v>
      </c>
      <c r="BV33" s="119">
        <f t="shared" si="56"/>
        <v>0</v>
      </c>
      <c r="BW33" s="120">
        <f t="shared" si="40"/>
        <v>0.12093540356255009</v>
      </c>
      <c r="BX33" s="121">
        <f t="shared" si="41"/>
        <v>0.26869268134370744</v>
      </c>
      <c r="BY33" s="122">
        <f t="shared" si="42"/>
        <v>24549534.850010071</v>
      </c>
      <c r="BZ33" s="123">
        <f t="shared" si="58"/>
        <v>308666189000410.06</v>
      </c>
      <c r="CA33" s="111">
        <f>ROUND((BZ33+BI33),0)</f>
        <v>308666210389982</v>
      </c>
      <c r="CC33" s="124">
        <f t="shared" si="26"/>
        <v>1</v>
      </c>
      <c r="CD33" s="17"/>
      <c r="CE33" s="108">
        <f t="shared" si="44"/>
        <v>103826125</v>
      </c>
      <c r="CF33" s="125">
        <f t="shared" si="45"/>
        <v>2972914.6723908074</v>
      </c>
      <c r="CG33" s="110">
        <f t="shared" si="46"/>
        <v>31147837.5</v>
      </c>
      <c r="CH33" s="126">
        <f t="shared" si="47"/>
        <v>308666179242144.5</v>
      </c>
      <c r="CJ33" s="127">
        <f t="shared" si="48"/>
        <v>0</v>
      </c>
      <c r="CK33" s="128" t="e">
        <f t="shared" si="49"/>
        <v>#DIV/0!</v>
      </c>
      <c r="CL33" s="129" t="e">
        <f t="shared" si="50"/>
        <v>#DIV/0!</v>
      </c>
      <c r="CM33" s="130" t="e">
        <f t="shared" si="51"/>
        <v>#DIV/0!</v>
      </c>
      <c r="CO33" s="131" t="e">
        <f t="shared" si="52"/>
        <v>#DIV/0!</v>
      </c>
      <c r="CP33" s="1">
        <f t="shared" si="53"/>
        <v>0</v>
      </c>
      <c r="CQ33" s="132">
        <f t="shared" si="54"/>
        <v>0.23644853210124206</v>
      </c>
      <c r="CS33" s="104">
        <f t="shared" si="55"/>
        <v>9.758455854875675E-2</v>
      </c>
    </row>
    <row r="34" spans="1:97">
      <c r="A34" s="133" t="s">
        <v>104</v>
      </c>
      <c r="B34" s="90" t="s">
        <v>110</v>
      </c>
      <c r="C34" s="208">
        <f>'Op Cost-24'!E27</f>
        <v>82086963</v>
      </c>
      <c r="D34" s="92">
        <f>'Ridership-24'!$E26</f>
        <v>821936</v>
      </c>
      <c r="E34" s="92">
        <f>'Revenue Hours-24'!$F26</f>
        <v>71732</v>
      </c>
      <c r="F34" s="92">
        <f>'Revenue Miles-24'!$F26</f>
        <v>2197853</v>
      </c>
      <c r="G34" s="163">
        <f>$C$4</f>
        <v>5.592864339467718E-2</v>
      </c>
      <c r="H34" s="164">
        <f>$C$4</f>
        <v>5.592864339467718E-2</v>
      </c>
      <c r="J34" s="95">
        <f>'Ridership-24'!B26/'Revenue Hours-24'!C26</f>
        <v>59.097809306301592</v>
      </c>
      <c r="K34" s="96">
        <f>'Ridership-24'!C26/'Revenue Hours-24'!D26</f>
        <v>55.342163410837145</v>
      </c>
      <c r="L34" s="96">
        <f>'Ridership-24'!D26/'Revenue Hours-24'!E26</f>
        <v>6.8452722063037248</v>
      </c>
      <c r="M34" s="96">
        <f>'Ridership-24'!E26/'Revenue Hours-24'!F26</f>
        <v>11.458428595327051</v>
      </c>
      <c r="N34" s="97">
        <f t="shared" si="2"/>
        <v>0.8267628961688408</v>
      </c>
      <c r="O34" s="98">
        <f t="shared" si="3"/>
        <v>4.6239727191777616E-2</v>
      </c>
      <c r="P34" s="99">
        <f t="shared" si="4"/>
        <v>4.4368738719080265E-2</v>
      </c>
      <c r="Q34" s="95">
        <f>'Ridership-24'!B26/'Revenue Miles-24'!C26</f>
        <v>1.9169269798702158</v>
      </c>
      <c r="R34" s="96">
        <f>'Ridership-24'!C26/'Revenue Miles-24'!D26</f>
        <v>1.7949837852981274</v>
      </c>
      <c r="S34" s="96">
        <f>'Ridership-24'!D26/'Revenue Miles-24'!E26</f>
        <v>0.21891420471730516</v>
      </c>
      <c r="T34" s="96">
        <f>'Ridership-24'!E26/'Revenue Miles-24'!F26</f>
        <v>0.3739722356317734</v>
      </c>
      <c r="U34" s="97">
        <f t="shared" si="5"/>
        <v>0.84609812474829893</v>
      </c>
      <c r="V34" s="98">
        <f t="shared" si="6"/>
        <v>4.7321120295952694E-2</v>
      </c>
      <c r="W34" s="99">
        <f t="shared" si="7"/>
        <v>4.5565954302146439E-2</v>
      </c>
      <c r="X34" s="95">
        <f>'Op Cost-24'!B27/'Revenue Hours-24'!C26</f>
        <v>1005.9172333720352</v>
      </c>
      <c r="Y34" s="96">
        <f>'Op Cost-24'!C27/'Revenue Hours-24'!D26</f>
        <v>972.50946617787372</v>
      </c>
      <c r="Z34" s="96">
        <f>'Op Cost-24'!D27/'Revenue Hours-24'!E26</f>
        <v>1634.8335704410204</v>
      </c>
      <c r="AA34" s="96">
        <f>'Op Cost-24'!E27/'Revenue Hours-24'!F26</f>
        <v>1144.3562566218702</v>
      </c>
      <c r="AB34" s="97">
        <f t="shared" si="8"/>
        <v>1.0080005539781249</v>
      </c>
      <c r="AC34" s="98">
        <f t="shared" si="9"/>
        <v>5.5484734779114926E-2</v>
      </c>
      <c r="AD34" s="99">
        <f t="shared" si="10"/>
        <v>5.5799525091747099E-2</v>
      </c>
      <c r="AE34" s="95">
        <f>'Op Cost-24'!B27/'Revenue Miles-24'!C26</f>
        <v>32.628449460336377</v>
      </c>
      <c r="AF34" s="96">
        <f>'Op Cost-24'!C27/'Revenue Miles-24'!D26</f>
        <v>31.54265419440377</v>
      </c>
      <c r="AG34" s="96">
        <f>'Op Cost-24'!D27/'Revenue Miles-24'!E26</f>
        <v>52.282550661560784</v>
      </c>
      <c r="AH34" s="96">
        <f>'Op Cost-24'!E27/'Revenue Miles-24'!F26</f>
        <v>37.348704849687401</v>
      </c>
      <c r="AI34" s="97">
        <f t="shared" si="11"/>
        <v>1.0074292279502493</v>
      </c>
      <c r="AJ34" s="98">
        <f t="shared" si="12"/>
        <v>5.5516200883382702E-2</v>
      </c>
      <c r="AK34" s="99">
        <f t="shared" si="13"/>
        <v>5.5577899976232872E-2</v>
      </c>
      <c r="AL34" s="95">
        <f>'Op Cost-24'!B27/'Ridership-24'!B26</f>
        <v>17.021227100964204</v>
      </c>
      <c r="AM34" s="96">
        <f>'Op Cost-24'!C27/'Ridership-24'!C26</f>
        <v>17.572668038984474</v>
      </c>
      <c r="AN34" s="96">
        <f>'Op Cost-24'!D27/'Ridership-24'!D26</f>
        <v>238.82667060858773</v>
      </c>
      <c r="AO34" s="96">
        <f>'Op Cost-24'!E27/'Ridership-24'!E26</f>
        <v>99.870261188219033</v>
      </c>
      <c r="AP34" s="97">
        <f t="shared" si="14"/>
        <v>2.4216650482883781</v>
      </c>
      <c r="AQ34" s="98">
        <f t="shared" si="15"/>
        <v>2.3095119382512165E-2</v>
      </c>
      <c r="AR34" s="99">
        <f t="shared" si="16"/>
        <v>2.4456814613428888E-2</v>
      </c>
      <c r="AT34" s="101">
        <f t="shared" si="27"/>
        <v>0</v>
      </c>
      <c r="AU34" s="102">
        <f t="shared" si="17"/>
        <v>0</v>
      </c>
      <c r="AV34" s="102">
        <f t="shared" si="18"/>
        <v>0</v>
      </c>
      <c r="AW34" s="102">
        <f t="shared" si="19"/>
        <v>0</v>
      </c>
      <c r="AX34" s="103">
        <f t="shared" si="20"/>
        <v>0</v>
      </c>
      <c r="AY34" s="104">
        <f t="shared" si="28"/>
        <v>-1</v>
      </c>
      <c r="AZ34" s="105">
        <f t="shared" si="21"/>
        <v>0</v>
      </c>
      <c r="BA34" s="106">
        <f t="shared" si="21"/>
        <v>0</v>
      </c>
      <c r="BB34" s="106">
        <f t="shared" si="21"/>
        <v>0</v>
      </c>
      <c r="BC34" s="106">
        <f t="shared" si="21"/>
        <v>0</v>
      </c>
      <c r="BD34" s="106">
        <f t="shared" si="21"/>
        <v>0</v>
      </c>
      <c r="BE34" s="107">
        <f t="shared" si="29"/>
        <v>7080726.1873147823</v>
      </c>
      <c r="BG34" s="108">
        <f>'Op Cost-24'!E27</f>
        <v>82086963</v>
      </c>
      <c r="BH34" s="109">
        <f t="shared" si="22"/>
        <v>8.6258839754064023E-2</v>
      </c>
      <c r="BI34" s="110">
        <f t="shared" si="23"/>
        <v>7080726.1873147823</v>
      </c>
      <c r="BJ34" s="111">
        <f t="shared" si="24"/>
        <v>0</v>
      </c>
      <c r="BK34" s="1">
        <f t="shared" si="30"/>
        <v>0.54136188292613063</v>
      </c>
      <c r="BL34" s="112">
        <f t="shared" si="31"/>
        <v>1.2797561953066412</v>
      </c>
      <c r="BM34" s="112">
        <f t="shared" si="32"/>
        <v>0.60335972878752286</v>
      </c>
      <c r="BN34" s="113">
        <f t="shared" si="33"/>
        <v>0.14116580380517932</v>
      </c>
      <c r="BO34" s="114">
        <f t="shared" si="25"/>
        <v>7080726.1873147823</v>
      </c>
      <c r="BP34" s="115">
        <f t="shared" si="34"/>
        <v>3.0277635697646538E-2</v>
      </c>
      <c r="BQ34" s="116">
        <f t="shared" si="35"/>
        <v>3.0277635697646538E-2</v>
      </c>
      <c r="BR34" s="117">
        <f t="shared" si="36"/>
        <v>5.1000079535635137E-2</v>
      </c>
      <c r="BS34" s="118">
        <f t="shared" si="37"/>
        <v>7721960.3404325899</v>
      </c>
      <c r="BT34" s="119">
        <f t="shared" si="38"/>
        <v>24626088.899999999</v>
      </c>
      <c r="BU34" s="119">
        <f t="shared" si="39"/>
        <v>7721960.3404325899</v>
      </c>
      <c r="BV34" s="119">
        <f t="shared" si="56"/>
        <v>0</v>
      </c>
      <c r="BW34" s="120">
        <f t="shared" si="40"/>
        <v>3.0277635697646538E-2</v>
      </c>
      <c r="BX34" s="121">
        <f t="shared" si="41"/>
        <v>6.727045084147612E-2</v>
      </c>
      <c r="BY34" s="122">
        <f t="shared" si="42"/>
        <v>7871860.9050537599</v>
      </c>
      <c r="BZ34" s="123">
        <f t="shared" si="58"/>
        <v>98974474292463.672</v>
      </c>
      <c r="CA34" s="111">
        <f>ROUND((BZ34+BI34),0)</f>
        <v>98974481373190</v>
      </c>
      <c r="CC34" s="124">
        <f t="shared" si="26"/>
        <v>1</v>
      </c>
      <c r="CD34" s="17"/>
      <c r="CE34" s="108">
        <f t="shared" si="44"/>
        <v>82086963</v>
      </c>
      <c r="CF34" s="125">
        <f t="shared" si="45"/>
        <v>1205727.1673358167</v>
      </c>
      <c r="CG34" s="110">
        <f t="shared" si="46"/>
        <v>24626088.899999999</v>
      </c>
      <c r="CH34" s="126">
        <f t="shared" si="47"/>
        <v>98974456747101.094</v>
      </c>
      <c r="CJ34" s="127">
        <f t="shared" si="48"/>
        <v>0</v>
      </c>
      <c r="CK34" s="128" t="e">
        <f t="shared" si="49"/>
        <v>#DIV/0!</v>
      </c>
      <c r="CL34" s="129" t="e">
        <f t="shared" si="50"/>
        <v>#DIV/0!</v>
      </c>
      <c r="CM34" s="130" t="e">
        <f t="shared" si="51"/>
        <v>#DIV/0!</v>
      </c>
      <c r="CO34" s="131" t="e">
        <f t="shared" si="52"/>
        <v>#DIV/0!</v>
      </c>
      <c r="CP34" s="1">
        <f t="shared" si="53"/>
        <v>0</v>
      </c>
      <c r="CQ34" s="132">
        <f t="shared" si="54"/>
        <v>9.5896603033709019E-2</v>
      </c>
      <c r="CS34" s="104">
        <f t="shared" si="55"/>
        <v>2.4431470242927876E-2</v>
      </c>
    </row>
    <row r="35" spans="1:97">
      <c r="A35" s="133" t="s">
        <v>104</v>
      </c>
      <c r="B35" s="90" t="s">
        <v>111</v>
      </c>
      <c r="C35" s="208">
        <f>'Op Cost-24'!E28</f>
        <v>39737337</v>
      </c>
      <c r="D35" s="92">
        <f>'Ridership-24'!$E27</f>
        <v>1220283</v>
      </c>
      <c r="E35" s="92">
        <f>'Revenue Hours-24'!$F27</f>
        <v>217350</v>
      </c>
      <c r="F35" s="92">
        <f>'Revenue Miles-24'!$F27</f>
        <v>5217740</v>
      </c>
      <c r="G35" s="134">
        <f t="shared" ref="G35:G50" si="59">IFERROR($C$9*(C35/C$51),0) + IFERROR($D$9*(D35/D$51),0) + IFERROR($E$9*(E35/E$51),0) + IFERROR($F$9*(F35/F$51),0)</f>
        <v>6.0443128956391687E-2</v>
      </c>
      <c r="H35" s="94">
        <f t="shared" ref="H35:H50" si="60">G35/(SUM($G$11:$G$50)-$G$34)*(1-$G$34)</f>
        <v>5.7062626751331176E-2</v>
      </c>
      <c r="J35" s="95">
        <f>'Ridership-24'!B27/'Revenue Hours-24'!C27</f>
        <v>10.344199378821216</v>
      </c>
      <c r="K35" s="96">
        <f>'Ridership-24'!C27/'Revenue Hours-24'!D27</f>
        <v>10.619348493496171</v>
      </c>
      <c r="L35" s="96">
        <f>'Ridership-24'!D27/'Revenue Hours-24'!E27</f>
        <v>3.1822121529637459</v>
      </c>
      <c r="M35" s="96">
        <f>'Ridership-24'!E27/'Revenue Hours-24'!F27</f>
        <v>5.6143685300207036</v>
      </c>
      <c r="N35" s="97">
        <f t="shared" si="2"/>
        <v>0.99449719814170712</v>
      </c>
      <c r="O35" s="98">
        <f t="shared" si="3"/>
        <v>5.674862242280488E-2</v>
      </c>
      <c r="P35" s="99">
        <f t="shared" si="4"/>
        <v>5.4452414706133864E-2</v>
      </c>
      <c r="Q35" s="95">
        <f>'Ridership-24'!B27/'Revenue Miles-24'!C27</f>
        <v>0.49586520195533368</v>
      </c>
      <c r="R35" s="96">
        <f>'Ridership-24'!C27/'Revenue Miles-24'!D27</f>
        <v>0.5403360203480656</v>
      </c>
      <c r="S35" s="96">
        <f>'Ridership-24'!D27/'Revenue Miles-24'!E27</f>
        <v>0.14309026388335411</v>
      </c>
      <c r="T35" s="96">
        <f>'Ridership-24'!E27/'Revenue Miles-24'!F27</f>
        <v>0.23387194455837201</v>
      </c>
      <c r="U35" s="97">
        <f t="shared" si="5"/>
        <v>0.96947249754369602</v>
      </c>
      <c r="V35" s="98">
        <f t="shared" si="6"/>
        <v>5.5320647273016756E-2</v>
      </c>
      <c r="W35" s="99">
        <f t="shared" si="7"/>
        <v>5.3268774488904873E-2</v>
      </c>
      <c r="X35" s="95">
        <f>'Op Cost-24'!B28/'Revenue Hours-24'!C27</f>
        <v>132.85237039556537</v>
      </c>
      <c r="Y35" s="96">
        <f>'Op Cost-24'!C28/'Revenue Hours-24'!D27</f>
        <v>147.42823097382487</v>
      </c>
      <c r="Z35" s="96">
        <f>'Op Cost-24'!D28/'Revenue Hours-24'!E27</f>
        <v>162.67460550900779</v>
      </c>
      <c r="AA35" s="96">
        <f>'Op Cost-24'!E28/'Revenue Hours-24'!F27</f>
        <v>182.82648723257418</v>
      </c>
      <c r="AB35" s="97">
        <f t="shared" si="8"/>
        <v>1.0380499392550568</v>
      </c>
      <c r="AC35" s="98">
        <f t="shared" si="9"/>
        <v>5.4970984143866364E-2</v>
      </c>
      <c r="AD35" s="99">
        <f t="shared" si="10"/>
        <v>5.5282859713844924E-2</v>
      </c>
      <c r="AE35" s="95">
        <f>'Op Cost-24'!B28/'Revenue Miles-24'!C27</f>
        <v>6.3684839264910691</v>
      </c>
      <c r="AF35" s="96">
        <f>'Op Cost-24'!C28/'Revenue Miles-24'!D27</f>
        <v>7.5014755999523217</v>
      </c>
      <c r="AG35" s="96">
        <f>'Op Cost-24'!D28/'Revenue Miles-24'!E27</f>
        <v>7.31477070368339</v>
      </c>
      <c r="AH35" s="96">
        <f>'Op Cost-24'!E28/'Revenue Miles-24'!F27</f>
        <v>7.6158139347686928</v>
      </c>
      <c r="AI35" s="97">
        <f t="shared" si="11"/>
        <v>1.00473780092762</v>
      </c>
      <c r="AJ35" s="98">
        <f t="shared" si="12"/>
        <v>5.6793550216432925E-2</v>
      </c>
      <c r="AK35" s="99">
        <f t="shared" si="13"/>
        <v>5.685666891822333E-2</v>
      </c>
      <c r="AL35" s="95">
        <f>'Op Cost-24'!B28/'Ridership-24'!B27</f>
        <v>12.843175728763333</v>
      </c>
      <c r="AM35" s="96">
        <f>'Op Cost-24'!C28/'Ridership-24'!C27</f>
        <v>13.882982657939651</v>
      </c>
      <c r="AN35" s="96">
        <f>'Op Cost-24'!D28/'Ridership-24'!D27</f>
        <v>51.119974938660576</v>
      </c>
      <c r="AO35" s="96">
        <f>'Op Cost-24'!E28/'Ridership-24'!E27</f>
        <v>32.564033916722593</v>
      </c>
      <c r="AP35" s="97">
        <f t="shared" si="14"/>
        <v>1.141557882420283</v>
      </c>
      <c r="AQ35" s="98">
        <f t="shared" si="15"/>
        <v>4.9986625847083105E-2</v>
      </c>
      <c r="AR35" s="99">
        <f t="shared" si="16"/>
        <v>5.2933852440643483E-2</v>
      </c>
      <c r="AT35" s="101">
        <f t="shared" si="27"/>
        <v>0</v>
      </c>
      <c r="AU35" s="102">
        <f t="shared" si="17"/>
        <v>0</v>
      </c>
      <c r="AV35" s="102">
        <f t="shared" si="18"/>
        <v>0</v>
      </c>
      <c r="AW35" s="102">
        <f t="shared" si="19"/>
        <v>0</v>
      </c>
      <c r="AX35" s="103">
        <f t="shared" si="20"/>
        <v>0</v>
      </c>
      <c r="AY35" s="104">
        <f t="shared" si="28"/>
        <v>-1</v>
      </c>
      <c r="AZ35" s="105">
        <f t="shared" si="21"/>
        <v>0</v>
      </c>
      <c r="BA35" s="106">
        <f t="shared" si="21"/>
        <v>0</v>
      </c>
      <c r="BB35" s="106">
        <f t="shared" si="21"/>
        <v>0</v>
      </c>
      <c r="BC35" s="106">
        <f t="shared" si="21"/>
        <v>0</v>
      </c>
      <c r="BD35" s="106">
        <f t="shared" si="21"/>
        <v>0</v>
      </c>
      <c r="BE35" s="107">
        <f t="shared" si="29"/>
        <v>7224291.7230059849</v>
      </c>
      <c r="BG35" s="108">
        <f>'Op Cost-24'!E28</f>
        <v>39737337</v>
      </c>
      <c r="BH35" s="109">
        <f t="shared" si="22"/>
        <v>0.18180110365739871</v>
      </c>
      <c r="BI35" s="110">
        <f t="shared" si="23"/>
        <v>7224291.7230059849</v>
      </c>
      <c r="BJ35" s="111">
        <f t="shared" si="24"/>
        <v>0</v>
      </c>
      <c r="BK35" s="1">
        <f t="shared" si="30"/>
        <v>0.4675638656934501</v>
      </c>
      <c r="BL35" s="112">
        <f t="shared" si="31"/>
        <v>0.62705133162489779</v>
      </c>
      <c r="BM35" s="112">
        <f t="shared" si="32"/>
        <v>0.37732457010175174</v>
      </c>
      <c r="BN35" s="113">
        <f t="shared" si="33"/>
        <v>0.4329397805235754</v>
      </c>
      <c r="BO35" s="114">
        <f t="shared" si="25"/>
        <v>7224291.7230059849</v>
      </c>
      <c r="BP35" s="115">
        <f t="shared" si="34"/>
        <v>2.6680422350474884E-2</v>
      </c>
      <c r="BQ35" s="116">
        <f t="shared" si="35"/>
        <v>2.6680422350474884E-2</v>
      </c>
      <c r="BR35" s="117">
        <f t="shared" si="36"/>
        <v>4.4940882290367315E-2</v>
      </c>
      <c r="BS35" s="118">
        <f t="shared" si="37"/>
        <v>7789342.3828916242</v>
      </c>
      <c r="BT35" s="119">
        <f t="shared" si="38"/>
        <v>11921201.1</v>
      </c>
      <c r="BU35" s="119">
        <f t="shared" si="39"/>
        <v>7789342.3828916242</v>
      </c>
      <c r="BV35" s="119">
        <f t="shared" si="56"/>
        <v>0</v>
      </c>
      <c r="BW35" s="120">
        <f t="shared" si="40"/>
        <v>2.6680422350474884E-2</v>
      </c>
      <c r="BX35" s="121">
        <f t="shared" si="41"/>
        <v>5.9278209767777562E-2</v>
      </c>
      <c r="BY35" s="122">
        <f t="shared" si="42"/>
        <v>7921433.620615921</v>
      </c>
      <c r="BZ35" s="123">
        <f t="shared" si="58"/>
        <v>99597761914182.797</v>
      </c>
      <c r="CA35" s="111">
        <f t="shared" si="57"/>
        <v>99597769138475</v>
      </c>
      <c r="CC35" s="124">
        <f t="shared" si="26"/>
        <v>1</v>
      </c>
      <c r="CD35" s="17"/>
      <c r="CE35" s="108">
        <f t="shared" si="44"/>
        <v>39737337</v>
      </c>
      <c r="CF35" s="125">
        <f t="shared" si="45"/>
        <v>2506402.7098362176</v>
      </c>
      <c r="CG35" s="110">
        <f t="shared" si="46"/>
        <v>11921201.1</v>
      </c>
      <c r="CH35" s="126">
        <f t="shared" si="47"/>
        <v>99597757217273.906</v>
      </c>
      <c r="CJ35" s="127">
        <f t="shared" si="48"/>
        <v>0</v>
      </c>
      <c r="CK35" s="128" t="e">
        <f t="shared" si="49"/>
        <v>#DIV/0!</v>
      </c>
      <c r="CL35" s="129" t="e">
        <f t="shared" si="50"/>
        <v>#DIV/0!</v>
      </c>
      <c r="CM35" s="130" t="e">
        <f t="shared" si="51"/>
        <v>#DIV/0!</v>
      </c>
      <c r="CO35" s="131" t="e">
        <f t="shared" si="52"/>
        <v>#DIV/0!</v>
      </c>
      <c r="CP35" s="1">
        <f t="shared" si="53"/>
        <v>0</v>
      </c>
      <c r="CQ35" s="132">
        <f t="shared" si="54"/>
        <v>0.19934485344641795</v>
      </c>
      <c r="CS35" s="104">
        <f t="shared" si="55"/>
        <v>2.1528825805082336E-2</v>
      </c>
    </row>
    <row r="36" spans="1:97">
      <c r="A36" s="133" t="s">
        <v>112</v>
      </c>
      <c r="B36" s="90" t="s">
        <v>113</v>
      </c>
      <c r="C36" s="208">
        <f>'Op Cost-24'!E29</f>
        <v>4080556</v>
      </c>
      <c r="D36" s="92">
        <f>'Ridership-24'!$E28</f>
        <v>404081</v>
      </c>
      <c r="E36" s="92">
        <f>'Revenue Hours-24'!$F28</f>
        <v>47286</v>
      </c>
      <c r="F36" s="92">
        <f>'Revenue Miles-24'!$F28</f>
        <v>554292</v>
      </c>
      <c r="G36" s="93">
        <f t="shared" si="59"/>
        <v>9.6308831556733039E-3</v>
      </c>
      <c r="H36" s="94">
        <f t="shared" si="60"/>
        <v>9.0922409260838499E-3</v>
      </c>
      <c r="J36" s="95">
        <f>'Ridership-24'!B28/'Revenue Hours-24'!C28</f>
        <v>5.8235136133212473</v>
      </c>
      <c r="K36" s="96">
        <f>'Ridership-24'!C28/'Revenue Hours-24'!D28</f>
        <v>7.2311072676573369</v>
      </c>
      <c r="L36" s="96">
        <f>'Ridership-24'!D28/'Revenue Hours-24'!E28</f>
        <v>7.0651748073074137</v>
      </c>
      <c r="M36" s="96">
        <f>'Ridership-24'!E28/'Revenue Hours-24'!F28</f>
        <v>8.5454680032144825</v>
      </c>
      <c r="N36" s="97">
        <f t="shared" si="2"/>
        <v>1.3624910960990697</v>
      </c>
      <c r="O36" s="98">
        <f t="shared" si="3"/>
        <v>1.2388097305376806E-2</v>
      </c>
      <c r="P36" s="99">
        <f t="shared" si="4"/>
        <v>1.1886840298368886E-2</v>
      </c>
      <c r="Q36" s="95">
        <f>'Ridership-24'!B28/'Revenue Miles-24'!C28</f>
        <v>0.5399100487106463</v>
      </c>
      <c r="R36" s="96">
        <f>'Ridership-24'!C28/'Revenue Miles-24'!D28</f>
        <v>0.68740479018609113</v>
      </c>
      <c r="S36" s="96">
        <f>'Ridership-24'!D28/'Revenue Miles-24'!E28</f>
        <v>0.60435953803758868</v>
      </c>
      <c r="T36" s="96">
        <f>'Ridership-24'!E28/'Revenue Miles-24'!F28</f>
        <v>0.7290038463481342</v>
      </c>
      <c r="U36" s="97">
        <f t="shared" si="5"/>
        <v>1.3105322544942031</v>
      </c>
      <c r="V36" s="98">
        <f t="shared" si="6"/>
        <v>1.1915674999265128E-2</v>
      </c>
      <c r="W36" s="99">
        <f t="shared" si="7"/>
        <v>1.1473716156761852E-2</v>
      </c>
      <c r="X36" s="95">
        <f>'Op Cost-24'!B29/'Revenue Hours-24'!C28</f>
        <v>60.12394668815255</v>
      </c>
      <c r="Y36" s="96">
        <f>'Op Cost-24'!C29/'Revenue Hours-24'!D28</f>
        <v>63.118368571529423</v>
      </c>
      <c r="Z36" s="96">
        <f>'Op Cost-24'!D29/'Revenue Hours-24'!E28</f>
        <v>99.128071370778855</v>
      </c>
      <c r="AA36" s="96">
        <f>'Op Cost-24'!E29/'Revenue Hours-24'!F28</f>
        <v>86.295224802267057</v>
      </c>
      <c r="AB36" s="97">
        <f t="shared" si="8"/>
        <v>1.0617091010611783</v>
      </c>
      <c r="AC36" s="98">
        <f t="shared" si="9"/>
        <v>8.5637778907576047E-3</v>
      </c>
      <c r="AD36" s="99">
        <f t="shared" si="10"/>
        <v>8.6123641249763686E-3</v>
      </c>
      <c r="AE36" s="95">
        <f>'Op Cost-24'!B29/'Revenue Miles-24'!C28</f>
        <v>5.5742160387195172</v>
      </c>
      <c r="AF36" s="96">
        <f>'Op Cost-24'!C29/'Revenue Miles-24'!D28</f>
        <v>6.0001694483031685</v>
      </c>
      <c r="AG36" s="96">
        <f>'Op Cost-24'!D29/'Revenue Miles-24'!E28</f>
        <v>8.4794781522232086</v>
      </c>
      <c r="AH36" s="96">
        <f>'Op Cost-24'!E29/'Revenue Miles-24'!F28</f>
        <v>7.3617443513527165</v>
      </c>
      <c r="AI36" s="97">
        <f t="shared" si="11"/>
        <v>1.0302319714596049</v>
      </c>
      <c r="AJ36" s="98">
        <f t="shared" si="12"/>
        <v>8.8254307553688217E-3</v>
      </c>
      <c r="AK36" s="99">
        <f t="shared" si="13"/>
        <v>8.8352390827210851E-3</v>
      </c>
      <c r="AL36" s="95">
        <f>'Op Cost-24'!B29/'Ridership-24'!B28</f>
        <v>10.324342086299829</v>
      </c>
      <c r="AM36" s="96">
        <f>'Op Cost-24'!C29/'Ridership-24'!C28</f>
        <v>8.7287280129060925</v>
      </c>
      <c r="AN36" s="96">
        <f>'Op Cost-24'!D29/'Ridership-24'!D28</f>
        <v>14.030519282870687</v>
      </c>
      <c r="AO36" s="96">
        <f>'Op Cost-24'!E29/'Ridership-24'!E28</f>
        <v>10.098361467131589</v>
      </c>
      <c r="AP36" s="100">
        <f t="shared" si="14"/>
        <v>0.80929745558716537</v>
      </c>
      <c r="AQ36" s="98">
        <f t="shared" si="15"/>
        <v>1.1234733117364374E-2</v>
      </c>
      <c r="AR36" s="99">
        <f t="shared" si="16"/>
        <v>1.1897136383316799E-2</v>
      </c>
      <c r="AT36" s="101">
        <f t="shared" si="27"/>
        <v>0</v>
      </c>
      <c r="AU36" s="102">
        <f t="shared" si="17"/>
        <v>0</v>
      </c>
      <c r="AV36" s="102">
        <f t="shared" si="18"/>
        <v>0</v>
      </c>
      <c r="AW36" s="102">
        <f t="shared" si="19"/>
        <v>0</v>
      </c>
      <c r="AX36" s="103">
        <f t="shared" si="20"/>
        <v>0</v>
      </c>
      <c r="AY36" s="104">
        <f t="shared" si="28"/>
        <v>-1</v>
      </c>
      <c r="AZ36" s="105">
        <f t="shared" si="21"/>
        <v>0</v>
      </c>
      <c r="BA36" s="106">
        <f t="shared" si="21"/>
        <v>0</v>
      </c>
      <c r="BB36" s="106">
        <f t="shared" si="21"/>
        <v>0</v>
      </c>
      <c r="BC36" s="106">
        <f t="shared" si="21"/>
        <v>0</v>
      </c>
      <c r="BD36" s="106">
        <f t="shared" si="21"/>
        <v>0</v>
      </c>
      <c r="BE36" s="107">
        <f t="shared" si="29"/>
        <v>1151103.7014143676</v>
      </c>
      <c r="BG36" s="108">
        <f>'Op Cost-24'!E29</f>
        <v>4080556</v>
      </c>
      <c r="BH36" s="109">
        <f t="shared" si="22"/>
        <v>0.28209481781756401</v>
      </c>
      <c r="BI36" s="110">
        <f t="shared" si="23"/>
        <v>1151103.7014143676</v>
      </c>
      <c r="BJ36" s="111">
        <f t="shared" si="24"/>
        <v>0</v>
      </c>
      <c r="BK36" s="1">
        <f t="shared" si="30"/>
        <v>1.230691618455257</v>
      </c>
      <c r="BL36" s="112">
        <f t="shared" si="31"/>
        <v>0.95441670102725484</v>
      </c>
      <c r="BM36" s="112">
        <f t="shared" si="32"/>
        <v>1.1761610117248515</v>
      </c>
      <c r="BN36" s="113">
        <f t="shared" si="33"/>
        <v>1.3960943805344606</v>
      </c>
      <c r="BO36" s="114">
        <f t="shared" si="25"/>
        <v>1151103.7014143676</v>
      </c>
      <c r="BP36" s="115">
        <f t="shared" si="34"/>
        <v>1.1189744700707258E-2</v>
      </c>
      <c r="BQ36" s="116">
        <f t="shared" si="35"/>
        <v>1.1189744700707258E-2</v>
      </c>
      <c r="BR36" s="117">
        <f t="shared" si="36"/>
        <v>1.8848164877149916E-2</v>
      </c>
      <c r="BS36" s="118">
        <f t="shared" si="37"/>
        <v>1388085.4307149886</v>
      </c>
      <c r="BT36" s="119">
        <f t="shared" si="38"/>
        <v>1224166.8</v>
      </c>
      <c r="BU36" s="119">
        <f t="shared" si="39"/>
        <v>1224166.8</v>
      </c>
      <c r="BV36" s="119">
        <f t="shared" si="56"/>
        <v>163918.63071498857</v>
      </c>
      <c r="BW36" s="120">
        <f t="shared" si="40"/>
        <v>0</v>
      </c>
      <c r="BX36" s="121">
        <f t="shared" si="41"/>
        <v>0</v>
      </c>
      <c r="BY36" s="122">
        <f t="shared" si="42"/>
        <v>1224166.8</v>
      </c>
      <c r="BZ36" s="123">
        <f t="shared" si="58"/>
        <v>15391692884016.992</v>
      </c>
      <c r="CA36" s="111">
        <f t="shared" si="57"/>
        <v>15391694035121</v>
      </c>
      <c r="CC36" s="124">
        <f t="shared" si="26"/>
        <v>1</v>
      </c>
      <c r="CD36" s="17"/>
      <c r="CE36" s="108">
        <f t="shared" si="44"/>
        <v>4080556</v>
      </c>
      <c r="CF36" s="125">
        <f t="shared" si="45"/>
        <v>3771960.0062150843</v>
      </c>
      <c r="CG36" s="110">
        <f t="shared" si="46"/>
        <v>1224166.8</v>
      </c>
      <c r="CH36" s="126">
        <f t="shared" si="47"/>
        <v>15391692810954.199</v>
      </c>
      <c r="CJ36" s="127">
        <f t="shared" si="48"/>
        <v>0</v>
      </c>
      <c r="CK36" s="128" t="e">
        <f t="shared" si="49"/>
        <v>#DIV/0!</v>
      </c>
      <c r="CL36" s="129" t="e">
        <f t="shared" si="50"/>
        <v>#DIV/0!</v>
      </c>
      <c r="CM36" s="130" t="e">
        <f t="shared" si="51"/>
        <v>#DIV/0!</v>
      </c>
      <c r="CO36" s="131" t="e">
        <f t="shared" si="52"/>
        <v>#DIV/0!</v>
      </c>
      <c r="CP36" s="1">
        <f t="shared" si="53"/>
        <v>0</v>
      </c>
      <c r="CQ36" s="132">
        <f t="shared" si="54"/>
        <v>0.3</v>
      </c>
      <c r="CS36" s="104">
        <f t="shared" si="55"/>
        <v>9.0291698272378321E-3</v>
      </c>
    </row>
    <row r="37" spans="1:97">
      <c r="A37" s="133" t="s">
        <v>112</v>
      </c>
      <c r="B37" s="90" t="s">
        <v>114</v>
      </c>
      <c r="C37" s="208">
        <f>'Op Cost-24'!E30</f>
        <v>58367488</v>
      </c>
      <c r="D37" s="92">
        <f>'Ridership-24'!$E29</f>
        <v>8838099</v>
      </c>
      <c r="E37" s="92">
        <f>'Revenue Hours-24'!$F29</f>
        <v>589217</v>
      </c>
      <c r="F37" s="92">
        <f>'Revenue Miles-24'!$F29</f>
        <v>7359404</v>
      </c>
      <c r="G37" s="134">
        <f t="shared" si="59"/>
        <v>0.16098813847786023</v>
      </c>
      <c r="H37" s="94">
        <f t="shared" si="60"/>
        <v>0.15198429029015911</v>
      </c>
      <c r="J37" s="95">
        <f>'Ridership-24'!B29/'Revenue Hours-24'!C29</f>
        <v>14.064279158532678</v>
      </c>
      <c r="K37" s="96">
        <f>'Ridership-24'!C29/'Revenue Hours-24'!D29</f>
        <v>15.08483737680125</v>
      </c>
      <c r="L37" s="96">
        <f>'Ridership-24'!D29/'Revenue Hours-24'!E29</f>
        <v>12.685908078458269</v>
      </c>
      <c r="M37" s="96">
        <f>'Ridership-24'!E29/'Revenue Hours-24'!F29</f>
        <v>14.999735241854868</v>
      </c>
      <c r="N37" s="97">
        <f t="shared" si="2"/>
        <v>1.2105616251265683</v>
      </c>
      <c r="O37" s="98">
        <f t="shared" si="3"/>
        <v>0.18398634944736314</v>
      </c>
      <c r="P37" s="99">
        <f t="shared" si="4"/>
        <v>0.17654174802222983</v>
      </c>
      <c r="Q37" s="95">
        <f>'Ridership-24'!B29/'Revenue Miles-24'!C29</f>
        <v>1.1305960147789027</v>
      </c>
      <c r="R37" s="96">
        <f>'Ridership-24'!C29/'Revenue Miles-24'!D29</f>
        <v>1.1884855709632467</v>
      </c>
      <c r="S37" s="96">
        <f>'Ridership-24'!D29/'Revenue Miles-24'!E29</f>
        <v>1.0554722157446399</v>
      </c>
      <c r="T37" s="96">
        <f>'Ridership-24'!E29/'Revenue Miles-24'!F29</f>
        <v>1.2009259173704827</v>
      </c>
      <c r="U37" s="97">
        <f t="shared" si="5"/>
        <v>1.2233193409195682</v>
      </c>
      <c r="V37" s="98">
        <f t="shared" si="6"/>
        <v>0.18592532182788576</v>
      </c>
      <c r="W37" s="99">
        <f t="shared" si="7"/>
        <v>0.17902925089340918</v>
      </c>
      <c r="X37" s="95">
        <f>'Op Cost-24'!B30/'Revenue Hours-24'!C29</f>
        <v>85.845490006118709</v>
      </c>
      <c r="Y37" s="96">
        <f>'Op Cost-24'!C30/'Revenue Hours-24'!D29</f>
        <v>87.19640419871854</v>
      </c>
      <c r="Z37" s="96">
        <f>'Op Cost-24'!D30/'Revenue Hours-24'!E29</f>
        <v>106.94058914595765</v>
      </c>
      <c r="AA37" s="96">
        <f>'Op Cost-24'!E30/'Revenue Hours-24'!F29</f>
        <v>99.059409351732896</v>
      </c>
      <c r="AB37" s="97">
        <f t="shared" si="8"/>
        <v>0.97517721343486441</v>
      </c>
      <c r="AC37" s="98">
        <f t="shared" si="9"/>
        <v>0.15585299594401433</v>
      </c>
      <c r="AD37" s="99">
        <f t="shared" si="10"/>
        <v>0.15673722137129967</v>
      </c>
      <c r="AE37" s="95">
        <f>'Op Cost-24'!B30/'Revenue Miles-24'!C29</f>
        <v>6.9009273631188233</v>
      </c>
      <c r="AF37" s="96">
        <f>'Op Cost-24'!C30/'Revenue Miles-24'!D29</f>
        <v>6.8699228000581352</v>
      </c>
      <c r="AG37" s="96">
        <f>'Op Cost-24'!D30/'Revenue Miles-24'!E29</f>
        <v>8.897496330640184</v>
      </c>
      <c r="AH37" s="96">
        <f>'Op Cost-24'!E30/'Revenue Miles-24'!F29</f>
        <v>7.9310074565820816</v>
      </c>
      <c r="AI37" s="97">
        <f t="shared" si="11"/>
        <v>0.97974863423532932</v>
      </c>
      <c r="AJ37" s="98">
        <f t="shared" si="12"/>
        <v>0.15512579959734188</v>
      </c>
      <c r="AK37" s="99">
        <f t="shared" si="13"/>
        <v>0.1552982019044255</v>
      </c>
      <c r="AL37" s="95">
        <f>'Op Cost-24'!B30/'Ridership-24'!B29</f>
        <v>6.1037959385239438</v>
      </c>
      <c r="AM37" s="96">
        <f>'Op Cost-24'!C30/'Ridership-24'!C29</f>
        <v>5.7804006778897481</v>
      </c>
      <c r="AN37" s="96">
        <f>'Op Cost-24'!D30/'Ridership-24'!D29</f>
        <v>8.4298726180707302</v>
      </c>
      <c r="AO37" s="96">
        <f>'Op Cost-24'!E30/'Ridership-24'!E29</f>
        <v>6.6040771889973175</v>
      </c>
      <c r="AP37" s="97">
        <f t="shared" si="14"/>
        <v>0.84876555859417591</v>
      </c>
      <c r="AQ37" s="98">
        <f t="shared" si="15"/>
        <v>0.17906510078223856</v>
      </c>
      <c r="AR37" s="99">
        <f t="shared" si="16"/>
        <v>0.18962283333691105</v>
      </c>
      <c r="AT37" s="101">
        <f t="shared" si="27"/>
        <v>0</v>
      </c>
      <c r="AU37" s="102">
        <f t="shared" si="17"/>
        <v>0</v>
      </c>
      <c r="AV37" s="102">
        <f t="shared" si="18"/>
        <v>0</v>
      </c>
      <c r="AW37" s="102">
        <f t="shared" si="19"/>
        <v>0</v>
      </c>
      <c r="AX37" s="103">
        <f t="shared" si="20"/>
        <v>0</v>
      </c>
      <c r="AY37" s="104">
        <f t="shared" si="28"/>
        <v>-1</v>
      </c>
      <c r="AZ37" s="105">
        <f t="shared" si="21"/>
        <v>0</v>
      </c>
      <c r="BA37" s="106">
        <f t="shared" si="21"/>
        <v>0</v>
      </c>
      <c r="BB37" s="106">
        <f t="shared" si="21"/>
        <v>0</v>
      </c>
      <c r="BC37" s="106">
        <f t="shared" si="21"/>
        <v>0</v>
      </c>
      <c r="BD37" s="106">
        <f t="shared" si="21"/>
        <v>0</v>
      </c>
      <c r="BE37" s="107">
        <f t="shared" si="29"/>
        <v>19241645.765010655</v>
      </c>
      <c r="BG37" s="108">
        <f>'Op Cost-24'!E30</f>
        <v>58367488</v>
      </c>
      <c r="BH37" s="109">
        <f t="shared" si="22"/>
        <v>0.32966376358377208</v>
      </c>
      <c r="BI37" s="110">
        <f t="shared" si="23"/>
        <v>17510246.399999999</v>
      </c>
      <c r="BJ37" s="111">
        <f t="shared" si="24"/>
        <v>1731399.3650106564</v>
      </c>
      <c r="BK37" s="1">
        <f t="shared" si="30"/>
        <v>1.9705972581013533</v>
      </c>
      <c r="BL37" s="112">
        <f t="shared" si="31"/>
        <v>1.6752737030234315</v>
      </c>
      <c r="BM37" s="112">
        <f t="shared" si="32"/>
        <v>1.937551151556661</v>
      </c>
      <c r="BN37" s="113">
        <f t="shared" si="33"/>
        <v>2.1347820889126603</v>
      </c>
      <c r="BO37" s="114">
        <f t="shared" si="25"/>
        <v>0</v>
      </c>
      <c r="BP37" s="115">
        <f t="shared" si="34"/>
        <v>0.29949982572026768</v>
      </c>
      <c r="BQ37" s="116">
        <f t="shared" si="35"/>
        <v>0</v>
      </c>
      <c r="BR37" s="117">
        <f t="shared" si="36"/>
        <v>0</v>
      </c>
      <c r="BS37" s="118">
        <f t="shared" si="37"/>
        <v>17510246.399999999</v>
      </c>
      <c r="BT37" s="119">
        <f t="shared" si="38"/>
        <v>17510246.399999999</v>
      </c>
      <c r="BU37" s="119">
        <f t="shared" si="39"/>
        <v>17510246.399999999</v>
      </c>
      <c r="BV37" s="119">
        <f t="shared" si="56"/>
        <v>0</v>
      </c>
      <c r="BW37" s="120">
        <f t="shared" si="40"/>
        <v>0</v>
      </c>
      <c r="BX37" s="121">
        <f t="shared" si="41"/>
        <v>0</v>
      </c>
      <c r="BY37" s="122">
        <f t="shared" si="42"/>
        <v>17510246.399999999</v>
      </c>
      <c r="BZ37" s="123">
        <f t="shared" si="58"/>
        <v>220159813934068.56</v>
      </c>
      <c r="CA37" s="111">
        <f>ROUND((BZ37+BI37),0)</f>
        <v>220159831444315</v>
      </c>
      <c r="CC37" s="124">
        <f t="shared" si="26"/>
        <v>1</v>
      </c>
      <c r="CD37" s="17"/>
      <c r="CE37" s="108">
        <f t="shared" si="44"/>
        <v>58367488</v>
      </c>
      <c r="CF37" s="125">
        <f t="shared" si="45"/>
        <v>3771960.0241201916</v>
      </c>
      <c r="CG37" s="110">
        <f t="shared" si="46"/>
        <v>17510246.399999999</v>
      </c>
      <c r="CH37" s="126">
        <f t="shared" si="47"/>
        <v>220159813934068.59</v>
      </c>
      <c r="CJ37" s="127">
        <f t="shared" si="48"/>
        <v>0</v>
      </c>
      <c r="CK37" s="128" t="e">
        <f t="shared" si="49"/>
        <v>#DIV/0!</v>
      </c>
      <c r="CL37" s="129" t="e">
        <f t="shared" si="50"/>
        <v>#DIV/0!</v>
      </c>
      <c r="CM37" s="130" t="e">
        <f t="shared" si="51"/>
        <v>#DIV/0!</v>
      </c>
      <c r="CO37" s="131" t="e">
        <f t="shared" si="52"/>
        <v>#DIV/0!</v>
      </c>
      <c r="CP37" s="1">
        <f t="shared" si="53"/>
        <v>0</v>
      </c>
      <c r="CQ37" s="132">
        <f t="shared" si="54"/>
        <v>0.3</v>
      </c>
      <c r="CS37" s="104">
        <f t="shared" si="55"/>
        <v>0.24167082109438179</v>
      </c>
    </row>
    <row r="38" spans="1:97">
      <c r="A38" s="133" t="s">
        <v>115</v>
      </c>
      <c r="B38" s="90" t="s">
        <v>116</v>
      </c>
      <c r="C38" s="208">
        <f>'Op Cost-24'!E31</f>
        <v>10001495</v>
      </c>
      <c r="D38" s="92">
        <f>'Ridership-24'!$E30</f>
        <v>3267836</v>
      </c>
      <c r="E38" s="92">
        <f>'Revenue Hours-24'!$F30</f>
        <v>100136</v>
      </c>
      <c r="F38" s="92">
        <f>'Revenue Miles-24'!$F30</f>
        <v>1050017</v>
      </c>
      <c r="G38" s="134">
        <f t="shared" si="59"/>
        <v>4.2880126184399604E-2</v>
      </c>
      <c r="H38" s="94">
        <f t="shared" si="60"/>
        <v>4.0481898898313565E-2</v>
      </c>
      <c r="J38" s="95">
        <f>'Ridership-24'!B30/'Revenue Hours-24'!C30</f>
        <v>38.430821690741176</v>
      </c>
      <c r="K38" s="96">
        <f>'Ridership-24'!C30/'Revenue Hours-24'!D30</f>
        <v>41.020012326113751</v>
      </c>
      <c r="L38" s="96">
        <f>'Ridership-24'!D30/'Revenue Hours-24'!E30</f>
        <v>7.7359808402431227</v>
      </c>
      <c r="M38" s="96">
        <f>'Ridership-24'!E30/'Revenue Hours-24'!F30</f>
        <v>32.633977790205321</v>
      </c>
      <c r="N38" s="97">
        <f t="shared" si="2"/>
        <v>1.570997120982047</v>
      </c>
      <c r="O38" s="98">
        <f t="shared" si="3"/>
        <v>6.3596946621136907E-2</v>
      </c>
      <c r="P38" s="99">
        <f t="shared" si="4"/>
        <v>6.1023636585517689E-2</v>
      </c>
      <c r="Q38" s="95">
        <f>'Ridership-24'!B30/'Revenue Miles-24'!C30</f>
        <v>3.9038389560856674</v>
      </c>
      <c r="R38" s="96">
        <f>'Ridership-24'!C30/'Revenue Miles-24'!D30</f>
        <v>4.0590237544714967</v>
      </c>
      <c r="S38" s="96">
        <f>'Ridership-24'!D30/'Revenue Miles-24'!E30</f>
        <v>0.74890286156611607</v>
      </c>
      <c r="T38" s="96">
        <f>'Ridership-24'!E30/'Revenue Miles-24'!F30</f>
        <v>3.1121743743196539</v>
      </c>
      <c r="U38" s="97">
        <f t="shared" si="5"/>
        <v>1.5695446744042203</v>
      </c>
      <c r="V38" s="98">
        <f t="shared" si="6"/>
        <v>6.3538148825618132E-2</v>
      </c>
      <c r="W38" s="99">
        <f t="shared" si="7"/>
        <v>6.1181484456079439E-2</v>
      </c>
      <c r="X38" s="95">
        <f>'Op Cost-24'!B31/'Revenue Hours-24'!C30</f>
        <v>85.193729576130707</v>
      </c>
      <c r="Y38" s="96">
        <f>'Op Cost-24'!C31/'Revenue Hours-24'!D30</f>
        <v>80.165865469272759</v>
      </c>
      <c r="Z38" s="96">
        <f>'Op Cost-24'!D31/'Revenue Hours-24'!E30</f>
        <v>94.638769882541524</v>
      </c>
      <c r="AA38" s="96">
        <f>'Op Cost-24'!E31/'Revenue Hours-24'!F30</f>
        <v>99.879114404410004</v>
      </c>
      <c r="AB38" s="97">
        <f t="shared" si="8"/>
        <v>0.98112606835854699</v>
      </c>
      <c r="AC38" s="98">
        <f t="shared" si="9"/>
        <v>4.1260649577929347E-2</v>
      </c>
      <c r="AD38" s="99">
        <f t="shared" si="10"/>
        <v>4.1494740140527328E-2</v>
      </c>
      <c r="AE38" s="95">
        <f>'Op Cost-24'!B31/'Revenue Miles-24'!C30</f>
        <v>8.6540590521293268</v>
      </c>
      <c r="AF38" s="96">
        <f>'Op Cost-24'!C31/'Revenue Miles-24'!D30</f>
        <v>7.9325951842875142</v>
      </c>
      <c r="AG38" s="96">
        <f>'Op Cost-24'!D31/'Revenue Miles-24'!E30</f>
        <v>9.1617659148578081</v>
      </c>
      <c r="AH38" s="96">
        <f>'Op Cost-24'!E31/'Revenue Miles-24'!F30</f>
        <v>9.5250791177666656</v>
      </c>
      <c r="AI38" s="97">
        <f t="shared" si="11"/>
        <v>0.96661079663279281</v>
      </c>
      <c r="AJ38" s="98">
        <f t="shared" si="12"/>
        <v>4.1880246981859742E-2</v>
      </c>
      <c r="AK38" s="99">
        <f t="shared" si="13"/>
        <v>4.1926791471684433E-2</v>
      </c>
      <c r="AL38" s="95">
        <f>'Op Cost-24'!B31/'Ridership-24'!B30</f>
        <v>2.216807391257412</v>
      </c>
      <c r="AM38" s="96">
        <f>'Op Cost-24'!C31/'Ridership-24'!C30</f>
        <v>1.9543111014191081</v>
      </c>
      <c r="AN38" s="96">
        <f>'Op Cost-24'!D31/'Ridership-24'!D30</f>
        <v>12.233583799771571</v>
      </c>
      <c r="AO38" s="96">
        <f>'Op Cost-24'!E31/'Ridership-24'!E30</f>
        <v>3.0605865777841972</v>
      </c>
      <c r="AP38" s="97">
        <f t="shared" si="14"/>
        <v>1.2723471939974662</v>
      </c>
      <c r="AQ38" s="98">
        <f t="shared" si="15"/>
        <v>3.1816707805302227E-2</v>
      </c>
      <c r="AR38" s="99">
        <f t="shared" si="16"/>
        <v>3.3692630530116403E-2</v>
      </c>
      <c r="AT38" s="101">
        <f t="shared" si="27"/>
        <v>0</v>
      </c>
      <c r="AU38" s="102">
        <f t="shared" si="17"/>
        <v>0</v>
      </c>
      <c r="AV38" s="102">
        <f t="shared" si="18"/>
        <v>0</v>
      </c>
      <c r="AW38" s="102">
        <f t="shared" si="19"/>
        <v>0</v>
      </c>
      <c r="AX38" s="103">
        <f t="shared" si="20"/>
        <v>0</v>
      </c>
      <c r="AY38" s="104">
        <f t="shared" si="28"/>
        <v>-1</v>
      </c>
      <c r="AZ38" s="105">
        <f t="shared" si="21"/>
        <v>0</v>
      </c>
      <c r="BA38" s="106">
        <f t="shared" si="21"/>
        <v>0</v>
      </c>
      <c r="BB38" s="106">
        <f t="shared" si="21"/>
        <v>0</v>
      </c>
      <c r="BC38" s="106">
        <f t="shared" si="21"/>
        <v>0</v>
      </c>
      <c r="BD38" s="106">
        <f t="shared" si="21"/>
        <v>0</v>
      </c>
      <c r="BE38" s="107">
        <f t="shared" si="29"/>
        <v>5125124.1625645868</v>
      </c>
      <c r="BG38" s="108">
        <f>'Op Cost-24'!E31</f>
        <v>10001495</v>
      </c>
      <c r="BH38" s="109">
        <f t="shared" si="22"/>
        <v>0.51243580710329673</v>
      </c>
      <c r="BI38" s="110">
        <f t="shared" si="23"/>
        <v>3000448.5</v>
      </c>
      <c r="BJ38" s="111">
        <f t="shared" si="24"/>
        <v>2124675.6625645868</v>
      </c>
      <c r="BK38" s="1">
        <f t="shared" si="30"/>
        <v>4.4696743232487242</v>
      </c>
      <c r="BL38" s="112">
        <f t="shared" si="31"/>
        <v>3.6447873202741339</v>
      </c>
      <c r="BM38" s="112">
        <f t="shared" si="32"/>
        <v>5.0211232479779495</v>
      </c>
      <c r="BN38" s="113">
        <f t="shared" si="33"/>
        <v>4.6063933623714064</v>
      </c>
      <c r="BO38" s="114">
        <f t="shared" si="25"/>
        <v>0</v>
      </c>
      <c r="BP38" s="115">
        <f t="shared" si="34"/>
        <v>0.18094090406214294</v>
      </c>
      <c r="BQ38" s="116">
        <f t="shared" si="35"/>
        <v>0</v>
      </c>
      <c r="BR38" s="117">
        <f t="shared" si="36"/>
        <v>0</v>
      </c>
      <c r="BS38" s="118">
        <f t="shared" si="37"/>
        <v>3000448.5</v>
      </c>
      <c r="BT38" s="119">
        <f t="shared" si="38"/>
        <v>3000448.5</v>
      </c>
      <c r="BU38" s="119">
        <f t="shared" si="39"/>
        <v>3000448.5</v>
      </c>
      <c r="BV38" s="119">
        <f t="shared" si="56"/>
        <v>0</v>
      </c>
      <c r="BW38" s="120">
        <f t="shared" si="40"/>
        <v>0</v>
      </c>
      <c r="BX38" s="121">
        <f t="shared" si="41"/>
        <v>0</v>
      </c>
      <c r="BY38" s="122">
        <f t="shared" si="42"/>
        <v>3000448.5</v>
      </c>
      <c r="BZ38" s="123">
        <f t="shared" si="58"/>
        <v>37725236320989.477</v>
      </c>
      <c r="CA38" s="111">
        <f t="shared" si="57"/>
        <v>37725239321438</v>
      </c>
      <c r="CC38" s="124">
        <f t="shared" si="26"/>
        <v>1</v>
      </c>
      <c r="CD38" s="17"/>
      <c r="CE38" s="108">
        <f t="shared" si="44"/>
        <v>10001495</v>
      </c>
      <c r="CF38" s="125">
        <f t="shared" si="45"/>
        <v>3771960.0241201939</v>
      </c>
      <c r="CG38" s="110">
        <f t="shared" si="46"/>
        <v>3000448.5</v>
      </c>
      <c r="CH38" s="126">
        <f t="shared" si="47"/>
        <v>37725236320989.5</v>
      </c>
      <c r="CJ38" s="127">
        <f t="shared" si="48"/>
        <v>0</v>
      </c>
      <c r="CK38" s="128" t="e">
        <f t="shared" si="49"/>
        <v>#DIV/0!</v>
      </c>
      <c r="CL38" s="129" t="e">
        <f t="shared" si="50"/>
        <v>#DIV/0!</v>
      </c>
      <c r="CM38" s="130" t="e">
        <f t="shared" si="51"/>
        <v>#DIV/0!</v>
      </c>
      <c r="CO38" s="131" t="e">
        <f t="shared" si="52"/>
        <v>#DIV/0!</v>
      </c>
      <c r="CP38" s="1">
        <f t="shared" si="53"/>
        <v>0</v>
      </c>
      <c r="CQ38" s="132">
        <f t="shared" si="54"/>
        <v>0.3</v>
      </c>
      <c r="CS38" s="104">
        <f t="shared" si="55"/>
        <v>0.14600388080058468</v>
      </c>
    </row>
    <row r="39" spans="1:97">
      <c r="A39" s="133" t="s">
        <v>115</v>
      </c>
      <c r="B39" s="90" t="s">
        <v>117</v>
      </c>
      <c r="C39" s="208">
        <f>'Op Cost-24'!E32</f>
        <v>1758084</v>
      </c>
      <c r="D39" s="92">
        <f>'Ridership-24'!$E31</f>
        <v>125489</v>
      </c>
      <c r="E39" s="92">
        <f>'Revenue Hours-24'!$F31</f>
        <v>31063</v>
      </c>
      <c r="F39" s="92">
        <f>'Revenue Miles-24'!$F31</f>
        <v>373643</v>
      </c>
      <c r="G39" s="134">
        <f t="shared" si="59"/>
        <v>4.4072347125158461E-3</v>
      </c>
      <c r="H39" s="94">
        <f t="shared" si="60"/>
        <v>4.1607440539229053E-3</v>
      </c>
      <c r="J39" s="95">
        <f>'Ridership-24'!B31/'Revenue Hours-24'!C31</f>
        <v>10.469111047455362</v>
      </c>
      <c r="K39" s="96">
        <f>'Ridership-24'!C31/'Revenue Hours-24'!D31</f>
        <v>8.58772210149559</v>
      </c>
      <c r="L39" s="96">
        <f>'Ridership-24'!D31/'Revenue Hours-24'!E31</f>
        <v>3.353975911522431</v>
      </c>
      <c r="M39" s="96">
        <f>'Ridership-24'!E31/'Revenue Hours-24'!F31</f>
        <v>4.039822296622992</v>
      </c>
      <c r="N39" s="97">
        <f t="shared" si="2"/>
        <v>0.83958861914202576</v>
      </c>
      <c r="O39" s="98">
        <f t="shared" si="3"/>
        <v>3.4933133548365265E-3</v>
      </c>
      <c r="P39" s="99">
        <f t="shared" si="4"/>
        <v>3.3519641424739352E-3</v>
      </c>
      <c r="Q39" s="95">
        <f>'Ridership-24'!B31/'Revenue Miles-24'!C31</f>
        <v>0.95972094977446065</v>
      </c>
      <c r="R39" s="96">
        <f>'Ridership-24'!C31/'Revenue Miles-24'!D31</f>
        <v>0.78227240838260248</v>
      </c>
      <c r="S39" s="96">
        <f>'Ridership-24'!D31/'Revenue Miles-24'!E31</f>
        <v>0.29134203947124609</v>
      </c>
      <c r="T39" s="96">
        <f>'Ridership-24'!E31/'Revenue Miles-24'!F31</f>
        <v>0.3358526722031458</v>
      </c>
      <c r="U39" s="97">
        <f t="shared" si="5"/>
        <v>0.81813252123285196</v>
      </c>
      <c r="V39" s="98">
        <f t="shared" si="6"/>
        <v>3.404040023040544E-3</v>
      </c>
      <c r="W39" s="99">
        <f t="shared" si="7"/>
        <v>3.2777823340291697E-3</v>
      </c>
      <c r="X39" s="95">
        <f>'Op Cost-24'!B32/'Revenue Hours-24'!C31</f>
        <v>45.655272287469366</v>
      </c>
      <c r="Y39" s="96">
        <f>'Op Cost-24'!C32/'Revenue Hours-24'!D31</f>
        <v>50.245430141889301</v>
      </c>
      <c r="Z39" s="96">
        <f>'Op Cost-24'!D32/'Revenue Hours-24'!E31</f>
        <v>54.975878704341831</v>
      </c>
      <c r="AA39" s="96">
        <f>'Op Cost-24'!E32/'Revenue Hours-24'!F31</f>
        <v>56.597366641985644</v>
      </c>
      <c r="AB39" s="97">
        <f t="shared" si="8"/>
        <v>1.0011244458616895</v>
      </c>
      <c r="AC39" s="98">
        <f t="shared" si="9"/>
        <v>4.1560707773364404E-3</v>
      </c>
      <c r="AD39" s="99">
        <f t="shared" si="10"/>
        <v>4.1796500703532944E-3</v>
      </c>
      <c r="AE39" s="95">
        <f>'Op Cost-24'!B32/'Revenue Miles-24'!C31</f>
        <v>4.1852953018959314</v>
      </c>
      <c r="AF39" s="96">
        <f>'Op Cost-24'!C32/'Revenue Miles-24'!D31</f>
        <v>4.5769545384416093</v>
      </c>
      <c r="AG39" s="96">
        <f>'Op Cost-24'!D32/'Revenue Miles-24'!E31</f>
        <v>4.775462032515458</v>
      </c>
      <c r="AH39" s="96">
        <f>'Op Cost-24'!E32/'Revenue Miles-24'!F31</f>
        <v>4.7052507339893959</v>
      </c>
      <c r="AI39" s="97">
        <f t="shared" si="11"/>
        <v>0.97631099927011855</v>
      </c>
      <c r="AJ39" s="98">
        <f t="shared" si="12"/>
        <v>4.261699455433198E-3</v>
      </c>
      <c r="AK39" s="99">
        <f t="shared" si="13"/>
        <v>4.2664357844005322E-3</v>
      </c>
      <c r="AL39" s="95">
        <f>'Op Cost-24'!B32/'Ridership-24'!B31</f>
        <v>4.3609502354611482</v>
      </c>
      <c r="AM39" s="96">
        <f>'Op Cost-24'!C32/'Ridership-24'!C31</f>
        <v>5.8508449095178374</v>
      </c>
      <c r="AN39" s="96">
        <f>'Op Cost-24'!D32/'Ridership-24'!D31</f>
        <v>16.391256274523233</v>
      </c>
      <c r="AO39" s="96">
        <f>'Op Cost-24'!E32/'Ridership-24'!E31</f>
        <v>14.009865406529656</v>
      </c>
      <c r="AP39" s="100">
        <f t="shared" si="14"/>
        <v>1.1962544231491588</v>
      </c>
      <c r="AQ39" s="98">
        <f t="shared" si="15"/>
        <v>3.4781430884658136E-3</v>
      </c>
      <c r="AR39" s="99">
        <f t="shared" si="16"/>
        <v>3.6832154579810859E-3</v>
      </c>
      <c r="AT39" s="101">
        <f t="shared" si="27"/>
        <v>0</v>
      </c>
      <c r="AU39" s="102">
        <f t="shared" si="17"/>
        <v>0</v>
      </c>
      <c r="AV39" s="102">
        <f t="shared" si="18"/>
        <v>0</v>
      </c>
      <c r="AW39" s="102">
        <f t="shared" si="19"/>
        <v>0</v>
      </c>
      <c r="AX39" s="103">
        <f t="shared" si="20"/>
        <v>0</v>
      </c>
      <c r="AY39" s="104">
        <f t="shared" si="28"/>
        <v>-1</v>
      </c>
      <c r="AZ39" s="105">
        <f t="shared" si="21"/>
        <v>0</v>
      </c>
      <c r="BA39" s="106">
        <f t="shared" si="21"/>
        <v>0</v>
      </c>
      <c r="BB39" s="106">
        <f t="shared" si="21"/>
        <v>0</v>
      </c>
      <c r="BC39" s="106">
        <f t="shared" si="21"/>
        <v>0</v>
      </c>
      <c r="BD39" s="106">
        <f t="shared" si="21"/>
        <v>0</v>
      </c>
      <c r="BE39" s="107">
        <f t="shared" si="29"/>
        <v>526762.09529033641</v>
      </c>
      <c r="BG39" s="108">
        <f>'Op Cost-24'!E32</f>
        <v>1758084</v>
      </c>
      <c r="BH39" s="109">
        <f t="shared" si="22"/>
        <v>0.29962282535438378</v>
      </c>
      <c r="BI39" s="110">
        <f t="shared" si="23"/>
        <v>526762.09529033641</v>
      </c>
      <c r="BJ39" s="111">
        <f t="shared" si="24"/>
        <v>0</v>
      </c>
      <c r="BK39" s="1">
        <f t="shared" si="30"/>
        <v>0.75141830857887959</v>
      </c>
      <c r="BL39" s="112">
        <f t="shared" si="31"/>
        <v>0.451195167734395</v>
      </c>
      <c r="BM39" s="112">
        <f t="shared" si="32"/>
        <v>0.54185834643773267</v>
      </c>
      <c r="BN39" s="113">
        <f t="shared" si="33"/>
        <v>1.0063098600716953</v>
      </c>
      <c r="BO39" s="114">
        <f t="shared" si="25"/>
        <v>0</v>
      </c>
      <c r="BP39" s="115">
        <f t="shared" si="34"/>
        <v>3.1264592594283801E-3</v>
      </c>
      <c r="BQ39" s="116">
        <f t="shared" si="35"/>
        <v>0</v>
      </c>
      <c r="BR39" s="117">
        <f t="shared" si="36"/>
        <v>0</v>
      </c>
      <c r="BS39" s="118">
        <f t="shared" si="37"/>
        <v>526762.09529033641</v>
      </c>
      <c r="BT39" s="119">
        <f t="shared" si="38"/>
        <v>527425.19999999995</v>
      </c>
      <c r="BU39" s="119">
        <f t="shared" si="39"/>
        <v>526762.09529033641</v>
      </c>
      <c r="BV39" s="119">
        <f t="shared" si="56"/>
        <v>0</v>
      </c>
      <c r="BW39" s="120">
        <f t="shared" si="40"/>
        <v>3.1264592594283801E-3</v>
      </c>
      <c r="BX39" s="121">
        <f t="shared" si="41"/>
        <v>6.9463258630726773E-3</v>
      </c>
      <c r="BY39" s="122">
        <f t="shared" si="42"/>
        <v>542240.78104154347</v>
      </c>
      <c r="BZ39" s="123">
        <f t="shared" si="58"/>
        <v>6817701289547.2578</v>
      </c>
      <c r="CA39" s="111">
        <f t="shared" si="57"/>
        <v>6817701816309</v>
      </c>
      <c r="CC39" s="124">
        <f t="shared" si="26"/>
        <v>1</v>
      </c>
      <c r="CD39" s="17"/>
      <c r="CE39" s="108">
        <f t="shared" si="44"/>
        <v>1758084</v>
      </c>
      <c r="CF39" s="125">
        <f t="shared" si="45"/>
        <v>3877915.8540257462</v>
      </c>
      <c r="CG39" s="110">
        <f t="shared" si="46"/>
        <v>527425.19999999995</v>
      </c>
      <c r="CH39" s="126">
        <f t="shared" si="47"/>
        <v>6817701288883.7998</v>
      </c>
      <c r="CJ39" s="127">
        <f t="shared" si="48"/>
        <v>0</v>
      </c>
      <c r="CK39" s="128" t="e">
        <f t="shared" si="49"/>
        <v>#DIV/0!</v>
      </c>
      <c r="CL39" s="129" t="e">
        <f t="shared" si="50"/>
        <v>#DIV/0!</v>
      </c>
      <c r="CM39" s="130" t="e">
        <f t="shared" si="51"/>
        <v>#DIV/0!</v>
      </c>
      <c r="CO39" s="131" t="e">
        <f t="shared" si="52"/>
        <v>#DIV/0!</v>
      </c>
      <c r="CP39" s="1">
        <f t="shared" si="53"/>
        <v>1</v>
      </c>
      <c r="CQ39" s="132">
        <f t="shared" si="54"/>
        <v>0.30842711784052607</v>
      </c>
      <c r="CS39" s="104">
        <f t="shared" si="55"/>
        <v>2.5227860300990434E-3</v>
      </c>
    </row>
    <row r="40" spans="1:97">
      <c r="A40" s="133" t="s">
        <v>115</v>
      </c>
      <c r="B40" s="90" t="s">
        <v>118</v>
      </c>
      <c r="C40" s="208">
        <f>'Op Cost-24'!E33</f>
        <v>10624308</v>
      </c>
      <c r="D40" s="92">
        <f>'Ridership-24'!$E32</f>
        <v>1134478</v>
      </c>
      <c r="E40" s="92">
        <f>'Revenue Hours-24'!$F32</f>
        <v>155800</v>
      </c>
      <c r="F40" s="92">
        <f>'Revenue Miles-24'!$F32</f>
        <v>2582667</v>
      </c>
      <c r="G40" s="134">
        <f t="shared" si="59"/>
        <v>2.9719545369874457E-2</v>
      </c>
      <c r="H40" s="94">
        <f t="shared" si="60"/>
        <v>2.8057371515030821E-2</v>
      </c>
      <c r="J40" s="95">
        <f>'Ridership-24'!B32/'Revenue Hours-24'!C32</f>
        <v>13.489683908981412</v>
      </c>
      <c r="K40" s="96">
        <f>'Ridership-24'!C32/'Revenue Hours-24'!D32</f>
        <v>13.061303342191943</v>
      </c>
      <c r="L40" s="96">
        <f>'Ridership-24'!D32/'Revenue Hours-24'!E32</f>
        <v>7.5369057433360815</v>
      </c>
      <c r="M40" s="96">
        <f>'Ridership-24'!E32/'Revenue Hours-24'!F32</f>
        <v>7.2816302952503209</v>
      </c>
      <c r="N40" s="97">
        <f t="shared" si="2"/>
        <v>0.94844527831451908</v>
      </c>
      <c r="O40" s="98">
        <f t="shared" si="3"/>
        <v>2.6610881535347266E-2</v>
      </c>
      <c r="P40" s="99">
        <f t="shared" si="4"/>
        <v>2.553413096555145E-2</v>
      </c>
      <c r="Q40" s="95">
        <f>'Ridership-24'!B32/'Revenue Miles-24'!C32</f>
        <v>0.84707708145185789</v>
      </c>
      <c r="R40" s="96">
        <f>'Ridership-24'!C32/'Revenue Miles-24'!D32</f>
        <v>0.76270122520155903</v>
      </c>
      <c r="S40" s="96">
        <f>'Ridership-24'!D32/'Revenue Miles-24'!E32</f>
        <v>0.4322966250764449</v>
      </c>
      <c r="T40" s="96">
        <f>'Ridership-24'!E32/'Revenue Miles-24'!F32</f>
        <v>0.43926607650153893</v>
      </c>
      <c r="U40" s="97">
        <f t="shared" si="5"/>
        <v>0.93488870997493956</v>
      </c>
      <c r="V40" s="98">
        <f t="shared" si="6"/>
        <v>2.6230519860974778E-2</v>
      </c>
      <c r="W40" s="99">
        <f t="shared" si="7"/>
        <v>2.5257615665725194E-2</v>
      </c>
      <c r="X40" s="95">
        <f>'Op Cost-24'!B33/'Revenue Hours-24'!C32</f>
        <v>62.404362121162798</v>
      </c>
      <c r="Y40" s="96">
        <f>'Op Cost-24'!C33/'Revenue Hours-24'!D32</f>
        <v>69.193957147306961</v>
      </c>
      <c r="Z40" s="96">
        <f>'Op Cost-24'!D33/'Revenue Hours-24'!E32</f>
        <v>71.568899422918378</v>
      </c>
      <c r="AA40" s="96">
        <f>'Op Cost-24'!E33/'Revenue Hours-24'!F32</f>
        <v>68.191964056482675</v>
      </c>
      <c r="AB40" s="97">
        <f t="shared" si="8"/>
        <v>0.9619893036190682</v>
      </c>
      <c r="AC40" s="98">
        <f t="shared" si="9"/>
        <v>2.9165991149254063E-2</v>
      </c>
      <c r="AD40" s="99">
        <f t="shared" si="10"/>
        <v>2.9331463175184275E-2</v>
      </c>
      <c r="AE40" s="95">
        <f>'Op Cost-24'!B33/'Revenue Miles-24'!C32</f>
        <v>3.9186466704578953</v>
      </c>
      <c r="AF40" s="96">
        <f>'Op Cost-24'!C33/'Revenue Miles-24'!D32</f>
        <v>4.0405091674364728</v>
      </c>
      <c r="AG40" s="96">
        <f>'Op Cost-24'!D33/'Revenue Miles-24'!E32</f>
        <v>4.104999416812201</v>
      </c>
      <c r="AH40" s="96">
        <f>'Op Cost-24'!E33/'Revenue Miles-24'!F32</f>
        <v>4.1136964231161048</v>
      </c>
      <c r="AI40" s="97">
        <f t="shared" si="11"/>
        <v>0.95410645766052327</v>
      </c>
      <c r="AJ40" s="98">
        <f t="shared" si="12"/>
        <v>2.9406961130760734E-2</v>
      </c>
      <c r="AK40" s="99">
        <f t="shared" si="13"/>
        <v>2.9439643173054288E-2</v>
      </c>
      <c r="AL40" s="95">
        <f>'Op Cost-24'!B33/'Ridership-24'!B32</f>
        <v>4.6260803842567482</v>
      </c>
      <c r="AM40" s="96">
        <f>'Op Cost-24'!C33/'Ridership-24'!C32</f>
        <v>5.2976303615726961</v>
      </c>
      <c r="AN40" s="96">
        <f>'Op Cost-24'!D33/'Ridership-24'!D32</f>
        <v>9.4957933481120662</v>
      </c>
      <c r="AO40" s="96">
        <f>'Op Cost-24'!E33/'Ridership-24'!E32</f>
        <v>9.3649308316247648</v>
      </c>
      <c r="AP40" s="97">
        <f t="shared" si="14"/>
        <v>1.0470853269200342</v>
      </c>
      <c r="AQ40" s="98">
        <f t="shared" si="15"/>
        <v>2.6795687795149056E-2</v>
      </c>
      <c r="AR40" s="99">
        <f t="shared" si="16"/>
        <v>2.837556966003418E-2</v>
      </c>
      <c r="AT40" s="101">
        <f t="shared" si="27"/>
        <v>0</v>
      </c>
      <c r="AU40" s="102">
        <f t="shared" si="17"/>
        <v>0</v>
      </c>
      <c r="AV40" s="102">
        <f t="shared" si="18"/>
        <v>0</v>
      </c>
      <c r="AW40" s="102">
        <f t="shared" si="19"/>
        <v>0</v>
      </c>
      <c r="AX40" s="103">
        <f t="shared" si="20"/>
        <v>0</v>
      </c>
      <c r="AY40" s="104">
        <f t="shared" si="28"/>
        <v>-1</v>
      </c>
      <c r="AZ40" s="105">
        <f t="shared" si="21"/>
        <v>0</v>
      </c>
      <c r="BA40" s="106">
        <f t="shared" si="21"/>
        <v>0</v>
      </c>
      <c r="BB40" s="106">
        <f t="shared" si="21"/>
        <v>0</v>
      </c>
      <c r="BC40" s="106">
        <f t="shared" si="21"/>
        <v>0</v>
      </c>
      <c r="BD40" s="106">
        <f t="shared" si="21"/>
        <v>0</v>
      </c>
      <c r="BE40" s="107">
        <f t="shared" si="29"/>
        <v>3552143.4666624861</v>
      </c>
      <c r="BG40" s="108">
        <f>'Op Cost-24'!E33</f>
        <v>10624308</v>
      </c>
      <c r="BH40" s="109">
        <f t="shared" si="22"/>
        <v>0.33434116054076052</v>
      </c>
      <c r="BI40" s="110">
        <f t="shared" si="23"/>
        <v>3187292.4</v>
      </c>
      <c r="BJ40" s="111">
        <f t="shared" si="24"/>
        <v>364851.06666248618</v>
      </c>
      <c r="BK40" s="1">
        <f t="shared" si="30"/>
        <v>1.1332074995148489</v>
      </c>
      <c r="BL40" s="112">
        <f t="shared" si="31"/>
        <v>0.81326260444468434</v>
      </c>
      <c r="BM40" s="112">
        <f t="shared" si="32"/>
        <v>0.70870357617802215</v>
      </c>
      <c r="BN40" s="113">
        <f t="shared" si="33"/>
        <v>1.5054319087183445</v>
      </c>
      <c r="BO40" s="114">
        <f t="shared" si="25"/>
        <v>0</v>
      </c>
      <c r="BP40" s="115">
        <f t="shared" si="34"/>
        <v>3.1794823817507221E-2</v>
      </c>
      <c r="BQ40" s="116">
        <f t="shared" si="35"/>
        <v>0</v>
      </c>
      <c r="BR40" s="117">
        <f t="shared" si="36"/>
        <v>0</v>
      </c>
      <c r="BS40" s="118">
        <f t="shared" si="37"/>
        <v>3187292.4</v>
      </c>
      <c r="BT40" s="119">
        <f t="shared" si="38"/>
        <v>3187292.4</v>
      </c>
      <c r="BU40" s="119">
        <f t="shared" si="39"/>
        <v>3187292.4</v>
      </c>
      <c r="BV40" s="119">
        <f t="shared" si="56"/>
        <v>0</v>
      </c>
      <c r="BW40" s="120">
        <f t="shared" si="40"/>
        <v>0</v>
      </c>
      <c r="BX40" s="121">
        <f t="shared" si="41"/>
        <v>0</v>
      </c>
      <c r="BY40" s="122">
        <f t="shared" si="42"/>
        <v>3187292.4</v>
      </c>
      <c r="BZ40" s="123">
        <f t="shared" si="58"/>
        <v>40074461872647.945</v>
      </c>
      <c r="CA40" s="111">
        <f t="shared" si="57"/>
        <v>40074465059940</v>
      </c>
      <c r="CC40" s="124">
        <f t="shared" si="26"/>
        <v>1</v>
      </c>
      <c r="CD40" s="17"/>
      <c r="CE40" s="108">
        <f t="shared" si="44"/>
        <v>10624308</v>
      </c>
      <c r="CF40" s="125">
        <f t="shared" si="45"/>
        <v>3771960.024120159</v>
      </c>
      <c r="CG40" s="110">
        <f t="shared" si="46"/>
        <v>3187292.4</v>
      </c>
      <c r="CH40" s="126">
        <f t="shared" si="47"/>
        <v>40074461872647.602</v>
      </c>
      <c r="CJ40" s="127">
        <f t="shared" si="48"/>
        <v>0</v>
      </c>
      <c r="CK40" s="128" t="e">
        <f t="shared" si="49"/>
        <v>#DIV/0!</v>
      </c>
      <c r="CL40" s="129" t="e">
        <f t="shared" si="50"/>
        <v>#DIV/0!</v>
      </c>
      <c r="CM40" s="130" t="e">
        <f t="shared" si="51"/>
        <v>#DIV/0!</v>
      </c>
      <c r="CO40" s="131" t="e">
        <f t="shared" si="52"/>
        <v>#DIV/0!</v>
      </c>
      <c r="CP40" s="1">
        <f t="shared" si="53"/>
        <v>0</v>
      </c>
      <c r="CQ40" s="132">
        <f t="shared" si="54"/>
        <v>0.3</v>
      </c>
      <c r="CS40" s="104">
        <f t="shared" si="55"/>
        <v>2.5655711685471594E-2</v>
      </c>
    </row>
    <row r="41" spans="1:97">
      <c r="A41" s="133" t="s">
        <v>115</v>
      </c>
      <c r="B41" s="90" t="s">
        <v>119</v>
      </c>
      <c r="C41" s="208">
        <f>'Op Cost-24'!E34</f>
        <v>788081</v>
      </c>
      <c r="D41" s="92">
        <f>'Ridership-24'!$E33</f>
        <v>29480</v>
      </c>
      <c r="E41" s="92">
        <f>'Revenue Hours-24'!$F33</f>
        <v>19090</v>
      </c>
      <c r="F41" s="92">
        <f>'Revenue Miles-24'!$F33</f>
        <v>220116</v>
      </c>
      <c r="G41" s="134">
        <f t="shared" si="59"/>
        <v>2.0400409779248972E-3</v>
      </c>
      <c r="H41" s="94">
        <f t="shared" si="60"/>
        <v>1.9259442535600076E-3</v>
      </c>
      <c r="J41" s="95">
        <f>'Ridership-24'!B33/'Revenue Hours-24'!C33</f>
        <v>7.7063312747903803</v>
      </c>
      <c r="K41" s="96">
        <f>'Ridership-24'!C33/'Revenue Hours-24'!D33</f>
        <v>3.4694402420574888</v>
      </c>
      <c r="L41" s="96">
        <f>'Ridership-24'!D33/'Revenue Hours-24'!E33</f>
        <v>2.0660778541053322</v>
      </c>
      <c r="M41" s="96">
        <f>'Ridership-24'!E33/'Revenue Hours-24'!F33</f>
        <v>1.5442640125720273</v>
      </c>
      <c r="N41" s="97">
        <f t="shared" si="2"/>
        <v>0.73045267772485667</v>
      </c>
      <c r="O41" s="98">
        <f t="shared" si="3"/>
        <v>1.4068111371617078E-3</v>
      </c>
      <c r="P41" s="99">
        <f t="shared" si="4"/>
        <v>1.3498876304555553E-3</v>
      </c>
      <c r="Q41" s="95">
        <f>'Ridership-24'!B33/'Revenue Miles-24'!C33</f>
        <v>0.5486185080601923</v>
      </c>
      <c r="R41" s="96">
        <f>'Ridership-24'!C33/'Revenue Miles-24'!D33</f>
        <v>0.3128535569419939</v>
      </c>
      <c r="S41" s="96">
        <f>'Ridership-24'!D33/'Revenue Miles-24'!E33</f>
        <v>0.17929853281414856</v>
      </c>
      <c r="T41" s="96">
        <f>'Ridership-24'!E33/'Revenue Miles-24'!F33</f>
        <v>0.13392938268912755</v>
      </c>
      <c r="U41" s="97">
        <f t="shared" si="5"/>
        <v>0.75640028467482434</v>
      </c>
      <c r="V41" s="98">
        <f t="shared" si="6"/>
        <v>1.4567847816606319E-3</v>
      </c>
      <c r="W41" s="99">
        <f t="shared" si="7"/>
        <v>1.4027518447167467E-3</v>
      </c>
      <c r="X41" s="95">
        <f>'Op Cost-24'!B34/'Revenue Hours-24'!C33</f>
        <v>37.027162725310035</v>
      </c>
      <c r="Y41" s="96">
        <f>'Op Cost-24'!C34/'Revenue Hours-24'!D33</f>
        <v>37.011396873424104</v>
      </c>
      <c r="Z41" s="96">
        <f>'Op Cost-24'!D34/'Revenue Hours-24'!E33</f>
        <v>43.551303020390364</v>
      </c>
      <c r="AA41" s="96">
        <f>'Op Cost-24'!E34/'Revenue Hours-24'!F33</f>
        <v>41.282399161864852</v>
      </c>
      <c r="AB41" s="97">
        <f t="shared" si="8"/>
        <v>0.96349729165483955</v>
      </c>
      <c r="AC41" s="98">
        <f t="shared" si="9"/>
        <v>1.998909877839026E-3</v>
      </c>
      <c r="AD41" s="99">
        <f t="shared" si="10"/>
        <v>2.0102506090847187E-3</v>
      </c>
      <c r="AE41" s="95">
        <f>'Op Cost-24'!B34/'Revenue Miles-24'!C33</f>
        <v>2.6359867033634772</v>
      </c>
      <c r="AF41" s="96">
        <f>'Op Cost-24'!C34/'Revenue Miles-24'!D33</f>
        <v>3.3374683958746383</v>
      </c>
      <c r="AG41" s="96">
        <f>'Op Cost-24'!D34/'Revenue Miles-24'!E33</f>
        <v>3.7794726458078038</v>
      </c>
      <c r="AH41" s="96">
        <f>'Op Cost-24'!E34/'Revenue Miles-24'!F33</f>
        <v>3.5802985698449907</v>
      </c>
      <c r="AI41" s="97">
        <f t="shared" si="11"/>
        <v>1.0441051212287928</v>
      </c>
      <c r="AJ41" s="98">
        <f t="shared" si="12"/>
        <v>1.8445884560870562E-3</v>
      </c>
      <c r="AK41" s="99">
        <f t="shared" si="13"/>
        <v>1.8466384781096643E-3</v>
      </c>
      <c r="AL41" s="95">
        <f>'Op Cost-24'!B34/'Ridership-24'!B33</f>
        <v>4.8047717396261573</v>
      </c>
      <c r="AM41" s="96">
        <f>'Op Cost-24'!C34/'Ridership-24'!C33</f>
        <v>10.667829474265615</v>
      </c>
      <c r="AN41" s="96">
        <f>'Op Cost-24'!D34/'Ridership-24'!D33</f>
        <v>21.079216803884314</v>
      </c>
      <c r="AO41" s="96">
        <f>'Op Cost-24'!E34/'Ridership-24'!E33</f>
        <v>26.732734056987788</v>
      </c>
      <c r="AP41" s="100">
        <f t="shared" si="14"/>
        <v>1.5438760170177328</v>
      </c>
      <c r="AQ41" s="98">
        <f t="shared" si="15"/>
        <v>1.2474733931551749E-3</v>
      </c>
      <c r="AR41" s="99">
        <f t="shared" si="16"/>
        <v>1.3210248020923011E-3</v>
      </c>
      <c r="AT41" s="101">
        <f t="shared" si="27"/>
        <v>0</v>
      </c>
      <c r="AU41" s="102">
        <f t="shared" si="17"/>
        <v>0</v>
      </c>
      <c r="AV41" s="102">
        <f t="shared" si="18"/>
        <v>0</v>
      </c>
      <c r="AW41" s="102">
        <f t="shared" si="19"/>
        <v>0</v>
      </c>
      <c r="AX41" s="103">
        <f t="shared" si="20"/>
        <v>0</v>
      </c>
      <c r="AY41" s="104">
        <f t="shared" si="28"/>
        <v>-1</v>
      </c>
      <c r="AZ41" s="105">
        <f t="shared" si="21"/>
        <v>0</v>
      </c>
      <c r="BA41" s="106">
        <f t="shared" si="21"/>
        <v>0</v>
      </c>
      <c r="BB41" s="106">
        <f t="shared" si="21"/>
        <v>0</v>
      </c>
      <c r="BC41" s="106">
        <f t="shared" si="21"/>
        <v>0</v>
      </c>
      <c r="BD41" s="106">
        <f t="shared" si="21"/>
        <v>0</v>
      </c>
      <c r="BE41" s="107">
        <f t="shared" si="29"/>
        <v>243830.04993088442</v>
      </c>
      <c r="BG41" s="108">
        <f>'Op Cost-24'!E34</f>
        <v>788081</v>
      </c>
      <c r="BH41" s="109">
        <f t="shared" si="22"/>
        <v>0.30939719385556108</v>
      </c>
      <c r="BI41" s="110">
        <f t="shared" si="23"/>
        <v>236424.3</v>
      </c>
      <c r="BJ41" s="111">
        <f t="shared" si="24"/>
        <v>7405.7499308844272</v>
      </c>
      <c r="BK41" s="1">
        <f t="shared" si="30"/>
        <v>0.36082747691594208</v>
      </c>
      <c r="BL41" s="112">
        <f t="shared" si="31"/>
        <v>0.17247403697956515</v>
      </c>
      <c r="BM41" s="112">
        <f t="shared" si="32"/>
        <v>0.21607913186250124</v>
      </c>
      <c r="BN41" s="113">
        <f t="shared" si="33"/>
        <v>0.52737836941085103</v>
      </c>
      <c r="BO41" s="114">
        <f t="shared" si="25"/>
        <v>0</v>
      </c>
      <c r="BP41" s="115">
        <f t="shared" si="34"/>
        <v>6.9493360569281492E-4</v>
      </c>
      <c r="BQ41" s="116">
        <f t="shared" si="35"/>
        <v>0</v>
      </c>
      <c r="BR41" s="117">
        <f t="shared" si="36"/>
        <v>0</v>
      </c>
      <c r="BS41" s="118">
        <f t="shared" si="37"/>
        <v>236424.3</v>
      </c>
      <c r="BT41" s="119">
        <f t="shared" si="38"/>
        <v>236424.3</v>
      </c>
      <c r="BU41" s="119">
        <f t="shared" si="39"/>
        <v>236424.3</v>
      </c>
      <c r="BV41" s="119">
        <f t="shared" si="56"/>
        <v>0</v>
      </c>
      <c r="BW41" s="120">
        <f t="shared" si="40"/>
        <v>0</v>
      </c>
      <c r="BX41" s="121">
        <f t="shared" si="41"/>
        <v>0</v>
      </c>
      <c r="BY41" s="122">
        <f t="shared" si="42"/>
        <v>236424.3</v>
      </c>
      <c r="BZ41" s="123">
        <f t="shared" si="58"/>
        <v>2972609791344.3643</v>
      </c>
      <c r="CA41" s="111">
        <f t="shared" si="57"/>
        <v>2972610027769</v>
      </c>
      <c r="CC41" s="124">
        <f t="shared" si="26"/>
        <v>1</v>
      </c>
      <c r="CD41" s="17"/>
      <c r="CE41" s="108">
        <f t="shared" si="44"/>
        <v>788081</v>
      </c>
      <c r="CF41" s="125">
        <f t="shared" si="45"/>
        <v>3771960.0241206172</v>
      </c>
      <c r="CG41" s="110">
        <f t="shared" si="46"/>
        <v>236424.3</v>
      </c>
      <c r="CH41" s="126">
        <f t="shared" si="47"/>
        <v>2972609791344.7002</v>
      </c>
      <c r="CJ41" s="127">
        <f t="shared" si="48"/>
        <v>0</v>
      </c>
      <c r="CK41" s="128" t="e">
        <f t="shared" si="49"/>
        <v>#DIV/0!</v>
      </c>
      <c r="CL41" s="129" t="e">
        <f t="shared" si="50"/>
        <v>#DIV/0!</v>
      </c>
      <c r="CM41" s="130" t="e">
        <f t="shared" si="51"/>
        <v>#DIV/0!</v>
      </c>
      <c r="CO41" s="131" t="e">
        <f t="shared" si="52"/>
        <v>#DIV/0!</v>
      </c>
      <c r="CP41" s="1">
        <f t="shared" si="53"/>
        <v>0</v>
      </c>
      <c r="CQ41" s="132">
        <f t="shared" si="54"/>
        <v>0.3</v>
      </c>
      <c r="CS41" s="104">
        <f t="shared" si="55"/>
        <v>5.6075216301034662E-4</v>
      </c>
    </row>
    <row r="42" spans="1:97">
      <c r="A42" s="133" t="s">
        <v>120</v>
      </c>
      <c r="B42" s="90" t="s">
        <v>121</v>
      </c>
      <c r="C42" s="208">
        <f>'Op Cost-24'!E35</f>
        <v>2522688</v>
      </c>
      <c r="D42" s="92">
        <f>'Ridership-24'!$E34</f>
        <v>162733</v>
      </c>
      <c r="E42" s="92">
        <f>'Revenue Hours-24'!$F34</f>
        <v>36937</v>
      </c>
      <c r="F42" s="92">
        <f>'Revenue Miles-24'!$F34</f>
        <v>710177</v>
      </c>
      <c r="G42" s="134">
        <f t="shared" si="59"/>
        <v>6.3274685795238466E-3</v>
      </c>
      <c r="H42" s="94">
        <f t="shared" si="60"/>
        <v>5.9735818457486338E-3</v>
      </c>
      <c r="J42" s="95">
        <f>'Ridership-24'!B34/'Revenue Hours-24'!C34</f>
        <v>8.7030537830446679</v>
      </c>
      <c r="K42" s="96">
        <f>'Ridership-24'!C34/'Revenue Hours-24'!D34</f>
        <v>8.9718507404266425</v>
      </c>
      <c r="L42" s="96">
        <f>'Ridership-24'!D34/'Revenue Hours-24'!E34</f>
        <v>4.4820247253569612</v>
      </c>
      <c r="M42" s="96">
        <f>'Ridership-24'!E34/'Revenue Hours-24'!F34</f>
        <v>4.4056907707718551</v>
      </c>
      <c r="N42" s="97">
        <f t="shared" si="2"/>
        <v>0.9234994985351318</v>
      </c>
      <c r="O42" s="98">
        <f t="shared" si="3"/>
        <v>5.51659983900743E-3</v>
      </c>
      <c r="P42" s="99">
        <f t="shared" si="4"/>
        <v>5.2933828060768738E-3</v>
      </c>
      <c r="Q42" s="95">
        <f>'Ridership-24'!B34/'Revenue Miles-24'!C34</f>
        <v>0.47321678296920194</v>
      </c>
      <c r="R42" s="96">
        <f>'Ridership-24'!C34/'Revenue Miles-24'!D34</f>
        <v>0.47298136165339449</v>
      </c>
      <c r="S42" s="96">
        <f>'Ridership-24'!D34/'Revenue Miles-24'!E34</f>
        <v>0.24753017027607868</v>
      </c>
      <c r="T42" s="96">
        <f>'Ridership-24'!E34/'Revenue Miles-24'!F34</f>
        <v>0.22914428374898088</v>
      </c>
      <c r="U42" s="97">
        <f t="shared" si="5"/>
        <v>0.91652715051762312</v>
      </c>
      <c r="V42" s="98">
        <f t="shared" si="6"/>
        <v>5.4749499474677993E-3</v>
      </c>
      <c r="W42" s="99">
        <f t="shared" si="7"/>
        <v>5.2718810871895967E-3</v>
      </c>
      <c r="X42" s="95">
        <f>'Op Cost-24'!B35/'Revenue Hours-24'!C34</f>
        <v>67.114175022789425</v>
      </c>
      <c r="Y42" s="96">
        <f>'Op Cost-24'!C35/'Revenue Hours-24'!D34</f>
        <v>69.175941026811927</v>
      </c>
      <c r="Z42" s="96">
        <f>'Op Cost-24'!D35/'Revenue Hours-24'!E34</f>
        <v>68.510851019247468</v>
      </c>
      <c r="AA42" s="96">
        <f>'Op Cost-24'!E35/'Revenue Hours-24'!F34</f>
        <v>68.297046322116032</v>
      </c>
      <c r="AB42" s="97">
        <f t="shared" si="8"/>
        <v>0.93911063246421012</v>
      </c>
      <c r="AC42" s="98">
        <f t="shared" si="9"/>
        <v>6.3608925713832653E-3</v>
      </c>
      <c r="AD42" s="99">
        <f t="shared" si="10"/>
        <v>6.3969808282549386E-3</v>
      </c>
      <c r="AE42" s="95">
        <f>'Op Cost-24'!B35/'Revenue Miles-24'!C34</f>
        <v>3.649242528845507</v>
      </c>
      <c r="AF42" s="96">
        <f>'Op Cost-24'!C35/'Revenue Miles-24'!D34</f>
        <v>3.6468429677599077</v>
      </c>
      <c r="AG42" s="96">
        <f>'Op Cost-24'!D35/'Revenue Miles-24'!E34</f>
        <v>3.7836700281038187</v>
      </c>
      <c r="AH42" s="96">
        <f>'Op Cost-24'!E35/'Revenue Miles-24'!F34</f>
        <v>3.5521961426517614</v>
      </c>
      <c r="AI42" s="97">
        <f t="shared" si="11"/>
        <v>0.92788520953180242</v>
      </c>
      <c r="AJ42" s="98">
        <f t="shared" si="12"/>
        <v>6.4378457425383661E-3</v>
      </c>
      <c r="AK42" s="99">
        <f t="shared" si="13"/>
        <v>6.4450005772695527E-3</v>
      </c>
      <c r="AL42" s="95">
        <f>'Op Cost-24'!B35/'Ridership-24'!B34</f>
        <v>7.7115661577941292</v>
      </c>
      <c r="AM42" s="96">
        <f>'Op Cost-24'!C35/'Ridership-24'!C34</f>
        <v>7.7103312380252964</v>
      </c>
      <c r="AN42" s="96">
        <f>'Op Cost-24'!D35/'Ridership-24'!D34</f>
        <v>15.285692341599267</v>
      </c>
      <c r="AO42" s="96">
        <f>'Op Cost-24'!E35/'Ridership-24'!E34</f>
        <v>15.502006353966314</v>
      </c>
      <c r="AP42" s="100">
        <f t="shared" si="14"/>
        <v>1.0383695060729243</v>
      </c>
      <c r="AQ42" s="98">
        <f t="shared" si="15"/>
        <v>5.7528479128210368E-3</v>
      </c>
      <c r="AR42" s="99">
        <f t="shared" si="16"/>
        <v>6.0920375674547046E-3</v>
      </c>
      <c r="AT42" s="101">
        <f t="shared" si="27"/>
        <v>0</v>
      </c>
      <c r="AU42" s="102">
        <f t="shared" si="17"/>
        <v>0</v>
      </c>
      <c r="AV42" s="102">
        <f t="shared" si="18"/>
        <v>0</v>
      </c>
      <c r="AW42" s="102">
        <f t="shared" si="19"/>
        <v>0</v>
      </c>
      <c r="AX42" s="103">
        <f t="shared" si="20"/>
        <v>0</v>
      </c>
      <c r="AY42" s="104">
        <f t="shared" si="28"/>
        <v>-1</v>
      </c>
      <c r="AZ42" s="105">
        <f t="shared" si="21"/>
        <v>0</v>
      </c>
      <c r="BA42" s="106">
        <f t="shared" si="21"/>
        <v>0</v>
      </c>
      <c r="BB42" s="106">
        <f t="shared" si="21"/>
        <v>0</v>
      </c>
      <c r="BC42" s="106">
        <f t="shared" si="21"/>
        <v>0</v>
      </c>
      <c r="BD42" s="106">
        <f t="shared" si="21"/>
        <v>0</v>
      </c>
      <c r="BE42" s="107">
        <f t="shared" si="29"/>
        <v>756272.54372642306</v>
      </c>
      <c r="BG42" s="108">
        <f>'Op Cost-24'!E35</f>
        <v>2522688</v>
      </c>
      <c r="BH42" s="109">
        <f t="shared" si="22"/>
        <v>0.29978837800252073</v>
      </c>
      <c r="BI42" s="110">
        <f t="shared" si="23"/>
        <v>756272.54372642306</v>
      </c>
      <c r="BJ42" s="111">
        <f t="shared" si="24"/>
        <v>0</v>
      </c>
      <c r="BK42" s="1">
        <f t="shared" si="30"/>
        <v>0.67016263632925643</v>
      </c>
      <c r="BL42" s="112">
        <f t="shared" si="31"/>
        <v>0.49205787788387789</v>
      </c>
      <c r="BM42" s="112">
        <f t="shared" si="32"/>
        <v>0.36969705160713739</v>
      </c>
      <c r="BN42" s="113">
        <f t="shared" si="33"/>
        <v>0.90944780791300528</v>
      </c>
      <c r="BO42" s="114">
        <f t="shared" si="25"/>
        <v>0</v>
      </c>
      <c r="BP42" s="115">
        <f t="shared" si="34"/>
        <v>4.0032713580754904E-3</v>
      </c>
      <c r="BQ42" s="116">
        <f t="shared" si="35"/>
        <v>0</v>
      </c>
      <c r="BR42" s="117">
        <f t="shared" si="36"/>
        <v>0</v>
      </c>
      <c r="BS42" s="118">
        <f t="shared" si="37"/>
        <v>756272.54372642306</v>
      </c>
      <c r="BT42" s="119">
        <f t="shared" si="38"/>
        <v>756806.4</v>
      </c>
      <c r="BU42" s="119">
        <f t="shared" si="39"/>
        <v>756272.54372642306</v>
      </c>
      <c r="BV42" s="119">
        <f t="shared" si="56"/>
        <v>0</v>
      </c>
      <c r="BW42" s="120">
        <f t="shared" si="40"/>
        <v>4.0032713580754904E-3</v>
      </c>
      <c r="BX42" s="121">
        <f t="shared" si="41"/>
        <v>8.8944153958309003E-3</v>
      </c>
      <c r="BY42" s="122">
        <f t="shared" si="42"/>
        <v>776092.21006034093</v>
      </c>
      <c r="BZ42" s="123">
        <f t="shared" si="58"/>
        <v>9757961861836.7773</v>
      </c>
      <c r="CA42" s="111">
        <f t="shared" si="57"/>
        <v>9757962618109</v>
      </c>
      <c r="CC42" s="124">
        <f t="shared" si="26"/>
        <v>1</v>
      </c>
      <c r="CD42" s="17"/>
      <c r="CE42" s="108">
        <f t="shared" si="44"/>
        <v>2522688</v>
      </c>
      <c r="CF42" s="125">
        <f t="shared" si="45"/>
        <v>3868081.4346082434</v>
      </c>
      <c r="CG42" s="110">
        <f t="shared" si="46"/>
        <v>756806.4</v>
      </c>
      <c r="CH42" s="126">
        <f t="shared" si="47"/>
        <v>9757961861302.5996</v>
      </c>
      <c r="CJ42" s="127">
        <f t="shared" si="48"/>
        <v>0</v>
      </c>
      <c r="CK42" s="128" t="e">
        <f t="shared" si="49"/>
        <v>#DIV/0!</v>
      </c>
      <c r="CL42" s="129" t="e">
        <f t="shared" si="50"/>
        <v>#DIV/0!</v>
      </c>
      <c r="CM42" s="130" t="e">
        <f t="shared" si="51"/>
        <v>#DIV/0!</v>
      </c>
      <c r="CO42" s="131" t="e">
        <f t="shared" si="52"/>
        <v>#DIV/0!</v>
      </c>
      <c r="CP42" s="1">
        <f t="shared" si="53"/>
        <v>1</v>
      </c>
      <c r="CQ42" s="132">
        <f t="shared" si="54"/>
        <v>0.30764494462269648</v>
      </c>
      <c r="CS42" s="104">
        <f t="shared" si="55"/>
        <v>3.2302986281980131E-3</v>
      </c>
    </row>
    <row r="43" spans="1:97">
      <c r="A43" s="133" t="s">
        <v>120</v>
      </c>
      <c r="B43" s="90" t="s">
        <v>122</v>
      </c>
      <c r="C43" s="208">
        <f>'Op Cost-24'!E36</f>
        <v>5960670</v>
      </c>
      <c r="D43" s="92">
        <f>'Ridership-24'!$E35</f>
        <v>1360253</v>
      </c>
      <c r="E43" s="92">
        <f>'Revenue Hours-24'!$F35</f>
        <v>74536</v>
      </c>
      <c r="F43" s="92">
        <f>'Revenue Miles-24'!$F35</f>
        <v>753636</v>
      </c>
      <c r="G43" s="134">
        <f t="shared" si="59"/>
        <v>2.1074798479745492E-2</v>
      </c>
      <c r="H43" s="94">
        <f t="shared" si="60"/>
        <v>1.9896113590957124E-2</v>
      </c>
      <c r="J43" s="95">
        <f>'Ridership-24'!B35/'Revenue Hours-24'!C35</f>
        <v>27.350763625087215</v>
      </c>
      <c r="K43" s="96">
        <f>'Ridership-24'!C35/'Revenue Hours-24'!D35</f>
        <v>28.025032050011234</v>
      </c>
      <c r="L43" s="96">
        <f>'Ridership-24'!D35/'Revenue Hours-24'!E35</f>
        <v>6.5232631919715116</v>
      </c>
      <c r="M43" s="96">
        <f>'Ridership-24'!E35/'Revenue Hours-24'!F35</f>
        <v>18.24961092626382</v>
      </c>
      <c r="N43" s="97">
        <f t="shared" si="2"/>
        <v>1.2177722543573253</v>
      </c>
      <c r="O43" s="98">
        <f t="shared" si="3"/>
        <v>2.4228935100609274E-2</v>
      </c>
      <c r="P43" s="99">
        <f t="shared" si="4"/>
        <v>2.324856473443131E-2</v>
      </c>
      <c r="Q43" s="95">
        <f>'Ridership-24'!B35/'Revenue Miles-24'!C35</f>
        <v>2.7826950582098497</v>
      </c>
      <c r="R43" s="96">
        <f>'Ridership-24'!C35/'Revenue Miles-24'!D35</f>
        <v>2.8699282943585609</v>
      </c>
      <c r="S43" s="96">
        <f>'Ridership-24'!D35/'Revenue Miles-24'!E35</f>
        <v>0.66929775146545356</v>
      </c>
      <c r="T43" s="96">
        <f>'Ridership-24'!E35/'Revenue Miles-24'!F35</f>
        <v>1.8049204125068334</v>
      </c>
      <c r="U43" s="97">
        <f t="shared" si="5"/>
        <v>1.2111775195672629</v>
      </c>
      <c r="V43" s="98">
        <f t="shared" si="6"/>
        <v>2.4097725508123957E-2</v>
      </c>
      <c r="W43" s="99">
        <f t="shared" si="7"/>
        <v>2.3203927811124923E-2</v>
      </c>
      <c r="X43" s="95">
        <f>'Op Cost-24'!B36/'Revenue Hours-24'!C35</f>
        <v>60.134222291133682</v>
      </c>
      <c r="Y43" s="96">
        <f>'Op Cost-24'!C36/'Revenue Hours-24'!D35</f>
        <v>65.071448396177786</v>
      </c>
      <c r="Z43" s="96">
        <f>'Op Cost-24'!D36/'Revenue Hours-24'!E35</f>
        <v>76.682473292327614</v>
      </c>
      <c r="AA43" s="96">
        <f>'Op Cost-24'!E36/'Revenue Hours-24'!F35</f>
        <v>79.970349898035849</v>
      </c>
      <c r="AB43" s="97">
        <f t="shared" si="8"/>
        <v>1.0225563424064019</v>
      </c>
      <c r="AC43" s="98">
        <f t="shared" si="9"/>
        <v>1.9457229656544117E-2</v>
      </c>
      <c r="AD43" s="99">
        <f t="shared" si="10"/>
        <v>1.9567619431874628E-2</v>
      </c>
      <c r="AE43" s="95">
        <f>'Op Cost-24'!B36/'Revenue Miles-24'!C35</f>
        <v>6.1181181444361483</v>
      </c>
      <c r="AF43" s="96">
        <f>'Op Cost-24'!C36/'Revenue Miles-24'!D35</f>
        <v>6.6636994588917435</v>
      </c>
      <c r="AG43" s="96">
        <f>'Op Cost-24'!D36/'Revenue Miles-24'!E35</f>
        <v>7.8677504557122129</v>
      </c>
      <c r="AH43" s="96">
        <f>'Op Cost-24'!E36/'Revenue Miles-24'!F35</f>
        <v>7.9092161202490328</v>
      </c>
      <c r="AI43" s="97">
        <f t="shared" si="11"/>
        <v>1.0186025700982582</v>
      </c>
      <c r="AJ43" s="98">
        <f t="shared" si="12"/>
        <v>1.9532754162438319E-2</v>
      </c>
      <c r="AK43" s="99">
        <f t="shared" si="13"/>
        <v>1.9554462297964727E-2</v>
      </c>
      <c r="AL43" s="95">
        <f>'Op Cost-24'!B36/'Ridership-24'!B35</f>
        <v>2.1986304702650483</v>
      </c>
      <c r="AM43" s="96">
        <f>'Op Cost-24'!C36/'Ridership-24'!C35</f>
        <v>2.3219045130816078</v>
      </c>
      <c r="AN43" s="96">
        <f>'Op Cost-24'!D36/'Ridership-24'!D35</f>
        <v>11.755232164586637</v>
      </c>
      <c r="AO43" s="96">
        <f>'Op Cost-24'!E36/'Ridership-24'!E35</f>
        <v>4.3820304016973317</v>
      </c>
      <c r="AP43" s="100">
        <f t="shared" si="14"/>
        <v>1.2138335695226248</v>
      </c>
      <c r="AQ43" s="98">
        <f t="shared" si="15"/>
        <v>1.639113803614926E-2</v>
      </c>
      <c r="AR43" s="99">
        <f t="shared" si="16"/>
        <v>1.7357564497231893E-2</v>
      </c>
      <c r="AT43" s="101">
        <f t="shared" si="27"/>
        <v>0</v>
      </c>
      <c r="AU43" s="102">
        <f t="shared" si="17"/>
        <v>0</v>
      </c>
      <c r="AV43" s="102">
        <f t="shared" si="18"/>
        <v>0</v>
      </c>
      <c r="AW43" s="102">
        <f t="shared" si="19"/>
        <v>0</v>
      </c>
      <c r="AX43" s="103">
        <f t="shared" si="20"/>
        <v>0</v>
      </c>
      <c r="AY43" s="104">
        <f t="shared" si="28"/>
        <v>-1</v>
      </c>
      <c r="AZ43" s="105">
        <f t="shared" si="21"/>
        <v>0</v>
      </c>
      <c r="BA43" s="106">
        <f t="shared" si="21"/>
        <v>0</v>
      </c>
      <c r="BB43" s="106">
        <f t="shared" si="21"/>
        <v>0</v>
      </c>
      <c r="BC43" s="106">
        <f t="shared" si="21"/>
        <v>0</v>
      </c>
      <c r="BD43" s="106">
        <f t="shared" si="21"/>
        <v>0</v>
      </c>
      <c r="BE43" s="107">
        <f t="shared" si="29"/>
        <v>2518904.8755415962</v>
      </c>
      <c r="BG43" s="108">
        <f>'Op Cost-24'!E36</f>
        <v>5960670</v>
      </c>
      <c r="BH43" s="109">
        <f t="shared" si="22"/>
        <v>0.42258754058547043</v>
      </c>
      <c r="BI43" s="110">
        <f t="shared" si="23"/>
        <v>1788201</v>
      </c>
      <c r="BJ43" s="111">
        <f t="shared" si="24"/>
        <v>730703.87554159621</v>
      </c>
      <c r="BK43" s="1">
        <f t="shared" si="30"/>
        <v>2.8462120133404643</v>
      </c>
      <c r="BL43" s="112">
        <f t="shared" si="31"/>
        <v>2.0382421944267728</v>
      </c>
      <c r="BM43" s="112">
        <f t="shared" si="32"/>
        <v>2.9120244414226293</v>
      </c>
      <c r="BN43" s="113">
        <f t="shared" si="33"/>
        <v>3.2172907087562272</v>
      </c>
      <c r="BO43" s="114">
        <f t="shared" si="25"/>
        <v>0</v>
      </c>
      <c r="BP43" s="115">
        <f t="shared" si="34"/>
        <v>5.6628557521368646E-2</v>
      </c>
      <c r="BQ43" s="116">
        <f t="shared" si="35"/>
        <v>0</v>
      </c>
      <c r="BR43" s="117">
        <f t="shared" si="36"/>
        <v>0</v>
      </c>
      <c r="BS43" s="118">
        <f t="shared" si="37"/>
        <v>1788201</v>
      </c>
      <c r="BT43" s="119">
        <f t="shared" si="38"/>
        <v>1788201</v>
      </c>
      <c r="BU43" s="119">
        <f t="shared" si="39"/>
        <v>1788201</v>
      </c>
      <c r="BV43" s="119">
        <f t="shared" si="56"/>
        <v>0</v>
      </c>
      <c r="BW43" s="120">
        <f t="shared" si="40"/>
        <v>0</v>
      </c>
      <c r="BX43" s="121">
        <f t="shared" si="41"/>
        <v>0</v>
      </c>
      <c r="BY43" s="122">
        <f t="shared" si="42"/>
        <v>1788201</v>
      </c>
      <c r="BZ43" s="123">
        <f t="shared" si="58"/>
        <v>22483407168771.5</v>
      </c>
      <c r="CA43" s="111">
        <f t="shared" si="57"/>
        <v>22483408956973</v>
      </c>
      <c r="CC43" s="124">
        <f t="shared" si="26"/>
        <v>1</v>
      </c>
      <c r="CD43" s="17"/>
      <c r="CE43" s="108">
        <f t="shared" si="44"/>
        <v>5960670</v>
      </c>
      <c r="CF43" s="125">
        <f t="shared" si="45"/>
        <v>3771960.0241202749</v>
      </c>
      <c r="CG43" s="110">
        <f t="shared" si="46"/>
        <v>1788201</v>
      </c>
      <c r="CH43" s="126">
        <f t="shared" si="47"/>
        <v>22483407168772</v>
      </c>
      <c r="CJ43" s="127">
        <f t="shared" si="48"/>
        <v>0</v>
      </c>
      <c r="CK43" s="128" t="e">
        <f t="shared" si="49"/>
        <v>#DIV/0!</v>
      </c>
      <c r="CL43" s="129" t="e">
        <f t="shared" si="50"/>
        <v>#DIV/0!</v>
      </c>
      <c r="CM43" s="130" t="e">
        <f t="shared" si="51"/>
        <v>#DIV/0!</v>
      </c>
      <c r="CO43" s="131" t="e">
        <f t="shared" si="52"/>
        <v>#DIV/0!</v>
      </c>
      <c r="CP43" s="1">
        <f t="shared" si="53"/>
        <v>0</v>
      </c>
      <c r="CQ43" s="132">
        <f t="shared" si="54"/>
        <v>0.3</v>
      </c>
      <c r="CS43" s="104">
        <f t="shared" si="55"/>
        <v>4.5694417219333532E-2</v>
      </c>
    </row>
    <row r="44" spans="1:97">
      <c r="A44" s="133" t="s">
        <v>120</v>
      </c>
      <c r="B44" s="90" t="s">
        <v>123</v>
      </c>
      <c r="C44" s="208">
        <f>'Op Cost-24'!E37</f>
        <v>1423713</v>
      </c>
      <c r="D44" s="92">
        <f>'Ridership-24'!$E36</f>
        <v>134223</v>
      </c>
      <c r="E44" s="92">
        <f>'Revenue Hours-24'!$F36</f>
        <v>17310</v>
      </c>
      <c r="F44" s="92">
        <f>'Revenue Miles-24'!$F36</f>
        <v>185237</v>
      </c>
      <c r="G44" s="93">
        <f t="shared" si="59"/>
        <v>3.3073235794176914E-3</v>
      </c>
      <c r="H44" s="94">
        <f t="shared" si="60"/>
        <v>3.1223494583536324E-3</v>
      </c>
      <c r="J44" s="95">
        <f>'Ridership-24'!B36/'Revenue Hours-24'!C36</f>
        <v>7.7310729471533488</v>
      </c>
      <c r="K44" s="96">
        <f>'Ridership-24'!C36/'Revenue Hours-24'!D36</f>
        <v>7.608599966141866</v>
      </c>
      <c r="L44" s="96">
        <f>'Ridership-24'!D36/'Revenue Hours-24'!E36</f>
        <v>5.1692512721104915</v>
      </c>
      <c r="M44" s="96">
        <f>'Ridership-24'!E36/'Revenue Hours-24'!F36</f>
        <v>7.7540727902946278</v>
      </c>
      <c r="N44" s="97">
        <f t="shared" si="2"/>
        <v>1.1583121090765018</v>
      </c>
      <c r="O44" s="98">
        <f t="shared" si="3"/>
        <v>3.616655186379469E-3</v>
      </c>
      <c r="P44" s="99">
        <f t="shared" si="4"/>
        <v>3.4703152191177169E-3</v>
      </c>
      <c r="Q44" s="95">
        <f>'Ridership-24'!B36/'Revenue Miles-24'!C36</f>
        <v>0.72165979381443301</v>
      </c>
      <c r="R44" s="96">
        <f>'Ridership-24'!C36/'Revenue Miles-24'!D36</f>
        <v>0.70818473562300743</v>
      </c>
      <c r="S44" s="96">
        <f>'Ridership-24'!D36/'Revenue Miles-24'!E36</f>
        <v>0.48672727894958989</v>
      </c>
      <c r="T44" s="96">
        <f>'Ridership-24'!E36/'Revenue Miles-24'!F36</f>
        <v>0.72460145651246777</v>
      </c>
      <c r="U44" s="97">
        <f t="shared" si="5"/>
        <v>1.164432865063014</v>
      </c>
      <c r="V44" s="98">
        <f t="shared" si="6"/>
        <v>3.6357663255186701E-3</v>
      </c>
      <c r="W44" s="99">
        <f t="shared" si="7"/>
        <v>3.5009137823821946E-3</v>
      </c>
      <c r="X44" s="95">
        <f>'Op Cost-24'!B37/'Revenue Hours-24'!C36</f>
        <v>56.649621735048868</v>
      </c>
      <c r="Y44" s="96">
        <f>'Op Cost-24'!C37/'Revenue Hours-24'!D36</f>
        <v>63.818012527509737</v>
      </c>
      <c r="Z44" s="96">
        <f>'Op Cost-24'!D37/'Revenue Hours-24'!E36</f>
        <v>76.918100314998782</v>
      </c>
      <c r="AA44" s="96">
        <f>'Op Cost-24'!E37/'Revenue Hours-24'!F36</f>
        <v>82.248006932409012</v>
      </c>
      <c r="AB44" s="97">
        <f t="shared" si="8"/>
        <v>1.0532047630257686</v>
      </c>
      <c r="AC44" s="98">
        <f t="shared" si="9"/>
        <v>2.9646176773673004E-3</v>
      </c>
      <c r="AD44" s="99">
        <f t="shared" si="10"/>
        <v>2.9814373112577483E-3</v>
      </c>
      <c r="AE44" s="95">
        <f>'Op Cost-24'!B37/'Revenue Miles-24'!C36</f>
        <v>5.2879793814432992</v>
      </c>
      <c r="AF44" s="96">
        <f>'Op Cost-24'!C37/'Revenue Miles-24'!D36</f>
        <v>5.9399814066841392</v>
      </c>
      <c r="AG44" s="96">
        <f>'Op Cost-24'!D37/'Revenue Miles-24'!E36</f>
        <v>7.2424681443287211</v>
      </c>
      <c r="AH44" s="96">
        <f>'Op Cost-24'!E37/'Revenue Miles-24'!F36</f>
        <v>7.6858996852680619</v>
      </c>
      <c r="AI44" s="97">
        <f t="shared" si="11"/>
        <v>1.0592800607325368</v>
      </c>
      <c r="AJ44" s="98">
        <f t="shared" si="12"/>
        <v>2.9476146810451585E-3</v>
      </c>
      <c r="AK44" s="99">
        <f t="shared" si="13"/>
        <v>2.950890574369962E-3</v>
      </c>
      <c r="AL44" s="95">
        <f>'Op Cost-24'!B37/'Ridership-24'!B36</f>
        <v>7.3275238925158215</v>
      </c>
      <c r="AM44" s="96">
        <f>'Op Cost-24'!C37/'Ridership-24'!C36</f>
        <v>8.3876156995372018</v>
      </c>
      <c r="AN44" s="96">
        <f>'Op Cost-24'!D37/'Ridership-24'!D36</f>
        <v>14.879930625541988</v>
      </c>
      <c r="AO44" s="96">
        <f>'Op Cost-24'!E37/'Ridership-24'!E36</f>
        <v>10.607071813325586</v>
      </c>
      <c r="AP44" s="100">
        <f t="shared" si="14"/>
        <v>0.9271831994846752</v>
      </c>
      <c r="AQ44" s="98">
        <f t="shared" si="15"/>
        <v>3.3675647488964661E-3</v>
      </c>
      <c r="AR44" s="99">
        <f t="shared" si="16"/>
        <v>3.5661173860327714E-3</v>
      </c>
      <c r="AT44" s="101">
        <f t="shared" si="27"/>
        <v>0</v>
      </c>
      <c r="AU44" s="102">
        <f t="shared" si="17"/>
        <v>0</v>
      </c>
      <c r="AV44" s="102">
        <f t="shared" si="18"/>
        <v>0</v>
      </c>
      <c r="AW44" s="102">
        <f t="shared" si="19"/>
        <v>0</v>
      </c>
      <c r="AX44" s="103">
        <f t="shared" si="20"/>
        <v>0</v>
      </c>
      <c r="AY44" s="104">
        <f t="shared" si="28"/>
        <v>-1</v>
      </c>
      <c r="AZ44" s="105">
        <f t="shared" si="21"/>
        <v>0</v>
      </c>
      <c r="BA44" s="106">
        <f t="shared" si="21"/>
        <v>0</v>
      </c>
      <c r="BB44" s="106">
        <f t="shared" si="21"/>
        <v>0</v>
      </c>
      <c r="BC44" s="106">
        <f t="shared" si="21"/>
        <v>0</v>
      </c>
      <c r="BD44" s="106">
        <f t="shared" si="21"/>
        <v>0</v>
      </c>
      <c r="BE44" s="107">
        <f t="shared" si="29"/>
        <v>395298.37009808095</v>
      </c>
      <c r="BG44" s="108">
        <f>'Op Cost-24'!E37</f>
        <v>1423713</v>
      </c>
      <c r="BH44" s="109">
        <f t="shared" si="22"/>
        <v>0.27765312959710348</v>
      </c>
      <c r="BI44" s="110">
        <f t="shared" si="23"/>
        <v>395298.37009808095</v>
      </c>
      <c r="BJ44" s="111">
        <f t="shared" si="24"/>
        <v>0</v>
      </c>
      <c r="BK44" s="1">
        <f t="shared" si="30"/>
        <v>1.173340792656044</v>
      </c>
      <c r="BL44" s="112">
        <f t="shared" si="31"/>
        <v>0.8660282349959495</v>
      </c>
      <c r="BM44" s="112">
        <f t="shared" si="32"/>
        <v>1.1690582792645734</v>
      </c>
      <c r="BN44" s="113">
        <f t="shared" si="33"/>
        <v>1.3291383281818265</v>
      </c>
      <c r="BO44" s="114">
        <f t="shared" si="25"/>
        <v>395298.37009808095</v>
      </c>
      <c r="BP44" s="115">
        <f t="shared" si="34"/>
        <v>3.6635799884138205E-3</v>
      </c>
      <c r="BQ44" s="116">
        <f t="shared" si="35"/>
        <v>3.6635799884138205E-3</v>
      </c>
      <c r="BR44" s="117">
        <f t="shared" si="36"/>
        <v>6.1709861582352442E-3</v>
      </c>
      <c r="BS44" s="118">
        <f t="shared" si="37"/>
        <v>472887.40758796938</v>
      </c>
      <c r="BT44" s="119">
        <f t="shared" si="38"/>
        <v>427113.89999999997</v>
      </c>
      <c r="BU44" s="119">
        <f t="shared" si="39"/>
        <v>427113.89999999997</v>
      </c>
      <c r="BV44" s="119">
        <f t="shared" si="56"/>
        <v>45773.50758796942</v>
      </c>
      <c r="BW44" s="120">
        <f t="shared" si="40"/>
        <v>0</v>
      </c>
      <c r="BX44" s="121">
        <f t="shared" si="41"/>
        <v>0</v>
      </c>
      <c r="BY44" s="122">
        <f t="shared" si="42"/>
        <v>427113.89999999997</v>
      </c>
      <c r="BZ44" s="123">
        <f t="shared" si="58"/>
        <v>5370188094706.3301</v>
      </c>
      <c r="CA44" s="111">
        <f t="shared" si="57"/>
        <v>5370188490005</v>
      </c>
      <c r="CC44" s="124">
        <f t="shared" si="26"/>
        <v>1</v>
      </c>
      <c r="CD44" s="17"/>
      <c r="CE44" s="108">
        <f t="shared" si="44"/>
        <v>1423713</v>
      </c>
      <c r="CF44" s="125">
        <f t="shared" si="45"/>
        <v>3771960.0017735315</v>
      </c>
      <c r="CG44" s="110">
        <f t="shared" si="46"/>
        <v>427113.89999999997</v>
      </c>
      <c r="CH44" s="126">
        <f t="shared" si="47"/>
        <v>5370188062891.0996</v>
      </c>
      <c r="CJ44" s="127">
        <f t="shared" si="48"/>
        <v>0</v>
      </c>
      <c r="CK44" s="128" t="e">
        <f t="shared" si="49"/>
        <v>#DIV/0!</v>
      </c>
      <c r="CL44" s="129" t="e">
        <f t="shared" si="50"/>
        <v>#DIV/0!</v>
      </c>
      <c r="CM44" s="130" t="e">
        <f t="shared" si="51"/>
        <v>#DIV/0!</v>
      </c>
      <c r="CO44" s="131" t="e">
        <f t="shared" si="52"/>
        <v>#DIV/0!</v>
      </c>
      <c r="CP44" s="1">
        <f t="shared" si="53"/>
        <v>0</v>
      </c>
      <c r="CQ44" s="132">
        <f t="shared" si="54"/>
        <v>0.3</v>
      </c>
      <c r="CS44" s="104">
        <f t="shared" si="55"/>
        <v>2.956196658264027E-3</v>
      </c>
    </row>
    <row r="45" spans="1:97">
      <c r="A45" s="133" t="s">
        <v>124</v>
      </c>
      <c r="B45" s="90" t="s">
        <v>125</v>
      </c>
      <c r="C45" s="208">
        <f>'Op Cost-24'!E38</f>
        <v>4637640</v>
      </c>
      <c r="D45" s="92">
        <f>'Ridership-24'!$E37</f>
        <v>127135</v>
      </c>
      <c r="E45" s="92">
        <f>'Revenue Hours-24'!$F37</f>
        <v>60586</v>
      </c>
      <c r="F45" s="92">
        <f>'Revenue Miles-24'!$F37</f>
        <v>1402170</v>
      </c>
      <c r="G45" s="134">
        <f t="shared" si="59"/>
        <v>1.00611037094336E-2</v>
      </c>
      <c r="H45" s="94">
        <f t="shared" si="60"/>
        <v>9.498399827911827E-3</v>
      </c>
      <c r="J45" s="95">
        <f>'Ridership-24'!B37/'Revenue Hours-24'!C37</f>
        <v>2.2830581849901463</v>
      </c>
      <c r="K45" s="96">
        <f>'Ridership-24'!C37/'Revenue Hours-24'!D37</f>
        <v>2.3373679249962795</v>
      </c>
      <c r="L45" s="96">
        <f>'Ridership-24'!D37/'Revenue Hours-24'!E37</f>
        <v>1.944317205840252</v>
      </c>
      <c r="M45" s="96">
        <f>'Ridership-24'!E37/'Revenue Hours-24'!F37</f>
        <v>2.0984220777077214</v>
      </c>
      <c r="N45" s="97">
        <f t="shared" si="2"/>
        <v>1.1616293810859883</v>
      </c>
      <c r="O45" s="98">
        <f t="shared" si="3"/>
        <v>1.1033620313404473E-2</v>
      </c>
      <c r="P45" s="99">
        <f t="shared" si="4"/>
        <v>1.0587169227460998E-2</v>
      </c>
      <c r="Q45" s="95">
        <f>'Ridership-24'!B37/'Revenue Miles-24'!C37</f>
        <v>0.10105390351849336</v>
      </c>
      <c r="R45" s="96">
        <f>'Ridership-24'!C37/'Revenue Miles-24'!D37</f>
        <v>9.8864253896849164E-2</v>
      </c>
      <c r="S45" s="96">
        <f>'Ridership-24'!D37/'Revenue Miles-24'!E37</f>
        <v>8.4847547858705061E-2</v>
      </c>
      <c r="T45" s="96">
        <f>'Ridership-24'!E37/'Revenue Miles-24'!F37</f>
        <v>9.06701755136681E-2</v>
      </c>
      <c r="U45" s="97">
        <f t="shared" si="5"/>
        <v>1.1613529121666903</v>
      </c>
      <c r="V45" s="98">
        <f t="shared" si="6"/>
        <v>1.1030994301068991E-2</v>
      </c>
      <c r="W45" s="99">
        <f t="shared" si="7"/>
        <v>1.0621848745046243E-2</v>
      </c>
      <c r="X45" s="95">
        <f>'Op Cost-24'!B38/'Revenue Hours-24'!C37</f>
        <v>58.289454980131168</v>
      </c>
      <c r="Y45" s="96">
        <f>'Op Cost-24'!C38/'Revenue Hours-24'!D37</f>
        <v>59.71751244274683</v>
      </c>
      <c r="Z45" s="96">
        <f>'Op Cost-24'!D38/'Revenue Hours-24'!E37</f>
        <v>69.859111079301456</v>
      </c>
      <c r="AA45" s="96">
        <f>'Op Cost-24'!E38/'Revenue Hours-24'!F37</f>
        <v>76.546396857359781</v>
      </c>
      <c r="AB45" s="97">
        <f t="shared" si="8"/>
        <v>1.0189423271546556</v>
      </c>
      <c r="AC45" s="98">
        <f t="shared" si="9"/>
        <v>9.3218228105565338E-3</v>
      </c>
      <c r="AD45" s="99">
        <f t="shared" si="10"/>
        <v>9.3747097807929183E-3</v>
      </c>
      <c r="AE45" s="95">
        <f>'Op Cost-24'!B38/'Revenue Miles-24'!C37</f>
        <v>2.5800380377660677</v>
      </c>
      <c r="AF45" s="96">
        <f>'Op Cost-24'!C38/'Revenue Miles-24'!D37</f>
        <v>2.5258870240710474</v>
      </c>
      <c r="AG45" s="96">
        <f>'Op Cost-24'!D38/'Revenue Miles-24'!E37</f>
        <v>3.0485633994613872</v>
      </c>
      <c r="AH45" s="96">
        <f>'Op Cost-24'!E38/'Revenue Miles-24'!F37</f>
        <v>3.3074734162048824</v>
      </c>
      <c r="AI45" s="97">
        <f t="shared" si="11"/>
        <v>1.0165484061575014</v>
      </c>
      <c r="AJ45" s="98">
        <f t="shared" si="12"/>
        <v>9.3437752401927133E-3</v>
      </c>
      <c r="AK45" s="99">
        <f t="shared" si="13"/>
        <v>9.3541596405468871E-3</v>
      </c>
      <c r="AL45" s="95">
        <f>'Op Cost-24'!B38/'Ridership-24'!B37</f>
        <v>25.531305055364914</v>
      </c>
      <c r="AM45" s="96">
        <f>'Op Cost-24'!C38/'Ridership-24'!C37</f>
        <v>25.549042495242542</v>
      </c>
      <c r="AN45" s="96">
        <f>'Op Cost-24'!D38/'Ridership-24'!D37</f>
        <v>35.929893985128473</v>
      </c>
      <c r="AO45" s="96">
        <f>'Op Cost-24'!E38/'Ridership-24'!E37</f>
        <v>36.47807448774924</v>
      </c>
      <c r="AP45" s="100">
        <f t="shared" si="14"/>
        <v>0.9583100618876742</v>
      </c>
      <c r="AQ45" s="98">
        <f t="shared" si="15"/>
        <v>9.9116144196607185E-3</v>
      </c>
      <c r="AR45" s="99">
        <f t="shared" si="16"/>
        <v>1.0496006206617973E-2</v>
      </c>
      <c r="AT45" s="101">
        <f t="shared" si="27"/>
        <v>0</v>
      </c>
      <c r="AU45" s="102">
        <f t="shared" si="17"/>
        <v>0</v>
      </c>
      <c r="AV45" s="102">
        <f t="shared" si="18"/>
        <v>0</v>
      </c>
      <c r="AW45" s="102">
        <f t="shared" si="19"/>
        <v>0</v>
      </c>
      <c r="AX45" s="103">
        <f t="shared" si="20"/>
        <v>0</v>
      </c>
      <c r="AY45" s="104">
        <f t="shared" si="28"/>
        <v>-1</v>
      </c>
      <c r="AZ45" s="105">
        <f t="shared" si="21"/>
        <v>0</v>
      </c>
      <c r="BA45" s="106">
        <f t="shared" si="21"/>
        <v>0</v>
      </c>
      <c r="BB45" s="106">
        <f t="shared" si="21"/>
        <v>0</v>
      </c>
      <c r="BC45" s="106">
        <f t="shared" si="21"/>
        <v>0</v>
      </c>
      <c r="BD45" s="106">
        <f t="shared" si="21"/>
        <v>0</v>
      </c>
      <c r="BE45" s="107">
        <f t="shared" si="29"/>
        <v>1202524.5798377851</v>
      </c>
      <c r="BG45" s="108">
        <f>'Op Cost-24'!E38</f>
        <v>4637640</v>
      </c>
      <c r="BH45" s="109">
        <f t="shared" si="22"/>
        <v>0.25929666378541349</v>
      </c>
      <c r="BI45" s="110">
        <f t="shared" si="23"/>
        <v>1202524.5798377851</v>
      </c>
      <c r="BJ45" s="111">
        <f t="shared" si="24"/>
        <v>0</v>
      </c>
      <c r="BK45" s="1">
        <f t="shared" si="30"/>
        <v>0.28840595086501308</v>
      </c>
      <c r="BL45" s="112">
        <f t="shared" si="31"/>
        <v>0.23436622499963666</v>
      </c>
      <c r="BM45" s="112">
        <f t="shared" si="32"/>
        <v>0.14628554554223674</v>
      </c>
      <c r="BN45" s="113">
        <f t="shared" si="33"/>
        <v>0.38648601645908948</v>
      </c>
      <c r="BO45" s="114">
        <f t="shared" si="25"/>
        <v>1202524.5798377851</v>
      </c>
      <c r="BP45" s="115">
        <f t="shared" si="34"/>
        <v>2.7393950340649873E-3</v>
      </c>
      <c r="BQ45" s="116">
        <f t="shared" si="35"/>
        <v>2.7393950340649873E-3</v>
      </c>
      <c r="BR45" s="117">
        <f t="shared" si="36"/>
        <v>4.6142758969683288E-3</v>
      </c>
      <c r="BS45" s="118">
        <f t="shared" si="37"/>
        <v>1260540.789302262</v>
      </c>
      <c r="BT45" s="119">
        <f t="shared" si="38"/>
        <v>1391292</v>
      </c>
      <c r="BU45" s="119">
        <f t="shared" si="39"/>
        <v>1260540.789302262</v>
      </c>
      <c r="BV45" s="119">
        <f t="shared" si="56"/>
        <v>0</v>
      </c>
      <c r="BW45" s="120">
        <f t="shared" si="40"/>
        <v>2.7393950340649873E-3</v>
      </c>
      <c r="BX45" s="121">
        <f t="shared" si="41"/>
        <v>6.0863516826307725E-3</v>
      </c>
      <c r="BY45" s="122">
        <f t="shared" si="42"/>
        <v>1274103.1713332569</v>
      </c>
      <c r="BZ45" s="123">
        <f t="shared" si="58"/>
        <v>16019552822142.842</v>
      </c>
      <c r="CA45" s="111">
        <f t="shared" si="57"/>
        <v>16019554024667</v>
      </c>
      <c r="CC45" s="124">
        <f t="shared" si="26"/>
        <v>1</v>
      </c>
      <c r="CD45" s="17"/>
      <c r="CE45" s="108">
        <f t="shared" si="44"/>
        <v>4637640</v>
      </c>
      <c r="CF45" s="125">
        <f t="shared" si="45"/>
        <v>3454246.9930108846</v>
      </c>
      <c r="CG45" s="110">
        <f t="shared" si="46"/>
        <v>1391292</v>
      </c>
      <c r="CH45" s="126">
        <f t="shared" si="47"/>
        <v>16019552633375</v>
      </c>
      <c r="CJ45" s="127">
        <f t="shared" si="48"/>
        <v>0</v>
      </c>
      <c r="CK45" s="128" t="e">
        <f t="shared" si="49"/>
        <v>#DIV/0!</v>
      </c>
      <c r="CL45" s="129" t="e">
        <f t="shared" si="50"/>
        <v>#DIV/0!</v>
      </c>
      <c r="CM45" s="130" t="e">
        <f t="shared" si="51"/>
        <v>#DIV/0!</v>
      </c>
      <c r="CO45" s="131" t="e">
        <f t="shared" si="52"/>
        <v>#DIV/0!</v>
      </c>
      <c r="CP45" s="1">
        <f t="shared" si="53"/>
        <v>0</v>
      </c>
      <c r="CQ45" s="132">
        <f t="shared" si="54"/>
        <v>0.27473093455577768</v>
      </c>
      <c r="CS45" s="104">
        <f t="shared" si="55"/>
        <v>2.210458205083211E-3</v>
      </c>
    </row>
    <row r="46" spans="1:97">
      <c r="A46" s="133" t="s">
        <v>124</v>
      </c>
      <c r="B46" s="90" t="s">
        <v>126</v>
      </c>
      <c r="C46" s="208">
        <f>'Op Cost-24'!E39</f>
        <v>573381</v>
      </c>
      <c r="D46" s="92">
        <f>'Ridership-24'!$E38</f>
        <v>24049</v>
      </c>
      <c r="E46" s="92">
        <f>'Revenue Hours-24'!$F38</f>
        <v>15570</v>
      </c>
      <c r="F46" s="92">
        <f>'Revenue Miles-24'!$F38</f>
        <v>414537</v>
      </c>
      <c r="G46" s="134">
        <f t="shared" si="59"/>
        <v>2.1846805277742857E-3</v>
      </c>
      <c r="H46" s="94">
        <f t="shared" si="60"/>
        <v>2.0624943096051031E-3</v>
      </c>
      <c r="J46" s="95">
        <f>'Ridership-24'!B38/'Revenue Hours-24'!C38</f>
        <v>2.4957182320441991</v>
      </c>
      <c r="K46" s="96">
        <f>'Ridership-24'!C38/'Revenue Hours-24'!D38</f>
        <v>2.6155528221948887</v>
      </c>
      <c r="L46" s="96">
        <f>'Ridership-24'!D38/'Revenue Hours-24'!E38</f>
        <v>1.3983089137029627</v>
      </c>
      <c r="M46" s="96">
        <f>'Ridership-24'!E38/'Revenue Hours-24'!F38</f>
        <v>1.5445728965960179</v>
      </c>
      <c r="N46" s="97">
        <f t="shared" si="2"/>
        <v>0.98344145725361898</v>
      </c>
      <c r="O46" s="98">
        <f t="shared" si="3"/>
        <v>2.0283424094153396E-3</v>
      </c>
      <c r="P46" s="99">
        <f t="shared" si="4"/>
        <v>1.9462700119948352E-3</v>
      </c>
      <c r="Q46" s="95">
        <f>'Ridership-24'!B38/'Revenue Miles-24'!C38</f>
        <v>9.3473318279519824E-2</v>
      </c>
      <c r="R46" s="96">
        <f>'Ridership-24'!C38/'Revenue Miles-24'!D38</f>
        <v>9.9669556205390739E-2</v>
      </c>
      <c r="S46" s="96">
        <f>'Ridership-24'!D38/'Revenue Miles-24'!E38</f>
        <v>5.2832581392513109E-2</v>
      </c>
      <c r="T46" s="96">
        <f>'Ridership-24'!E38/'Revenue Miles-24'!F38</f>
        <v>5.8014121779238044E-2</v>
      </c>
      <c r="U46" s="97">
        <f t="shared" si="5"/>
        <v>0.98900730829066263</v>
      </c>
      <c r="V46" s="98">
        <f t="shared" si="6"/>
        <v>2.0398219455073515E-3</v>
      </c>
      <c r="W46" s="99">
        <f t="shared" si="7"/>
        <v>1.9641638442243936E-3</v>
      </c>
      <c r="X46" s="95">
        <f>'Op Cost-24'!B39/'Revenue Hours-24'!C38</f>
        <v>25.043991712707182</v>
      </c>
      <c r="Y46" s="96">
        <f>'Op Cost-24'!C39/'Revenue Hours-24'!D38</f>
        <v>27.952507858411916</v>
      </c>
      <c r="Z46" s="96">
        <f>'Op Cost-24'!D39/'Revenue Hours-24'!E38</f>
        <v>37.360937197444009</v>
      </c>
      <c r="AA46" s="96">
        <f>'Op Cost-24'!E39/'Revenue Hours-24'!F38</f>
        <v>36.826011560693644</v>
      </c>
      <c r="AB46" s="97">
        <f t="shared" si="8"/>
        <v>1.0578409227089491</v>
      </c>
      <c r="AC46" s="98">
        <f t="shared" si="9"/>
        <v>1.9497206671901185E-3</v>
      </c>
      <c r="AD46" s="99">
        <f t="shared" si="10"/>
        <v>1.9607823255149447E-3</v>
      </c>
      <c r="AE46" s="95">
        <f>'Op Cost-24'!B39/'Revenue Miles-24'!C38</f>
        <v>0.93798449612403101</v>
      </c>
      <c r="AF46" s="96">
        <f>'Op Cost-24'!C39/'Revenue Miles-24'!D38</f>
        <v>1.0651721614773884</v>
      </c>
      <c r="AG46" s="96">
        <f>'Op Cost-24'!D39/'Revenue Miles-24'!E38</f>
        <v>1.4116156566272406</v>
      </c>
      <c r="AH46" s="96">
        <f>'Op Cost-24'!E39/'Revenue Miles-24'!F38</f>
        <v>1.3831841307289821</v>
      </c>
      <c r="AI46" s="97">
        <f t="shared" si="11"/>
        <v>1.0641048167932705</v>
      </c>
      <c r="AJ46" s="98">
        <f t="shared" si="12"/>
        <v>1.9382435612128191E-3</v>
      </c>
      <c r="AK46" s="99">
        <f t="shared" si="13"/>
        <v>1.9403976687984719E-3</v>
      </c>
      <c r="AL46" s="95">
        <f>'Op Cost-24'!B39/'Ridership-24'!B38</f>
        <v>10.034783330566164</v>
      </c>
      <c r="AM46" s="96">
        <f>'Op Cost-24'!C39/'Ridership-24'!C38</f>
        <v>10.687036262932386</v>
      </c>
      <c r="AN46" s="96">
        <f>'Op Cost-24'!D39/'Ridership-24'!D38</f>
        <v>26.718657680945348</v>
      </c>
      <c r="AO46" s="96">
        <f>'Op Cost-24'!E39/'Ridership-24'!E38</f>
        <v>23.842197180755957</v>
      </c>
      <c r="AP46" s="100">
        <f t="shared" si="14"/>
        <v>1.0799884459077091</v>
      </c>
      <c r="AQ46" s="98">
        <f t="shared" si="15"/>
        <v>1.9097373841547138E-3</v>
      </c>
      <c r="AR46" s="99">
        <f t="shared" si="16"/>
        <v>2.0223360785037873E-3</v>
      </c>
      <c r="AT46" s="101">
        <f t="shared" si="27"/>
        <v>0</v>
      </c>
      <c r="AU46" s="102">
        <f t="shared" si="17"/>
        <v>0</v>
      </c>
      <c r="AV46" s="102">
        <f t="shared" si="18"/>
        <v>0</v>
      </c>
      <c r="AW46" s="102">
        <f t="shared" si="19"/>
        <v>0</v>
      </c>
      <c r="AX46" s="103">
        <f t="shared" si="20"/>
        <v>0</v>
      </c>
      <c r="AY46" s="104">
        <f t="shared" si="28"/>
        <v>-1</v>
      </c>
      <c r="AZ46" s="105">
        <f t="shared" si="21"/>
        <v>0</v>
      </c>
      <c r="BA46" s="106">
        <f t="shared" si="21"/>
        <v>0</v>
      </c>
      <c r="BB46" s="106">
        <f t="shared" si="21"/>
        <v>0</v>
      </c>
      <c r="BC46" s="106">
        <f t="shared" si="21"/>
        <v>0</v>
      </c>
      <c r="BD46" s="106">
        <f t="shared" si="21"/>
        <v>0</v>
      </c>
      <c r="BE46" s="107">
        <f t="shared" si="29"/>
        <v>261117.67750473379</v>
      </c>
      <c r="BG46" s="108">
        <f>'Op Cost-24'!E39</f>
        <v>573381</v>
      </c>
      <c r="BH46" s="109">
        <f t="shared" si="22"/>
        <v>0.45539994786142857</v>
      </c>
      <c r="BI46" s="110">
        <f t="shared" si="23"/>
        <v>172014.3</v>
      </c>
      <c r="BJ46" s="111">
        <f t="shared" si="24"/>
        <v>89103.377504733799</v>
      </c>
      <c r="BK46" s="1">
        <f t="shared" si="30"/>
        <v>0.36218470921107571</v>
      </c>
      <c r="BL46" s="112">
        <f t="shared" si="31"/>
        <v>0.17250853527399049</v>
      </c>
      <c r="BM46" s="112">
        <f t="shared" si="32"/>
        <v>9.3598886354314778E-2</v>
      </c>
      <c r="BN46" s="113">
        <f t="shared" si="33"/>
        <v>0.59131570760799879</v>
      </c>
      <c r="BO46" s="114">
        <f t="shared" si="25"/>
        <v>0</v>
      </c>
      <c r="BP46" s="115">
        <f t="shared" si="34"/>
        <v>7.470039017738226E-4</v>
      </c>
      <c r="BQ46" s="116">
        <f t="shared" si="35"/>
        <v>0</v>
      </c>
      <c r="BR46" s="117">
        <f t="shared" si="36"/>
        <v>0</v>
      </c>
      <c r="BS46" s="118">
        <f t="shared" si="37"/>
        <v>172014.3</v>
      </c>
      <c r="BT46" s="119">
        <f t="shared" si="38"/>
        <v>172014.3</v>
      </c>
      <c r="BU46" s="119">
        <f t="shared" si="39"/>
        <v>172014.3</v>
      </c>
      <c r="BV46" s="119">
        <f t="shared" si="56"/>
        <v>0</v>
      </c>
      <c r="BW46" s="120">
        <f t="shared" si="40"/>
        <v>0</v>
      </c>
      <c r="BX46" s="121">
        <f t="shared" si="41"/>
        <v>0</v>
      </c>
      <c r="BY46" s="122">
        <f t="shared" si="42"/>
        <v>172014.3</v>
      </c>
      <c r="BZ46" s="123">
        <f t="shared" si="58"/>
        <v>2162770038575.7593</v>
      </c>
      <c r="CA46" s="111">
        <f t="shared" si="57"/>
        <v>2162770210590</v>
      </c>
      <c r="CC46" s="124">
        <f t="shared" si="26"/>
        <v>1</v>
      </c>
      <c r="CD46" s="17"/>
      <c r="CE46" s="108">
        <f t="shared" si="44"/>
        <v>573381</v>
      </c>
      <c r="CF46" s="125">
        <f t="shared" si="45"/>
        <v>3771960.0241200877</v>
      </c>
      <c r="CG46" s="110">
        <f t="shared" si="46"/>
        <v>172014.3</v>
      </c>
      <c r="CH46" s="126">
        <f t="shared" si="47"/>
        <v>2162770038575.7</v>
      </c>
      <c r="CJ46" s="127">
        <f t="shared" si="48"/>
        <v>0</v>
      </c>
      <c r="CK46" s="128" t="e">
        <f t="shared" si="49"/>
        <v>#DIV/0!</v>
      </c>
      <c r="CL46" s="129" t="e">
        <f t="shared" si="50"/>
        <v>#DIV/0!</v>
      </c>
      <c r="CM46" s="130" t="e">
        <f t="shared" si="51"/>
        <v>#DIV/0!</v>
      </c>
      <c r="CO46" s="131" t="e">
        <f t="shared" si="52"/>
        <v>#DIV/0!</v>
      </c>
      <c r="CP46" s="1">
        <f t="shared" si="53"/>
        <v>0</v>
      </c>
      <c r="CQ46" s="132">
        <f t="shared" si="54"/>
        <v>0.3</v>
      </c>
      <c r="CS46" s="104">
        <f t="shared" si="55"/>
        <v>6.027684519289185E-4</v>
      </c>
    </row>
    <row r="47" spans="1:97">
      <c r="A47" s="133" t="s">
        <v>124</v>
      </c>
      <c r="B47" s="90" t="s">
        <v>127</v>
      </c>
      <c r="C47" s="208">
        <f>'Op Cost-24'!E40</f>
        <v>7674872</v>
      </c>
      <c r="D47" s="92">
        <f>'Ridership-24'!$E39</f>
        <v>172720</v>
      </c>
      <c r="E47" s="92">
        <f>'Revenue Hours-24'!$F39</f>
        <v>75094</v>
      </c>
      <c r="F47" s="92">
        <f>'Revenue Miles-24'!$F39</f>
        <v>1190608</v>
      </c>
      <c r="G47" s="134">
        <f t="shared" si="59"/>
        <v>1.2692576229773777E-2</v>
      </c>
      <c r="H47" s="94">
        <f t="shared" si="60"/>
        <v>1.1982697660059004E-2</v>
      </c>
      <c r="J47" s="95">
        <f>'Ridership-24'!B39/'Revenue Hours-24'!C39</f>
        <v>2.8528395937570008</v>
      </c>
      <c r="K47" s="96">
        <f>'Ridership-24'!C39/'Revenue Hours-24'!D39</f>
        <v>2.8967768637798126</v>
      </c>
      <c r="L47" s="96">
        <f>'Ridership-24'!D39/'Revenue Hours-24'!E39</f>
        <v>2.1946189886707304</v>
      </c>
      <c r="M47" s="96">
        <f>'Ridership-24'!E39/'Revenue Hours-24'!F39</f>
        <v>2.3000506032439341</v>
      </c>
      <c r="N47" s="97">
        <f t="shared" si="2"/>
        <v>1.102579996360374</v>
      </c>
      <c r="O47" s="98">
        <f t="shared" si="3"/>
        <v>1.3211882742415318E-2</v>
      </c>
      <c r="P47" s="99">
        <f t="shared" si="4"/>
        <v>1.2677293076451983E-2</v>
      </c>
      <c r="Q47" s="95">
        <f>'Ridership-24'!B39/'Revenue Miles-24'!C39</f>
        <v>0.17268278460800451</v>
      </c>
      <c r="R47" s="96">
        <f>'Ridership-24'!C39/'Revenue Miles-24'!D39</f>
        <v>0.17887553870187622</v>
      </c>
      <c r="S47" s="96">
        <f>'Ridership-24'!D39/'Revenue Miles-24'!E39</f>
        <v>0.13508021153120933</v>
      </c>
      <c r="T47" s="96">
        <f>'Ridership-24'!E39/'Revenue Miles-24'!F39</f>
        <v>0.14506873798932982</v>
      </c>
      <c r="U47" s="97">
        <f t="shared" si="5"/>
        <v>1.1162552956184724</v>
      </c>
      <c r="V47" s="98">
        <f t="shared" si="6"/>
        <v>1.3375749718835941E-2</v>
      </c>
      <c r="W47" s="99">
        <f t="shared" si="7"/>
        <v>1.2879635913808963E-2</v>
      </c>
      <c r="X47" s="95">
        <f>'Op Cost-24'!B40/'Revenue Hours-24'!C39</f>
        <v>67.871126129489951</v>
      </c>
      <c r="Y47" s="96">
        <f>'Op Cost-24'!C40/'Revenue Hours-24'!D39</f>
        <v>82.421987686895335</v>
      </c>
      <c r="Z47" s="96">
        <f>'Op Cost-24'!D40/'Revenue Hours-24'!E39</f>
        <v>132.58479715436326</v>
      </c>
      <c r="AA47" s="96">
        <f>'Op Cost-24'!E40/'Revenue Hours-24'!F39</f>
        <v>102.20353157376088</v>
      </c>
      <c r="AB47" s="97">
        <f t="shared" si="8"/>
        <v>1.0927878671265903</v>
      </c>
      <c r="AC47" s="98">
        <f t="shared" si="9"/>
        <v>1.0965255033043764E-2</v>
      </c>
      <c r="AD47" s="99">
        <f t="shared" si="10"/>
        <v>1.1027465946976844E-2</v>
      </c>
      <c r="AE47" s="95">
        <f>'Op Cost-24'!B40/'Revenue Miles-24'!C39</f>
        <v>4.1082488760213556</v>
      </c>
      <c r="AF47" s="96">
        <f>'Op Cost-24'!C40/'Revenue Miles-24'!D39</f>
        <v>5.0895454298593386</v>
      </c>
      <c r="AG47" s="96">
        <f>'Op Cost-24'!D40/'Revenue Miles-24'!E39</f>
        <v>8.1606796158642627</v>
      </c>
      <c r="AH47" s="96">
        <f>'Op Cost-24'!E40/'Revenue Miles-24'!F39</f>
        <v>6.4461787590877941</v>
      </c>
      <c r="AI47" s="97">
        <f t="shared" si="11"/>
        <v>1.10818527996705</v>
      </c>
      <c r="AJ47" s="98">
        <f t="shared" si="12"/>
        <v>1.0812900944159166E-2</v>
      </c>
      <c r="AK47" s="99">
        <f t="shared" si="13"/>
        <v>1.0824918088140881E-2</v>
      </c>
      <c r="AL47" s="95">
        <f>'Op Cost-24'!B40/'Ridership-24'!B39</f>
        <v>23.790726361908128</v>
      </c>
      <c r="AM47" s="96">
        <f>'Op Cost-24'!C40/'Ridership-24'!C39</f>
        <v>28.452998474776663</v>
      </c>
      <c r="AN47" s="96">
        <f>'Op Cost-24'!D40/'Ridership-24'!D39</f>
        <v>60.413583332143318</v>
      </c>
      <c r="AO47" s="96">
        <f>'Op Cost-24'!E40/'Ridership-24'!E39</f>
        <v>44.435340435386756</v>
      </c>
      <c r="AP47" s="100">
        <f t="shared" si="14"/>
        <v>1.0025928662815951</v>
      </c>
      <c r="AQ47" s="98">
        <f t="shared" si="15"/>
        <v>1.1951708478138584E-2</v>
      </c>
      <c r="AR47" s="99">
        <f t="shared" si="16"/>
        <v>1.2656384828428921E-2</v>
      </c>
      <c r="AT47" s="101">
        <f t="shared" si="27"/>
        <v>0</v>
      </c>
      <c r="AU47" s="102">
        <f t="shared" si="17"/>
        <v>0</v>
      </c>
      <c r="AV47" s="102">
        <f t="shared" si="18"/>
        <v>0</v>
      </c>
      <c r="AW47" s="102">
        <f t="shared" si="19"/>
        <v>0</v>
      </c>
      <c r="AX47" s="103">
        <f t="shared" si="20"/>
        <v>0</v>
      </c>
      <c r="AY47" s="104">
        <f t="shared" si="28"/>
        <v>-1</v>
      </c>
      <c r="AZ47" s="105">
        <f t="shared" si="21"/>
        <v>0</v>
      </c>
      <c r="BA47" s="106">
        <f t="shared" si="21"/>
        <v>0</v>
      </c>
      <c r="BB47" s="106">
        <f t="shared" si="21"/>
        <v>0</v>
      </c>
      <c r="BC47" s="106">
        <f t="shared" si="21"/>
        <v>0</v>
      </c>
      <c r="BD47" s="106">
        <f t="shared" si="21"/>
        <v>0</v>
      </c>
      <c r="BE47" s="107">
        <f t="shared" si="29"/>
        <v>1517043.7894856986</v>
      </c>
      <c r="BG47" s="108">
        <f>'Op Cost-24'!E40</f>
        <v>7674872</v>
      </c>
      <c r="BH47" s="109">
        <f t="shared" si="22"/>
        <v>0.19766372513909009</v>
      </c>
      <c r="BI47" s="110">
        <f t="shared" si="23"/>
        <v>1517043.7894856986</v>
      </c>
      <c r="BJ47" s="111">
        <f t="shared" si="24"/>
        <v>0</v>
      </c>
      <c r="BK47" s="1">
        <f t="shared" si="30"/>
        <v>0.2813721454883758</v>
      </c>
      <c r="BL47" s="112">
        <f t="shared" si="31"/>
        <v>0.25688548691751806</v>
      </c>
      <c r="BM47" s="112">
        <f t="shared" si="32"/>
        <v>0.23405115692859646</v>
      </c>
      <c r="BN47" s="113">
        <f t="shared" si="33"/>
        <v>0.31727596905369437</v>
      </c>
      <c r="BO47" s="114">
        <f t="shared" si="25"/>
        <v>1517043.7894856986</v>
      </c>
      <c r="BP47" s="115">
        <f t="shared" si="34"/>
        <v>3.3715973493493425E-3</v>
      </c>
      <c r="BQ47" s="116">
        <f t="shared" si="35"/>
        <v>3.3715973493493425E-3</v>
      </c>
      <c r="BR47" s="117">
        <f t="shared" si="36"/>
        <v>5.6791664546092272E-3</v>
      </c>
      <c r="BS47" s="118">
        <f t="shared" si="37"/>
        <v>1588449.0799302335</v>
      </c>
      <c r="BT47" s="119">
        <f t="shared" si="38"/>
        <v>2302461.6</v>
      </c>
      <c r="BU47" s="119">
        <f t="shared" si="39"/>
        <v>1588449.0799302335</v>
      </c>
      <c r="BV47" s="119">
        <f t="shared" si="56"/>
        <v>0</v>
      </c>
      <c r="BW47" s="120">
        <f t="shared" si="40"/>
        <v>3.3715973493493425E-3</v>
      </c>
      <c r="BX47" s="121">
        <f t="shared" si="41"/>
        <v>7.4909704314952792E-3</v>
      </c>
      <c r="BY47" s="122">
        <f t="shared" si="42"/>
        <v>1605141.4119005925</v>
      </c>
      <c r="BZ47" s="123">
        <f t="shared" si="58"/>
        <v>20181762524021.512</v>
      </c>
      <c r="CA47" s="111">
        <f t="shared" si="57"/>
        <v>20181764041065</v>
      </c>
      <c r="CC47" s="124">
        <f t="shared" si="26"/>
        <v>1</v>
      </c>
      <c r="CD47" s="17"/>
      <c r="CE47" s="108">
        <f t="shared" si="44"/>
        <v>7674872</v>
      </c>
      <c r="CF47" s="125">
        <f t="shared" si="45"/>
        <v>2629589.6584418607</v>
      </c>
      <c r="CG47" s="110">
        <f t="shared" si="46"/>
        <v>2302461.6</v>
      </c>
      <c r="CH47" s="126">
        <f t="shared" si="47"/>
        <v>20181761738603.398</v>
      </c>
      <c r="CJ47" s="127">
        <f t="shared" si="48"/>
        <v>0</v>
      </c>
      <c r="CK47" s="128" t="e">
        <f t="shared" si="49"/>
        <v>#DIV/0!</v>
      </c>
      <c r="CL47" s="129" t="e">
        <f t="shared" si="50"/>
        <v>#DIV/0!</v>
      </c>
      <c r="CM47" s="130" t="e">
        <f t="shared" si="51"/>
        <v>#DIV/0!</v>
      </c>
      <c r="CO47" s="131" t="e">
        <f t="shared" si="52"/>
        <v>#DIV/0!</v>
      </c>
      <c r="CP47" s="1">
        <f t="shared" si="53"/>
        <v>0</v>
      </c>
      <c r="CQ47" s="132">
        <f t="shared" si="54"/>
        <v>0.20914243415402792</v>
      </c>
      <c r="CS47" s="104">
        <f t="shared" si="55"/>
        <v>2.7205915658125765E-3</v>
      </c>
    </row>
    <row r="48" spans="1:97" ht="16.5" customHeight="1">
      <c r="A48" s="133" t="s">
        <v>124</v>
      </c>
      <c r="B48" s="90" t="s">
        <v>128</v>
      </c>
      <c r="C48" s="208">
        <f>'Op Cost-24'!E41</f>
        <v>162010</v>
      </c>
      <c r="D48" s="92">
        <f>'Ridership-24'!$E40</f>
        <v>11840</v>
      </c>
      <c r="E48" s="92">
        <f>'Revenue Hours-24'!$F40</f>
        <v>5390</v>
      </c>
      <c r="F48" s="92">
        <f>'Revenue Miles-24'!$F40</f>
        <v>55690</v>
      </c>
      <c r="G48" s="93">
        <f t="shared" si="59"/>
        <v>5.4754104873874353E-4</v>
      </c>
      <c r="H48" s="94">
        <f t="shared" si="60"/>
        <v>5.1691782067988688E-4</v>
      </c>
      <c r="J48" s="95">
        <f>'Ridership-24'!B40/'Revenue Hours-24'!C40</f>
        <v>2.4101819589624469</v>
      </c>
      <c r="K48" s="96">
        <f>'Ridership-24'!C40/'Revenue Hours-24'!D40</f>
        <v>2.6243417203042716</v>
      </c>
      <c r="L48" s="96">
        <f>'Ridership-24'!D40/'Revenue Hours-24'!E40</f>
        <v>2.06749490079733</v>
      </c>
      <c r="M48" s="96">
        <f>'Ridership-24'!E40/'Revenue Hours-24'!F40</f>
        <v>2.1966604823747682</v>
      </c>
      <c r="N48" s="97">
        <f t="shared" si="2"/>
        <v>1.1505006924601566</v>
      </c>
      <c r="O48" s="98">
        <f t="shared" si="3"/>
        <v>5.9471431063720496E-4</v>
      </c>
      <c r="P48" s="99">
        <f t="shared" si="4"/>
        <v>5.7065050906814584E-4</v>
      </c>
      <c r="Q48" s="95">
        <f>'Ridership-24'!B40/'Revenue Miles-24'!C40</f>
        <v>0.21125231171210912</v>
      </c>
      <c r="R48" s="96">
        <f>'Ridership-24'!C40/'Revenue Miles-24'!D40</f>
        <v>0.22349384582163678</v>
      </c>
      <c r="S48" s="96">
        <f>'Ridership-24'!D40/'Revenue Miles-24'!E40</f>
        <v>0.21433239783168659</v>
      </c>
      <c r="T48" s="96">
        <f>'Ridership-24'!E40/'Revenue Miles-24'!F40</f>
        <v>0.21260549470281917</v>
      </c>
      <c r="U48" s="97">
        <f t="shared" si="5"/>
        <v>1.2322710598478355</v>
      </c>
      <c r="V48" s="98">
        <f t="shared" si="6"/>
        <v>6.3698287074343755E-4</v>
      </c>
      <c r="W48" s="99">
        <f t="shared" si="7"/>
        <v>6.1335683090385268E-4</v>
      </c>
      <c r="X48" s="95">
        <f>'Op Cost-24'!B41/'Revenue Hours-24'!C40</f>
        <v>26.421215640727837</v>
      </c>
      <c r="Y48" s="96">
        <f>'Op Cost-24'!C41/'Revenue Hours-24'!D40</f>
        <v>28.064170079968793</v>
      </c>
      <c r="Z48" s="96">
        <f>'Op Cost-24'!D41/'Revenue Hours-24'!E40</f>
        <v>27.145188206934915</v>
      </c>
      <c r="AA48" s="96">
        <f>'Op Cost-24'!E41/'Revenue Hours-24'!F40</f>
        <v>30.05751391465677</v>
      </c>
      <c r="AB48" s="97">
        <f t="shared" si="8"/>
        <v>0.97981080740083926</v>
      </c>
      <c r="AC48" s="98">
        <f t="shared" si="9"/>
        <v>5.2756901309460296E-4</v>
      </c>
      <c r="AD48" s="99">
        <f t="shared" si="10"/>
        <v>5.3056215373460485E-4</v>
      </c>
      <c r="AE48" s="95">
        <f>'Op Cost-24'!B41/'Revenue Miles-24'!C40</f>
        <v>2.3158180491694802</v>
      </c>
      <c r="AF48" s="96">
        <f>'Op Cost-24'!C41/'Revenue Miles-24'!D40</f>
        <v>2.3899971762204539</v>
      </c>
      <c r="AG48" s="96">
        <f>'Op Cost-24'!D41/'Revenue Miles-24'!E40</f>
        <v>2.8140786590288722</v>
      </c>
      <c r="AH48" s="96">
        <f>'Op Cost-24'!E41/'Revenue Miles-24'!F40</f>
        <v>2.9091398814868019</v>
      </c>
      <c r="AI48" s="97">
        <f t="shared" si="11"/>
        <v>1.0086373581556125</v>
      </c>
      <c r="AJ48" s="98">
        <f t="shared" si="12"/>
        <v>5.1249125020028932E-4</v>
      </c>
      <c r="AK48" s="99">
        <f t="shared" si="13"/>
        <v>5.1306081808728202E-4</v>
      </c>
      <c r="AL48" s="95">
        <f>'Op Cost-24'!B41/'Ridership-24'!B40</f>
        <v>10.962332342783712</v>
      </c>
      <c r="AM48" s="96">
        <f>'Op Cost-24'!C41/'Ridership-24'!C40</f>
        <v>10.693794128576737</v>
      </c>
      <c r="AN48" s="96">
        <f>'Op Cost-24'!D41/'Ridership-24'!D40</f>
        <v>13.129506726457398</v>
      </c>
      <c r="AO48" s="96">
        <f>'Op Cost-24'!E41/'Ridership-24'!E40</f>
        <v>13.683277027027026</v>
      </c>
      <c r="AP48" s="100">
        <f t="shared" si="14"/>
        <v>0.93660009397915378</v>
      </c>
      <c r="AQ48" s="98">
        <f t="shared" si="15"/>
        <v>5.5190878583383121E-4</v>
      </c>
      <c r="AR48" s="99">
        <f t="shared" si="16"/>
        <v>5.844494949388048E-4</v>
      </c>
      <c r="AT48" s="101">
        <f t="shared" si="27"/>
        <v>0</v>
      </c>
      <c r="AU48" s="102">
        <f t="shared" si="17"/>
        <v>0</v>
      </c>
      <c r="AV48" s="102">
        <f t="shared" si="18"/>
        <v>0</v>
      </c>
      <c r="AW48" s="102">
        <f t="shared" si="19"/>
        <v>0</v>
      </c>
      <c r="AX48" s="103">
        <f t="shared" si="20"/>
        <v>0</v>
      </c>
      <c r="AY48" s="104">
        <f t="shared" si="28"/>
        <v>-1</v>
      </c>
      <c r="AZ48" s="105">
        <f t="shared" si="21"/>
        <v>0</v>
      </c>
      <c r="BA48" s="106">
        <f t="shared" si="21"/>
        <v>0</v>
      </c>
      <c r="BB48" s="106">
        <f t="shared" si="21"/>
        <v>0</v>
      </c>
      <c r="BC48" s="106">
        <f t="shared" si="21"/>
        <v>0</v>
      </c>
      <c r="BD48" s="106">
        <f t="shared" si="21"/>
        <v>0</v>
      </c>
      <c r="BE48" s="107">
        <f t="shared" si="29"/>
        <v>65443.274276273689</v>
      </c>
      <c r="BG48" s="108">
        <f>'Op Cost-24'!E41</f>
        <v>162010</v>
      </c>
      <c r="BH48" s="109">
        <f t="shared" si="22"/>
        <v>0.40394589393416264</v>
      </c>
      <c r="BI48" s="110">
        <f t="shared" si="23"/>
        <v>48603</v>
      </c>
      <c r="BJ48" s="111">
        <f t="shared" si="24"/>
        <v>16840.274276273689</v>
      </c>
      <c r="BK48" s="1">
        <f t="shared" si="30"/>
        <v>0.6622520441772074</v>
      </c>
      <c r="BL48" s="112">
        <f t="shared" si="31"/>
        <v>0.24533816639140527</v>
      </c>
      <c r="BM48" s="112">
        <f t="shared" si="32"/>
        <v>0.34301368230163709</v>
      </c>
      <c r="BN48" s="113">
        <f t="shared" si="33"/>
        <v>1.0303281640078936</v>
      </c>
      <c r="BO48" s="114">
        <f t="shared" si="25"/>
        <v>0</v>
      </c>
      <c r="BP48" s="115">
        <f t="shared" si="34"/>
        <v>3.4232988341688223E-4</v>
      </c>
      <c r="BQ48" s="116">
        <f t="shared" si="35"/>
        <v>0</v>
      </c>
      <c r="BR48" s="117">
        <f t="shared" si="36"/>
        <v>0</v>
      </c>
      <c r="BS48" s="118">
        <f t="shared" si="37"/>
        <v>48603</v>
      </c>
      <c r="BT48" s="119">
        <f t="shared" si="38"/>
        <v>48603</v>
      </c>
      <c r="BU48" s="119">
        <f t="shared" si="39"/>
        <v>48603</v>
      </c>
      <c r="BV48" s="119">
        <f t="shared" si="56"/>
        <v>0</v>
      </c>
      <c r="BW48" s="120">
        <f t="shared" si="40"/>
        <v>0</v>
      </c>
      <c r="BX48" s="121">
        <f t="shared" si="41"/>
        <v>0</v>
      </c>
      <c r="BY48" s="122">
        <f t="shared" si="42"/>
        <v>48603</v>
      </c>
      <c r="BZ48" s="123">
        <f t="shared" si="58"/>
        <v>611095194904.71228</v>
      </c>
      <c r="CA48" s="111">
        <f t="shared" si="57"/>
        <v>611095243508</v>
      </c>
      <c r="CC48" s="124">
        <f t="shared" si="26"/>
        <v>1</v>
      </c>
      <c r="CD48" s="17"/>
      <c r="CE48" s="108">
        <f t="shared" si="44"/>
        <v>162010</v>
      </c>
      <c r="CF48" s="125">
        <f t="shared" si="45"/>
        <v>3771960.0241219676</v>
      </c>
      <c r="CG48" s="110">
        <f t="shared" si="46"/>
        <v>48603</v>
      </c>
      <c r="CH48" s="126">
        <f t="shared" si="47"/>
        <v>611095194905</v>
      </c>
      <c r="CJ48" s="127">
        <f t="shared" si="48"/>
        <v>0</v>
      </c>
      <c r="CK48" s="128" t="e">
        <f t="shared" si="49"/>
        <v>#DIV/0!</v>
      </c>
      <c r="CL48" s="129" t="e">
        <f t="shared" si="50"/>
        <v>#DIV/0!</v>
      </c>
      <c r="CM48" s="130" t="e">
        <f t="shared" si="51"/>
        <v>#DIV/0!</v>
      </c>
      <c r="CO48" s="131" t="e">
        <f t="shared" si="52"/>
        <v>#DIV/0!</v>
      </c>
      <c r="CP48" s="1">
        <f t="shared" si="53"/>
        <v>0</v>
      </c>
      <c r="CQ48" s="132">
        <f t="shared" si="54"/>
        <v>0.3</v>
      </c>
      <c r="CS48" s="104">
        <f t="shared" si="55"/>
        <v>2.762310255491523E-4</v>
      </c>
    </row>
    <row r="49" spans="1:97">
      <c r="A49" s="133" t="s">
        <v>124</v>
      </c>
      <c r="B49" s="90" t="s">
        <v>129</v>
      </c>
      <c r="C49" s="208">
        <f>'Op Cost-24'!E42</f>
        <v>1442390</v>
      </c>
      <c r="D49" s="92">
        <f>'Ridership-24'!$E41</f>
        <v>49444</v>
      </c>
      <c r="E49" s="92">
        <f>'Revenue Hours-24'!$F41</f>
        <v>18141</v>
      </c>
      <c r="F49" s="92">
        <f>'Revenue Miles-24'!$F41</f>
        <v>310870</v>
      </c>
      <c r="G49" s="134">
        <f t="shared" si="59"/>
        <v>2.8896994735534147E-3</v>
      </c>
      <c r="H49" s="94">
        <f t="shared" si="60"/>
        <v>2.7280825021792597E-3</v>
      </c>
      <c r="J49" s="95">
        <f>'Ridership-24'!B41/'Revenue Hours-24'!C41</f>
        <v>2.1531983805668018</v>
      </c>
      <c r="K49" s="96">
        <f>'Ridership-24'!C41/'Revenue Hours-24'!D41</f>
        <v>2.3018086155869781</v>
      </c>
      <c r="L49" s="96">
        <f>'Ridership-24'!D41/'Revenue Hours-24'!E41</f>
        <v>1.8714498597475455</v>
      </c>
      <c r="M49" s="96">
        <f>'Ridership-24'!E41/'Revenue Hours-24'!F41</f>
        <v>2.7255388346838654</v>
      </c>
      <c r="N49" s="97">
        <f t="shared" si="2"/>
        <v>1.2621314439470319</v>
      </c>
      <c r="O49" s="98">
        <f t="shared" si="3"/>
        <v>3.4431987076821409E-3</v>
      </c>
      <c r="P49" s="99">
        <f t="shared" si="4"/>
        <v>3.3038772738734818E-3</v>
      </c>
      <c r="Q49" s="95">
        <f>'Ridership-24'!B41/'Revenue Miles-24'!C41</f>
        <v>0.14216405642296373</v>
      </c>
      <c r="R49" s="96">
        <f>'Ridership-24'!C41/'Revenue Miles-24'!D41</f>
        <v>0.15794010138539991</v>
      </c>
      <c r="S49" s="96">
        <f>'Ridership-24'!D41/'Revenue Miles-24'!E41</f>
        <v>0.12054951539089166</v>
      </c>
      <c r="T49" s="96">
        <f>'Ridership-24'!E41/'Revenue Miles-24'!F41</f>
        <v>0.1590504069225078</v>
      </c>
      <c r="U49" s="97">
        <f t="shared" si="5"/>
        <v>1.2117777521158943</v>
      </c>
      <c r="V49" s="98">
        <f t="shared" si="6"/>
        <v>3.305829682077488E-3</v>
      </c>
      <c r="W49" s="99">
        <f t="shared" si="7"/>
        <v>3.1832146678299486E-3</v>
      </c>
      <c r="X49" s="95">
        <f>'Op Cost-24'!B42/'Revenue Hours-24'!C41</f>
        <v>27.147165991902835</v>
      </c>
      <c r="Y49" s="96">
        <f>'Op Cost-24'!C42/'Revenue Hours-24'!D41</f>
        <v>30.822514523731229</v>
      </c>
      <c r="Z49" s="96">
        <f>'Op Cost-24'!D42/'Revenue Hours-24'!E41</f>
        <v>53.352691093969142</v>
      </c>
      <c r="AA49" s="96">
        <f>'Op Cost-24'!E42/'Revenue Hours-24'!F41</f>
        <v>79.509949837384923</v>
      </c>
      <c r="AB49" s="97">
        <f t="shared" si="8"/>
        <v>1.3396410293256915</v>
      </c>
      <c r="AC49" s="98">
        <f t="shared" si="9"/>
        <v>2.0364280000833065E-3</v>
      </c>
      <c r="AD49" s="99">
        <f t="shared" si="10"/>
        <v>2.0479815888199407E-3</v>
      </c>
      <c r="AE49" s="95">
        <f>'Op Cost-24'!B42/'Revenue Miles-24'!C41</f>
        <v>1.7923807079868379</v>
      </c>
      <c r="AF49" s="96">
        <f>'Op Cost-24'!C42/'Revenue Miles-24'!D41</f>
        <v>2.1149069631011295</v>
      </c>
      <c r="AG49" s="96">
        <f>'Op Cost-24'!D42/'Revenue Miles-24'!E41</f>
        <v>3.4367156686984583</v>
      </c>
      <c r="AH49" s="96">
        <f>'Op Cost-24'!E42/'Revenue Miles-24'!F41</f>
        <v>4.639849454756007</v>
      </c>
      <c r="AI49" s="97">
        <f t="shared" si="11"/>
        <v>1.2854839634662996</v>
      </c>
      <c r="AJ49" s="98">
        <f t="shared" si="12"/>
        <v>2.1222221200045172E-3</v>
      </c>
      <c r="AK49" s="99">
        <f t="shared" si="13"/>
        <v>2.1245806960156154E-3</v>
      </c>
      <c r="AL49" s="95">
        <f>'Op Cost-24'!B42/'Ridership-24'!B41</f>
        <v>12.607833182912154</v>
      </c>
      <c r="AM49" s="96">
        <f>'Op Cost-24'!C42/'Ridership-24'!C41</f>
        <v>13.390563539910664</v>
      </c>
      <c r="AN49" s="96">
        <f>'Op Cost-24'!D42/'Ridership-24'!D41</f>
        <v>28.508747277453804</v>
      </c>
      <c r="AO49" s="96">
        <f>'Op Cost-24'!E42/'Ridership-24'!E41</f>
        <v>29.17219480624545</v>
      </c>
      <c r="AP49" s="100">
        <f t="shared" si="14"/>
        <v>1.0831038405019571</v>
      </c>
      <c r="AQ49" s="98">
        <f t="shared" si="15"/>
        <v>2.5187635757204486E-3</v>
      </c>
      <c r="AR49" s="99">
        <f t="shared" si="16"/>
        <v>2.6672706387089323E-3</v>
      </c>
      <c r="AT49" s="101">
        <f t="shared" si="27"/>
        <v>0</v>
      </c>
      <c r="AU49" s="102">
        <f t="shared" si="17"/>
        <v>0</v>
      </c>
      <c r="AV49" s="102">
        <f t="shared" si="18"/>
        <v>0</v>
      </c>
      <c r="AW49" s="102">
        <f t="shared" si="19"/>
        <v>0</v>
      </c>
      <c r="AX49" s="103">
        <f t="shared" si="20"/>
        <v>0</v>
      </c>
      <c r="AY49" s="104">
        <f t="shared" si="28"/>
        <v>-1</v>
      </c>
      <c r="AZ49" s="105">
        <f t="shared" si="21"/>
        <v>0</v>
      </c>
      <c r="BA49" s="106">
        <f t="shared" si="21"/>
        <v>0</v>
      </c>
      <c r="BB49" s="106">
        <f t="shared" si="21"/>
        <v>0</v>
      </c>
      <c r="BC49" s="106">
        <f t="shared" si="21"/>
        <v>0</v>
      </c>
      <c r="BD49" s="106">
        <f t="shared" si="21"/>
        <v>0</v>
      </c>
      <c r="BE49" s="107">
        <f t="shared" si="29"/>
        <v>345383.0460006175</v>
      </c>
      <c r="BG49" s="108">
        <f>'Op Cost-24'!E42</f>
        <v>1442390</v>
      </c>
      <c r="BH49" s="109">
        <f t="shared" si="22"/>
        <v>0.23945191383787845</v>
      </c>
      <c r="BI49" s="110">
        <f t="shared" si="23"/>
        <v>345383.0460006175</v>
      </c>
      <c r="BJ49" s="111">
        <f t="shared" si="24"/>
        <v>0</v>
      </c>
      <c r="BK49" s="1">
        <f t="shared" si="30"/>
        <v>0.38189272027462073</v>
      </c>
      <c r="BL49" s="112">
        <f t="shared" si="31"/>
        <v>0.30440694203548974</v>
      </c>
      <c r="BM49" s="112">
        <f t="shared" si="32"/>
        <v>0.25660891702880229</v>
      </c>
      <c r="BN49" s="113">
        <f t="shared" si="33"/>
        <v>0.48327751101709554</v>
      </c>
      <c r="BO49" s="114">
        <f t="shared" si="25"/>
        <v>345383.0460006175</v>
      </c>
      <c r="BP49" s="115">
        <f t="shared" si="34"/>
        <v>1.0418348478908315E-3</v>
      </c>
      <c r="BQ49" s="116">
        <f t="shared" si="35"/>
        <v>1.0418348478908315E-3</v>
      </c>
      <c r="BR49" s="117">
        <f t="shared" si="36"/>
        <v>1.7548814126711614E-3</v>
      </c>
      <c r="BS49" s="118">
        <f t="shared" si="37"/>
        <v>367447.51936462673</v>
      </c>
      <c r="BT49" s="119">
        <f t="shared" si="38"/>
        <v>432717</v>
      </c>
      <c r="BU49" s="119">
        <f t="shared" si="39"/>
        <v>367447.51936462673</v>
      </c>
      <c r="BV49" s="119">
        <f t="shared" si="56"/>
        <v>0</v>
      </c>
      <c r="BW49" s="120">
        <f t="shared" si="40"/>
        <v>1.0418348478908315E-3</v>
      </c>
      <c r="BX49" s="121">
        <f t="shared" si="41"/>
        <v>2.3147348960746157E-3</v>
      </c>
      <c r="BY49" s="122">
        <f t="shared" si="42"/>
        <v>372605.50572460482</v>
      </c>
      <c r="BZ49" s="123">
        <f t="shared" si="58"/>
        <v>4684843201928.8164</v>
      </c>
      <c r="CA49" s="111">
        <f t="shared" si="57"/>
        <v>4684843547312</v>
      </c>
      <c r="CC49" s="124">
        <f t="shared" si="26"/>
        <v>1</v>
      </c>
      <c r="CD49" s="17"/>
      <c r="CE49" s="108">
        <f t="shared" si="44"/>
        <v>1442390</v>
      </c>
      <c r="CF49" s="125">
        <f t="shared" si="45"/>
        <v>3247972.8418194801</v>
      </c>
      <c r="CG49" s="110">
        <f t="shared" si="46"/>
        <v>432717</v>
      </c>
      <c r="CH49" s="126">
        <f t="shared" si="47"/>
        <v>4684843114595</v>
      </c>
      <c r="CJ49" s="127">
        <f t="shared" si="48"/>
        <v>0</v>
      </c>
      <c r="CK49" s="128" t="e">
        <f t="shared" si="49"/>
        <v>#DIV/0!</v>
      </c>
      <c r="CL49" s="129" t="e">
        <f t="shared" si="50"/>
        <v>#DIV/0!</v>
      </c>
      <c r="CM49" s="130" t="e">
        <f t="shared" si="51"/>
        <v>#DIV/0!</v>
      </c>
      <c r="CO49" s="131" t="e">
        <f t="shared" si="52"/>
        <v>#DIV/0!</v>
      </c>
      <c r="CP49" s="1">
        <f t="shared" si="53"/>
        <v>0</v>
      </c>
      <c r="CQ49" s="132">
        <f t="shared" si="54"/>
        <v>0.25832507555141454</v>
      </c>
      <c r="CS49" s="104">
        <f t="shared" si="55"/>
        <v>8.4067188529745825E-4</v>
      </c>
    </row>
    <row r="50" spans="1:97">
      <c r="A50" s="133" t="s">
        <v>124</v>
      </c>
      <c r="B50" s="90" t="s">
        <v>130</v>
      </c>
      <c r="C50" s="208">
        <f>'Op Cost-24'!E43</f>
        <v>4022350</v>
      </c>
      <c r="D50" s="92">
        <f>'Ridership-24'!$E42</f>
        <v>169413</v>
      </c>
      <c r="E50" s="92">
        <f>'Revenue Hours-24'!$F42</f>
        <v>60519</v>
      </c>
      <c r="F50" s="92">
        <f>'Revenue Miles-24'!$F42</f>
        <v>935668</v>
      </c>
      <c r="G50" s="134">
        <f t="shared" si="59"/>
        <v>8.8530245831985894E-3</v>
      </c>
      <c r="H50" s="94">
        <f t="shared" si="60"/>
        <v>8.3578869283205664E-3</v>
      </c>
      <c r="J50" s="95">
        <f>'Ridership-24'!B42/'Revenue Hours-24'!C42</f>
        <v>4.7280595896966418</v>
      </c>
      <c r="K50" s="96">
        <f>'Ridership-24'!C42/'Revenue Hours-24'!D42</f>
        <v>4.6066913646259025</v>
      </c>
      <c r="L50" s="96">
        <f>'Ridership-24'!D42/'Revenue Hours-24'!E42</f>
        <v>2.6052602436323364</v>
      </c>
      <c r="M50" s="96">
        <f>'Ridership-24'!E42/'Revenue Hours-24'!F42</f>
        <v>2.7993357457988401</v>
      </c>
      <c r="N50" s="97">
        <f t="shared" si="2"/>
        <v>0.97105400854216295</v>
      </c>
      <c r="O50" s="98">
        <f t="shared" si="3"/>
        <v>8.1159596046878318E-3</v>
      </c>
      <c r="P50" s="99">
        <f t="shared" si="4"/>
        <v>7.7875652177082201E-3</v>
      </c>
      <c r="Q50" s="95">
        <f>'Ridership-24'!B42/'Revenue Miles-24'!C42</f>
        <v>0.24363623107916568</v>
      </c>
      <c r="R50" s="96">
        <f>'Ridership-24'!C42/'Revenue Miles-24'!D42</f>
        <v>0.25866990351642838</v>
      </c>
      <c r="S50" s="96">
        <f>'Ridership-24'!D42/'Revenue Miles-24'!E42</f>
        <v>0.16890249812434263</v>
      </c>
      <c r="T50" s="96">
        <f>'Ridership-24'!E42/'Revenue Miles-24'!F42</f>
        <v>0.1810610173694088</v>
      </c>
      <c r="U50" s="97">
        <f t="shared" si="5"/>
        <v>1.0591075107965426</v>
      </c>
      <c r="V50" s="98">
        <f t="shared" si="6"/>
        <v>8.8519008201725577E-3</v>
      </c>
      <c r="W50" s="99">
        <f t="shared" si="7"/>
        <v>8.5235790221478095E-3</v>
      </c>
      <c r="X50" s="95">
        <f>'Op Cost-24'!B43/'Revenue Hours-24'!C42</f>
        <v>61.140297948483209</v>
      </c>
      <c r="Y50" s="96">
        <f>'Op Cost-24'!C43/'Revenue Hours-24'!D42</f>
        <v>60.089370965893899</v>
      </c>
      <c r="Z50" s="96">
        <f>'Op Cost-24'!D43/'Revenue Hours-24'!E42</f>
        <v>61.375230712440015</v>
      </c>
      <c r="AA50" s="96">
        <f>'Op Cost-24'!E43/'Revenue Hours-24'!F42</f>
        <v>66.464250896412693</v>
      </c>
      <c r="AB50" s="97">
        <f t="shared" si="8"/>
        <v>0.96052410898235108</v>
      </c>
      <c r="AC50" s="98">
        <f t="shared" si="9"/>
        <v>8.7013817249996118E-3</v>
      </c>
      <c r="AD50" s="99">
        <f t="shared" si="10"/>
        <v>8.7507486487931364E-3</v>
      </c>
      <c r="AE50" s="95">
        <f>'Op Cost-24'!B43/'Revenue Miles-24'!C42</f>
        <v>3.1505507654106029</v>
      </c>
      <c r="AF50" s="96">
        <f>'Op Cost-24'!C43/'Revenue Miles-24'!D42</f>
        <v>3.3740727476265127</v>
      </c>
      <c r="AG50" s="96">
        <f>'Op Cost-24'!D43/'Revenue Miles-24'!E42</f>
        <v>3.9790381078535897</v>
      </c>
      <c r="AH50" s="96">
        <f>'Op Cost-24'!E43/'Revenue Miles-24'!F42</f>
        <v>4.2989073047277451</v>
      </c>
      <c r="AI50" s="97">
        <f t="shared" si="11"/>
        <v>1.0378270388481003</v>
      </c>
      <c r="AJ50" s="98">
        <f t="shared" si="12"/>
        <v>8.0532560970825243E-3</v>
      </c>
      <c r="AK50" s="99">
        <f t="shared" si="13"/>
        <v>8.0622062519521611E-3</v>
      </c>
      <c r="AL50" s="95">
        <f>'Op Cost-24'!B43/'Ridership-24'!B42</f>
        <v>12.931372117584932</v>
      </c>
      <c r="AM50" s="96">
        <f>'Op Cost-24'!C43/'Ridership-24'!C42</f>
        <v>13.043932447333294</v>
      </c>
      <c r="AN50" s="96">
        <f>'Op Cost-24'!D43/'Ridership-24'!D42</f>
        <v>23.558195716704567</v>
      </c>
      <c r="AO50" s="96">
        <f>'Op Cost-24'!E43/'Ridership-24'!E42</f>
        <v>23.742865069386646</v>
      </c>
      <c r="AP50" s="100">
        <f t="shared" si="14"/>
        <v>1.0138070034269091</v>
      </c>
      <c r="AQ50" s="98">
        <f t="shared" si="15"/>
        <v>8.2440611478012266E-3</v>
      </c>
      <c r="AR50" s="99">
        <f t="shared" si="16"/>
        <v>8.7301334889923754E-3</v>
      </c>
      <c r="AT50" s="101">
        <f t="shared" si="27"/>
        <v>0</v>
      </c>
      <c r="AU50" s="102">
        <f t="shared" si="17"/>
        <v>0</v>
      </c>
      <c r="AV50" s="102">
        <f t="shared" si="18"/>
        <v>0</v>
      </c>
      <c r="AW50" s="102">
        <f t="shared" si="19"/>
        <v>0</v>
      </c>
      <c r="AX50" s="103">
        <f t="shared" si="20"/>
        <v>0</v>
      </c>
      <c r="AY50" s="104">
        <f t="shared" si="28"/>
        <v>-1</v>
      </c>
      <c r="AZ50" s="105">
        <f t="shared" si="21"/>
        <v>0</v>
      </c>
      <c r="BA50" s="106">
        <f t="shared" si="21"/>
        <v>0</v>
      </c>
      <c r="BB50" s="106">
        <f t="shared" si="21"/>
        <v>0</v>
      </c>
      <c r="BC50" s="106">
        <f t="shared" si="21"/>
        <v>0</v>
      </c>
      <c r="BD50" s="106">
        <f t="shared" si="21"/>
        <v>0</v>
      </c>
      <c r="BE50" s="107">
        <f t="shared" si="29"/>
        <v>1058132.3853388438</v>
      </c>
      <c r="BG50" s="108">
        <f>'Op Cost-24'!E43</f>
        <v>4022350</v>
      </c>
      <c r="BH50" s="109">
        <f t="shared" si="22"/>
        <v>0.26306323053410163</v>
      </c>
      <c r="BI50" s="110">
        <f t="shared" si="23"/>
        <v>1058132.3853388438</v>
      </c>
      <c r="BJ50" s="111">
        <f t="shared" si="24"/>
        <v>0</v>
      </c>
      <c r="BK50" s="1">
        <f t="shared" si="30"/>
        <v>0.44808716334435389</v>
      </c>
      <c r="BL50" s="112">
        <f t="shared" si="31"/>
        <v>0.31264908915088019</v>
      </c>
      <c r="BM50" s="112">
        <f t="shared" si="32"/>
        <v>0.29212041944623385</v>
      </c>
      <c r="BN50" s="113">
        <f t="shared" si="33"/>
        <v>0.59378957239015073</v>
      </c>
      <c r="BO50" s="114">
        <f t="shared" si="25"/>
        <v>1058132.3853388438</v>
      </c>
      <c r="BP50" s="115">
        <f t="shared" si="34"/>
        <v>3.7450618452640177E-3</v>
      </c>
      <c r="BQ50" s="116">
        <f t="shared" si="35"/>
        <v>3.7450618452640177E-3</v>
      </c>
      <c r="BR50" s="117">
        <f t="shared" si="36"/>
        <v>6.3082353550209204E-3</v>
      </c>
      <c r="BS50" s="118">
        <f t="shared" si="37"/>
        <v>1137447.0843035437</v>
      </c>
      <c r="BT50" s="119">
        <f t="shared" si="38"/>
        <v>1206705</v>
      </c>
      <c r="BU50" s="119">
        <f t="shared" si="39"/>
        <v>1137447.0843035437</v>
      </c>
      <c r="BV50" s="119">
        <f t="shared" si="56"/>
        <v>0</v>
      </c>
      <c r="BW50" s="120">
        <f t="shared" si="40"/>
        <v>3.7450618452640177E-3</v>
      </c>
      <c r="BX50" s="121">
        <f t="shared" si="41"/>
        <v>8.3207289127830899E-3</v>
      </c>
      <c r="BY50" s="122">
        <f t="shared" si="42"/>
        <v>1155988.389534649</v>
      </c>
      <c r="BZ50" s="123">
        <f t="shared" si="58"/>
        <v>14534472156250.863</v>
      </c>
      <c r="CA50" s="111">
        <f t="shared" si="57"/>
        <v>14534473214383</v>
      </c>
      <c r="CC50" s="124">
        <f t="shared" si="26"/>
        <v>1</v>
      </c>
      <c r="CD50" s="17"/>
      <c r="CE50" s="108">
        <f t="shared" si="44"/>
        <v>4022350</v>
      </c>
      <c r="CF50" s="125">
        <f t="shared" si="45"/>
        <v>3613428.2731196936</v>
      </c>
      <c r="CG50" s="110">
        <f t="shared" si="46"/>
        <v>1206705</v>
      </c>
      <c r="CH50" s="126">
        <f t="shared" si="47"/>
        <v>14534472007678</v>
      </c>
      <c r="CJ50" s="127">
        <f t="shared" si="48"/>
        <v>0</v>
      </c>
      <c r="CK50" s="128" t="e">
        <f t="shared" si="49"/>
        <v>#DIV/0!</v>
      </c>
      <c r="CL50" s="129" t="e">
        <f t="shared" si="50"/>
        <v>#DIV/0!</v>
      </c>
      <c r="CM50" s="130" t="e">
        <f t="shared" si="51"/>
        <v>#DIV/0!</v>
      </c>
      <c r="CO50" s="131" t="e">
        <f t="shared" si="52"/>
        <v>#DIV/0!</v>
      </c>
      <c r="CP50" s="1">
        <f t="shared" si="53"/>
        <v>0</v>
      </c>
      <c r="CQ50" s="132">
        <f t="shared" si="54"/>
        <v>0.28739129850327522</v>
      </c>
      <c r="CS50" s="104">
        <f t="shared" si="55"/>
        <v>3.0219455688082156E-3</v>
      </c>
    </row>
    <row r="51" spans="1:97" s="171" customFormat="1" ht="15" thickBot="1">
      <c r="A51" s="165"/>
      <c r="B51" s="166" t="s">
        <v>131</v>
      </c>
      <c r="C51" s="167">
        <f>SUM(C11:C50)-C34</f>
        <v>475837705</v>
      </c>
      <c r="D51" s="168">
        <f>SUM(D11:D50)-D34</f>
        <v>38752057</v>
      </c>
      <c r="E51" s="168">
        <f>SUM(E11:E50)-E34</f>
        <v>4348164</v>
      </c>
      <c r="F51" s="168">
        <f>SUM(F11:F50)-F34</f>
        <v>61650078.5</v>
      </c>
      <c r="G51" s="169">
        <f>SUM(G11:G50)</f>
        <v>1.0559286433946771</v>
      </c>
      <c r="H51" s="170">
        <f>SUM(H11:H50)</f>
        <v>1</v>
      </c>
      <c r="J51" s="172">
        <f>'Ridership-24'!B43/'Revenue Hours-24'!C43</f>
        <v>13.582953416309731</v>
      </c>
      <c r="K51" s="173">
        <f>'Ridership-24'!C43/'Revenue Hours-24'!D43</f>
        <v>13.526760546299428</v>
      </c>
      <c r="L51" s="173">
        <f>'Ridership-24'!D43/'Revenue Hours-24'!E43</f>
        <v>6.9491805201049877</v>
      </c>
      <c r="M51" s="173">
        <f>'Ridership-24'!E43/'Revenue Hours-24'!F43</f>
        <v>8.9536027544539518</v>
      </c>
      <c r="N51" s="174"/>
      <c r="O51" s="175">
        <f>SUM(O11:O50)</f>
        <v>1.0421690705373321</v>
      </c>
      <c r="P51" s="176">
        <f>SUM(P11:P50)</f>
        <v>0.99999999999999967</v>
      </c>
      <c r="Q51" s="172">
        <f>'Ridership-24'!B43/'Revenue Miles-24'!C43</f>
        <v>0.95494323136259107</v>
      </c>
      <c r="R51" s="173">
        <f>'Ridership-24'!C43/'Revenue Miles-24'!D43</f>
        <v>0.94516480852199081</v>
      </c>
      <c r="S51" s="173">
        <f>'Ridership-24'!D43/'Revenue Miles-24'!E43</f>
        <v>0.49283534368231213</v>
      </c>
      <c r="T51" s="173">
        <f>'Ridership-24'!E43/'Revenue Miles-24'!F43</f>
        <v>0.61981636789595917</v>
      </c>
      <c r="U51" s="174"/>
      <c r="V51" s="175">
        <f>SUM(V11:V50)</f>
        <v>1.0385192414092286</v>
      </c>
      <c r="W51" s="176">
        <f>SUM(W11:W50)</f>
        <v>0.99999999999999956</v>
      </c>
      <c r="X51" s="177">
        <f>'Op Cost-24'!B44/'Revenue Hours-24'!C43</f>
        <v>101.23415773619254</v>
      </c>
      <c r="Y51" s="178">
        <f>'Op Cost-24'!C44/'Revenue Hours-24'!D43</f>
        <v>103.16343259700481</v>
      </c>
      <c r="Z51" s="178">
        <f>'Op Cost-24'!D44/'Revenue Hours-24'!E43</f>
        <v>125.95961510933006</v>
      </c>
      <c r="AA51" s="178">
        <f>'Op Cost-24'!E44/'Revenue Hours-24'!F43</f>
        <v>126.23027057650225</v>
      </c>
      <c r="AB51" s="174"/>
      <c r="AC51" s="175">
        <f>SUM(AC11:AC50)</f>
        <v>0.99435854853397798</v>
      </c>
      <c r="AD51" s="176">
        <f>SUM(AD11:AD50)</f>
        <v>0.99999999999999989</v>
      </c>
      <c r="AE51" s="177">
        <f>'Op Cost-24'!B44/'Revenue Miles-24'!C43</f>
        <v>7.1172204416743412</v>
      </c>
      <c r="AF51" s="178">
        <f>'Op Cost-24'!C44/'Revenue Miles-24'!D43</f>
        <v>7.2084107413060252</v>
      </c>
      <c r="AG51" s="178">
        <f>'Op Cost-24'!D44/'Revenue Miles-24'!E43</f>
        <v>8.9330461372962819</v>
      </c>
      <c r="AH51" s="178">
        <f>'Op Cost-24'!E44/'Revenue Miles-24'!F43</f>
        <v>8.7383358378650051</v>
      </c>
      <c r="AI51" s="174"/>
      <c r="AJ51" s="175">
        <f>SUM(AJ11:AJ50)</f>
        <v>0.9988898628253936</v>
      </c>
      <c r="AK51" s="176">
        <f>SUM(AK11:AK50)</f>
        <v>1</v>
      </c>
      <c r="AL51" s="177">
        <f>'Op Cost-24'!B44/'Ridership-24'!B43</f>
        <v>7.453029884843426</v>
      </c>
      <c r="AM51" s="178">
        <f>'Op Cost-24'!C44/'Ridership-24'!C43</f>
        <v>7.6266177880429513</v>
      </c>
      <c r="AN51" s="178">
        <f>'Op Cost-24'!D44/'Ridership-24'!D43</f>
        <v>18.125822857085176</v>
      </c>
      <c r="AO51" s="178">
        <f>'Op Cost-24'!E44/'Ridership-24'!E43</f>
        <v>14.098265696868143</v>
      </c>
      <c r="AP51" s="179"/>
      <c r="AQ51" s="175">
        <f>SUM(AQ11:AQ50)</f>
        <v>0.94432246175799872</v>
      </c>
      <c r="AR51" s="176">
        <f>SUM(AR11:AR50)</f>
        <v>1</v>
      </c>
      <c r="AT51" s="180">
        <f>SUM(AT11:AT50)</f>
        <v>0</v>
      </c>
      <c r="AU51" s="181">
        <f>SUM(AU11:AU50)</f>
        <v>0</v>
      </c>
      <c r="AV51" s="181">
        <f>SUM(AV11:AV50)</f>
        <v>0</v>
      </c>
      <c r="AW51" s="181">
        <f>SUM(AW11:AW50)</f>
        <v>0</v>
      </c>
      <c r="AX51" s="182">
        <f>SUM(AX11:AX50)</f>
        <v>0</v>
      </c>
      <c r="AZ51" s="183">
        <f t="shared" si="21"/>
        <v>0</v>
      </c>
      <c r="BA51" s="184">
        <f t="shared" si="21"/>
        <v>0</v>
      </c>
      <c r="BB51" s="184">
        <f t="shared" si="21"/>
        <v>0</v>
      </c>
      <c r="BC51" s="184">
        <f t="shared" si="21"/>
        <v>0</v>
      </c>
      <c r="BD51" s="184">
        <f t="shared" si="21"/>
        <v>0</v>
      </c>
      <c r="BE51" s="185">
        <f>SUM(BE11:BE50)</f>
        <v>126602859.59999998</v>
      </c>
      <c r="BG51" s="186">
        <f>'Op Cost-24'!E44</f>
        <v>557924668</v>
      </c>
      <c r="BH51" s="187"/>
      <c r="BI51" s="188">
        <f>SUM(BI11:BI50)</f>
        <v>120692968.91959934</v>
      </c>
      <c r="BJ51" s="189">
        <f>SUM(BJ11:BJ50)</f>
        <v>5909890.680400637</v>
      </c>
      <c r="BO51" s="190">
        <f>SUM(BO11:BO50)</f>
        <v>89860096.880582586</v>
      </c>
      <c r="BP51" s="191">
        <f>SUM(BP11:BP50)</f>
        <v>1.2392883193925237</v>
      </c>
      <c r="BQ51" s="191">
        <f>SUM(BQ11:BQ50)</f>
        <v>0.59367820547202743</v>
      </c>
      <c r="BR51" s="192">
        <f>SUM(BR11:BR50)</f>
        <v>1.0000000000000002</v>
      </c>
      <c r="BS51" s="192">
        <f>SUM(BS11:BS50)</f>
        <v>133266168.00000001</v>
      </c>
      <c r="BT51" s="192"/>
      <c r="BU51" s="192"/>
      <c r="BV51" s="192">
        <f>SUM(BV11:BV50)</f>
        <v>2228327.0402693329</v>
      </c>
      <c r="BW51" s="191">
        <f>SUM(BW11:BW50)</f>
        <v>0.45008819353680657</v>
      </c>
      <c r="BX51" s="192">
        <f t="shared" ref="BX51" si="61">IF($BX$52=0,1,BW51/$BX$52)</f>
        <v>1</v>
      </c>
      <c r="BY51" s="193">
        <f>SUM(BY11:BY50)</f>
        <v>133266168.00000001</v>
      </c>
      <c r="BZ51" s="194">
        <f>SUM(BZ11:BZ50)</f>
        <v>1675582060946116.8</v>
      </c>
      <c r="CA51" s="189">
        <f>SUM(CA11:CA50)</f>
        <v>1675582181639087</v>
      </c>
      <c r="CC51" s="195">
        <f>SUM(CC11:CC50)</f>
        <v>39</v>
      </c>
      <c r="CE51" s="196">
        <f>SUM(CE11:CE50)</f>
        <v>557924668</v>
      </c>
      <c r="CF51" s="197"/>
      <c r="CG51" s="198">
        <f>SUM(CG11:CG50)</f>
        <v>167377400.40000004</v>
      </c>
      <c r="CH51" s="199">
        <f t="shared" si="47"/>
        <v>1675582014261686.5</v>
      </c>
      <c r="CI51" s="1"/>
      <c r="CJ51" s="200">
        <f>SUM(CJ11:CJ50)</f>
        <v>0</v>
      </c>
      <c r="CK51" s="201" t="e">
        <f t="shared" si="49"/>
        <v>#DIV/0!</v>
      </c>
      <c r="CL51" s="202" t="e">
        <f t="shared" si="50"/>
        <v>#DIV/0!</v>
      </c>
      <c r="CM51" s="203" t="e">
        <f>ROUND((CL51+CG51),0)+2</f>
        <v>#DIV/0!</v>
      </c>
      <c r="CN51" s="1"/>
      <c r="CO51" s="204" t="e">
        <f>CM51/CE51</f>
        <v>#DIV/0!</v>
      </c>
      <c r="CP51" s="171">
        <f>SUM(CP11:CP50)</f>
        <v>4</v>
      </c>
      <c r="CS51" s="205">
        <f>SUM(CS11:CS50)</f>
        <v>1.0000000000000004</v>
      </c>
    </row>
    <row r="52" spans="1:97">
      <c r="BP52" s="206">
        <f>BP51-BP34</f>
        <v>1.2090106836948771</v>
      </c>
    </row>
    <row r="55" spans="1:97">
      <c r="B55" s="1">
        <v>1</v>
      </c>
      <c r="C55" s="1">
        <f>B55+1</f>
        <v>2</v>
      </c>
      <c r="D55" s="1">
        <f t="shared" ref="D55:BO55" si="62">C55+1</f>
        <v>3</v>
      </c>
      <c r="E55" s="1">
        <f t="shared" si="62"/>
        <v>4</v>
      </c>
      <c r="F55" s="1">
        <f t="shared" si="62"/>
        <v>5</v>
      </c>
      <c r="G55" s="1">
        <f t="shared" si="62"/>
        <v>6</v>
      </c>
      <c r="H55" s="1">
        <f t="shared" si="62"/>
        <v>7</v>
      </c>
      <c r="I55" s="1">
        <f t="shared" si="62"/>
        <v>8</v>
      </c>
      <c r="J55" s="1">
        <f t="shared" si="62"/>
        <v>9</v>
      </c>
      <c r="K55" s="1">
        <f t="shared" si="62"/>
        <v>10</v>
      </c>
      <c r="L55" s="1">
        <f t="shared" si="62"/>
        <v>11</v>
      </c>
      <c r="M55" s="1">
        <f t="shared" si="62"/>
        <v>12</v>
      </c>
      <c r="N55" s="1">
        <f t="shared" si="62"/>
        <v>13</v>
      </c>
      <c r="O55" s="1">
        <f t="shared" si="62"/>
        <v>14</v>
      </c>
      <c r="P55" s="1">
        <f t="shared" si="62"/>
        <v>15</v>
      </c>
      <c r="Q55" s="1">
        <f t="shared" si="62"/>
        <v>16</v>
      </c>
      <c r="R55" s="1">
        <f t="shared" si="62"/>
        <v>17</v>
      </c>
      <c r="S55" s="1">
        <f t="shared" si="62"/>
        <v>18</v>
      </c>
      <c r="T55" s="1">
        <f t="shared" si="62"/>
        <v>19</v>
      </c>
      <c r="U55" s="1">
        <f t="shared" si="62"/>
        <v>20</v>
      </c>
      <c r="V55" s="1">
        <f t="shared" si="62"/>
        <v>21</v>
      </c>
      <c r="W55" s="1">
        <f t="shared" si="62"/>
        <v>22</v>
      </c>
      <c r="X55" s="1">
        <f t="shared" si="62"/>
        <v>23</v>
      </c>
      <c r="Y55" s="1">
        <f t="shared" si="62"/>
        <v>24</v>
      </c>
      <c r="Z55" s="1">
        <f t="shared" si="62"/>
        <v>25</v>
      </c>
      <c r="AA55" s="1">
        <f t="shared" si="62"/>
        <v>26</v>
      </c>
      <c r="AB55" s="1">
        <f t="shared" si="62"/>
        <v>27</v>
      </c>
      <c r="AC55" s="1">
        <f t="shared" si="62"/>
        <v>28</v>
      </c>
      <c r="AD55" s="1">
        <f t="shared" si="62"/>
        <v>29</v>
      </c>
      <c r="AE55" s="1">
        <f t="shared" si="62"/>
        <v>30</v>
      </c>
      <c r="AF55" s="1">
        <f t="shared" si="62"/>
        <v>31</v>
      </c>
      <c r="AG55" s="1">
        <f t="shared" si="62"/>
        <v>32</v>
      </c>
      <c r="AH55" s="1">
        <f t="shared" si="62"/>
        <v>33</v>
      </c>
      <c r="AI55" s="1">
        <f t="shared" si="62"/>
        <v>34</v>
      </c>
      <c r="AJ55" s="1">
        <f t="shared" si="62"/>
        <v>35</v>
      </c>
      <c r="AK55" s="1">
        <f t="shared" si="62"/>
        <v>36</v>
      </c>
      <c r="AL55" s="1">
        <f t="shared" si="62"/>
        <v>37</v>
      </c>
      <c r="AM55" s="1">
        <f t="shared" si="62"/>
        <v>38</v>
      </c>
      <c r="AN55" s="1">
        <f t="shared" si="62"/>
        <v>39</v>
      </c>
      <c r="AO55" s="1">
        <f t="shared" si="62"/>
        <v>40</v>
      </c>
      <c r="AP55" s="1">
        <f t="shared" si="62"/>
        <v>41</v>
      </c>
      <c r="AQ55" s="1">
        <f t="shared" si="62"/>
        <v>42</v>
      </c>
      <c r="AR55" s="1">
        <f t="shared" si="62"/>
        <v>43</v>
      </c>
      <c r="AS55" s="1">
        <f t="shared" si="62"/>
        <v>44</v>
      </c>
      <c r="AT55" s="1">
        <f t="shared" si="62"/>
        <v>45</v>
      </c>
      <c r="AU55" s="1">
        <f t="shared" si="62"/>
        <v>46</v>
      </c>
      <c r="AV55" s="1">
        <f t="shared" si="62"/>
        <v>47</v>
      </c>
      <c r="AW55" s="1">
        <f t="shared" si="62"/>
        <v>48</v>
      </c>
      <c r="AX55" s="1">
        <f t="shared" si="62"/>
        <v>49</v>
      </c>
      <c r="AY55" s="1">
        <f t="shared" si="62"/>
        <v>50</v>
      </c>
      <c r="AZ55" s="1">
        <f t="shared" si="62"/>
        <v>51</v>
      </c>
      <c r="BA55" s="1">
        <f t="shared" si="62"/>
        <v>52</v>
      </c>
      <c r="BB55" s="1">
        <f t="shared" si="62"/>
        <v>53</v>
      </c>
      <c r="BC55" s="1">
        <f t="shared" si="62"/>
        <v>54</v>
      </c>
      <c r="BD55" s="1">
        <f t="shared" si="62"/>
        <v>55</v>
      </c>
      <c r="BE55" s="1">
        <f t="shared" si="62"/>
        <v>56</v>
      </c>
      <c r="BF55" s="1">
        <f t="shared" si="62"/>
        <v>57</v>
      </c>
      <c r="BG55" s="1">
        <f t="shared" si="62"/>
        <v>58</v>
      </c>
      <c r="BH55" s="1">
        <f t="shared" si="62"/>
        <v>59</v>
      </c>
      <c r="BI55" s="1">
        <f t="shared" si="62"/>
        <v>60</v>
      </c>
      <c r="BJ55" s="1">
        <f t="shared" si="62"/>
        <v>61</v>
      </c>
      <c r="BK55" s="1">
        <f t="shared" si="62"/>
        <v>62</v>
      </c>
      <c r="BL55" s="1">
        <f t="shared" si="62"/>
        <v>63</v>
      </c>
      <c r="BM55" s="1">
        <f t="shared" si="62"/>
        <v>64</v>
      </c>
      <c r="BN55" s="1">
        <f t="shared" si="62"/>
        <v>65</v>
      </c>
      <c r="BO55" s="1">
        <f t="shared" si="62"/>
        <v>66</v>
      </c>
      <c r="BP55" s="1">
        <f t="shared" ref="BP55:BY55" si="63">BO55+1</f>
        <v>67</v>
      </c>
      <c r="BQ55" s="1">
        <f t="shared" si="63"/>
        <v>68</v>
      </c>
      <c r="BR55" s="1">
        <f t="shared" si="63"/>
        <v>69</v>
      </c>
      <c r="BS55" s="1">
        <f t="shared" si="63"/>
        <v>70</v>
      </c>
      <c r="BT55" s="1">
        <f t="shared" si="63"/>
        <v>71</v>
      </c>
      <c r="BU55" s="1">
        <f t="shared" si="63"/>
        <v>72</v>
      </c>
      <c r="BV55" s="1">
        <f t="shared" si="63"/>
        <v>73</v>
      </c>
      <c r="BW55" s="1">
        <f t="shared" si="63"/>
        <v>74</v>
      </c>
      <c r="BX55" s="1">
        <f t="shared" si="63"/>
        <v>75</v>
      </c>
      <c r="BY55" s="1">
        <f t="shared" si="63"/>
        <v>76</v>
      </c>
    </row>
  </sheetData>
  <autoFilter ref="A10:CO10" xr:uid="{00000000-0001-0000-0F00-000000000000}"/>
  <mergeCells count="1">
    <mergeCell ref="CJ3:CM3"/>
  </mergeCells>
  <conditionalFormatting sqref="BK11:BK50">
    <cfRule type="cellIs" dxfId="5" priority="1" operator="greaterThan">
      <formula>0.93</formula>
    </cfRule>
  </conditionalFormatting>
  <conditionalFormatting sqref="CC51">
    <cfRule type="cellIs" dxfId="4" priority="2" operator="notEqual">
      <formula>0</formula>
    </cfRule>
  </conditionalFormatting>
  <printOptions horizontalCentered="1"/>
  <pageMargins left="0.25" right="0.25" top="0.75" bottom="0.75" header="0.3" footer="0.3"/>
  <pageSetup paperSize="17" scale="16" orientation="landscape" r:id="rId1"/>
  <headerFooter alignWithMargins="0">
    <oddFooter>&amp;L&amp;F&amp;R&amp;D</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8BB56-265F-4509-BFD8-EF181633F475}">
  <sheetPr>
    <tabColor theme="7" tint="0.59999389629810485"/>
    <pageSetUpPr fitToPage="1"/>
  </sheetPr>
  <dimension ref="A1:CS55"/>
  <sheetViews>
    <sheetView zoomScale="80" zoomScaleNormal="80" workbookViewId="0">
      <pane xSplit="2" topLeftCell="C1" activePane="topRight" state="frozen"/>
      <selection activeCell="A2" sqref="A2"/>
      <selection pane="topRight"/>
    </sheetView>
  </sheetViews>
  <sheetFormatPr defaultColWidth="9.28515625" defaultRowHeight="14.25"/>
  <cols>
    <col min="1" max="1" width="13.28515625" style="10" customWidth="1"/>
    <col min="2" max="2" width="40.140625" style="1" customWidth="1"/>
    <col min="3" max="3" width="21.28515625" style="1" customWidth="1"/>
    <col min="4" max="4" width="17.42578125" style="1" customWidth="1"/>
    <col min="5" max="5" width="14.28515625" style="1" customWidth="1"/>
    <col min="6" max="6" width="13.5703125" style="1" customWidth="1"/>
    <col min="7" max="7" width="9.28515625" style="1" customWidth="1"/>
    <col min="8" max="8" width="17.42578125" style="4" customWidth="1"/>
    <col min="9" max="9" width="9.28515625" style="1" customWidth="1"/>
    <col min="10" max="10" width="8.7109375" style="1" customWidth="1"/>
    <col min="11" max="11" width="11.5703125" style="1" customWidth="1"/>
    <col min="12" max="13" width="8.7109375" style="1" customWidth="1"/>
    <col min="14" max="16" width="15.7109375" style="1" customWidth="1"/>
    <col min="17" max="20" width="8.7109375" style="1" customWidth="1"/>
    <col min="21" max="22" width="15.7109375" style="1" customWidth="1"/>
    <col min="23" max="23" width="15.7109375" style="5" customWidth="1"/>
    <col min="24" max="27" width="10.7109375" style="1" customWidth="1"/>
    <col min="28" max="29" width="15.7109375" style="1" customWidth="1"/>
    <col min="30" max="30" width="15.7109375" style="5" customWidth="1"/>
    <col min="31" max="34" width="8.7109375" style="1" customWidth="1"/>
    <col min="35" max="36" width="15.7109375" style="1" customWidth="1"/>
    <col min="37" max="37" width="15.7109375" style="5" customWidth="1"/>
    <col min="38" max="40" width="8.7109375" style="1" customWidth="1"/>
    <col min="41" max="41" width="9.28515625" style="1" customWidth="1"/>
    <col min="42" max="43" width="15.7109375" style="1" customWidth="1"/>
    <col min="44" max="44" width="15.7109375" style="5" customWidth="1"/>
    <col min="45" max="45" width="9.28515625" style="1" customWidth="1"/>
    <col min="46" max="50" width="17.7109375" style="1" customWidth="1"/>
    <col min="51" max="51" width="9.28515625" style="1" customWidth="1"/>
    <col min="52" max="52" width="20.28515625" style="1" customWidth="1"/>
    <col min="53" max="57" width="17.7109375" style="1" customWidth="1"/>
    <col min="58" max="58" width="9.28515625" style="1" customWidth="1"/>
    <col min="59" max="59" width="16.5703125" style="6" customWidth="1"/>
    <col min="60" max="60" width="18.5703125" style="1" customWidth="1"/>
    <col min="61" max="61" width="23.5703125" style="1" customWidth="1"/>
    <col min="62" max="62" width="15" style="1" customWidth="1"/>
    <col min="63" max="66" width="9.28515625" style="1" customWidth="1"/>
    <col min="67" max="77" width="21.7109375" style="1" customWidth="1"/>
    <col min="78" max="78" width="22.7109375" style="1" customWidth="1"/>
    <col min="79" max="79" width="22.7109375" style="8" customWidth="1"/>
    <col min="80" max="80" width="10" style="1" customWidth="1"/>
    <col min="81" max="81" width="23.7109375" style="1" customWidth="1"/>
    <col min="82" max="82" width="12.42578125" style="1" customWidth="1"/>
    <col min="83" max="83" width="14.85546875" style="1" customWidth="1"/>
    <col min="84" max="84" width="15.140625" style="1" customWidth="1"/>
    <col min="85" max="86" width="18.28515625" style="1" customWidth="1"/>
    <col min="87" max="87" width="9.28515625" style="1" customWidth="1"/>
    <col min="88" max="89" width="21.7109375" style="1" customWidth="1"/>
    <col min="90" max="90" width="18.42578125" style="1" customWidth="1"/>
    <col min="91" max="91" width="18.42578125" style="8" customWidth="1"/>
    <col min="92" max="92" width="9.28515625" style="1" customWidth="1"/>
    <col min="93" max="93" width="9.28515625" style="9" customWidth="1"/>
    <col min="94" max="16384" width="9.28515625" style="1"/>
  </cols>
  <sheetData>
    <row r="1" spans="1:97" ht="20.25">
      <c r="A1" s="370" t="s">
        <v>439</v>
      </c>
    </row>
    <row r="2" spans="1:97" ht="17.25">
      <c r="A2" s="1149" t="str" cm="1">
        <f t="array" aca="1" ref="A2" ca="1">"Scenario "&amp;MID(CELL("filename",A1),FIND("]",CELL("filename",A1))+1,500)</f>
        <v>Scenario S6C-Combo-24</v>
      </c>
      <c r="B2" s="11"/>
    </row>
    <row r="3" spans="1:97" ht="15" customHeight="1">
      <c r="A3" s="11"/>
      <c r="B3" s="11"/>
      <c r="C3" s="2" t="s">
        <v>0</v>
      </c>
      <c r="F3" s="3"/>
      <c r="BO3" s="7" t="s">
        <v>1</v>
      </c>
      <c r="BP3" s="7"/>
      <c r="BQ3" s="7"/>
      <c r="BR3" s="7"/>
      <c r="BS3" s="7"/>
      <c r="BT3" s="7"/>
      <c r="BU3" s="7"/>
      <c r="BV3" s="7"/>
      <c r="BW3" s="7"/>
      <c r="BX3" s="7"/>
      <c r="CJ3" s="1166" t="s">
        <v>2</v>
      </c>
      <c r="CK3" s="1166"/>
      <c r="CL3" s="1166"/>
      <c r="CM3" s="1166"/>
    </row>
    <row r="4" spans="1:97" ht="15" customHeight="1">
      <c r="A4" s="11"/>
      <c r="B4" s="11"/>
      <c r="C4" s="12">
        <v>5.592864339467718E-2</v>
      </c>
      <c r="D4" s="13"/>
      <c r="E4" s="10"/>
      <c r="F4" s="14"/>
      <c r="H4" s="15"/>
      <c r="L4" s="16"/>
      <c r="N4" s="17"/>
      <c r="O4" s="17"/>
      <c r="R4" s="16"/>
      <c r="Y4" s="16"/>
      <c r="AF4" s="16"/>
      <c r="AM4" s="16"/>
    </row>
    <row r="5" spans="1:97" ht="15" customHeight="1">
      <c r="A5" s="11"/>
      <c r="B5" s="11"/>
      <c r="C5" s="18" t="s">
        <v>3</v>
      </c>
      <c r="D5" s="19"/>
      <c r="E5" s="20"/>
      <c r="F5" s="21"/>
      <c r="H5" s="15"/>
      <c r="L5" s="16"/>
      <c r="N5" s="17"/>
      <c r="O5" s="17"/>
      <c r="R5" s="16"/>
      <c r="Y5" s="16"/>
      <c r="AF5" s="16"/>
      <c r="AM5" s="16"/>
      <c r="AT5" s="22" t="s">
        <v>4</v>
      </c>
      <c r="AU5" s="23"/>
      <c r="AV5" s="23"/>
      <c r="AW5" s="23"/>
      <c r="AX5" s="24"/>
      <c r="AZ5" s="25" t="s">
        <v>5</v>
      </c>
      <c r="BI5" s="25" t="s">
        <v>6</v>
      </c>
      <c r="BO5" s="25" t="s">
        <v>7</v>
      </c>
      <c r="BP5" s="7"/>
      <c r="BQ5" s="7"/>
      <c r="BR5" s="7"/>
      <c r="BS5" s="7"/>
      <c r="BT5" s="7"/>
      <c r="BU5" s="7"/>
      <c r="BV5" s="7"/>
      <c r="BW5" s="7"/>
      <c r="BX5" s="7"/>
      <c r="CK5" s="25" t="s">
        <v>7</v>
      </c>
    </row>
    <row r="6" spans="1:97">
      <c r="B6" s="26"/>
      <c r="C6" s="27">
        <v>0.35</v>
      </c>
      <c r="D6" s="27">
        <v>0.35</v>
      </c>
      <c r="E6" s="27">
        <v>0.15</v>
      </c>
      <c r="F6" s="27">
        <v>0.15</v>
      </c>
      <c r="H6" s="15"/>
      <c r="L6" s="16"/>
      <c r="N6" s="17"/>
      <c r="O6" s="17"/>
      <c r="R6" s="16"/>
      <c r="Y6" s="16"/>
      <c r="AF6" s="16"/>
      <c r="AM6" s="16"/>
      <c r="AT6" s="28">
        <v>0</v>
      </c>
      <c r="AU6" s="28">
        <v>0</v>
      </c>
      <c r="AV6" s="28">
        <v>0</v>
      </c>
      <c r="AW6" s="28">
        <v>0</v>
      </c>
      <c r="AX6" s="28">
        <v>0</v>
      </c>
      <c r="AY6" s="29"/>
      <c r="AZ6" s="30">
        <f>133266168*(1-AY8)</f>
        <v>126602859.59999999</v>
      </c>
      <c r="BA6" s="1" t="s">
        <v>8</v>
      </c>
      <c r="BI6" s="28">
        <v>0.3</v>
      </c>
      <c r="BO6" s="31">
        <f>$BJ$51+AZ8</f>
        <v>12573199.080400638</v>
      </c>
      <c r="BP6" s="32"/>
      <c r="BQ6" s="32"/>
      <c r="BR6" s="32"/>
      <c r="BS6" s="32"/>
      <c r="BT6" s="32"/>
      <c r="BU6" s="33">
        <v>0.3</v>
      </c>
      <c r="BV6" s="32"/>
      <c r="BW6" s="32"/>
      <c r="BX6" s="32"/>
      <c r="CK6" s="31">
        <f>CH51</f>
        <v>1675582014261687.5</v>
      </c>
    </row>
    <row r="7" spans="1:97" ht="15" customHeight="1" thickBot="1">
      <c r="A7" s="34" t="s">
        <v>9</v>
      </c>
      <c r="G7" s="35"/>
      <c r="BO7" s="16">
        <v>0.25</v>
      </c>
      <c r="BP7" s="16">
        <v>0.25</v>
      </c>
      <c r="BQ7" s="16">
        <v>0.5</v>
      </c>
    </row>
    <row r="8" spans="1:97" s="29" customFormat="1">
      <c r="A8" s="36"/>
      <c r="B8" s="37"/>
      <c r="C8" s="38" t="s">
        <v>10</v>
      </c>
      <c r="D8" s="39"/>
      <c r="E8" s="39"/>
      <c r="F8" s="39"/>
      <c r="G8" s="40"/>
      <c r="H8" s="41"/>
      <c r="J8" s="42" t="s">
        <v>11</v>
      </c>
      <c r="K8" s="43"/>
      <c r="L8" s="43"/>
      <c r="M8" s="43"/>
      <c r="N8" s="43"/>
      <c r="O8" s="43"/>
      <c r="P8" s="44"/>
      <c r="Q8" s="42" t="s">
        <v>12</v>
      </c>
      <c r="R8" s="43"/>
      <c r="S8" s="43"/>
      <c r="T8" s="43"/>
      <c r="U8" s="43"/>
      <c r="V8" s="43"/>
      <c r="W8" s="44"/>
      <c r="X8" s="42" t="s">
        <v>13</v>
      </c>
      <c r="Y8" s="43"/>
      <c r="Z8" s="43"/>
      <c r="AA8" s="43"/>
      <c r="AB8" s="43"/>
      <c r="AC8" s="43"/>
      <c r="AD8" s="44"/>
      <c r="AE8" s="42" t="s">
        <v>14</v>
      </c>
      <c r="AF8" s="43"/>
      <c r="AG8" s="43"/>
      <c r="AH8" s="43"/>
      <c r="AI8" s="43"/>
      <c r="AJ8" s="43"/>
      <c r="AK8" s="44"/>
      <c r="AL8" s="42" t="s">
        <v>15</v>
      </c>
      <c r="AM8" s="43"/>
      <c r="AN8" s="43"/>
      <c r="AO8" s="43"/>
      <c r="AP8" s="43"/>
      <c r="AQ8" s="43"/>
      <c r="AR8" s="44"/>
      <c r="AX8" s="45" t="s">
        <v>16</v>
      </c>
      <c r="AY8" s="16">
        <v>0.05</v>
      </c>
      <c r="AZ8" s="46">
        <f>133266168*AY8</f>
        <v>6663308.4000000004</v>
      </c>
      <c r="BA8" s="46"/>
      <c r="BB8" s="46"/>
      <c r="BC8" s="46"/>
      <c r="BD8" s="46"/>
      <c r="BG8" s="47"/>
      <c r="BO8" s="48" t="s">
        <v>17</v>
      </c>
      <c r="BP8" s="48"/>
      <c r="BQ8" s="48"/>
      <c r="BR8" s="48"/>
      <c r="BS8" s="48"/>
      <c r="BT8" s="48"/>
      <c r="BU8" s="48"/>
      <c r="BV8" s="48"/>
      <c r="BW8" s="48"/>
      <c r="BX8" s="48"/>
      <c r="BY8" s="48"/>
      <c r="BZ8" s="48"/>
      <c r="CA8" s="49" t="s">
        <v>18</v>
      </c>
      <c r="CB8" s="50">
        <f>AZ6-CA51</f>
        <v>-1675582055036228.5</v>
      </c>
      <c r="CJ8" s="48" t="s">
        <v>17</v>
      </c>
      <c r="CK8" s="48"/>
      <c r="CL8" s="48"/>
      <c r="CM8" s="49" t="s">
        <v>18</v>
      </c>
      <c r="CO8" s="51"/>
    </row>
    <row r="9" spans="1:97" s="29" customFormat="1" ht="15" thickBot="1">
      <c r="A9" s="52"/>
      <c r="B9" s="53" t="s">
        <v>19</v>
      </c>
      <c r="C9" s="54">
        <f>C$6</f>
        <v>0.35</v>
      </c>
      <c r="D9" s="54">
        <f>D$6</f>
        <v>0.35</v>
      </c>
      <c r="E9" s="54">
        <f>E$6</f>
        <v>0.15</v>
      </c>
      <c r="F9" s="54">
        <f>F$6</f>
        <v>0.15</v>
      </c>
      <c r="G9" s="54"/>
      <c r="H9" s="55"/>
      <c r="J9" s="56" t="s">
        <v>20</v>
      </c>
      <c r="K9" s="57"/>
      <c r="L9" s="57"/>
      <c r="M9" s="57"/>
      <c r="N9" s="57"/>
      <c r="O9" s="57"/>
      <c r="P9" s="58"/>
      <c r="Q9" s="56" t="s">
        <v>21</v>
      </c>
      <c r="R9" s="57"/>
      <c r="S9" s="57"/>
      <c r="T9" s="57"/>
      <c r="U9" s="57"/>
      <c r="V9" s="57"/>
      <c r="W9" s="58"/>
      <c r="X9" s="56" t="s">
        <v>22</v>
      </c>
      <c r="Y9" s="57"/>
      <c r="Z9" s="57"/>
      <c r="AA9" s="57"/>
      <c r="AB9" s="57"/>
      <c r="AC9" s="57"/>
      <c r="AD9" s="58"/>
      <c r="AE9" s="56" t="s">
        <v>23</v>
      </c>
      <c r="AF9" s="57"/>
      <c r="AG9" s="57"/>
      <c r="AH9" s="57"/>
      <c r="AI9" s="57"/>
      <c r="AJ9" s="57"/>
      <c r="AK9" s="58"/>
      <c r="AL9" s="56" t="s">
        <v>24</v>
      </c>
      <c r="AM9" s="57"/>
      <c r="AN9" s="57"/>
      <c r="AO9" s="57"/>
      <c r="AP9" s="57"/>
      <c r="AQ9" s="57"/>
      <c r="AR9" s="58"/>
      <c r="BG9" s="59" t="s">
        <v>25</v>
      </c>
      <c r="BO9" s="59" t="s">
        <v>26</v>
      </c>
      <c r="BP9" s="59"/>
      <c r="BQ9" s="59"/>
      <c r="BR9" s="59"/>
      <c r="BS9" s="59"/>
      <c r="BT9" s="59"/>
      <c r="BU9" s="59"/>
      <c r="BV9" s="59"/>
      <c r="BW9" s="59"/>
      <c r="BX9" s="59"/>
      <c r="CA9" s="60"/>
      <c r="CE9" s="59" t="s">
        <v>27</v>
      </c>
      <c r="CJ9" s="59" t="s">
        <v>28</v>
      </c>
      <c r="CM9" s="60"/>
      <c r="CO9" s="51"/>
    </row>
    <row r="10" spans="1:97" s="45" customFormat="1" ht="101.25" customHeight="1">
      <c r="A10" s="61" t="s">
        <v>29</v>
      </c>
      <c r="B10" s="62" t="s">
        <v>30</v>
      </c>
      <c r="C10" s="63" t="s">
        <v>31</v>
      </c>
      <c r="D10" s="64" t="s">
        <v>32</v>
      </c>
      <c r="E10" s="64" t="s">
        <v>33</v>
      </c>
      <c r="F10" s="64" t="s">
        <v>34</v>
      </c>
      <c r="G10" s="64" t="s">
        <v>35</v>
      </c>
      <c r="H10" s="65" t="s">
        <v>36</v>
      </c>
      <c r="J10" s="66">
        <v>2018</v>
      </c>
      <c r="K10" s="66">
        <v>2019</v>
      </c>
      <c r="L10" s="66">
        <v>2021</v>
      </c>
      <c r="M10" s="66">
        <v>2022</v>
      </c>
      <c r="N10" s="67" t="s">
        <v>37</v>
      </c>
      <c r="O10" s="67" t="s">
        <v>38</v>
      </c>
      <c r="P10" s="68" t="s">
        <v>39</v>
      </c>
      <c r="Q10" s="66">
        <v>2018</v>
      </c>
      <c r="R10" s="66">
        <v>2019</v>
      </c>
      <c r="S10" s="66">
        <v>2021</v>
      </c>
      <c r="T10" s="66">
        <v>2022</v>
      </c>
      <c r="U10" s="67" t="s">
        <v>40</v>
      </c>
      <c r="V10" s="67" t="s">
        <v>41</v>
      </c>
      <c r="W10" s="68" t="s">
        <v>39</v>
      </c>
      <c r="X10" s="66">
        <v>2018</v>
      </c>
      <c r="Y10" s="66">
        <v>2019</v>
      </c>
      <c r="Z10" s="66">
        <v>2021</v>
      </c>
      <c r="AA10" s="66">
        <v>2022</v>
      </c>
      <c r="AB10" s="67" t="s">
        <v>42</v>
      </c>
      <c r="AC10" s="67" t="s">
        <v>43</v>
      </c>
      <c r="AD10" s="68" t="s">
        <v>39</v>
      </c>
      <c r="AE10" s="66">
        <v>2018</v>
      </c>
      <c r="AF10" s="66">
        <v>2019</v>
      </c>
      <c r="AG10" s="66">
        <v>2021</v>
      </c>
      <c r="AH10" s="66">
        <v>2022</v>
      </c>
      <c r="AI10" s="67" t="s">
        <v>44</v>
      </c>
      <c r="AJ10" s="67" t="s">
        <v>45</v>
      </c>
      <c r="AK10" s="68" t="s">
        <v>39</v>
      </c>
      <c r="AL10" s="66">
        <v>2018</v>
      </c>
      <c r="AM10" s="66">
        <v>2019</v>
      </c>
      <c r="AN10" s="66">
        <v>2021</v>
      </c>
      <c r="AO10" s="66">
        <v>2022</v>
      </c>
      <c r="AP10" s="67" t="s">
        <v>46</v>
      </c>
      <c r="AQ10" s="67" t="s">
        <v>47</v>
      </c>
      <c r="AR10" s="68" t="s">
        <v>39</v>
      </c>
      <c r="AT10" s="69" t="s">
        <v>48</v>
      </c>
      <c r="AU10" s="70" t="s">
        <v>49</v>
      </c>
      <c r="AV10" s="70" t="s">
        <v>50</v>
      </c>
      <c r="AW10" s="70" t="s">
        <v>51</v>
      </c>
      <c r="AX10" s="71" t="s">
        <v>52</v>
      </c>
      <c r="AZ10" s="72" t="s">
        <v>53</v>
      </c>
      <c r="BA10" s="73" t="s">
        <v>54</v>
      </c>
      <c r="BB10" s="73" t="s">
        <v>55</v>
      </c>
      <c r="BC10" s="73" t="s">
        <v>56</v>
      </c>
      <c r="BD10" s="73" t="s">
        <v>57</v>
      </c>
      <c r="BE10" s="74" t="s">
        <v>58</v>
      </c>
      <c r="BG10" s="75" t="s">
        <v>59</v>
      </c>
      <c r="BH10" s="76" t="s">
        <v>60</v>
      </c>
      <c r="BI10" s="76" t="s">
        <v>61</v>
      </c>
      <c r="BJ10" s="77" t="s">
        <v>62</v>
      </c>
      <c r="BL10" s="78" t="s">
        <v>63</v>
      </c>
      <c r="BM10" s="78" t="s">
        <v>64</v>
      </c>
      <c r="BN10" s="78" t="s">
        <v>65</v>
      </c>
      <c r="BO10" s="75" t="s">
        <v>66</v>
      </c>
      <c r="BP10" s="79" t="s">
        <v>67</v>
      </c>
      <c r="BQ10" s="79" t="s">
        <v>68</v>
      </c>
      <c r="BR10" s="79" t="s">
        <v>69</v>
      </c>
      <c r="BS10" s="79" t="s">
        <v>70</v>
      </c>
      <c r="BT10" s="79" t="s">
        <v>71</v>
      </c>
      <c r="BU10" s="80" t="s">
        <v>72</v>
      </c>
      <c r="BV10" s="80" t="s">
        <v>73</v>
      </c>
      <c r="BW10" s="79" t="s">
        <v>74</v>
      </c>
      <c r="BX10" s="79" t="s">
        <v>75</v>
      </c>
      <c r="BY10" s="79" t="s">
        <v>76</v>
      </c>
      <c r="BZ10" s="76" t="s">
        <v>77</v>
      </c>
      <c r="CA10" s="81" t="s">
        <v>78</v>
      </c>
      <c r="CC10" s="82" t="s">
        <v>79</v>
      </c>
      <c r="CE10" s="83" t="s">
        <v>59</v>
      </c>
      <c r="CF10" s="84" t="s">
        <v>60</v>
      </c>
      <c r="CG10" s="84" t="s">
        <v>61</v>
      </c>
      <c r="CH10" s="85" t="s">
        <v>62</v>
      </c>
      <c r="CJ10" s="86" t="s">
        <v>66</v>
      </c>
      <c r="CK10" s="87" t="s">
        <v>80</v>
      </c>
      <c r="CL10" s="87" t="s">
        <v>77</v>
      </c>
      <c r="CM10" s="88" t="s">
        <v>78</v>
      </c>
      <c r="CO10" s="51" t="s">
        <v>81</v>
      </c>
    </row>
    <row r="11" spans="1:97">
      <c r="A11" s="89" t="s">
        <v>82</v>
      </c>
      <c r="B11" s="90" t="s">
        <v>83</v>
      </c>
      <c r="C11" s="208">
        <f>'Op Cost-24'!E4</f>
        <v>2305461</v>
      </c>
      <c r="D11" s="92">
        <f>'Ridership-24'!$E3</f>
        <v>97489</v>
      </c>
      <c r="E11" s="92">
        <f>'Revenue Hours-24'!$F3</f>
        <v>30762</v>
      </c>
      <c r="F11" s="92">
        <f>'Revenue Miles-24'!$F3</f>
        <v>634178</v>
      </c>
      <c r="G11" s="93">
        <f t="shared" ref="G11:G33" si="0">IFERROR($C$9*(C11/C$51),0) + IFERROR($D$9*(D11/D$51),0) + IFERROR($E$9*(E11/E$51),0) + IFERROR($F$9*(F11/F$51),0)</f>
        <v>5.1804858844442178E-3</v>
      </c>
      <c r="H11" s="94">
        <f t="shared" ref="H11:H33" si="1">G11/(SUM($G$11:$G$50)-$G$34)*(1-$G$34)</f>
        <v>4.890748336801979E-3</v>
      </c>
      <c r="J11" s="95">
        <f>'Ridership-24'!B3/'Revenue Hours-24'!C3</f>
        <v>4.2981751308530205</v>
      </c>
      <c r="K11" s="207">
        <f>'Ridership-24'!C3/'Revenue Hours-24'!J3</f>
        <v>4.5693508022964817</v>
      </c>
      <c r="L11" s="207">
        <f>'Ridership-24'!D3/'Revenue Hours-24'!K3</f>
        <v>3.0233116215289679</v>
      </c>
      <c r="M11" s="207">
        <f>'Ridership-24'!E3/'Revenue Hours-24'!L3</f>
        <v>3.1691372472531043</v>
      </c>
      <c r="N11" s="97">
        <f t="shared" ref="N11:N50" si="2">IF(J11=0,IF(K11=0,1,AVERAGE(1,(L11/K11)/($L$51/$K$51),(M11/L11)/($M$51/$L$51))), AVERAGE((K11/J11)/($K$51/$J$51),(L11/K11)/($L$51/$K$51),(M11/L11)/($M$51/$L$51)))</f>
        <v>1.056331491706916</v>
      </c>
      <c r="O11" s="98">
        <f t="shared" ref="O11:O50" si="3">$H11*N11</f>
        <v>5.1662514861771525E-3</v>
      </c>
      <c r="P11" s="99">
        <f t="shared" ref="P11:P50" si="4">O11/SUM($O$11:$O$50)</f>
        <v>4.9177800003638973E-3</v>
      </c>
      <c r="Q11" s="95">
        <f>'Ridership-24'!B3/'Revenue Miles-24'!C3</f>
        <v>0.20104759295799438</v>
      </c>
      <c r="R11" s="207">
        <f>'Ridership-24'!C3/'Revenue Miles-24'!J3</f>
        <v>0.21529352848722441</v>
      </c>
      <c r="S11" s="207">
        <f>'Ridership-24'!D3/'Revenue Miles-24'!K3</f>
        <v>0.1472857600940598</v>
      </c>
      <c r="T11" s="207">
        <f>'Ridership-24'!E3/'Revenue Miles-24'!L3</f>
        <v>0.15372497942218116</v>
      </c>
      <c r="U11" s="97">
        <f t="shared" ref="U11:U50" si="5">IF(Q11=0,IF(R11=0,1,AVERAGE(1,(S11/R11)/($S$51/$R$51),(T11/S11)/($T$51/$S$51))), AVERAGE((R11/Q11)/($R$51/$Q$51),(S11/R11)/($S$51/$R$51),(T11/S11)/($T$51/$S$51)))</f>
        <v>1.0746120182687253</v>
      </c>
      <c r="V11" s="98">
        <f t="shared" ref="V11:V50" si="6">$H11*U11</f>
        <v>5.2556569410551861E-3</v>
      </c>
      <c r="W11" s="99">
        <f t="shared" ref="W11:W50" si="7">V11/SUM($V$11:$V$50)</f>
        <v>4.9916828673903877E-3</v>
      </c>
      <c r="X11" s="95">
        <f>'Op Cost-24'!B4/'Revenue Hours-24'!C3</f>
        <v>46.229197906351679</v>
      </c>
      <c r="Y11" s="96">
        <f>'Op Cost-24'!C4/'Revenue Hours-24'!D3</f>
        <v>50.181245399676136</v>
      </c>
      <c r="Z11" s="96">
        <f>'Op Cost-24'!D4/'Revenue Hours-24'!E3</f>
        <v>64.628076791223862</v>
      </c>
      <c r="AA11" s="96">
        <f>'Op Cost-24'!E4/'Revenue Hours-24'!F3</f>
        <v>74.945094597230351</v>
      </c>
      <c r="AB11" s="97">
        <f t="shared" ref="AB11:AB50" si="8">IF(X11=0,IF(Y11=0,1,AVERAGE(1,(Z11/Y11)/($Z$51/$Z$51),(AA11/Z11)/($AA$51/$Z$51))), AVERAGE((Y11/X11)/($Y$51/$X$51),(Z11/Y11)/($Z$51/$Y$51),(AA11/Z11)/($AA$51/$Z$51)))</f>
        <v>1.0923828812408631</v>
      </c>
      <c r="AC11" s="98">
        <f t="shared" ref="AC11:AC50" si="9">$H11*(1/AB11)</f>
        <v>4.4771374769682079E-3</v>
      </c>
      <c r="AD11" s="99">
        <f t="shared" ref="AD11:AD50" si="10">AC11/SUM($AC$11:$AC$50)</f>
        <v>4.5025383284219038E-3</v>
      </c>
      <c r="AE11" s="95">
        <f>'Op Cost-24'!B4/'Revenue Miles-24'!C3</f>
        <v>2.1623755851023705</v>
      </c>
      <c r="AF11" s="96">
        <f>'Op Cost-24'!C4/'Revenue Miles-24'!D3</f>
        <v>2.3643834438252824</v>
      </c>
      <c r="AG11" s="96">
        <f>'Op Cost-24'!D4/'Revenue Miles-24'!E3</f>
        <v>3.148466517916789</v>
      </c>
      <c r="AH11" s="96">
        <f>'Op Cost-24'!E4/'Revenue Miles-24'!F3</f>
        <v>3.6353531658304137</v>
      </c>
      <c r="AI11" s="97">
        <f t="shared" ref="AI11:AI50" si="11">IF(AE11=0,IF(AF11=0,1,AVERAGE(1,(AG11/AF11)/($AG$51/$AF$51),(AH11/AG11)/($AH$51/$AG$51))), AVERAGE((AF11/AE11)/($AF$51/$AE$51),(AG11/AF11)/($AG$51/$AF$51),(AH11/AG11)/($AH$51/$AG$51)))</f>
        <v>1.1114980012916114</v>
      </c>
      <c r="AJ11" s="98">
        <f t="shared" ref="AJ11:AJ50" si="12">$H11*(1/AI11)</f>
        <v>4.4001413687822259E-3</v>
      </c>
      <c r="AK11" s="99">
        <f t="shared" ref="AK11:AK50" si="13">AJ11/SUM($AJ$11:$AJ$50)</f>
        <v>4.4050315580701537E-3</v>
      </c>
      <c r="AL11" s="95">
        <f>'Op Cost-24'!B4/'Ridership-24'!B3</f>
        <v>10.755540781600722</v>
      </c>
      <c r="AM11" s="96">
        <f>'Op Cost-24'!C4/'Ridership-24'!C3</f>
        <v>10.982138945089499</v>
      </c>
      <c r="AN11" s="96">
        <f>'Op Cost-24'!D4/'Ridership-24'!D3</f>
        <v>21.37658464678535</v>
      </c>
      <c r="AO11" s="96">
        <f>'Op Cost-24'!E4/'Ridership-24'!E3</f>
        <v>23.64842187323698</v>
      </c>
      <c r="AP11" s="100">
        <f t="shared" ref="AP11:AP50" si="14">IF(AL11=0,IF(AM11=0,1,AVERAGE(1,(AN11/AM11)/($AN$51/$AM$51),(AO11/AN11)/($AO$51/$AN$51))), AVERAGE((AM11/AL11)/($AM$51/$AL$51),(AN11/AM11)/($AN$51/$AM$51),(AO11/AN11)/($AO$51/$AN$51)))</f>
        <v>1.0797154331714658</v>
      </c>
      <c r="AQ11" s="98">
        <f t="shared" ref="AQ11:AQ50" si="15">$H11*(1/AP11)</f>
        <v>4.5296641934961549E-3</v>
      </c>
      <c r="AR11" s="99">
        <f t="shared" ref="AR11:AR50" si="16">AQ11/SUM($AQ$11:$AQ$50)</f>
        <v>4.7967345657155096E-3</v>
      </c>
      <c r="AT11" s="101">
        <f>P11*AT$6</f>
        <v>0</v>
      </c>
      <c r="AU11" s="102">
        <f t="shared" ref="AU11:AU50" si="17">W11*AU$6</f>
        <v>0</v>
      </c>
      <c r="AV11" s="102">
        <f t="shared" ref="AV11:AV50" si="18">AD11*AV$6</f>
        <v>0</v>
      </c>
      <c r="AW11" s="102">
        <f t="shared" ref="AW11:AW50" si="19">AK11*AW$6</f>
        <v>0</v>
      </c>
      <c r="AX11" s="103">
        <f t="shared" ref="AX11:AX50" si="20">AR11*AX$6</f>
        <v>0</v>
      </c>
      <c r="AY11" s="104">
        <f>(SUM(AT11:AX11)-H11)/H11</f>
        <v>-1</v>
      </c>
      <c r="AZ11" s="105">
        <f t="shared" ref="AZ11:BD51" si="21">AT11*$AZ$6</f>
        <v>0</v>
      </c>
      <c r="BA11" s="106">
        <f t="shared" si="21"/>
        <v>0</v>
      </c>
      <c r="BB11" s="106">
        <f t="shared" si="21"/>
        <v>0</v>
      </c>
      <c r="BC11" s="106">
        <f t="shared" si="21"/>
        <v>0</v>
      </c>
      <c r="BD11" s="106">
        <f t="shared" si="21"/>
        <v>0</v>
      </c>
      <c r="BE11" s="107">
        <f>$AZ$6*H11</f>
        <v>619182.72502307442</v>
      </c>
      <c r="BG11" s="108">
        <f>'Op Cost-24'!E4</f>
        <v>2305461</v>
      </c>
      <c r="BH11" s="109">
        <f t="shared" ref="BH11:BH50" si="22">BE11/BG11</f>
        <v>0.26857219663359061</v>
      </c>
      <c r="BI11" s="110">
        <f t="shared" ref="BI11:BI50" si="23">IF(BE11&gt;BG11*$BI$6,BG11*$BI$6,BE11)</f>
        <v>619182.72502307442</v>
      </c>
      <c r="BJ11" s="111">
        <f t="shared" ref="BJ11:BJ50" si="24">BE11-BI11</f>
        <v>0</v>
      </c>
      <c r="BK11" s="1">
        <f>BL11*$BO$7+BM11*$BP$7+BN11*$BQ$7</f>
        <v>0.51487996982290984</v>
      </c>
      <c r="BL11" s="112">
        <f>AVERAGE(M11/$M$51,L11/$L$51,K11/$K$51)</f>
        <v>0.37560401713176822</v>
      </c>
      <c r="BM11" s="112">
        <f>AVERAGE(T11/$T$51, S11/$S$51,R11/$R$51)</f>
        <v>0.25821832602813727</v>
      </c>
      <c r="BN11" s="113">
        <f>AVERAGE((1/AO11)/(1/$AO$51), (1/AN11)/(1/$AN$51), (1/AM11)/(1/$AM$51))</f>
        <v>0.71284876806586706</v>
      </c>
      <c r="BO11" s="114">
        <f t="shared" ref="BO11:BO50" si="25">IF(OR(BJ11&gt;0,BH11&gt;=0.294),0,BI11)</f>
        <v>619182.72502307442</v>
      </c>
      <c r="BP11" s="115">
        <f>(BL11*$BO$7+BM11*$BP$7+BN11*$BQ$7)*H11</f>
        <v>2.5181483560640493E-3</v>
      </c>
      <c r="BQ11" s="116">
        <f>IF(BO11=0,0,BP11)</f>
        <v>2.5181483560640493E-3</v>
      </c>
      <c r="BR11" s="117">
        <f>BQ11/$BQ$51</f>
        <v>3.8629999585781112E-3</v>
      </c>
      <c r="BS11" s="118">
        <f>$BO$6*BR11+BI11</f>
        <v>667752.99254985643</v>
      </c>
      <c r="BT11" s="119">
        <f>BG11*$BU$6</f>
        <v>691638.29999999993</v>
      </c>
      <c r="BU11" s="119">
        <f>IF(BS11&lt;=BT11,BS11,BT11)</f>
        <v>667752.99254985643</v>
      </c>
      <c r="BV11" s="119">
        <f>BS11-BU11</f>
        <v>0</v>
      </c>
      <c r="BW11" s="120">
        <f>IF(AND(BV11=0, BJ11=0),BP11,0)</f>
        <v>2.5181483560640493E-3</v>
      </c>
      <c r="BX11" s="121">
        <f>IF($BW$51=0,1,BW11/$BW$51)</f>
        <v>4.7727130031354394E-3</v>
      </c>
      <c r="BY11" s="122">
        <f>$BV$51*BX11+BU11</f>
        <v>675350.36892726668</v>
      </c>
      <c r="BZ11" s="123">
        <f>BY11*$BO$6</f>
        <v>8491314637544.541</v>
      </c>
      <c r="CA11" s="111">
        <f>ROUND((BZ11+BI11),0)</f>
        <v>8491315256727</v>
      </c>
      <c r="CC11" s="124">
        <f t="shared" ref="CC11:CC50" si="26">IF(CA11&gt;($BI$6*BG11),1,0)</f>
        <v>1</v>
      </c>
      <c r="CD11" s="17"/>
      <c r="CE11" s="108">
        <f>BG11</f>
        <v>2305461</v>
      </c>
      <c r="CF11" s="125">
        <f>CA11/BG11</f>
        <v>3683131.1641042726</v>
      </c>
      <c r="CG11" s="110">
        <f>IF(CA11&gt;BG11*$BI$6,BG11*$BI$6,CA11)</f>
        <v>691638.29999999993</v>
      </c>
      <c r="CH11" s="126">
        <f>CA11-CG11</f>
        <v>8491314565088.7002</v>
      </c>
      <c r="CJ11" s="127">
        <f>IF(OR(CH11&gt;0,CF11&gt;=0.294),0,CG11)</f>
        <v>0</v>
      </c>
      <c r="CK11" s="128" t="e">
        <f>CJ11/$CJ$51</f>
        <v>#DIV/0!</v>
      </c>
      <c r="CL11" s="129" t="e">
        <f>CK11*$CK$6</f>
        <v>#DIV/0!</v>
      </c>
      <c r="CM11" s="130" t="e">
        <f>ROUND((CL11+CG11),0)+2</f>
        <v>#DIV/0!</v>
      </c>
      <c r="CO11" s="131" t="e">
        <f>CM11/CE11</f>
        <v>#DIV/0!</v>
      </c>
      <c r="CP11" s="1">
        <f>IF(BY11&lt;=BG11*$BU$6, 0, 1)</f>
        <v>0</v>
      </c>
      <c r="CQ11" s="132">
        <f>BY11/BG11</f>
        <v>0.29293506544993242</v>
      </c>
      <c r="CS11" s="104">
        <f>BP11/$BP$51</f>
        <v>2.0889036859931495E-3</v>
      </c>
    </row>
    <row r="12" spans="1:97">
      <c r="A12" s="133" t="s">
        <v>82</v>
      </c>
      <c r="B12" s="90" t="s">
        <v>84</v>
      </c>
      <c r="C12" s="208">
        <f>'Op Cost-24'!E5</f>
        <v>453078</v>
      </c>
      <c r="D12" s="92">
        <f>'Ridership-24'!$E4</f>
        <v>35313</v>
      </c>
      <c r="E12" s="92">
        <f>'Revenue Hours-24'!$F4</f>
        <v>7303</v>
      </c>
      <c r="F12" s="92">
        <f>'Revenue Miles-24'!$F4</f>
        <v>84107</v>
      </c>
      <c r="G12" s="134">
        <f t="shared" si="0"/>
        <v>1.1087719752309712E-3</v>
      </c>
      <c r="H12" s="94">
        <f t="shared" si="1"/>
        <v>1.0467598628222665E-3</v>
      </c>
      <c r="J12" s="95">
        <f>'Ridership-24'!B4/'Revenue Hours-24'!C4</f>
        <v>7.2127544097693352</v>
      </c>
      <c r="K12" s="207">
        <f>'Ridership-24'!C4/'Revenue Hours-24'!J4</f>
        <v>7.0756269072575293</v>
      </c>
      <c r="L12" s="207">
        <f>'Ridership-24'!D4/'Revenue Hours-24'!K4</f>
        <v>3.8435006435006436</v>
      </c>
      <c r="M12" s="207">
        <f>'Ridership-24'!E4/'Revenue Hours-24'!L4</f>
        <v>4.8354101054361225</v>
      </c>
      <c r="N12" s="97">
        <f t="shared" si="2"/>
        <v>1.0062847146966858</v>
      </c>
      <c r="O12" s="98">
        <f t="shared" si="3"/>
        <v>1.0533384499160465E-3</v>
      </c>
      <c r="P12" s="99">
        <f t="shared" si="4"/>
        <v>1.0026780106371725E-3</v>
      </c>
      <c r="Q12" s="95">
        <f>'Ridership-24'!B4/'Revenue Miles-24'!C4</f>
        <v>0.593228283189001</v>
      </c>
      <c r="R12" s="207">
        <f>'Ridership-24'!C4/'Revenue Miles-24'!J4</f>
        <v>0.61203433791631279</v>
      </c>
      <c r="S12" s="207">
        <f>'Ridership-24'!D4/'Revenue Miles-24'!K4</f>
        <v>0.31931227680003421</v>
      </c>
      <c r="T12" s="207">
        <f>'Ridership-24'!E4/'Revenue Miles-24'!L4</f>
        <v>0.41985803797543603</v>
      </c>
      <c r="U12" s="97">
        <f t="shared" si="5"/>
        <v>1.029481442041561</v>
      </c>
      <c r="V12" s="98">
        <f t="shared" si="6"/>
        <v>1.0776198530494936E-3</v>
      </c>
      <c r="W12" s="99">
        <f t="shared" si="7"/>
        <v>1.0234946113029453E-3</v>
      </c>
      <c r="X12" s="95">
        <f>'Op Cost-24'!B5/'Revenue Hours-24'!C4</f>
        <v>55.602306648575308</v>
      </c>
      <c r="Y12" s="96">
        <f>'Op Cost-24'!C5/'Revenue Hours-24'!D4</f>
        <v>54.185219583388616</v>
      </c>
      <c r="Z12" s="96">
        <f>'Op Cost-24'!D5/'Revenue Hours-24'!E4</f>
        <v>108.14491634491634</v>
      </c>
      <c r="AA12" s="96">
        <f>'Op Cost-24'!E5/'Revenue Hours-24'!F4</f>
        <v>62.039983568396551</v>
      </c>
      <c r="AB12" s="97">
        <f t="shared" si="8"/>
        <v>1.0544549449941367</v>
      </c>
      <c r="AC12" s="98">
        <f t="shared" si="9"/>
        <v>9.9270231297372987E-4</v>
      </c>
      <c r="AD12" s="99">
        <f t="shared" si="10"/>
        <v>9.9833436785685611E-4</v>
      </c>
      <c r="AE12" s="95">
        <f>'Op Cost-24'!B5/'Revenue Miles-24'!C4</f>
        <v>4.5731296312829208</v>
      </c>
      <c r="AF12" s="96">
        <f>'Op Cost-24'!C5/'Revenue Miles-24'!D4</f>
        <v>4.6869649046296509</v>
      </c>
      <c r="AG12" s="96">
        <f>'Op Cost-24'!D5/'Revenue Miles-24'!E4</f>
        <v>8.9845176742296253</v>
      </c>
      <c r="AH12" s="96">
        <f>'Op Cost-24'!E5/'Revenue Miles-24'!F4</f>
        <v>5.3869237994459436</v>
      </c>
      <c r="AI12" s="97">
        <f t="shared" si="11"/>
        <v>1.0572322657484516</v>
      </c>
      <c r="AJ12" s="98">
        <f t="shared" si="12"/>
        <v>9.9009451067143565E-4</v>
      </c>
      <c r="AK12" s="99">
        <f t="shared" si="13"/>
        <v>9.9119487294717368E-4</v>
      </c>
      <c r="AL12" s="95">
        <f>'Op Cost-24'!B5/'Ridership-24'!B4</f>
        <v>7.7088867150758116</v>
      </c>
      <c r="AM12" s="96">
        <f>'Op Cost-24'!C5/'Ridership-24'!C4</f>
        <v>7.6580097132892044</v>
      </c>
      <c r="AN12" s="96">
        <f>'Op Cost-24'!D5/'Ridership-24'!D4</f>
        <v>28.137088132869007</v>
      </c>
      <c r="AO12" s="96">
        <f>'Op Cost-24'!E5/'Ridership-24'!E4</f>
        <v>12.830345765015716</v>
      </c>
      <c r="AP12" s="100">
        <f t="shared" si="14"/>
        <v>1.0343360813707996</v>
      </c>
      <c r="AQ12" s="98">
        <f t="shared" si="15"/>
        <v>1.0120113584696781E-3</v>
      </c>
      <c r="AR12" s="99">
        <f t="shared" si="16"/>
        <v>1.0716798545548376E-3</v>
      </c>
      <c r="AT12" s="101">
        <f t="shared" ref="AT12:AT50" si="27">P12*AT$6</f>
        <v>0</v>
      </c>
      <c r="AU12" s="102">
        <f t="shared" si="17"/>
        <v>0</v>
      </c>
      <c r="AV12" s="102">
        <f t="shared" si="18"/>
        <v>0</v>
      </c>
      <c r="AW12" s="102">
        <f t="shared" si="19"/>
        <v>0</v>
      </c>
      <c r="AX12" s="103">
        <f t="shared" si="20"/>
        <v>0</v>
      </c>
      <c r="AY12" s="104">
        <f t="shared" ref="AY12:AY50" si="28">(SUM(AT12:AX12)-H12)/H12</f>
        <v>-1</v>
      </c>
      <c r="AZ12" s="105">
        <f t="shared" si="21"/>
        <v>0</v>
      </c>
      <c r="BA12" s="106">
        <f t="shared" si="21"/>
        <v>0</v>
      </c>
      <c r="BB12" s="106">
        <f t="shared" si="21"/>
        <v>0</v>
      </c>
      <c r="BC12" s="106">
        <f t="shared" si="21"/>
        <v>0</v>
      </c>
      <c r="BD12" s="106">
        <f t="shared" si="21"/>
        <v>0</v>
      </c>
      <c r="BE12" s="107">
        <f t="shared" ref="BE12:BE50" si="29">$AZ$6*H12</f>
        <v>132522.79194780267</v>
      </c>
      <c r="BG12" s="108">
        <f>'Op Cost-24'!E5</f>
        <v>453078</v>
      </c>
      <c r="BH12" s="109">
        <f t="shared" si="22"/>
        <v>0.29249443130719804</v>
      </c>
      <c r="BI12" s="110">
        <f t="shared" si="23"/>
        <v>132522.79194780267</v>
      </c>
      <c r="BJ12" s="111">
        <f t="shared" si="24"/>
        <v>0</v>
      </c>
      <c r="BK12" s="1">
        <f t="shared" ref="BK12:BK50" si="30">BL12*$BO$7+BM12*$BP$7+BN12*$BQ$7</f>
        <v>0.7555753023515448</v>
      </c>
      <c r="BL12" s="112">
        <f t="shared" ref="BL12:BL50" si="31">AVERAGE(M12/$M$51,L12/$L$51,K12/$K$51)</f>
        <v>0.53874080148987036</v>
      </c>
      <c r="BM12" s="112">
        <f t="shared" ref="BM12:BM50" si="32">AVERAGE(T12/$T$51, S12/$S$51,R12/$R$51)</f>
        <v>0.65761403512593464</v>
      </c>
      <c r="BN12" s="113">
        <f t="shared" ref="BN12:BN50" si="33">AVERAGE((1/AO12)/(1/$AO$51), (1/AN12)/(1/$AN$51), (1/AM12)/(1/$AM$51))</f>
        <v>0.91297318639518721</v>
      </c>
      <c r="BO12" s="114">
        <f t="shared" si="25"/>
        <v>132522.79194780267</v>
      </c>
      <c r="BP12" s="115">
        <f t="shared" ref="BP12:BP50" si="34">(BL12*$BO$7+BM12*$BP$7+BN12*$BQ$7)*H12</f>
        <v>7.9090589984139557E-4</v>
      </c>
      <c r="BQ12" s="116">
        <f t="shared" ref="BQ12:BQ50" si="35">IF(BO12=0,0,BP12)</f>
        <v>7.9090589984139557E-4</v>
      </c>
      <c r="BR12" s="117">
        <f t="shared" ref="BR12:BR50" si="36">BQ12/$BQ$51</f>
        <v>1.2133000229986386E-3</v>
      </c>
      <c r="BS12" s="118">
        <f t="shared" ref="BS12:BS50" si="37">$BO$6*BR12+BI12</f>
        <v>147777.85468121924</v>
      </c>
      <c r="BT12" s="119">
        <f t="shared" ref="BT12:BT50" si="38">BG12*$BU$6</f>
        <v>135923.4</v>
      </c>
      <c r="BU12" s="119">
        <f t="shared" ref="BU12:BU50" si="39">IF(BS12&lt;=BT12,BS12,BT12)</f>
        <v>135923.4</v>
      </c>
      <c r="BV12" s="119">
        <f>BS12-BU12</f>
        <v>11854.454681219242</v>
      </c>
      <c r="BW12" s="120">
        <f t="shared" ref="BW12:BW50" si="40">IF(AND(BV12=0, BJ12=0),BP12,0)</f>
        <v>0</v>
      </c>
      <c r="BX12" s="121">
        <f t="shared" ref="BX12:BX50" si="41">IF($BW$51=0,1,BW12/$BW$51)</f>
        <v>0</v>
      </c>
      <c r="BY12" s="122">
        <f t="shared" ref="BY12:BY50" si="42">$BV$51*BX12+BU12</f>
        <v>135923.4</v>
      </c>
      <c r="BZ12" s="123">
        <f t="shared" ref="BZ12:BZ16" si="43">BY12*$BO$6</f>
        <v>1708991967884.928</v>
      </c>
      <c r="CA12" s="135">
        <f>ROUND((BZ12+BI12),0)</f>
        <v>1708992100408</v>
      </c>
      <c r="CC12" s="124">
        <f t="shared" si="26"/>
        <v>1</v>
      </c>
      <c r="CD12" s="17"/>
      <c r="CE12" s="108">
        <f t="shared" ref="CE12:CE50" si="44">BG12</f>
        <v>453078</v>
      </c>
      <c r="CF12" s="125">
        <f t="shared" ref="CF12:CF50" si="45">CA12/BG12</f>
        <v>3771960.0166152408</v>
      </c>
      <c r="CG12" s="110">
        <f t="shared" ref="CG12:CG50" si="46">IF(CA12&gt;BG12*$BI$6,BG12*$BI$6,CA12)</f>
        <v>135923.4</v>
      </c>
      <c r="CH12" s="126">
        <f t="shared" ref="CH12:CH51" si="47">CA12-CG12</f>
        <v>1708991964484.6001</v>
      </c>
      <c r="CJ12" s="127">
        <f t="shared" ref="CJ12:CJ50" si="48">IF(OR(CH12&gt;0,CF12&gt;=0.294),0,CG12)</f>
        <v>0</v>
      </c>
      <c r="CK12" s="128" t="e">
        <f t="shared" ref="CK12:CK51" si="49">CJ12/$CJ$51</f>
        <v>#DIV/0!</v>
      </c>
      <c r="CL12" s="129" t="e">
        <f t="shared" ref="CL12:CL51" si="50">CK12*$CK$6</f>
        <v>#DIV/0!</v>
      </c>
      <c r="CM12" s="130" t="e">
        <f t="shared" ref="CM12:CM50" si="51">ROUND((CL12+CG12),0)</f>
        <v>#DIV/0!</v>
      </c>
      <c r="CO12" s="131" t="e">
        <f t="shared" ref="CO12:CO50" si="52">CM12/CE12</f>
        <v>#DIV/0!</v>
      </c>
      <c r="CP12" s="1">
        <f t="shared" ref="CP12:CP50" si="53">IF(BY12&lt;=BG12*$BU$6, 0, 1)</f>
        <v>0</v>
      </c>
      <c r="CQ12" s="132">
        <f t="shared" ref="CQ12:CQ50" si="54">BY12/BG12</f>
        <v>0.3</v>
      </c>
      <c r="CS12" s="104">
        <f t="shared" ref="CS12:CS50" si="55">BP12/$BP$51</f>
        <v>6.5608773425674923E-4</v>
      </c>
    </row>
    <row r="13" spans="1:97">
      <c r="A13" s="133" t="s">
        <v>82</v>
      </c>
      <c r="B13" s="90" t="s">
        <v>85</v>
      </c>
      <c r="C13" s="208">
        <f>'Op Cost-24'!E6</f>
        <v>2625058</v>
      </c>
      <c r="D13" s="92">
        <f>'Ridership-24'!$E5</f>
        <v>135181</v>
      </c>
      <c r="E13" s="92">
        <f>'Revenue Hours-24'!$F5</f>
        <v>44776</v>
      </c>
      <c r="F13" s="92">
        <f>'Revenue Miles-24'!$F5</f>
        <v>440288</v>
      </c>
      <c r="G13" s="93">
        <f t="shared" si="0"/>
        <v>5.7676838321114752E-3</v>
      </c>
      <c r="H13" s="94">
        <f t="shared" si="1"/>
        <v>5.445105099852068E-3</v>
      </c>
      <c r="J13" s="95">
        <f>'Ridership-24'!B5/'Revenue Hours-24'!C5</f>
        <v>3.509629413481179</v>
      </c>
      <c r="K13" s="207">
        <f>'Ridership-24'!C5/'Revenue Hours-24'!J5</f>
        <v>3.5903165735567972</v>
      </c>
      <c r="L13" s="207">
        <f>'Ridership-24'!D5/'Revenue Hours-24'!K5</f>
        <v>3.0037184124655352</v>
      </c>
      <c r="M13" s="207">
        <f>'Ridership-24'!E5/'Revenue Hours-24'!L5</f>
        <v>3.0190503841343577</v>
      </c>
      <c r="N13" s="97">
        <f t="shared" si="2"/>
        <v>1.1452766111970489</v>
      </c>
      <c r="O13" s="98">
        <f t="shared" si="3"/>
        <v>6.2361515163703455E-3</v>
      </c>
      <c r="P13" s="99">
        <f t="shared" si="4"/>
        <v>5.9362230600853603E-3</v>
      </c>
      <c r="Q13" s="95">
        <f>'Ridership-24'!B5/'Revenue Miles-24'!C5</f>
        <v>0.34036493443752919</v>
      </c>
      <c r="R13" s="207">
        <f>'Ridership-24'!C5/'Revenue Miles-24'!J5</f>
        <v>0.34236028901498144</v>
      </c>
      <c r="S13" s="207">
        <f>'Ridership-24'!D5/'Revenue Miles-24'!K5</f>
        <v>0.30898734605406614</v>
      </c>
      <c r="T13" s="207">
        <f>'Ridership-24'!E5/'Revenue Miles-24'!L5</f>
        <v>0.30702858129224508</v>
      </c>
      <c r="U13" s="97">
        <f t="shared" si="5"/>
        <v>1.179074556111199</v>
      </c>
      <c r="V13" s="98">
        <f t="shared" si="6"/>
        <v>6.4201848785869035E-3</v>
      </c>
      <c r="W13" s="99">
        <f t="shared" si="7"/>
        <v>6.097720460705499E-3</v>
      </c>
      <c r="X13" s="95">
        <f>'Op Cost-24'!B6/'Revenue Hours-24'!C5</f>
        <v>41.66076118220851</v>
      </c>
      <c r="Y13" s="96">
        <f>'Op Cost-24'!C6/'Revenue Hours-24'!D5</f>
        <v>45.864958582161435</v>
      </c>
      <c r="Z13" s="96">
        <f>'Op Cost-24'!D6/'Revenue Hours-24'!E5</f>
        <v>61.145979308425872</v>
      </c>
      <c r="AA13" s="96">
        <f>'Op Cost-24'!E6/'Revenue Hours-24'!F5</f>
        <v>58.62645167053779</v>
      </c>
      <c r="AB13" s="97">
        <f t="shared" si="8"/>
        <v>1.0429873193694781</v>
      </c>
      <c r="AC13" s="98">
        <f t="shared" si="9"/>
        <v>5.2206819764058325E-3</v>
      </c>
      <c r="AD13" s="99">
        <f t="shared" si="10"/>
        <v>5.2503012963511899E-3</v>
      </c>
      <c r="AE13" s="95">
        <f>'Op Cost-24'!B6/'Revenue Miles-24'!C5</f>
        <v>4.0402733673054803</v>
      </c>
      <c r="AF13" s="96">
        <f>'Op Cost-24'!C6/'Revenue Miles-24'!D5</f>
        <v>4.3735253296321996</v>
      </c>
      <c r="AG13" s="96">
        <f>'Op Cost-24'!D6/'Revenue Miles-24'!E5</f>
        <v>6.2899817073329398</v>
      </c>
      <c r="AH13" s="96">
        <f>'Op Cost-24'!E6/'Revenue Miles-24'!F5</f>
        <v>5.9621384184897162</v>
      </c>
      <c r="AI13" s="97">
        <f t="shared" si="11"/>
        <v>1.0661071555891768</v>
      </c>
      <c r="AJ13" s="98">
        <f t="shared" si="12"/>
        <v>5.1074651092111543E-3</v>
      </c>
      <c r="AK13" s="99">
        <f t="shared" si="13"/>
        <v>5.1131413975555994E-3</v>
      </c>
      <c r="AL13" s="95">
        <f>'Op Cost-24'!B6/'Ridership-24'!B5</f>
        <v>11.87041601092734</v>
      </c>
      <c r="AM13" s="96">
        <f>'Op Cost-24'!C6/'Ridership-24'!C5</f>
        <v>12.774627986836457</v>
      </c>
      <c r="AN13" s="96">
        <f>'Op Cost-24'!D6/'Ridership-24'!D5</f>
        <v>20.356761490913378</v>
      </c>
      <c r="AO13" s="96">
        <f>'Op Cost-24'!E6/'Ridership-24'!E5</f>
        <v>19.418838446231348</v>
      </c>
      <c r="AP13" s="100">
        <f t="shared" si="14"/>
        <v>0.98287116513299766</v>
      </c>
      <c r="AQ13" s="98">
        <f t="shared" si="15"/>
        <v>5.5399988248869434E-3</v>
      </c>
      <c r="AR13" s="99">
        <f t="shared" si="16"/>
        <v>5.8666388328552513E-3</v>
      </c>
      <c r="AT13" s="101">
        <f t="shared" si="27"/>
        <v>0</v>
      </c>
      <c r="AU13" s="102">
        <f t="shared" si="17"/>
        <v>0</v>
      </c>
      <c r="AV13" s="102">
        <f t="shared" si="18"/>
        <v>0</v>
      </c>
      <c r="AW13" s="102">
        <f t="shared" si="19"/>
        <v>0</v>
      </c>
      <c r="AX13" s="103">
        <f t="shared" si="20"/>
        <v>0</v>
      </c>
      <c r="AY13" s="104">
        <f t="shared" si="28"/>
        <v>-1</v>
      </c>
      <c r="AZ13" s="105">
        <f t="shared" si="21"/>
        <v>0</v>
      </c>
      <c r="BA13" s="106">
        <f t="shared" si="21"/>
        <v>0</v>
      </c>
      <c r="BB13" s="106">
        <f t="shared" si="21"/>
        <v>0</v>
      </c>
      <c r="BC13" s="106">
        <f t="shared" si="21"/>
        <v>0</v>
      </c>
      <c r="BD13" s="106">
        <f t="shared" si="21"/>
        <v>0</v>
      </c>
      <c r="BE13" s="107">
        <f t="shared" si="29"/>
        <v>689365.87646381534</v>
      </c>
      <c r="BG13" s="108">
        <f>'Op Cost-24'!E6</f>
        <v>2625058</v>
      </c>
      <c r="BH13" s="109">
        <f t="shared" si="22"/>
        <v>0.26260976956083076</v>
      </c>
      <c r="BI13" s="110">
        <f t="shared" si="23"/>
        <v>689365.87646381534</v>
      </c>
      <c r="BJ13" s="111">
        <f t="shared" si="24"/>
        <v>0</v>
      </c>
      <c r="BK13" s="1">
        <f t="shared" si="30"/>
        <v>0.5788540833665704</v>
      </c>
      <c r="BL13" s="112">
        <f t="shared" si="31"/>
        <v>0.34495074512450735</v>
      </c>
      <c r="BM13" s="112">
        <f t="shared" si="32"/>
        <v>0.49484517646488041</v>
      </c>
      <c r="BN13" s="113">
        <f t="shared" si="33"/>
        <v>0.73781020593844693</v>
      </c>
      <c r="BO13" s="114">
        <f t="shared" si="25"/>
        <v>689365.87646381534</v>
      </c>
      <c r="BP13" s="115">
        <f t="shared" si="34"/>
        <v>3.1519213214095065E-3</v>
      </c>
      <c r="BQ13" s="116">
        <f t="shared" si="35"/>
        <v>3.1519213214095065E-3</v>
      </c>
      <c r="BR13" s="117">
        <f t="shared" si="36"/>
        <v>4.8352480522941416E-3</v>
      </c>
      <c r="BS13" s="118">
        <f t="shared" si="37"/>
        <v>750160.41282842902</v>
      </c>
      <c r="BT13" s="119">
        <f t="shared" si="38"/>
        <v>787517.4</v>
      </c>
      <c r="BU13" s="119">
        <f t="shared" si="39"/>
        <v>750160.41282842902</v>
      </c>
      <c r="BV13" s="119">
        <f t="shared" ref="BV13:BV50" si="56">BS13-BU13</f>
        <v>0</v>
      </c>
      <c r="BW13" s="120">
        <f t="shared" si="40"/>
        <v>3.1519213214095065E-3</v>
      </c>
      <c r="BX13" s="121">
        <f t="shared" si="41"/>
        <v>5.973919622060727E-3</v>
      </c>
      <c r="BY13" s="122">
        <f t="shared" si="42"/>
        <v>759669.91314562282</v>
      </c>
      <c r="BZ13" s="123">
        <f t="shared" si="43"/>
        <v>9551481053370.5781</v>
      </c>
      <c r="CA13" s="111">
        <f>ROUND((BZ13+BI13),0)</f>
        <v>9551481742736</v>
      </c>
      <c r="CC13" s="124">
        <f t="shared" si="26"/>
        <v>1</v>
      </c>
      <c r="CD13" s="17"/>
      <c r="CE13" s="108">
        <f t="shared" si="44"/>
        <v>2625058</v>
      </c>
      <c r="CF13" s="125">
        <f t="shared" si="45"/>
        <v>3638579.3162421556</v>
      </c>
      <c r="CG13" s="110">
        <f t="shared" si="46"/>
        <v>787517.4</v>
      </c>
      <c r="CH13" s="126">
        <f t="shared" si="47"/>
        <v>9551480955218.5996</v>
      </c>
      <c r="CJ13" s="127">
        <f t="shared" si="48"/>
        <v>0</v>
      </c>
      <c r="CK13" s="128" t="e">
        <f t="shared" si="49"/>
        <v>#DIV/0!</v>
      </c>
      <c r="CL13" s="129" t="e">
        <f t="shared" si="50"/>
        <v>#DIV/0!</v>
      </c>
      <c r="CM13" s="130" t="e">
        <f t="shared" si="51"/>
        <v>#DIV/0!</v>
      </c>
      <c r="CO13" s="131" t="e">
        <f t="shared" si="52"/>
        <v>#DIV/0!</v>
      </c>
      <c r="CP13" s="1">
        <f t="shared" si="53"/>
        <v>0</v>
      </c>
      <c r="CQ13" s="132">
        <f t="shared" si="54"/>
        <v>0.28939166797290683</v>
      </c>
      <c r="CS13" s="104">
        <f t="shared" si="55"/>
        <v>2.6146434344892309E-3</v>
      </c>
    </row>
    <row r="14" spans="1:97">
      <c r="A14" s="133" t="s">
        <v>82</v>
      </c>
      <c r="B14" s="90" t="s">
        <v>86</v>
      </c>
      <c r="C14" s="208">
        <f>'Op Cost-24'!E7</f>
        <v>2166873</v>
      </c>
      <c r="D14" s="92">
        <f>'Ridership-24'!$E6</f>
        <v>100658</v>
      </c>
      <c r="E14" s="92">
        <f>'Revenue Hours-24'!$F6</f>
        <v>40013</v>
      </c>
      <c r="F14" s="92">
        <f>'Revenue Miles-24'!$F6</f>
        <v>639628</v>
      </c>
      <c r="G14" s="93">
        <f t="shared" si="0"/>
        <v>5.4395649140650208E-3</v>
      </c>
      <c r="H14" s="94">
        <f t="shared" si="1"/>
        <v>5.1353374277640813E-3</v>
      </c>
      <c r="J14" s="95">
        <f>'Ridership-24'!B6/'Revenue Hours-24'!C6</f>
        <v>1.7480527968917374</v>
      </c>
      <c r="K14" s="207">
        <f>'Ridership-24'!C6/'Revenue Hours-24'!J6</f>
        <v>1.8670980965213595</v>
      </c>
      <c r="L14" s="207">
        <f>'Ridership-24'!D6/'Revenue Hours-24'!K6</f>
        <v>1.3455313359222201</v>
      </c>
      <c r="M14" s="207">
        <f>'Ridership-24'!E6/'Revenue Hours-24'!L6</f>
        <v>2.5156324194636741</v>
      </c>
      <c r="N14" s="97">
        <f t="shared" si="2"/>
        <v>1.3087942373646106</v>
      </c>
      <c r="O14" s="98">
        <f t="shared" si="3"/>
        <v>6.7211000323804324E-3</v>
      </c>
      <c r="P14" s="99">
        <f t="shared" si="4"/>
        <v>6.3978479189644773E-3</v>
      </c>
      <c r="Q14" s="95">
        <f>'Ridership-24'!B6/'Revenue Miles-24'!C6</f>
        <v>0.10544016540836285</v>
      </c>
      <c r="R14" s="207">
        <f>'Ridership-24'!C6/'Revenue Miles-24'!J6</f>
        <v>0.11380730389718556</v>
      </c>
      <c r="S14" s="207">
        <f>'Ridership-24'!D6/'Revenue Miles-24'!K6</f>
        <v>8.6154544217069737E-2</v>
      </c>
      <c r="T14" s="207">
        <f>'Ridership-24'!E6/'Revenue Miles-24'!L6</f>
        <v>0.15736959607772016</v>
      </c>
      <c r="U14" s="97">
        <f t="shared" si="5"/>
        <v>1.331576106473251</v>
      </c>
      <c r="V14" s="98">
        <f t="shared" si="6"/>
        <v>6.8380926174884549E-3</v>
      </c>
      <c r="W14" s="99">
        <f t="shared" si="7"/>
        <v>6.4946380913311211E-3</v>
      </c>
      <c r="X14" s="95">
        <f>'Op Cost-24'!B7/'Revenue Hours-24'!C6</f>
        <v>32.57793351368035</v>
      </c>
      <c r="Y14" s="96">
        <f>'Op Cost-24'!C7/'Revenue Hours-24'!D6</f>
        <v>28.535460118042245</v>
      </c>
      <c r="Z14" s="96">
        <f>'Op Cost-24'!D7/'Revenue Hours-24'!E6</f>
        <v>42.25856741971144</v>
      </c>
      <c r="AA14" s="96">
        <f>'Op Cost-24'!E7/'Revenue Hours-24'!F6</f>
        <v>54.154224876915002</v>
      </c>
      <c r="AB14" s="97">
        <f t="shared" si="8"/>
        <v>1.1170601959171089</v>
      </c>
      <c r="AC14" s="98">
        <f t="shared" si="9"/>
        <v>4.5971895216872869E-3</v>
      </c>
      <c r="AD14" s="99">
        <f t="shared" si="10"/>
        <v>4.6232714833749902E-3</v>
      </c>
      <c r="AE14" s="95">
        <f>'Op Cost-24'!B7/'Revenue Miles-24'!C6</f>
        <v>1.9650566072449389</v>
      </c>
      <c r="AF14" s="96">
        <f>'Op Cost-24'!C7/'Revenue Miles-24'!D6</f>
        <v>1.7393535923745185</v>
      </c>
      <c r="AG14" s="96">
        <f>'Op Cost-24'!D7/'Revenue Miles-24'!E6</f>
        <v>2.7058214982530968</v>
      </c>
      <c r="AH14" s="96">
        <f>'Op Cost-24'!E7/'Revenue Miles-24'!F6</f>
        <v>3.3877081678725758</v>
      </c>
      <c r="AI14" s="97">
        <f t="shared" si="11"/>
        <v>1.1363865749613105</v>
      </c>
      <c r="AJ14" s="98">
        <f t="shared" si="12"/>
        <v>4.5190057159368675E-3</v>
      </c>
      <c r="AK14" s="99">
        <f t="shared" si="13"/>
        <v>4.5240280076070723E-3</v>
      </c>
      <c r="AL14" s="95">
        <f>'Op Cost-24'!B7/'Ridership-24'!B6</f>
        <v>18.63669882946791</v>
      </c>
      <c r="AM14" s="96">
        <f>'Op Cost-24'!C7/'Ridership-24'!C6</f>
        <v>15.283321305510098</v>
      </c>
      <c r="AN14" s="96">
        <f>'Op Cost-24'!D7/'Ridership-24'!D6</f>
        <v>31.406602203543365</v>
      </c>
      <c r="AO14" s="96">
        <f>'Op Cost-24'!E7/'Ridership-24'!E6</f>
        <v>21.527081801744522</v>
      </c>
      <c r="AP14" s="100">
        <f t="shared" si="14"/>
        <v>0.84909631981797562</v>
      </c>
      <c r="AQ14" s="98">
        <f t="shared" si="15"/>
        <v>6.0480033983246629E-3</v>
      </c>
      <c r="AR14" s="99">
        <f t="shared" si="16"/>
        <v>6.404595509742924E-3</v>
      </c>
      <c r="AT14" s="101">
        <f t="shared" si="27"/>
        <v>0</v>
      </c>
      <c r="AU14" s="102">
        <f t="shared" si="17"/>
        <v>0</v>
      </c>
      <c r="AV14" s="102">
        <f t="shared" si="18"/>
        <v>0</v>
      </c>
      <c r="AW14" s="102">
        <f t="shared" si="19"/>
        <v>0</v>
      </c>
      <c r="AX14" s="103">
        <f t="shared" si="20"/>
        <v>0</v>
      </c>
      <c r="AY14" s="104">
        <f t="shared" si="28"/>
        <v>-1</v>
      </c>
      <c r="AZ14" s="105">
        <f t="shared" si="21"/>
        <v>0</v>
      </c>
      <c r="BA14" s="106">
        <f t="shared" si="21"/>
        <v>0</v>
      </c>
      <c r="BB14" s="106">
        <f t="shared" si="21"/>
        <v>0</v>
      </c>
      <c r="BC14" s="106">
        <f t="shared" si="21"/>
        <v>0</v>
      </c>
      <c r="BD14" s="106">
        <f t="shared" si="21"/>
        <v>0</v>
      </c>
      <c r="BE14" s="107">
        <f t="shared" si="29"/>
        <v>650148.40336584114</v>
      </c>
      <c r="BG14" s="108">
        <f>'Op Cost-24'!E7</f>
        <v>2166873</v>
      </c>
      <c r="BH14" s="109">
        <f t="shared" si="22"/>
        <v>0.30003992082869702</v>
      </c>
      <c r="BI14" s="110">
        <f t="shared" si="23"/>
        <v>650061.9</v>
      </c>
      <c r="BJ14" s="111">
        <f t="shared" si="24"/>
        <v>86.5033658411121</v>
      </c>
      <c r="BK14" s="1">
        <f t="shared" si="30"/>
        <v>0.38532126988122423</v>
      </c>
      <c r="BL14" s="112">
        <f t="shared" si="31"/>
        <v>0.20420585365577551</v>
      </c>
      <c r="BM14" s="112">
        <f t="shared" si="32"/>
        <v>0.18304039737349401</v>
      </c>
      <c r="BN14" s="113">
        <f t="shared" si="33"/>
        <v>0.57701941424781367</v>
      </c>
      <c r="BO14" s="114">
        <f t="shared" si="25"/>
        <v>0</v>
      </c>
      <c r="BP14" s="115">
        <f t="shared" si="34"/>
        <v>1.9787547389346354E-3</v>
      </c>
      <c r="BQ14" s="116">
        <f t="shared" si="35"/>
        <v>0</v>
      </c>
      <c r="BR14" s="117">
        <f t="shared" si="36"/>
        <v>0</v>
      </c>
      <c r="BS14" s="118">
        <f t="shared" si="37"/>
        <v>650061.9</v>
      </c>
      <c r="BT14" s="119">
        <f t="shared" si="38"/>
        <v>650061.9</v>
      </c>
      <c r="BU14" s="119">
        <f t="shared" si="39"/>
        <v>650061.9</v>
      </c>
      <c r="BV14" s="119">
        <f t="shared" si="56"/>
        <v>0</v>
      </c>
      <c r="BW14" s="120">
        <f t="shared" si="40"/>
        <v>0</v>
      </c>
      <c r="BX14" s="121">
        <f t="shared" si="41"/>
        <v>0</v>
      </c>
      <c r="BY14" s="122">
        <f t="shared" si="42"/>
        <v>650061.9</v>
      </c>
      <c r="BZ14" s="123">
        <f t="shared" si="43"/>
        <v>8173357683283.4922</v>
      </c>
      <c r="CA14" s="111">
        <f t="shared" ref="CA14:CA50" si="57">ROUND((BZ14+BI14),0)</f>
        <v>8173358333345</v>
      </c>
      <c r="CC14" s="124">
        <f t="shared" si="26"/>
        <v>1</v>
      </c>
      <c r="CD14" s="17"/>
      <c r="CE14" s="108">
        <f t="shared" si="44"/>
        <v>2166873</v>
      </c>
      <c r="CF14" s="125">
        <f t="shared" si="45"/>
        <v>3771960.0241200109</v>
      </c>
      <c r="CG14" s="110">
        <f t="shared" si="46"/>
        <v>650061.9</v>
      </c>
      <c r="CH14" s="126">
        <f t="shared" si="47"/>
        <v>8173357683283.0996</v>
      </c>
      <c r="CJ14" s="127">
        <f t="shared" si="48"/>
        <v>0</v>
      </c>
      <c r="CK14" s="128" t="e">
        <f t="shared" si="49"/>
        <v>#DIV/0!</v>
      </c>
      <c r="CL14" s="129" t="e">
        <f t="shared" si="50"/>
        <v>#DIV/0!</v>
      </c>
      <c r="CM14" s="130" t="e">
        <f t="shared" si="51"/>
        <v>#DIV/0!</v>
      </c>
      <c r="CO14" s="131" t="e">
        <f t="shared" si="52"/>
        <v>#DIV/0!</v>
      </c>
      <c r="CP14" s="1">
        <f t="shared" si="53"/>
        <v>0</v>
      </c>
      <c r="CQ14" s="132">
        <f t="shared" si="54"/>
        <v>0.3</v>
      </c>
      <c r="CS14" s="104">
        <f t="shared" si="55"/>
        <v>1.641455340739995E-3</v>
      </c>
    </row>
    <row r="15" spans="1:97">
      <c r="A15" s="133" t="s">
        <v>82</v>
      </c>
      <c r="B15" s="90" t="s">
        <v>87</v>
      </c>
      <c r="C15" s="208">
        <f>'Op Cost-24'!E8</f>
        <v>476060</v>
      </c>
      <c r="D15" s="92">
        <f>'Ridership-24'!$E7</f>
        <v>29128</v>
      </c>
      <c r="E15" s="92">
        <f>'Revenue Hours-24'!$F7</f>
        <v>7979</v>
      </c>
      <c r="F15" s="92">
        <f>'Revenue Miles-24'!$F7</f>
        <v>129480</v>
      </c>
      <c r="G15" s="93">
        <f t="shared" si="0"/>
        <v>1.2035313581384992E-3</v>
      </c>
      <c r="H15" s="94">
        <f t="shared" si="1"/>
        <v>1.1362194819948598E-3</v>
      </c>
      <c r="J15" s="95">
        <f>'Ridership-24'!B7/'Revenue Hours-24'!C7</f>
        <v>5.4228308164832351</v>
      </c>
      <c r="K15" s="207">
        <f>'Ridership-24'!C7/'Revenue Hours-24'!J7</f>
        <v>5.5566235366605055</v>
      </c>
      <c r="L15" s="207">
        <f>'Ridership-24'!D7/'Revenue Hours-24'!K7</f>
        <v>3.8071505958829901</v>
      </c>
      <c r="M15" s="207">
        <f>'Ridership-24'!E7/'Revenue Hours-24'!L7</f>
        <v>3.650582779796967</v>
      </c>
      <c r="N15" s="97">
        <f t="shared" si="2"/>
        <v>1.0356052461268719</v>
      </c>
      <c r="O15" s="98">
        <f t="shared" si="3"/>
        <v>1.1766748563054336E-3</v>
      </c>
      <c r="P15" s="99">
        <f t="shared" si="4"/>
        <v>1.1200825377457244E-3</v>
      </c>
      <c r="Q15" s="95">
        <f>'Ridership-24'!B7/'Revenue Miles-24'!C7</f>
        <v>0.32596387581156344</v>
      </c>
      <c r="R15" s="207">
        <f>'Ridership-24'!C7/'Revenue Miles-24'!J7</f>
        <v>0.3373331737387037</v>
      </c>
      <c r="S15" s="207">
        <f>'Ridership-24'!D7/'Revenue Miles-24'!K7</f>
        <v>0.2437813629741542</v>
      </c>
      <c r="T15" s="207">
        <f>'Ridership-24'!E7/'Revenue Miles-24'!L7</f>
        <v>0.22496138399752857</v>
      </c>
      <c r="U15" s="97">
        <f t="shared" si="5"/>
        <v>1.0550937211571547</v>
      </c>
      <c r="V15" s="98">
        <f t="shared" si="6"/>
        <v>1.1988180413092114E-3</v>
      </c>
      <c r="W15" s="99">
        <f t="shared" si="7"/>
        <v>1.1386054198431477E-3</v>
      </c>
      <c r="X15" s="95">
        <f>'Op Cost-24'!B8/'Revenue Hours-24'!C7</f>
        <v>40.351676478116204</v>
      </c>
      <c r="Y15" s="96">
        <f>'Op Cost-24'!C8/'Revenue Hours-24'!D7</f>
        <v>38.559704251386322</v>
      </c>
      <c r="Z15" s="96">
        <f>'Op Cost-24'!D8/'Revenue Hours-24'!E7</f>
        <v>43.683519922956542</v>
      </c>
      <c r="AA15" s="96">
        <f>'Op Cost-24'!E8/'Revenue Hours-24'!F7</f>
        <v>59.664118310565236</v>
      </c>
      <c r="AB15" s="97">
        <f t="shared" si="8"/>
        <v>1.0761566622611438</v>
      </c>
      <c r="AC15" s="98">
        <f t="shared" si="9"/>
        <v>1.0558123383332648E-3</v>
      </c>
      <c r="AD15" s="99">
        <f t="shared" si="10"/>
        <v>1.0618024452948994E-3</v>
      </c>
      <c r="AE15" s="95">
        <f>'Op Cost-24'!B8/'Revenue Miles-24'!C7</f>
        <v>2.425520785254931</v>
      </c>
      <c r="AF15" s="96">
        <f>'Op Cost-24'!C8/'Revenue Miles-24'!D7</f>
        <v>2.340894128912562</v>
      </c>
      <c r="AG15" s="96">
        <f>'Op Cost-24'!D8/'Revenue Miles-24'!E7</f>
        <v>2.7971649027603269</v>
      </c>
      <c r="AH15" s="96">
        <f>'Op Cost-24'!E8/'Revenue Miles-24'!F7</f>
        <v>3.6767068273092369</v>
      </c>
      <c r="AI15" s="97">
        <f t="shared" si="11"/>
        <v>1.0869500841393458</v>
      </c>
      <c r="AJ15" s="98">
        <f t="shared" si="12"/>
        <v>1.045328114486992E-3</v>
      </c>
      <c r="AK15" s="99">
        <f t="shared" si="13"/>
        <v>1.0464898617854087E-3</v>
      </c>
      <c r="AL15" s="95">
        <f>'Op Cost-24'!B8/'Ridership-24'!B7</f>
        <v>7.4410723556898102</v>
      </c>
      <c r="AM15" s="96">
        <f>'Op Cost-24'!C8/'Ridership-24'!C7</f>
        <v>6.9394127561429961</v>
      </c>
      <c r="AN15" s="96">
        <f>'Op Cost-24'!D8/'Ridership-24'!D7</f>
        <v>11.474071966103839</v>
      </c>
      <c r="AO15" s="96">
        <f>'Op Cost-24'!E8/'Ridership-24'!E7</f>
        <v>16.343724251579236</v>
      </c>
      <c r="AP15" s="100">
        <f t="shared" si="14"/>
        <v>1.1461309032866442</v>
      </c>
      <c r="AQ15" s="98">
        <f t="shared" si="15"/>
        <v>9.9135227811817783E-4</v>
      </c>
      <c r="AR15" s="99">
        <f t="shared" si="16"/>
        <v>1.0498027085712079E-3</v>
      </c>
      <c r="AT15" s="101">
        <f t="shared" si="27"/>
        <v>0</v>
      </c>
      <c r="AU15" s="102">
        <f t="shared" si="17"/>
        <v>0</v>
      </c>
      <c r="AV15" s="102">
        <f t="shared" si="18"/>
        <v>0</v>
      </c>
      <c r="AW15" s="102">
        <f t="shared" si="19"/>
        <v>0</v>
      </c>
      <c r="AX15" s="103">
        <f t="shared" si="20"/>
        <v>0</v>
      </c>
      <c r="AY15" s="104">
        <f t="shared" si="28"/>
        <v>-1</v>
      </c>
      <c r="AZ15" s="105">
        <f t="shared" si="21"/>
        <v>0</v>
      </c>
      <c r="BA15" s="106">
        <f t="shared" si="21"/>
        <v>0</v>
      </c>
      <c r="BB15" s="106">
        <f t="shared" si="21"/>
        <v>0</v>
      </c>
      <c r="BC15" s="106">
        <f t="shared" si="21"/>
        <v>0</v>
      </c>
      <c r="BD15" s="106">
        <f t="shared" si="21"/>
        <v>0</v>
      </c>
      <c r="BE15" s="107">
        <f t="shared" si="29"/>
        <v>143848.63555377995</v>
      </c>
      <c r="BG15" s="108">
        <f>'Op Cost-24'!E8</f>
        <v>476060</v>
      </c>
      <c r="BH15" s="109">
        <f t="shared" si="22"/>
        <v>0.30216492785316967</v>
      </c>
      <c r="BI15" s="110">
        <f t="shared" si="23"/>
        <v>142818</v>
      </c>
      <c r="BJ15" s="111">
        <f t="shared" si="24"/>
        <v>1030.6355537799536</v>
      </c>
      <c r="BK15" s="1">
        <f t="shared" si="30"/>
        <v>0.8052990464381895</v>
      </c>
      <c r="BL15" s="112">
        <f t="shared" si="31"/>
        <v>0.45545524140701116</v>
      </c>
      <c r="BM15" s="112">
        <f t="shared" si="32"/>
        <v>0.40483441612032128</v>
      </c>
      <c r="BN15" s="113">
        <f t="shared" si="33"/>
        <v>1.1804532641127128</v>
      </c>
      <c r="BO15" s="114">
        <f t="shared" si="25"/>
        <v>0</v>
      </c>
      <c r="BP15" s="115">
        <f t="shared" si="34"/>
        <v>9.1499646539495419E-4</v>
      </c>
      <c r="BQ15" s="116">
        <f t="shared" si="35"/>
        <v>0</v>
      </c>
      <c r="BR15" s="117">
        <f t="shared" si="36"/>
        <v>0</v>
      </c>
      <c r="BS15" s="118">
        <f t="shared" si="37"/>
        <v>142818</v>
      </c>
      <c r="BT15" s="119">
        <f t="shared" si="38"/>
        <v>142818</v>
      </c>
      <c r="BU15" s="119">
        <f t="shared" si="39"/>
        <v>142818</v>
      </c>
      <c r="BV15" s="119">
        <f t="shared" si="56"/>
        <v>0</v>
      </c>
      <c r="BW15" s="120">
        <f t="shared" si="40"/>
        <v>0</v>
      </c>
      <c r="BX15" s="121">
        <f t="shared" si="41"/>
        <v>0</v>
      </c>
      <c r="BY15" s="122">
        <f t="shared" si="42"/>
        <v>142818</v>
      </c>
      <c r="BZ15" s="123">
        <f t="shared" si="43"/>
        <v>1795679146264.6584</v>
      </c>
      <c r="CA15" s="111">
        <f t="shared" si="57"/>
        <v>1795679289083</v>
      </c>
      <c r="CC15" s="124">
        <f t="shared" si="26"/>
        <v>1</v>
      </c>
      <c r="CD15" s="17"/>
      <c r="CE15" s="108">
        <f t="shared" si="44"/>
        <v>476060</v>
      </c>
      <c r="CF15" s="125">
        <f t="shared" si="45"/>
        <v>3771960.0241209092</v>
      </c>
      <c r="CG15" s="110">
        <f t="shared" si="46"/>
        <v>142818</v>
      </c>
      <c r="CH15" s="126">
        <f t="shared" si="47"/>
        <v>1795679146265</v>
      </c>
      <c r="CJ15" s="127">
        <f t="shared" si="48"/>
        <v>0</v>
      </c>
      <c r="CK15" s="128" t="e">
        <f t="shared" si="49"/>
        <v>#DIV/0!</v>
      </c>
      <c r="CL15" s="129" t="e">
        <f t="shared" si="50"/>
        <v>#DIV/0!</v>
      </c>
      <c r="CM15" s="130" t="e">
        <f t="shared" si="51"/>
        <v>#DIV/0!</v>
      </c>
      <c r="CO15" s="131" t="e">
        <f t="shared" si="52"/>
        <v>#DIV/0!</v>
      </c>
      <c r="CP15" s="1">
        <f t="shared" si="53"/>
        <v>0</v>
      </c>
      <c r="CQ15" s="132">
        <f t="shared" si="54"/>
        <v>0.3</v>
      </c>
      <c r="CS15" s="104">
        <f t="shared" si="55"/>
        <v>7.5902576773582595E-4</v>
      </c>
    </row>
    <row r="16" spans="1:97">
      <c r="A16" s="133" t="s">
        <v>88</v>
      </c>
      <c r="B16" s="90" t="s">
        <v>89</v>
      </c>
      <c r="C16" s="208">
        <f>'Op Cost-24'!E9</f>
        <v>9197369</v>
      </c>
      <c r="D16" s="92">
        <f>'Ridership-24'!$E8</f>
        <v>1154287</v>
      </c>
      <c r="E16" s="92">
        <f>'Revenue Hours-24'!$F8</f>
        <v>58751</v>
      </c>
      <c r="F16" s="92">
        <f>'Revenue Miles-24'!$F8</f>
        <v>807792</v>
      </c>
      <c r="G16" s="93">
        <f t="shared" si="0"/>
        <v>2.1182522702909302E-2</v>
      </c>
      <c r="H16" s="94">
        <f t="shared" si="1"/>
        <v>1.9997812944458637E-2</v>
      </c>
      <c r="J16" s="95">
        <f>'Ridership-24'!B8/'Revenue Hours-24'!C8</f>
        <v>19.767837879488365</v>
      </c>
      <c r="K16" s="207">
        <f>'Ridership-24'!C8/'Revenue Hours-24'!J8</f>
        <v>17.327594346172003</v>
      </c>
      <c r="L16" s="207">
        <f>'Ridership-24'!D8/'Revenue Hours-24'!K8</f>
        <v>8.228226225879153</v>
      </c>
      <c r="M16" s="207">
        <f>'Ridership-24'!E8/'Revenue Hours-24'!L8</f>
        <v>19.647103879082909</v>
      </c>
      <c r="N16" s="97">
        <f t="shared" si="2"/>
        <v>1.2192511161277548</v>
      </c>
      <c r="O16" s="98">
        <f t="shared" si="3"/>
        <v>2.4382355752645257E-2</v>
      </c>
      <c r="P16" s="99">
        <f t="shared" si="4"/>
        <v>2.3209683423840357E-2</v>
      </c>
      <c r="Q16" s="95">
        <f>'Ridership-24'!B8/'Revenue Miles-24'!C8</f>
        <v>2.1316609992044087</v>
      </c>
      <c r="R16" s="207">
        <f>'Ridership-24'!C8/'Revenue Miles-24'!J8</f>
        <v>1.9171644901717197</v>
      </c>
      <c r="S16" s="207">
        <f>'Ridership-24'!D8/'Revenue Miles-24'!K8</f>
        <v>0.84464065708418889</v>
      </c>
      <c r="T16" s="207">
        <f>'Ridership-24'!E8/'Revenue Miles-24'!L8</f>
        <v>1.4289408659654961</v>
      </c>
      <c r="U16" s="97">
        <f t="shared" si="5"/>
        <v>1.0329293204224002</v>
      </c>
      <c r="V16" s="98">
        <f t="shared" si="6"/>
        <v>2.0656327334653935E-2</v>
      </c>
      <c r="W16" s="99">
        <f t="shared" si="7"/>
        <v>1.9618829085693384E-2</v>
      </c>
      <c r="X16" s="95">
        <f>'Op Cost-24'!B9/'Revenue Hours-24'!C8</f>
        <v>77.294084219448294</v>
      </c>
      <c r="Y16" s="96">
        <f>'Op Cost-24'!C9/'Revenue Hours-24'!D8</f>
        <v>81.344653948330603</v>
      </c>
      <c r="Z16" s="96">
        <f>'Op Cost-24'!D9/'Revenue Hours-24'!E8</f>
        <v>121.31553469268006</v>
      </c>
      <c r="AA16" s="96">
        <f>'Op Cost-24'!E9/'Revenue Hours-24'!F8</f>
        <v>156.54829705026299</v>
      </c>
      <c r="AB16" s="97">
        <f t="shared" si="8"/>
        <v>1.1806154944392757</v>
      </c>
      <c r="AC16" s="98">
        <f t="shared" si="9"/>
        <v>1.6938463910264403E-2</v>
      </c>
      <c r="AD16" s="99">
        <f t="shared" si="10"/>
        <v>1.703456357391149E-2</v>
      </c>
      <c r="AE16" s="95">
        <f>'Op Cost-24'!B9/'Revenue Miles-24'!C8</f>
        <v>8.3349927191978441</v>
      </c>
      <c r="AF16" s="96">
        <f>'Op Cost-24'!C9/'Revenue Miles-24'!D8</f>
        <v>9.0001577194989437</v>
      </c>
      <c r="AG16" s="96">
        <f>'Op Cost-24'!D9/'Revenue Miles-24'!E8</f>
        <v>12.453234770704997</v>
      </c>
      <c r="AH16" s="96">
        <f>'Op Cost-24'!E9/'Revenue Miles-24'!F8</f>
        <v>11.385813427218888</v>
      </c>
      <c r="AI16" s="97">
        <f t="shared" si="11"/>
        <v>1.0391119823445312</v>
      </c>
      <c r="AJ16" s="98">
        <f t="shared" si="12"/>
        <v>1.9245098973200082E-2</v>
      </c>
      <c r="AK16" s="99">
        <f t="shared" si="13"/>
        <v>1.9266487417105897E-2</v>
      </c>
      <c r="AL16" s="95">
        <f>'Op Cost-24'!B9/'Ridership-24'!B8</f>
        <v>3.910092984911147</v>
      </c>
      <c r="AM16" s="96">
        <f>'Op Cost-24'!C9/'Ridership-24'!C8</f>
        <v>4.6945151371402689</v>
      </c>
      <c r="AN16" s="96">
        <f>'Op Cost-24'!D9/'Ridership-24'!D8</f>
        <v>14.743825869921071</v>
      </c>
      <c r="AO16" s="96">
        <f>'Op Cost-24'!E9/'Ridership-24'!E8</f>
        <v>7.9680088227624495</v>
      </c>
      <c r="AP16" s="97">
        <f t="shared" si="14"/>
        <v>1.063188575491355</v>
      </c>
      <c r="AQ16" s="98">
        <f t="shared" si="15"/>
        <v>1.8809281255883135E-2</v>
      </c>
      <c r="AR16" s="99">
        <f t="shared" si="16"/>
        <v>1.9918282173302135E-2</v>
      </c>
      <c r="AT16" s="101">
        <f t="shared" si="27"/>
        <v>0</v>
      </c>
      <c r="AU16" s="102">
        <f t="shared" si="17"/>
        <v>0</v>
      </c>
      <c r="AV16" s="102">
        <f t="shared" si="18"/>
        <v>0</v>
      </c>
      <c r="AW16" s="102">
        <f t="shared" si="19"/>
        <v>0</v>
      </c>
      <c r="AX16" s="103">
        <f t="shared" si="20"/>
        <v>0</v>
      </c>
      <c r="AY16" s="104">
        <f t="shared" si="28"/>
        <v>-1</v>
      </c>
      <c r="AZ16" s="105">
        <f t="shared" si="21"/>
        <v>0</v>
      </c>
      <c r="BA16" s="106">
        <f t="shared" si="21"/>
        <v>0</v>
      </c>
      <c r="BB16" s="106">
        <f t="shared" si="21"/>
        <v>0</v>
      </c>
      <c r="BC16" s="106">
        <f t="shared" si="21"/>
        <v>0</v>
      </c>
      <c r="BD16" s="106">
        <f t="shared" si="21"/>
        <v>0</v>
      </c>
      <c r="BE16" s="107">
        <f t="shared" si="29"/>
        <v>2531780.3045143592</v>
      </c>
      <c r="BG16" s="108">
        <f>'Op Cost-24'!E9</f>
        <v>9197369</v>
      </c>
      <c r="BH16" s="109">
        <f t="shared" si="22"/>
        <v>0.27527223323478262</v>
      </c>
      <c r="BI16" s="110">
        <f t="shared" si="23"/>
        <v>2531780.3045143592</v>
      </c>
      <c r="BJ16" s="111">
        <f t="shared" si="24"/>
        <v>0</v>
      </c>
      <c r="BK16" s="1">
        <f t="shared" si="30"/>
        <v>1.6628058995617243</v>
      </c>
      <c r="BL16" s="112">
        <f t="shared" si="31"/>
        <v>1.5531223801588798</v>
      </c>
      <c r="BM16" s="112">
        <f t="shared" si="32"/>
        <v>2.0158857834447512</v>
      </c>
      <c r="BN16" s="113">
        <f t="shared" si="33"/>
        <v>1.5411077173216328</v>
      </c>
      <c r="BO16" s="114">
        <f t="shared" si="25"/>
        <v>2531780.3045143592</v>
      </c>
      <c r="BP16" s="115">
        <f t="shared" si="34"/>
        <v>3.3252481342377641E-2</v>
      </c>
      <c r="BQ16" s="116">
        <f t="shared" si="35"/>
        <v>3.3252481342377641E-2</v>
      </c>
      <c r="BR16" s="117">
        <f t="shared" si="36"/>
        <v>5.101142422323468E-2</v>
      </c>
      <c r="BS16" s="118">
        <f t="shared" si="37"/>
        <v>3173157.0966478605</v>
      </c>
      <c r="BT16" s="119">
        <f t="shared" si="38"/>
        <v>2759210.6999999997</v>
      </c>
      <c r="BU16" s="119">
        <f t="shared" si="39"/>
        <v>2759210.6999999997</v>
      </c>
      <c r="BV16" s="119">
        <f t="shared" si="56"/>
        <v>413946.39664786076</v>
      </c>
      <c r="BW16" s="120">
        <f t="shared" si="40"/>
        <v>0</v>
      </c>
      <c r="BX16" s="121">
        <f t="shared" si="41"/>
        <v>0</v>
      </c>
      <c r="BY16" s="122">
        <f t="shared" si="42"/>
        <v>2759210.6999999997</v>
      </c>
      <c r="BZ16" s="123">
        <f t="shared" si="43"/>
        <v>34692105435871.598</v>
      </c>
      <c r="CA16" s="111">
        <f>ROUND((BZ16+BI16),0)</f>
        <v>34692107967652</v>
      </c>
      <c r="CC16" s="124">
        <f t="shared" si="26"/>
        <v>1</v>
      </c>
      <c r="CD16" s="17"/>
      <c r="CE16" s="108">
        <f t="shared" si="44"/>
        <v>9197369</v>
      </c>
      <c r="CF16" s="125">
        <f t="shared" si="45"/>
        <v>3771959.999392435</v>
      </c>
      <c r="CG16" s="110">
        <f t="shared" si="46"/>
        <v>2759210.6999999997</v>
      </c>
      <c r="CH16" s="126">
        <f t="shared" si="47"/>
        <v>34692105208441.301</v>
      </c>
      <c r="CJ16" s="127">
        <f t="shared" si="48"/>
        <v>0</v>
      </c>
      <c r="CK16" s="128" t="e">
        <f t="shared" si="49"/>
        <v>#DIV/0!</v>
      </c>
      <c r="CL16" s="129" t="e">
        <f t="shared" si="50"/>
        <v>#DIV/0!</v>
      </c>
      <c r="CM16" s="130" t="e">
        <f t="shared" si="51"/>
        <v>#DIV/0!</v>
      </c>
      <c r="CO16" s="131" t="e">
        <f t="shared" si="52"/>
        <v>#DIV/0!</v>
      </c>
      <c r="CP16" s="1">
        <f t="shared" si="53"/>
        <v>0</v>
      </c>
      <c r="CQ16" s="132">
        <f t="shared" si="54"/>
        <v>0.3</v>
      </c>
      <c r="CS16" s="104">
        <f t="shared" si="55"/>
        <v>2.758424882999401E-2</v>
      </c>
    </row>
    <row r="17" spans="1:97" ht="16.5" customHeight="1">
      <c r="A17" s="136"/>
      <c r="B17" s="137"/>
      <c r="C17" s="208"/>
      <c r="D17" s="139"/>
      <c r="E17" s="139"/>
      <c r="F17" s="139"/>
      <c r="G17" s="140"/>
      <c r="H17" s="141"/>
      <c r="J17" s="142"/>
      <c r="K17" s="207"/>
      <c r="L17" s="207"/>
      <c r="M17" s="207"/>
      <c r="N17" s="144"/>
      <c r="O17" s="145"/>
      <c r="P17" s="146"/>
      <c r="Q17" s="142"/>
      <c r="R17" s="207"/>
      <c r="S17" s="207"/>
      <c r="T17" s="207"/>
      <c r="U17" s="144"/>
      <c r="V17" s="145"/>
      <c r="W17" s="146"/>
      <c r="X17" s="142"/>
      <c r="Y17" s="143"/>
      <c r="Z17" s="143"/>
      <c r="AA17" s="143"/>
      <c r="AB17" s="144"/>
      <c r="AC17" s="145"/>
      <c r="AD17" s="146"/>
      <c r="AE17" s="142"/>
      <c r="AF17" s="143"/>
      <c r="AG17" s="143"/>
      <c r="AH17" s="143"/>
      <c r="AI17" s="144"/>
      <c r="AJ17" s="145"/>
      <c r="AK17" s="146"/>
      <c r="AL17" s="142"/>
      <c r="AM17" s="143"/>
      <c r="AN17" s="143"/>
      <c r="AO17" s="143"/>
      <c r="AP17" s="147"/>
      <c r="AQ17" s="145"/>
      <c r="AR17" s="146"/>
      <c r="AT17" s="148"/>
      <c r="AU17" s="149"/>
      <c r="AV17" s="149"/>
      <c r="AW17" s="149"/>
      <c r="AX17" s="150"/>
      <c r="AY17" s="104" t="e">
        <f t="shared" si="28"/>
        <v>#DIV/0!</v>
      </c>
      <c r="AZ17" s="151"/>
      <c r="BA17" s="152"/>
      <c r="BB17" s="152"/>
      <c r="BC17" s="152"/>
      <c r="BD17" s="152"/>
      <c r="BE17" s="107">
        <f t="shared" si="29"/>
        <v>0</v>
      </c>
      <c r="BG17" s="153"/>
      <c r="BH17" s="154"/>
      <c r="BI17" s="155"/>
      <c r="BJ17" s="156"/>
      <c r="BL17" s="112"/>
      <c r="BM17" s="112"/>
      <c r="BN17" s="113"/>
      <c r="BO17" s="157"/>
      <c r="BP17" s="115"/>
      <c r="BQ17" s="116">
        <f t="shared" si="35"/>
        <v>0</v>
      </c>
      <c r="BR17" s="117">
        <f t="shared" si="36"/>
        <v>0</v>
      </c>
      <c r="BS17" s="118">
        <f t="shared" si="37"/>
        <v>0</v>
      </c>
      <c r="BT17" s="119">
        <f t="shared" si="38"/>
        <v>0</v>
      </c>
      <c r="BU17" s="119">
        <f t="shared" si="39"/>
        <v>0</v>
      </c>
      <c r="BV17" s="119">
        <f t="shared" si="56"/>
        <v>0</v>
      </c>
      <c r="BW17" s="120">
        <f t="shared" si="40"/>
        <v>0</v>
      </c>
      <c r="BX17" s="121">
        <f t="shared" si="41"/>
        <v>0</v>
      </c>
      <c r="BY17" s="122">
        <f t="shared" si="42"/>
        <v>0</v>
      </c>
      <c r="BZ17" s="158"/>
      <c r="CA17" s="156"/>
      <c r="CC17" s="159"/>
      <c r="CD17" s="17"/>
      <c r="CE17" s="153"/>
      <c r="CF17" s="160"/>
      <c r="CG17" s="155">
        <f t="shared" si="46"/>
        <v>0</v>
      </c>
      <c r="CH17" s="161">
        <f t="shared" si="47"/>
        <v>0</v>
      </c>
      <c r="CJ17" s="127"/>
      <c r="CK17" s="128" t="e">
        <f t="shared" si="49"/>
        <v>#DIV/0!</v>
      </c>
      <c r="CL17" s="129" t="e">
        <f t="shared" si="50"/>
        <v>#DIV/0!</v>
      </c>
      <c r="CM17" s="162"/>
      <c r="CO17" s="131"/>
      <c r="CP17" s="1">
        <f t="shared" si="53"/>
        <v>0</v>
      </c>
      <c r="CQ17" s="132"/>
      <c r="CS17" s="104">
        <f t="shared" si="55"/>
        <v>0</v>
      </c>
    </row>
    <row r="18" spans="1:97">
      <c r="A18" s="133" t="s">
        <v>90</v>
      </c>
      <c r="B18" s="90" t="s">
        <v>91</v>
      </c>
      <c r="C18" s="208">
        <f>'Op Cost-24'!E11</f>
        <v>4537045</v>
      </c>
      <c r="D18" s="92">
        <f>'Ridership-24'!$E10</f>
        <v>179874</v>
      </c>
      <c r="E18" s="92">
        <f>'Revenue Hours-24'!$F10</f>
        <v>40268</v>
      </c>
      <c r="F18" s="92">
        <f>'Revenue Miles-24'!$F10</f>
        <v>598250</v>
      </c>
      <c r="G18" s="134">
        <f t="shared" si="0"/>
        <v>7.80651477588823E-3</v>
      </c>
      <c r="H18" s="94">
        <f t="shared" si="1"/>
        <v>7.3699069948322997E-3</v>
      </c>
      <c r="J18" s="95">
        <f>'Ridership-24'!B10/'Revenue Hours-24'!C10</f>
        <v>6.326061550447994</v>
      </c>
      <c r="K18" s="207">
        <f>'Ridership-24'!C10/'Revenue Hours-24'!J10</f>
        <v>5.5934530095036958</v>
      </c>
      <c r="L18" s="207">
        <f>'Ridership-24'!D10/'Revenue Hours-24'!K10</f>
        <v>3.4815432129025932</v>
      </c>
      <c r="M18" s="207">
        <f>'Ridership-24'!E10/'Revenue Hours-24'!L10</f>
        <v>4.4669216251117509</v>
      </c>
      <c r="N18" s="97">
        <f t="shared" si="2"/>
        <v>1.0317484320832804</v>
      </c>
      <c r="O18" s="98">
        <f t="shared" si="3"/>
        <v>7.6038899865178257E-3</v>
      </c>
      <c r="P18" s="99">
        <f t="shared" si="4"/>
        <v>7.2381799842142665E-3</v>
      </c>
      <c r="Q18" s="95">
        <f>'Ridership-24'!B10/'Revenue Miles-24'!C10</f>
        <v>0.39410887442709325</v>
      </c>
      <c r="R18" s="207">
        <f>'Ridership-24'!C10/'Revenue Miles-24'!J10</f>
        <v>0.3427235145820865</v>
      </c>
      <c r="S18" s="207">
        <f>'Ridership-24'!D10/'Revenue Miles-24'!K10</f>
        <v>0.23255357049300571</v>
      </c>
      <c r="T18" s="207">
        <f>'Ridership-24'!E10/'Revenue Miles-24'!L10</f>
        <v>0.30066694525699961</v>
      </c>
      <c r="U18" s="97">
        <f t="shared" si="5"/>
        <v>1.0693183510750313</v>
      </c>
      <c r="V18" s="98">
        <f t="shared" si="6"/>
        <v>7.8807767952904142E-3</v>
      </c>
      <c r="W18" s="99">
        <f t="shared" si="7"/>
        <v>7.4849517295321926E-3</v>
      </c>
      <c r="X18" s="95">
        <f>'Op Cost-24'!B11/'Revenue Hours-24'!C10</f>
        <v>73.36560186988703</v>
      </c>
      <c r="Y18" s="96">
        <f>'Op Cost-24'!C11/'Revenue Hours-24'!D10</f>
        <v>71.54291748378337</v>
      </c>
      <c r="Z18" s="96">
        <f>'Op Cost-24'!D11/'Revenue Hours-24'!E10</f>
        <v>97.854576204715912</v>
      </c>
      <c r="AA18" s="96">
        <f>'Op Cost-24'!E11/'Revenue Hours-24'!F10</f>
        <v>112.67122777391477</v>
      </c>
      <c r="AB18" s="97">
        <f t="shared" si="8"/>
        <v>1.0753667804942089</v>
      </c>
      <c r="AC18" s="98">
        <f t="shared" si="9"/>
        <v>6.8533891212868734E-3</v>
      </c>
      <c r="AD18" s="99">
        <f t="shared" si="10"/>
        <v>6.8922715366515385E-3</v>
      </c>
      <c r="AE18" s="95">
        <f>'Op Cost-24'!B11/'Revenue Miles-24'!C10</f>
        <v>4.5706217911458378</v>
      </c>
      <c r="AF18" s="96">
        <f>'Op Cost-24'!C11/'Revenue Miles-24'!D10</f>
        <v>4.38359633697433</v>
      </c>
      <c r="AG18" s="96">
        <f>'Op Cost-24'!D11/'Revenue Miles-24'!E10</f>
        <v>6.5363057971394145</v>
      </c>
      <c r="AH18" s="96">
        <f>'Op Cost-24'!E11/'Revenue Miles-24'!F10</f>
        <v>7.5838612620142083</v>
      </c>
      <c r="AI18" s="97">
        <f t="shared" si="11"/>
        <v>1.1120931991872134</v>
      </c>
      <c r="AJ18" s="98">
        <f t="shared" si="12"/>
        <v>6.6270587754863391E-3</v>
      </c>
      <c r="AK18" s="99">
        <f t="shared" si="13"/>
        <v>6.6344238960854805E-3</v>
      </c>
      <c r="AL18" s="95">
        <f>'Op Cost-24'!B11/'Ridership-24'!B10</f>
        <v>11.597358211712544</v>
      </c>
      <c r="AM18" s="96">
        <f>'Op Cost-24'!C11/'Ridership-24'!C10</f>
        <v>12.790474392513282</v>
      </c>
      <c r="AN18" s="96">
        <f>'Op Cost-24'!D11/'Ridership-24'!D10</f>
        <v>28.106667136018022</v>
      </c>
      <c r="AO18" s="96">
        <f>'Op Cost-24'!E11/'Ridership-24'!E10</f>
        <v>25.223461978940815</v>
      </c>
      <c r="AP18" s="100">
        <f t="shared" si="14"/>
        <v>1.0520580090790668</v>
      </c>
      <c r="AQ18" s="98">
        <f t="shared" si="15"/>
        <v>7.0052287338068439E-3</v>
      </c>
      <c r="AR18" s="99">
        <f t="shared" si="16"/>
        <v>7.4182591408082721E-3</v>
      </c>
      <c r="AT18" s="101">
        <f t="shared" si="27"/>
        <v>0</v>
      </c>
      <c r="AU18" s="102">
        <f t="shared" si="17"/>
        <v>0</v>
      </c>
      <c r="AV18" s="102">
        <f t="shared" si="18"/>
        <v>0</v>
      </c>
      <c r="AW18" s="102">
        <f t="shared" si="19"/>
        <v>0</v>
      </c>
      <c r="AX18" s="103">
        <f t="shared" si="20"/>
        <v>0</v>
      </c>
      <c r="AY18" s="104">
        <f t="shared" si="28"/>
        <v>-1</v>
      </c>
      <c r="AZ18" s="105">
        <f t="shared" si="21"/>
        <v>0</v>
      </c>
      <c r="BA18" s="106">
        <f t="shared" si="21"/>
        <v>0</v>
      </c>
      <c r="BB18" s="106">
        <f t="shared" si="21"/>
        <v>0</v>
      </c>
      <c r="BC18" s="106">
        <f t="shared" si="21"/>
        <v>0</v>
      </c>
      <c r="BD18" s="106">
        <f t="shared" si="21"/>
        <v>0</v>
      </c>
      <c r="BE18" s="107">
        <f t="shared" si="29"/>
        <v>933051.30053181155</v>
      </c>
      <c r="BG18" s="108">
        <f>'Op Cost-24'!E11</f>
        <v>4537045</v>
      </c>
      <c r="BH18" s="109">
        <f t="shared" si="22"/>
        <v>0.20565176244269376</v>
      </c>
      <c r="BI18" s="110">
        <f t="shared" si="23"/>
        <v>933051.30053181155</v>
      </c>
      <c r="BJ18" s="111">
        <f t="shared" si="24"/>
        <v>0</v>
      </c>
      <c r="BK18" s="1">
        <f t="shared" si="30"/>
        <v>0.52776477658919685</v>
      </c>
      <c r="BL18" s="112">
        <f t="shared" si="31"/>
        <v>0.47113575696301152</v>
      </c>
      <c r="BM18" s="112">
        <f t="shared" si="32"/>
        <v>0.43985540077006724</v>
      </c>
      <c r="BN18" s="113">
        <f t="shared" si="33"/>
        <v>0.60003397431185446</v>
      </c>
      <c r="BO18" s="114">
        <f t="shared" si="25"/>
        <v>933051.30053181155</v>
      </c>
      <c r="BP18" s="115">
        <f t="shared" si="34"/>
        <v>3.8895773186108278E-3</v>
      </c>
      <c r="BQ18" s="116">
        <f t="shared" si="35"/>
        <v>3.8895773186108278E-3</v>
      </c>
      <c r="BR18" s="117">
        <f t="shared" si="36"/>
        <v>5.966859333167031E-3</v>
      </c>
      <c r="BS18" s="118">
        <f t="shared" si="37"/>
        <v>1008073.8108124672</v>
      </c>
      <c r="BT18" s="119">
        <f t="shared" si="38"/>
        <v>1361113.5</v>
      </c>
      <c r="BU18" s="119">
        <f t="shared" si="39"/>
        <v>1008073.8108124672</v>
      </c>
      <c r="BV18" s="119">
        <f t="shared" si="56"/>
        <v>0</v>
      </c>
      <c r="BW18" s="120">
        <f t="shared" si="40"/>
        <v>3.8895773186108278E-3</v>
      </c>
      <c r="BX18" s="121">
        <f t="shared" si="41"/>
        <v>7.3720184914960584E-3</v>
      </c>
      <c r="BY18" s="122">
        <f t="shared" si="42"/>
        <v>1019808.8552419833</v>
      </c>
      <c r="BZ18" s="123">
        <f t="shared" ref="BZ18:BZ50" si="58">BY18*$BO$6</f>
        <v>12822259760912.932</v>
      </c>
      <c r="CA18" s="111">
        <f t="shared" si="57"/>
        <v>12822260693964</v>
      </c>
      <c r="CC18" s="124">
        <f t="shared" si="26"/>
        <v>1</v>
      </c>
      <c r="CD18" s="17"/>
      <c r="CE18" s="108">
        <f t="shared" si="44"/>
        <v>4537045</v>
      </c>
      <c r="CF18" s="125">
        <f t="shared" si="45"/>
        <v>2826125.9683260801</v>
      </c>
      <c r="CG18" s="110">
        <f t="shared" si="46"/>
        <v>1361113.5</v>
      </c>
      <c r="CH18" s="126">
        <f t="shared" si="47"/>
        <v>12822259332850.5</v>
      </c>
      <c r="CJ18" s="127">
        <f t="shared" si="48"/>
        <v>0</v>
      </c>
      <c r="CK18" s="128" t="e">
        <f t="shared" si="49"/>
        <v>#DIV/0!</v>
      </c>
      <c r="CL18" s="129" t="e">
        <f t="shared" si="50"/>
        <v>#DIV/0!</v>
      </c>
      <c r="CM18" s="130" t="e">
        <f t="shared" si="51"/>
        <v>#DIV/0!</v>
      </c>
      <c r="CO18" s="131" t="e">
        <f t="shared" si="52"/>
        <v>#DIV/0!</v>
      </c>
      <c r="CP18" s="1">
        <f t="shared" si="53"/>
        <v>0</v>
      </c>
      <c r="CQ18" s="132">
        <f t="shared" si="54"/>
        <v>0.22477380216462109</v>
      </c>
      <c r="CS18" s="104">
        <f t="shared" si="55"/>
        <v>3.2265582677984406E-3</v>
      </c>
    </row>
    <row r="19" spans="1:97">
      <c r="A19" s="133" t="s">
        <v>92</v>
      </c>
      <c r="B19" s="90" t="s">
        <v>93</v>
      </c>
      <c r="C19" s="208">
        <f>'Op Cost-24'!E12</f>
        <v>1726724</v>
      </c>
      <c r="D19" s="92">
        <f>'Ridership-24'!$E11</f>
        <v>75266</v>
      </c>
      <c r="E19" s="92">
        <f>'Revenue Hours-24'!$F11</f>
        <v>21618</v>
      </c>
      <c r="F19" s="92">
        <f>'Revenue Miles-24'!$F11</f>
        <v>415022</v>
      </c>
      <c r="G19" s="134">
        <f t="shared" si="0"/>
        <v>3.7054165337023076E-3</v>
      </c>
      <c r="H19" s="94">
        <f t="shared" si="1"/>
        <v>3.4981776137601307E-3</v>
      </c>
      <c r="J19" s="95">
        <f>'Ridership-24'!B11/'Revenue Hours-24'!C11</f>
        <v>7.655356409905596</v>
      </c>
      <c r="K19" s="207">
        <f>'Ridership-24'!C11/'Revenue Hours-24'!J11</f>
        <v>6.7021276595744679</v>
      </c>
      <c r="L19" s="207">
        <f>'Ridership-24'!D11/'Revenue Hours-24'!K11</f>
        <v>5.361326293975428</v>
      </c>
      <c r="M19" s="207">
        <f>'Ridership-24'!E11/'Revenue Hours-24'!L11</f>
        <v>3.4816356739753909</v>
      </c>
      <c r="N19" s="97">
        <f t="shared" si="2"/>
        <v>0.98008321006467869</v>
      </c>
      <c r="O19" s="98">
        <f t="shared" si="3"/>
        <v>3.4285051450704267E-3</v>
      </c>
      <c r="P19" s="99">
        <f t="shared" si="4"/>
        <v>3.2636107782759824E-3</v>
      </c>
      <c r="Q19" s="95">
        <f>'Ridership-24'!B11/'Revenue Miles-24'!C11</f>
        <v>0.43287508026520399</v>
      </c>
      <c r="R19" s="207">
        <f>'Ridership-24'!C11/'Revenue Miles-24'!J11</f>
        <v>0.35838935027674113</v>
      </c>
      <c r="S19" s="207">
        <f>'Ridership-24'!D11/'Revenue Miles-24'!K11</f>
        <v>0.29459705668644059</v>
      </c>
      <c r="T19" s="207">
        <f>'Ridership-24'!E11/'Revenue Miles-24'!L11</f>
        <v>0.18135424146189841</v>
      </c>
      <c r="U19" s="97">
        <f t="shared" si="5"/>
        <v>0.96747421208448736</v>
      </c>
      <c r="V19" s="98">
        <f t="shared" si="6"/>
        <v>3.3843966306041748E-3</v>
      </c>
      <c r="W19" s="99">
        <f t="shared" si="7"/>
        <v>3.2144097049928099E-3</v>
      </c>
      <c r="X19" s="95">
        <f>'Op Cost-24'!B12/'Revenue Hours-24'!C11</f>
        <v>69.455055411136954</v>
      </c>
      <c r="Y19" s="96">
        <f>'Op Cost-24'!C12/'Revenue Hours-24'!D11</f>
        <v>66.919313392948922</v>
      </c>
      <c r="Z19" s="96">
        <f>'Op Cost-24'!D12/'Revenue Hours-24'!E11</f>
        <v>71.305225243005879</v>
      </c>
      <c r="AA19" s="96">
        <f>'Op Cost-24'!E12/'Revenue Hours-24'!F11</f>
        <v>79.874363955962622</v>
      </c>
      <c r="AB19" s="97">
        <f t="shared" si="8"/>
        <v>0.97864829271439469</v>
      </c>
      <c r="AC19" s="98">
        <f t="shared" si="9"/>
        <v>3.5744992759937579E-3</v>
      </c>
      <c r="AD19" s="99">
        <f t="shared" si="10"/>
        <v>3.5947790475214228E-3</v>
      </c>
      <c r="AE19" s="95">
        <f>'Op Cost-24'!B12/'Revenue Miles-24'!C11</f>
        <v>3.9273628915588081</v>
      </c>
      <c r="AF19" s="96">
        <f>'Op Cost-24'!C12/'Revenue Miles-24'!D11</f>
        <v>3.578441125871858</v>
      </c>
      <c r="AG19" s="96">
        <f>'Op Cost-24'!D12/'Revenue Miles-24'!E11</f>
        <v>3.9181180795800845</v>
      </c>
      <c r="AH19" s="96">
        <f>'Op Cost-24'!E12/'Revenue Miles-24'!F11</f>
        <v>4.1605601630756928</v>
      </c>
      <c r="AI19" s="97">
        <f t="shared" si="11"/>
        <v>0.95623417116569043</v>
      </c>
      <c r="AJ19" s="98">
        <f t="shared" si="12"/>
        <v>3.6582855112735646E-3</v>
      </c>
      <c r="AK19" s="99">
        <f t="shared" si="13"/>
        <v>3.6623512235132516E-3</v>
      </c>
      <c r="AL19" s="95">
        <f>'Op Cost-24'!B12/'Ridership-24'!B11</f>
        <v>9.0727396207531328</v>
      </c>
      <c r="AM19" s="96">
        <f>'Op Cost-24'!C12/'Ridership-24'!C11</f>
        <v>9.9847864427574571</v>
      </c>
      <c r="AN19" s="96">
        <f>'Op Cost-24'!D12/'Ridership-24'!D11</f>
        <v>13.299922693220932</v>
      </c>
      <c r="AO19" s="96">
        <f>'Op Cost-24'!E12/'Ridership-24'!E11</f>
        <v>22.941620386363031</v>
      </c>
      <c r="AP19" s="100">
        <f t="shared" si="14"/>
        <v>1.2845529000575469</v>
      </c>
      <c r="AQ19" s="98">
        <f t="shared" si="15"/>
        <v>2.7232647356161162E-3</v>
      </c>
      <c r="AR19" s="99">
        <f t="shared" si="16"/>
        <v>2.8838292489054515E-3</v>
      </c>
      <c r="AT19" s="101">
        <f t="shared" si="27"/>
        <v>0</v>
      </c>
      <c r="AU19" s="102">
        <f t="shared" si="17"/>
        <v>0</v>
      </c>
      <c r="AV19" s="102">
        <f t="shared" si="18"/>
        <v>0</v>
      </c>
      <c r="AW19" s="102">
        <f t="shared" si="19"/>
        <v>0</v>
      </c>
      <c r="AX19" s="103">
        <f t="shared" si="20"/>
        <v>0</v>
      </c>
      <c r="AY19" s="104">
        <f t="shared" si="28"/>
        <v>-1</v>
      </c>
      <c r="AZ19" s="105">
        <f t="shared" si="21"/>
        <v>0</v>
      </c>
      <c r="BA19" s="106">
        <f t="shared" si="21"/>
        <v>0</v>
      </c>
      <c r="BB19" s="106">
        <f t="shared" si="21"/>
        <v>0</v>
      </c>
      <c r="BC19" s="106">
        <f t="shared" si="21"/>
        <v>0</v>
      </c>
      <c r="BD19" s="106">
        <f t="shared" si="21"/>
        <v>0</v>
      </c>
      <c r="BE19" s="107">
        <f t="shared" si="29"/>
        <v>442879.28929073684</v>
      </c>
      <c r="BG19" s="108">
        <f>'Op Cost-24'!E12</f>
        <v>1726724</v>
      </c>
      <c r="BH19" s="109">
        <f t="shared" si="22"/>
        <v>0.25648528038686952</v>
      </c>
      <c r="BI19" s="110">
        <f t="shared" si="23"/>
        <v>442879.28929073684</v>
      </c>
      <c r="BJ19" s="111">
        <f t="shared" si="24"/>
        <v>0</v>
      </c>
      <c r="BK19" s="1">
        <f t="shared" si="30"/>
        <v>0.70064762556268523</v>
      </c>
      <c r="BL19" s="112">
        <f t="shared" si="31"/>
        <v>0.55194320407029318</v>
      </c>
      <c r="BM19" s="112">
        <f t="shared" si="32"/>
        <v>0.42317831978679149</v>
      </c>
      <c r="BN19" s="113">
        <f t="shared" si="33"/>
        <v>0.91373448919682809</v>
      </c>
      <c r="BO19" s="114">
        <f t="shared" si="25"/>
        <v>442879.28929073684</v>
      </c>
      <c r="BP19" s="115">
        <f t="shared" si="34"/>
        <v>2.4509898388775757E-3</v>
      </c>
      <c r="BQ19" s="116">
        <f t="shared" si="35"/>
        <v>2.4509898388775757E-3</v>
      </c>
      <c r="BR19" s="117">
        <f t="shared" si="36"/>
        <v>3.7599745159012476E-3</v>
      </c>
      <c r="BS19" s="118">
        <f t="shared" si="37"/>
        <v>490154.19741639623</v>
      </c>
      <c r="BT19" s="119">
        <f t="shared" si="38"/>
        <v>518017.19999999995</v>
      </c>
      <c r="BU19" s="119">
        <f t="shared" si="39"/>
        <v>490154.19741639623</v>
      </c>
      <c r="BV19" s="119">
        <f t="shared" si="56"/>
        <v>0</v>
      </c>
      <c r="BW19" s="120">
        <f t="shared" si="40"/>
        <v>2.4509898388775757E-3</v>
      </c>
      <c r="BX19" s="121">
        <f t="shared" si="41"/>
        <v>4.6454256940000179E-3</v>
      </c>
      <c r="BY19" s="122">
        <f t="shared" si="42"/>
        <v>497548.95327274548</v>
      </c>
      <c r="BZ19" s="123">
        <f t="shared" si="58"/>
        <v>6255782041743.1836</v>
      </c>
      <c r="CA19" s="111">
        <f t="shared" si="57"/>
        <v>6255782484622</v>
      </c>
      <c r="CC19" s="124">
        <f t="shared" si="26"/>
        <v>1</v>
      </c>
      <c r="CD19" s="17"/>
      <c r="CE19" s="108">
        <f t="shared" si="44"/>
        <v>1726724</v>
      </c>
      <c r="CF19" s="125">
        <f t="shared" si="45"/>
        <v>3622919.7512874091</v>
      </c>
      <c r="CG19" s="110">
        <f t="shared" si="46"/>
        <v>518017.19999999995</v>
      </c>
      <c r="CH19" s="126">
        <f t="shared" si="47"/>
        <v>6255781966604.7998</v>
      </c>
      <c r="CJ19" s="127">
        <f t="shared" si="48"/>
        <v>0</v>
      </c>
      <c r="CK19" s="128" t="e">
        <f t="shared" si="49"/>
        <v>#DIV/0!</v>
      </c>
      <c r="CL19" s="129" t="e">
        <f t="shared" si="50"/>
        <v>#DIV/0!</v>
      </c>
      <c r="CM19" s="130" t="e">
        <f t="shared" si="51"/>
        <v>#DIV/0!</v>
      </c>
      <c r="CO19" s="131" t="e">
        <f t="shared" si="52"/>
        <v>#DIV/0!</v>
      </c>
      <c r="CP19" s="1">
        <f t="shared" si="53"/>
        <v>0</v>
      </c>
      <c r="CQ19" s="132">
        <f t="shared" si="54"/>
        <v>0.28814619665490576</v>
      </c>
      <c r="CS19" s="104">
        <f>BP19/$BP$51</f>
        <v>2.0331930390176342E-3</v>
      </c>
    </row>
    <row r="20" spans="1:97">
      <c r="A20" s="133" t="s">
        <v>92</v>
      </c>
      <c r="B20" s="90" t="s">
        <v>94</v>
      </c>
      <c r="C20" s="208">
        <f>'Op Cost-24'!E13</f>
        <v>167538</v>
      </c>
      <c r="D20" s="92">
        <f>'Ridership-24'!$E12</f>
        <v>5437</v>
      </c>
      <c r="E20" s="92">
        <f>'Revenue Hours-24'!$F12</f>
        <v>3090</v>
      </c>
      <c r="F20" s="92">
        <f>'Revenue Miles-24'!$F12</f>
        <v>52366</v>
      </c>
      <c r="G20" s="134">
        <f t="shared" si="0"/>
        <v>4.063452481176381E-4</v>
      </c>
      <c r="H20" s="94">
        <f t="shared" si="1"/>
        <v>3.8361890964054514E-4</v>
      </c>
      <c r="J20" s="95">
        <f>'Ridership-24'!B12/'Revenue Hours-24'!C12</f>
        <v>1.4845748683220465</v>
      </c>
      <c r="K20" s="207">
        <f>'Ridership-24'!C12/'Revenue Hours-24'!J12</f>
        <v>2.5672572178477688</v>
      </c>
      <c r="L20" s="207">
        <f>'Ridership-24'!D12/'Revenue Hours-24'!K12</f>
        <v>1.3415032679738561</v>
      </c>
      <c r="M20" s="207">
        <f>'Ridership-24'!E12/'Revenue Hours-24'!L12</f>
        <v>1.759546925566343</v>
      </c>
      <c r="N20" s="97">
        <f t="shared" si="2"/>
        <v>1.2572030407161214</v>
      </c>
      <c r="O20" s="98">
        <f t="shared" si="3"/>
        <v>4.8228685967629636E-4</v>
      </c>
      <c r="P20" s="99">
        <f t="shared" si="4"/>
        <v>4.5909121522642627E-4</v>
      </c>
      <c r="Q20" s="95">
        <f>'Ridership-24'!B12/'Revenue Miles-24'!C12</f>
        <v>0.10409137671792978</v>
      </c>
      <c r="R20" s="207">
        <f>'Ridership-24'!C12/'Revenue Miles-24'!J12</f>
        <v>0.14723314580314975</v>
      </c>
      <c r="S20" s="207">
        <f>'Ridership-24'!D12/'Revenue Miles-24'!K12</f>
        <v>8.4451119157340354E-2</v>
      </c>
      <c r="T20" s="207">
        <f>'Ridership-24'!E12/'Revenue Miles-24'!L12</f>
        <v>0.10382691059084138</v>
      </c>
      <c r="U20" s="97">
        <f t="shared" si="5"/>
        <v>1.1688954873954811</v>
      </c>
      <c r="V20" s="98">
        <f t="shared" si="6"/>
        <v>4.4841041235840805E-4</v>
      </c>
      <c r="W20" s="99">
        <f t="shared" si="7"/>
        <v>4.2588825679317133E-4</v>
      </c>
      <c r="X20" s="95">
        <f>'Op Cost-24'!B13/'Revenue Hours-24'!C12</f>
        <v>60.401805869074494</v>
      </c>
      <c r="Y20" s="96">
        <f>'Op Cost-24'!C13/'Revenue Hours-24'!D12</f>
        <v>44.952755905511808</v>
      </c>
      <c r="Z20" s="96">
        <f>'Op Cost-24'!D13/'Revenue Hours-24'!E12</f>
        <v>49.306209150326801</v>
      </c>
      <c r="AA20" s="96">
        <f>'Op Cost-24'!E13/'Revenue Hours-24'!F12</f>
        <v>54.219417475728157</v>
      </c>
      <c r="AB20" s="97">
        <f t="shared" si="8"/>
        <v>0.90864591691387275</v>
      </c>
      <c r="AC20" s="98">
        <f t="shared" si="9"/>
        <v>4.2218745773212664E-4</v>
      </c>
      <c r="AD20" s="99">
        <f t="shared" si="10"/>
        <v>4.2458272054338376E-4</v>
      </c>
      <c r="AE20" s="95">
        <f>'Op Cost-24'!B13/'Revenue Miles-24'!C12</f>
        <v>4.2350892927800787</v>
      </c>
      <c r="AF20" s="96">
        <f>'Op Cost-24'!C13/'Revenue Miles-24'!D12</f>
        <v>2.5780570869475228</v>
      </c>
      <c r="AG20" s="96">
        <f>'Op Cost-24'!D13/'Revenue Miles-24'!E12</f>
        <v>3.103954081632653</v>
      </c>
      <c r="AH20" s="96">
        <f>'Op Cost-24'!E13/'Revenue Miles-24'!F12</f>
        <v>3.1993660008402398</v>
      </c>
      <c r="AI20" s="97">
        <f t="shared" si="11"/>
        <v>0.87542903217382262</v>
      </c>
      <c r="AJ20" s="98">
        <f t="shared" si="12"/>
        <v>4.3820674839622516E-4</v>
      </c>
      <c r="AK20" s="99">
        <f t="shared" si="13"/>
        <v>4.3869375864596585E-4</v>
      </c>
      <c r="AL20" s="95">
        <f>'Op Cost-24'!B13/'Ridership-24'!B12</f>
        <v>40.686264571718198</v>
      </c>
      <c r="AM20" s="96">
        <f>'Op Cost-24'!C13/'Ridership-24'!C12</f>
        <v>17.510031948881789</v>
      </c>
      <c r="AN20" s="96">
        <f>'Op Cost-24'!D13/'Ridership-24'!D12</f>
        <v>36.754445797807549</v>
      </c>
      <c r="AO20" s="96">
        <f>'Op Cost-24'!E13/'Ridership-24'!E12</f>
        <v>30.814419716755562</v>
      </c>
      <c r="AP20" s="100">
        <f t="shared" si="14"/>
        <v>0.79388736805371352</v>
      </c>
      <c r="AQ20" s="98">
        <f t="shared" si="15"/>
        <v>4.832157873742487E-4</v>
      </c>
      <c r="AR20" s="99">
        <f t="shared" si="16"/>
        <v>5.1170633649301283E-4</v>
      </c>
      <c r="AT20" s="101">
        <f t="shared" si="27"/>
        <v>0</v>
      </c>
      <c r="AU20" s="102">
        <f t="shared" si="17"/>
        <v>0</v>
      </c>
      <c r="AV20" s="102">
        <f t="shared" si="18"/>
        <v>0</v>
      </c>
      <c r="AW20" s="102">
        <f t="shared" si="19"/>
        <v>0</v>
      </c>
      <c r="AX20" s="103">
        <f t="shared" si="20"/>
        <v>0</v>
      </c>
      <c r="AY20" s="104">
        <f t="shared" si="28"/>
        <v>-1</v>
      </c>
      <c r="AZ20" s="105">
        <f t="shared" si="21"/>
        <v>0</v>
      </c>
      <c r="BA20" s="106">
        <f t="shared" si="21"/>
        <v>0</v>
      </c>
      <c r="BB20" s="106">
        <f t="shared" si="21"/>
        <v>0</v>
      </c>
      <c r="BC20" s="106">
        <f t="shared" si="21"/>
        <v>0</v>
      </c>
      <c r="BD20" s="106">
        <f t="shared" si="21"/>
        <v>0</v>
      </c>
      <c r="BE20" s="107">
        <f t="shared" si="29"/>
        <v>48567.25095712702</v>
      </c>
      <c r="BG20" s="108">
        <f>'Op Cost-24'!E13</f>
        <v>167538</v>
      </c>
      <c r="BH20" s="109">
        <f t="shared" si="22"/>
        <v>0.28988797142813583</v>
      </c>
      <c r="BI20" s="110">
        <f t="shared" si="23"/>
        <v>48567.25095712702</v>
      </c>
      <c r="BJ20" s="111">
        <f t="shared" si="24"/>
        <v>0</v>
      </c>
      <c r="BK20" s="1">
        <f t="shared" si="30"/>
        <v>0.32053973166218086</v>
      </c>
      <c r="BL20" s="112">
        <f t="shared" si="31"/>
        <v>0.19311803854655565</v>
      </c>
      <c r="BM20" s="112">
        <f t="shared" si="32"/>
        <v>0.1648817174741056</v>
      </c>
      <c r="BN20" s="113">
        <f t="shared" si="33"/>
        <v>0.46207958531403115</v>
      </c>
      <c r="BO20" s="114">
        <f t="shared" si="25"/>
        <v>48567.25095712702</v>
      </c>
      <c r="BP20" s="115">
        <f t="shared" si="34"/>
        <v>1.2296510235671875E-4</v>
      </c>
      <c r="BQ20" s="116">
        <f t="shared" si="35"/>
        <v>1.2296510235671875E-4</v>
      </c>
      <c r="BR20" s="117">
        <f t="shared" si="36"/>
        <v>1.8863629863850471E-4</v>
      </c>
      <c r="BS20" s="118">
        <f t="shared" si="37"/>
        <v>50939.012693698845</v>
      </c>
      <c r="BT20" s="119">
        <f t="shared" si="38"/>
        <v>50261.4</v>
      </c>
      <c r="BU20" s="119">
        <f t="shared" si="39"/>
        <v>50261.4</v>
      </c>
      <c r="BV20" s="119">
        <f t="shared" si="56"/>
        <v>677.61269369884394</v>
      </c>
      <c r="BW20" s="120">
        <f t="shared" si="40"/>
        <v>0</v>
      </c>
      <c r="BX20" s="121">
        <f t="shared" si="41"/>
        <v>0</v>
      </c>
      <c r="BY20" s="122">
        <f t="shared" si="42"/>
        <v>50261.4</v>
      </c>
      <c r="BZ20" s="123">
        <f t="shared" si="58"/>
        <v>631946588259.64868</v>
      </c>
      <c r="CA20" s="111">
        <f t="shared" si="57"/>
        <v>631946636827</v>
      </c>
      <c r="CC20" s="124">
        <f t="shared" si="26"/>
        <v>1</v>
      </c>
      <c r="CD20" s="17"/>
      <c r="CE20" s="108">
        <f t="shared" si="44"/>
        <v>167538</v>
      </c>
      <c r="CF20" s="125">
        <f t="shared" si="45"/>
        <v>3771960.0140087623</v>
      </c>
      <c r="CG20" s="110">
        <f t="shared" si="46"/>
        <v>50261.4</v>
      </c>
      <c r="CH20" s="126">
        <f t="shared" si="47"/>
        <v>631946586565.59998</v>
      </c>
      <c r="CJ20" s="127">
        <f t="shared" si="48"/>
        <v>0</v>
      </c>
      <c r="CK20" s="128" t="e">
        <f t="shared" si="49"/>
        <v>#DIV/0!</v>
      </c>
      <c r="CL20" s="129" t="e">
        <f t="shared" si="50"/>
        <v>#DIV/0!</v>
      </c>
      <c r="CM20" s="130" t="e">
        <f t="shared" si="51"/>
        <v>#DIV/0!</v>
      </c>
      <c r="CO20" s="131" t="e">
        <f t="shared" si="52"/>
        <v>#DIV/0!</v>
      </c>
      <c r="CP20" s="1">
        <f t="shared" si="53"/>
        <v>0</v>
      </c>
      <c r="CQ20" s="132">
        <f t="shared" si="54"/>
        <v>0.3</v>
      </c>
      <c r="CS20" s="104">
        <f t="shared" si="55"/>
        <v>1.0200441723098439E-4</v>
      </c>
    </row>
    <row r="21" spans="1:97">
      <c r="A21" s="133" t="s">
        <v>92</v>
      </c>
      <c r="B21" s="90" t="s">
        <v>95</v>
      </c>
      <c r="C21" s="208">
        <f>'Op Cost-24'!E14</f>
        <v>99766003</v>
      </c>
      <c r="D21" s="92">
        <f>'Ridership-24'!$E13</f>
        <v>6381801</v>
      </c>
      <c r="E21" s="92">
        <f>'Revenue Hours-24'!$F13</f>
        <v>886831</v>
      </c>
      <c r="F21" s="92">
        <f>'Revenue Miles-24'!$F13</f>
        <v>12904187</v>
      </c>
      <c r="G21" s="134">
        <f t="shared" si="0"/>
        <v>0.19301168961880577</v>
      </c>
      <c r="H21" s="94">
        <f t="shared" si="1"/>
        <v>0.1822168076591115</v>
      </c>
      <c r="J21" s="95">
        <f>'Ridership-24'!B13/'Revenue Hours-24'!C13</f>
        <v>12.656717268983227</v>
      </c>
      <c r="K21" s="207">
        <f>'Ridership-24'!C13/'Revenue Hours-24'!J13</f>
        <v>12.193537039037592</v>
      </c>
      <c r="L21" s="207">
        <f>'Ridership-24'!D13/'Revenue Hours-24'!K13</f>
        <v>6.640780447028594</v>
      </c>
      <c r="M21" s="207">
        <f>'Ridership-24'!E13/'Revenue Hours-24'!L13</f>
        <v>7.1961861955660096</v>
      </c>
      <c r="N21" s="97">
        <f t="shared" si="2"/>
        <v>0.95618600608247295</v>
      </c>
      <c r="O21" s="98">
        <f t="shared" si="3"/>
        <v>0.17423316155666399</v>
      </c>
      <c r="P21" s="99">
        <f t="shared" si="4"/>
        <v>0.16585339672218827</v>
      </c>
      <c r="Q21" s="95">
        <f>'Ridership-24'!B13/'Revenue Miles-24'!C13</f>
        <v>0.95192676699971746</v>
      </c>
      <c r="R21" s="207">
        <f>'Ridership-24'!C13/'Revenue Miles-24'!J13</f>
        <v>0.90434093823673278</v>
      </c>
      <c r="S21" s="207">
        <f>'Ridership-24'!D13/'Revenue Miles-24'!K13</f>
        <v>0.46622665154015291</v>
      </c>
      <c r="T21" s="207">
        <f>'Ridership-24'!E13/'Revenue Miles-24'!L13</f>
        <v>0.49455273703023678</v>
      </c>
      <c r="U21" s="97">
        <f t="shared" si="5"/>
        <v>0.93066455285606553</v>
      </c>
      <c r="V21" s="98">
        <f t="shared" si="6"/>
        <v>0.16958272382292669</v>
      </c>
      <c r="W21" s="99">
        <f t="shared" si="7"/>
        <v>0.16106515067597721</v>
      </c>
      <c r="X21" s="95">
        <f>'Op Cost-24'!B14/'Revenue Hours-24'!C13</f>
        <v>88.602471990302604</v>
      </c>
      <c r="Y21" s="96">
        <f>'Op Cost-24'!C14/'Revenue Hours-24'!D13</f>
        <v>89.156752379659721</v>
      </c>
      <c r="Z21" s="96">
        <f>'Op Cost-24'!D14/'Revenue Hours-24'!E13</f>
        <v>107.97198556298591</v>
      </c>
      <c r="AA21" s="96">
        <f>'Op Cost-24'!E14/'Revenue Hours-24'!F13</f>
        <v>112.49719845156518</v>
      </c>
      <c r="AB21" s="97">
        <f t="shared" si="8"/>
        <v>1.0063255941642135</v>
      </c>
      <c r="AC21" s="98">
        <f t="shared" si="9"/>
        <v>0.18107142332044981</v>
      </c>
      <c r="AD21" s="99">
        <f t="shared" si="10"/>
        <v>0.18209872443638217</v>
      </c>
      <c r="AE21" s="95">
        <f>'Op Cost-24'!B14/'Revenue Miles-24'!C13</f>
        <v>6.6638973532737733</v>
      </c>
      <c r="AF21" s="96">
        <f>'Op Cost-24'!C14/'Revenue Miles-24'!D13</f>
        <v>6.6123636512548227</v>
      </c>
      <c r="AG21" s="96">
        <f>'Op Cost-24'!D14/'Revenue Miles-24'!E13</f>
        <v>7.5803465708156237</v>
      </c>
      <c r="AH21" s="96">
        <f>'Op Cost-24'!E14/'Revenue Miles-24'!F13</f>
        <v>7.7312893094311175</v>
      </c>
      <c r="AI21" s="97">
        <f t="shared" si="11"/>
        <v>0.98247248937261578</v>
      </c>
      <c r="AJ21" s="98">
        <f t="shared" si="12"/>
        <v>0.18546759286407186</v>
      </c>
      <c r="AK21" s="99">
        <f t="shared" si="13"/>
        <v>0.18567371615872696</v>
      </c>
      <c r="AL21" s="95">
        <f>'Op Cost-24'!B14/'Ridership-24'!B13</f>
        <v>7.0004306888827621</v>
      </c>
      <c r="AM21" s="96">
        <f>'Op Cost-24'!C14/'Ridership-24'!C13</f>
        <v>7.311803957639567</v>
      </c>
      <c r="AN21" s="96">
        <f>'Op Cost-24'!D14/'Ridership-24'!D13</f>
        <v>16.258930170067252</v>
      </c>
      <c r="AO21" s="96">
        <f>'Op Cost-24'!E14/'Ridership-24'!E13</f>
        <v>15.632891561488677</v>
      </c>
      <c r="AP21" s="97">
        <f t="shared" si="14"/>
        <v>1.0641680221867109</v>
      </c>
      <c r="AQ21" s="98">
        <f t="shared" si="15"/>
        <v>0.17122935839086989</v>
      </c>
      <c r="AR21" s="99">
        <f t="shared" si="16"/>
        <v>0.18132509320185036</v>
      </c>
      <c r="AT21" s="101">
        <f t="shared" si="27"/>
        <v>0</v>
      </c>
      <c r="AU21" s="102">
        <f t="shared" si="17"/>
        <v>0</v>
      </c>
      <c r="AV21" s="102">
        <f t="shared" si="18"/>
        <v>0</v>
      </c>
      <c r="AW21" s="102">
        <f t="shared" si="19"/>
        <v>0</v>
      </c>
      <c r="AX21" s="103">
        <f t="shared" si="20"/>
        <v>0</v>
      </c>
      <c r="AY21" s="104">
        <f t="shared" si="28"/>
        <v>-1</v>
      </c>
      <c r="AZ21" s="105">
        <f t="shared" si="21"/>
        <v>0</v>
      </c>
      <c r="BA21" s="106">
        <f t="shared" si="21"/>
        <v>0</v>
      </c>
      <c r="BB21" s="106">
        <f t="shared" si="21"/>
        <v>0</v>
      </c>
      <c r="BC21" s="106">
        <f t="shared" si="21"/>
        <v>0</v>
      </c>
      <c r="BD21" s="106">
        <f t="shared" si="21"/>
        <v>0</v>
      </c>
      <c r="BE21" s="107">
        <f t="shared" si="29"/>
        <v>23069168.916826695</v>
      </c>
      <c r="BG21" s="108">
        <f>'Op Cost-24'!E14</f>
        <v>99766003</v>
      </c>
      <c r="BH21" s="109">
        <f t="shared" si="22"/>
        <v>0.23123276690584363</v>
      </c>
      <c r="BI21" s="110">
        <f t="shared" si="23"/>
        <v>23069168.916826695</v>
      </c>
      <c r="BJ21" s="111">
        <f t="shared" si="24"/>
        <v>0</v>
      </c>
      <c r="BK21" s="1">
        <f t="shared" si="30"/>
        <v>0.95674336611472599</v>
      </c>
      <c r="BL21" s="112">
        <f t="shared" si="31"/>
        <v>0.88692611795611309</v>
      </c>
      <c r="BM21" s="112">
        <f t="shared" si="32"/>
        <v>0.90023955314371251</v>
      </c>
      <c r="BN21" s="113">
        <f t="shared" si="33"/>
        <v>1.0199038966795391</v>
      </c>
      <c r="BO21" s="114">
        <f t="shared" si="25"/>
        <v>23069168.916826695</v>
      </c>
      <c r="BP21" s="115">
        <f t="shared" si="34"/>
        <v>0.17433472192245791</v>
      </c>
      <c r="BQ21" s="116">
        <f t="shared" si="35"/>
        <v>0.17433472192245791</v>
      </c>
      <c r="BR21" s="117">
        <f t="shared" si="36"/>
        <v>0.26744056677336292</v>
      </c>
      <c r="BS21" s="118">
        <f t="shared" si="37"/>
        <v>26431752.405043367</v>
      </c>
      <c r="BT21" s="119">
        <f t="shared" si="38"/>
        <v>29929800.899999999</v>
      </c>
      <c r="BU21" s="119">
        <f t="shared" si="39"/>
        <v>26431752.405043367</v>
      </c>
      <c r="BV21" s="119">
        <f t="shared" si="56"/>
        <v>0</v>
      </c>
      <c r="BW21" s="120">
        <f t="shared" si="40"/>
        <v>0.17433472192245791</v>
      </c>
      <c r="BX21" s="121">
        <f t="shared" si="41"/>
        <v>0.33042119707269246</v>
      </c>
      <c r="BY21" s="122">
        <f t="shared" si="42"/>
        <v>26957728.761800312</v>
      </c>
      <c r="BZ21" s="123">
        <f t="shared" si="58"/>
        <v>338944890477557.5</v>
      </c>
      <c r="CA21" s="111">
        <f>ROUND((BZ21+BI21),0)</f>
        <v>338944913546726</v>
      </c>
      <c r="CC21" s="124">
        <f t="shared" si="26"/>
        <v>1</v>
      </c>
      <c r="CD21" s="17"/>
      <c r="CE21" s="108">
        <f t="shared" si="44"/>
        <v>99766003</v>
      </c>
      <c r="CF21" s="125">
        <f t="shared" si="45"/>
        <v>3397398.947081462</v>
      </c>
      <c r="CG21" s="110">
        <f t="shared" si="46"/>
        <v>29929800.899999999</v>
      </c>
      <c r="CH21" s="126">
        <f t="shared" si="47"/>
        <v>338944883616925.13</v>
      </c>
      <c r="CJ21" s="127">
        <f t="shared" si="48"/>
        <v>0</v>
      </c>
      <c r="CK21" s="128" t="e">
        <f t="shared" si="49"/>
        <v>#DIV/0!</v>
      </c>
      <c r="CL21" s="129" t="e">
        <f t="shared" si="50"/>
        <v>#DIV/0!</v>
      </c>
      <c r="CM21" s="130" t="e">
        <f t="shared" si="51"/>
        <v>#DIV/0!</v>
      </c>
      <c r="CO21" s="131" t="e">
        <f t="shared" si="52"/>
        <v>#DIV/0!</v>
      </c>
      <c r="CP21" s="1">
        <f t="shared" si="53"/>
        <v>0</v>
      </c>
      <c r="CQ21" s="132">
        <f t="shared" si="54"/>
        <v>0.27020956990529443</v>
      </c>
      <c r="CS21" s="104">
        <f t="shared" si="55"/>
        <v>0.14461754897937015</v>
      </c>
    </row>
    <row r="22" spans="1:97">
      <c r="A22" s="133" t="s">
        <v>92</v>
      </c>
      <c r="B22" s="90" t="s">
        <v>96</v>
      </c>
      <c r="C22" s="208">
        <f>'Op Cost-24'!E15</f>
        <v>1200984</v>
      </c>
      <c r="D22" s="92">
        <f>'Ridership-24'!$E14</f>
        <v>63727</v>
      </c>
      <c r="E22" s="92">
        <f>'Revenue Hours-24'!$F14</f>
        <v>20345</v>
      </c>
      <c r="F22" s="92">
        <f>'Revenue Miles-24'!$F14</f>
        <v>483018</v>
      </c>
      <c r="G22" s="134">
        <f t="shared" si="0"/>
        <v>3.3360185530061674E-3</v>
      </c>
      <c r="H22" s="94">
        <f t="shared" si="1"/>
        <v>3.1494395609970591E-3</v>
      </c>
      <c r="J22" s="95">
        <f>'Ridership-24'!B14/'Revenue Hours-24'!C14</f>
        <v>5.3304602970841737</v>
      </c>
      <c r="K22" s="207">
        <f>'Ridership-24'!C14/'Revenue Hours-24'!J14</f>
        <v>5.1587647801630121</v>
      </c>
      <c r="L22" s="207">
        <f>'Ridership-24'!D14/'Revenue Hours-24'!K14</f>
        <v>2.5445369916707494</v>
      </c>
      <c r="M22" s="207">
        <f>'Ridership-24'!E14/'Revenue Hours-24'!L14</f>
        <v>3.1323175227328584</v>
      </c>
      <c r="N22" s="97">
        <f t="shared" si="2"/>
        <v>0.96244724110818003</v>
      </c>
      <c r="O22" s="98">
        <f t="shared" si="3"/>
        <v>3.0311694165185772E-3</v>
      </c>
      <c r="P22" s="99">
        <f t="shared" si="4"/>
        <v>2.8853849593179891E-3</v>
      </c>
      <c r="Q22" s="95">
        <f>'Ridership-24'!B14/'Revenue Miles-24'!C14</f>
        <v>0.21260136238851965</v>
      </c>
      <c r="R22" s="207">
        <f>'Ridership-24'!C14/'Revenue Miles-24'!J14</f>
        <v>0.22008311029377553</v>
      </c>
      <c r="S22" s="207">
        <f>'Ridership-24'!D14/'Revenue Miles-24'!K14</f>
        <v>0.1120356208297289</v>
      </c>
      <c r="T22" s="207">
        <f>'Ridership-24'!E14/'Revenue Miles-24'!L14</f>
        <v>0.13193504175827817</v>
      </c>
      <c r="U22" s="97">
        <f t="shared" si="5"/>
        <v>0.98618094333957085</v>
      </c>
      <c r="V22" s="98">
        <f t="shared" si="6"/>
        <v>3.1059172772550437E-3</v>
      </c>
      <c r="W22" s="99">
        <f t="shared" si="7"/>
        <v>2.9499174383503602E-3</v>
      </c>
      <c r="X22" s="95">
        <f>'Op Cost-24'!B15/'Revenue Hours-24'!C14</f>
        <v>53.481447521242131</v>
      </c>
      <c r="Y22" s="96">
        <f>'Op Cost-24'!C15/'Revenue Hours-24'!D14</f>
        <v>42.671162897485935</v>
      </c>
      <c r="Z22" s="96">
        <f>'Op Cost-24'!D15/'Revenue Hours-24'!E14</f>
        <v>48.696570308672221</v>
      </c>
      <c r="AA22" s="96">
        <f>'Op Cost-24'!E15/'Revenue Hours-24'!F14</f>
        <v>59.030916687146721</v>
      </c>
      <c r="AB22" s="97">
        <f t="shared" si="8"/>
        <v>0.9757458596773475</v>
      </c>
      <c r="AC22" s="98">
        <f t="shared" si="9"/>
        <v>3.2277252624351312E-3</v>
      </c>
      <c r="AD22" s="99">
        <f t="shared" si="10"/>
        <v>3.2460376261599943E-3</v>
      </c>
      <c r="AE22" s="95">
        <f>'Op Cost-24'!B15/'Revenue Miles-24'!C14</f>
        <v>2.1330669345283084</v>
      </c>
      <c r="AF22" s="96">
        <f>'Op Cost-24'!C15/'Revenue Miles-24'!D14</f>
        <v>1.8204362188489445</v>
      </c>
      <c r="AG22" s="96">
        <f>'Op Cost-24'!D15/'Revenue Miles-24'!E14</f>
        <v>2.1441034281165527</v>
      </c>
      <c r="AH22" s="96">
        <f>'Op Cost-24'!E15/'Revenue Miles-24'!F14</f>
        <v>2.4864166552799274</v>
      </c>
      <c r="AI22" s="97">
        <f t="shared" si="11"/>
        <v>0.99284699161436885</v>
      </c>
      <c r="AJ22" s="98">
        <f t="shared" si="12"/>
        <v>3.1721298322877241E-3</v>
      </c>
      <c r="AK22" s="99">
        <f t="shared" si="13"/>
        <v>3.1756552452291867E-3</v>
      </c>
      <c r="AL22" s="95">
        <f>'Op Cost-24'!B15/'Ridership-24'!B14</f>
        <v>10.033176225043292</v>
      </c>
      <c r="AM22" s="96">
        <f>'Op Cost-24'!C15/'Ridership-24'!C14</f>
        <v>8.2715852952957416</v>
      </c>
      <c r="AN22" s="96">
        <f>'Op Cost-24'!D15/'Ridership-24'!D14</f>
        <v>19.13769399622598</v>
      </c>
      <c r="AO22" s="96">
        <f>'Op Cost-24'!E15/'Ridership-24'!E14</f>
        <v>18.84576396189998</v>
      </c>
      <c r="AP22" s="100">
        <f t="shared" si="14"/>
        <v>1.0150741605069409</v>
      </c>
      <c r="AQ22" s="98">
        <f t="shared" si="15"/>
        <v>3.1026694240982246E-3</v>
      </c>
      <c r="AR22" s="99">
        <f t="shared" si="16"/>
        <v>3.2856037526864893E-3</v>
      </c>
      <c r="AT22" s="101">
        <f t="shared" si="27"/>
        <v>0</v>
      </c>
      <c r="AU22" s="102">
        <f t="shared" si="17"/>
        <v>0</v>
      </c>
      <c r="AV22" s="102">
        <f t="shared" si="18"/>
        <v>0</v>
      </c>
      <c r="AW22" s="102">
        <f t="shared" si="19"/>
        <v>0</v>
      </c>
      <c r="AX22" s="103">
        <f t="shared" si="20"/>
        <v>0</v>
      </c>
      <c r="AY22" s="104">
        <f t="shared" si="28"/>
        <v>-1</v>
      </c>
      <c r="AZ22" s="105">
        <f t="shared" si="21"/>
        <v>0</v>
      </c>
      <c r="BA22" s="106">
        <f t="shared" si="21"/>
        <v>0</v>
      </c>
      <c r="BB22" s="106">
        <f t="shared" si="21"/>
        <v>0</v>
      </c>
      <c r="BC22" s="106">
        <f t="shared" si="21"/>
        <v>0</v>
      </c>
      <c r="BD22" s="106">
        <f t="shared" si="21"/>
        <v>0</v>
      </c>
      <c r="BE22" s="107">
        <f t="shared" si="29"/>
        <v>398728.05455959629</v>
      </c>
      <c r="BG22" s="108">
        <f>'Op Cost-24'!E15</f>
        <v>1200984</v>
      </c>
      <c r="BH22" s="109">
        <f t="shared" si="22"/>
        <v>0.33200113786661295</v>
      </c>
      <c r="BI22" s="110">
        <f t="shared" si="23"/>
        <v>360295.2</v>
      </c>
      <c r="BJ22" s="111">
        <f t="shared" si="24"/>
        <v>38432.854559596279</v>
      </c>
      <c r="BK22" s="1">
        <f t="shared" si="30"/>
        <v>0.58374151688748688</v>
      </c>
      <c r="BL22" s="112">
        <f t="shared" si="31"/>
        <v>0.36579237705526796</v>
      </c>
      <c r="BM22" s="112">
        <f t="shared" si="32"/>
        <v>0.22434725881954989</v>
      </c>
      <c r="BN22" s="113">
        <f t="shared" si="33"/>
        <v>0.87241321583756493</v>
      </c>
      <c r="BO22" s="114">
        <f t="shared" si="25"/>
        <v>0</v>
      </c>
      <c r="BP22" s="115">
        <f t="shared" si="34"/>
        <v>1.838458626681884E-3</v>
      </c>
      <c r="BQ22" s="116">
        <f t="shared" si="35"/>
        <v>0</v>
      </c>
      <c r="BR22" s="117">
        <f t="shared" si="36"/>
        <v>0</v>
      </c>
      <c r="BS22" s="118">
        <f t="shared" si="37"/>
        <v>360295.2</v>
      </c>
      <c r="BT22" s="119">
        <f t="shared" si="38"/>
        <v>360295.2</v>
      </c>
      <c r="BU22" s="119">
        <f t="shared" si="39"/>
        <v>360295.2</v>
      </c>
      <c r="BV22" s="119">
        <f t="shared" si="56"/>
        <v>0</v>
      </c>
      <c r="BW22" s="120">
        <f t="shared" si="40"/>
        <v>0</v>
      </c>
      <c r="BX22" s="121">
        <f t="shared" si="41"/>
        <v>0</v>
      </c>
      <c r="BY22" s="122">
        <f t="shared" si="42"/>
        <v>360295.2</v>
      </c>
      <c r="BZ22" s="123">
        <f t="shared" si="58"/>
        <v>4530063277312.7646</v>
      </c>
      <c r="CA22" s="111">
        <f t="shared" si="57"/>
        <v>4530063637608</v>
      </c>
      <c r="CC22" s="124">
        <f t="shared" si="26"/>
        <v>1</v>
      </c>
      <c r="CD22" s="17"/>
      <c r="CE22" s="108">
        <f t="shared" si="44"/>
        <v>1200984</v>
      </c>
      <c r="CF22" s="125">
        <f t="shared" si="45"/>
        <v>3771960.0241202214</v>
      </c>
      <c r="CG22" s="110">
        <f t="shared" si="46"/>
        <v>360295.2</v>
      </c>
      <c r="CH22" s="126">
        <f t="shared" si="47"/>
        <v>4530063277312.7998</v>
      </c>
      <c r="CJ22" s="127">
        <f t="shared" si="48"/>
        <v>0</v>
      </c>
      <c r="CK22" s="128" t="e">
        <f t="shared" si="49"/>
        <v>#DIV/0!</v>
      </c>
      <c r="CL22" s="129" t="e">
        <f t="shared" si="50"/>
        <v>#DIV/0!</v>
      </c>
      <c r="CM22" s="130" t="e">
        <f t="shared" si="51"/>
        <v>#DIV/0!</v>
      </c>
      <c r="CO22" s="131" t="e">
        <f t="shared" si="52"/>
        <v>#DIV/0!</v>
      </c>
      <c r="CP22" s="1">
        <f t="shared" si="53"/>
        <v>0</v>
      </c>
      <c r="CQ22" s="132">
        <f t="shared" si="54"/>
        <v>0.3</v>
      </c>
      <c r="CS22" s="104">
        <f t="shared" si="55"/>
        <v>1.525074165139463E-3</v>
      </c>
    </row>
    <row r="23" spans="1:97">
      <c r="A23" s="133" t="s">
        <v>92</v>
      </c>
      <c r="B23" s="90" t="s">
        <v>97</v>
      </c>
      <c r="C23" s="208">
        <f>'Op Cost-24'!E16</f>
        <v>67079</v>
      </c>
      <c r="D23" s="92">
        <f>'Ridership-24'!$E15</f>
        <v>3001</v>
      </c>
      <c r="E23" s="92">
        <f>'Revenue Hours-24'!$F15</f>
        <v>880</v>
      </c>
      <c r="F23" s="92">
        <f>'Revenue Miles-24'!$F15</f>
        <v>6777</v>
      </c>
      <c r="G23" s="93">
        <f t="shared" si="0"/>
        <v>1.2329065510036772E-4</v>
      </c>
      <c r="H23" s="94">
        <f t="shared" si="1"/>
        <v>1.1639517601736315E-4</v>
      </c>
      <c r="J23" s="95">
        <f>'Ridership-24'!B15/'Revenue Hours-24'!C15</f>
        <v>8.7948148148148153</v>
      </c>
      <c r="K23" s="207">
        <f>'Ridership-24'!C15/'Revenue Hours-24'!J15</f>
        <v>8.9790310918293557</v>
      </c>
      <c r="L23" s="207">
        <f>'Ridership-24'!D15/'Revenue Hours-24'!K15</f>
        <v>1.0119225037257824</v>
      </c>
      <c r="M23" s="207">
        <f>'Ridership-24'!E15/'Revenue Hours-24'!L15</f>
        <v>3.4102272727272727</v>
      </c>
      <c r="N23" s="97">
        <f t="shared" si="2"/>
        <v>1.2867202290035118</v>
      </c>
      <c r="O23" s="98">
        <f t="shared" si="3"/>
        <v>1.4976802753996558E-4</v>
      </c>
      <c r="P23" s="99">
        <f t="shared" si="4"/>
        <v>1.4256491626484798E-4</v>
      </c>
      <c r="Q23" s="95">
        <f>'Ridership-24'!B15/'Revenue Miles-24'!C15</f>
        <v>0.80829191912315335</v>
      </c>
      <c r="R23" s="207">
        <f>'Ridership-24'!C15/'Revenue Miles-24'!J15</f>
        <v>0.71335018382352944</v>
      </c>
      <c r="S23" s="207">
        <f>'Ridership-24'!D15/'Revenue Miles-24'!K15</f>
        <v>0.14279705573080967</v>
      </c>
      <c r="T23" s="207">
        <f>'Ridership-24'!E15/'Revenue Miles-24'!L15</f>
        <v>0.44282130736314002</v>
      </c>
      <c r="U23" s="97">
        <f t="shared" si="5"/>
        <v>1.2471062801138642</v>
      </c>
      <c r="V23" s="98">
        <f t="shared" si="6"/>
        <v>1.4515715498621221E-4</v>
      </c>
      <c r="W23" s="99">
        <f t="shared" si="7"/>
        <v>1.3786639648483831E-4</v>
      </c>
      <c r="X23" s="95">
        <f>'Op Cost-24'!B16/'Revenue Hours-24'!C15</f>
        <v>61.958518518518517</v>
      </c>
      <c r="Y23" s="96">
        <f>'Op Cost-24'!C16/'Revenue Hours-24'!D15</f>
        <v>67.96963123644251</v>
      </c>
      <c r="Z23" s="96">
        <f>'Op Cost-24'!D16/'Revenue Hours-24'!E15</f>
        <v>58.488077496274215</v>
      </c>
      <c r="AA23" s="96">
        <f>'Op Cost-24'!E16/'Revenue Hours-24'!F15</f>
        <v>76.226136363636357</v>
      </c>
      <c r="AB23" s="97">
        <f t="shared" si="8"/>
        <v>1.0272513597950881</v>
      </c>
      <c r="AC23" s="98">
        <f t="shared" si="9"/>
        <v>1.1330739541739928E-4</v>
      </c>
      <c r="AD23" s="99">
        <f t="shared" si="10"/>
        <v>1.1395024016684208E-4</v>
      </c>
      <c r="AE23" s="95">
        <f>'Op Cost-24'!B16/'Revenue Miles-24'!C15</f>
        <v>5.6943290897950849</v>
      </c>
      <c r="AF23" s="96">
        <f>'Op Cost-24'!C16/'Revenue Miles-24'!D15</f>
        <v>5.399931066176471</v>
      </c>
      <c r="AG23" s="96">
        <f>'Op Cost-24'!D16/'Revenue Miles-24'!E15</f>
        <v>8.2535226077812833</v>
      </c>
      <c r="AH23" s="96">
        <f>'Op Cost-24'!E16/'Revenue Miles-24'!F15</f>
        <v>9.8980374797107871</v>
      </c>
      <c r="AI23" s="97">
        <f t="shared" si="11"/>
        <v>1.1318796204022947</v>
      </c>
      <c r="AJ23" s="98">
        <f t="shared" si="12"/>
        <v>1.0283352921929432E-4</v>
      </c>
      <c r="AK23" s="99">
        <f t="shared" si="13"/>
        <v>1.029478154162324E-4</v>
      </c>
      <c r="AL23" s="95">
        <f>'Op Cost-24'!B16/'Ridership-24'!B15</f>
        <v>7.0448917712456831</v>
      </c>
      <c r="AM23" s="96">
        <f>'Op Cost-24'!C16/'Ridership-24'!C15</f>
        <v>7.5698180061201485</v>
      </c>
      <c r="AN23" s="96">
        <f>'Op Cost-24'!D16/'Ridership-24'!D15</f>
        <v>57.798969072164951</v>
      </c>
      <c r="AO23" s="96">
        <f>'Op Cost-24'!E16/'Ridership-24'!E15</f>
        <v>22.352215928023991</v>
      </c>
      <c r="AP23" s="100">
        <f t="shared" si="14"/>
        <v>1.5866490338867194</v>
      </c>
      <c r="AQ23" s="98">
        <f t="shared" si="15"/>
        <v>7.3359119459605267E-5</v>
      </c>
      <c r="AR23" s="99">
        <f t="shared" si="16"/>
        <v>7.7684395352659719E-5</v>
      </c>
      <c r="AT23" s="101">
        <f t="shared" si="27"/>
        <v>0</v>
      </c>
      <c r="AU23" s="102">
        <f t="shared" si="17"/>
        <v>0</v>
      </c>
      <c r="AV23" s="102">
        <f t="shared" si="18"/>
        <v>0</v>
      </c>
      <c r="AW23" s="102">
        <f t="shared" si="19"/>
        <v>0</v>
      </c>
      <c r="AX23" s="103">
        <f t="shared" si="20"/>
        <v>0</v>
      </c>
      <c r="AY23" s="104">
        <f t="shared" si="28"/>
        <v>-1</v>
      </c>
      <c r="AZ23" s="105">
        <f t="shared" si="21"/>
        <v>0</v>
      </c>
      <c r="BA23" s="106">
        <f t="shared" si="21"/>
        <v>0</v>
      </c>
      <c r="BB23" s="106">
        <f t="shared" si="21"/>
        <v>0</v>
      </c>
      <c r="BC23" s="106">
        <f t="shared" si="21"/>
        <v>0</v>
      </c>
      <c r="BD23" s="106">
        <f t="shared" si="21"/>
        <v>0</v>
      </c>
      <c r="BE23" s="107">
        <f t="shared" si="29"/>
        <v>14735.962127443512</v>
      </c>
      <c r="BG23" s="108">
        <f>'Op Cost-24'!E16</f>
        <v>67079</v>
      </c>
      <c r="BH23" s="109">
        <f t="shared" si="22"/>
        <v>0.21968070674046292</v>
      </c>
      <c r="BI23" s="110">
        <f t="shared" si="23"/>
        <v>14735.962127443512</v>
      </c>
      <c r="BJ23" s="111">
        <f t="shared" si="24"/>
        <v>0</v>
      </c>
      <c r="BK23" s="1">
        <f t="shared" si="30"/>
        <v>0.57107403885179187</v>
      </c>
      <c r="BL23" s="112">
        <f t="shared" si="31"/>
        <v>0.39676426130625492</v>
      </c>
      <c r="BM23" s="112">
        <f t="shared" si="32"/>
        <v>0.58630726114106679</v>
      </c>
      <c r="BN23" s="113">
        <f t="shared" si="33"/>
        <v>0.65061231647992301</v>
      </c>
      <c r="BO23" s="114">
        <f t="shared" si="25"/>
        <v>14735.962127443512</v>
      </c>
      <c r="BP23" s="115">
        <f t="shared" si="34"/>
        <v>6.6470263271100794E-5</v>
      </c>
      <c r="BQ23" s="116">
        <f t="shared" si="35"/>
        <v>6.6470263271100794E-5</v>
      </c>
      <c r="BR23" s="117">
        <f t="shared" si="36"/>
        <v>1.0196961733592453E-4</v>
      </c>
      <c r="BS23" s="118">
        <f t="shared" si="37"/>
        <v>16018.046426360363</v>
      </c>
      <c r="BT23" s="119">
        <f t="shared" si="38"/>
        <v>20123.7</v>
      </c>
      <c r="BU23" s="119">
        <f t="shared" si="39"/>
        <v>16018.046426360363</v>
      </c>
      <c r="BV23" s="119">
        <f t="shared" si="56"/>
        <v>0</v>
      </c>
      <c r="BW23" s="120">
        <f t="shared" si="40"/>
        <v>6.6470263271100794E-5</v>
      </c>
      <c r="BX23" s="121">
        <f t="shared" si="41"/>
        <v>1.2598284333480692E-4</v>
      </c>
      <c r="BY23" s="122">
        <f t="shared" si="42"/>
        <v>16218.590451798733</v>
      </c>
      <c r="BZ23" s="123">
        <f t="shared" si="58"/>
        <v>203919566553.95041</v>
      </c>
      <c r="CA23" s="111">
        <f t="shared" si="57"/>
        <v>203919581290</v>
      </c>
      <c r="CC23" s="124">
        <f t="shared" si="26"/>
        <v>1</v>
      </c>
      <c r="CD23" s="17"/>
      <c r="CE23" s="108">
        <f t="shared" si="44"/>
        <v>67079</v>
      </c>
      <c r="CF23" s="125">
        <f t="shared" si="45"/>
        <v>3039991.3727097898</v>
      </c>
      <c r="CG23" s="110">
        <f t="shared" si="46"/>
        <v>20123.7</v>
      </c>
      <c r="CH23" s="126">
        <f t="shared" si="47"/>
        <v>203919561166.29999</v>
      </c>
      <c r="CJ23" s="127">
        <f t="shared" si="48"/>
        <v>0</v>
      </c>
      <c r="CK23" s="128" t="e">
        <f t="shared" si="49"/>
        <v>#DIV/0!</v>
      </c>
      <c r="CL23" s="129" t="e">
        <f t="shared" si="50"/>
        <v>#DIV/0!</v>
      </c>
      <c r="CM23" s="130" t="e">
        <f t="shared" si="51"/>
        <v>#DIV/0!</v>
      </c>
      <c r="CO23" s="131" t="e">
        <f t="shared" si="52"/>
        <v>#DIV/0!</v>
      </c>
      <c r="CP23" s="1">
        <f t="shared" si="53"/>
        <v>0</v>
      </c>
      <c r="CQ23" s="132">
        <f t="shared" si="54"/>
        <v>0.24178342628540575</v>
      </c>
      <c r="CS23" s="104">
        <f t="shared" si="55"/>
        <v>5.5139713123560645E-5</v>
      </c>
    </row>
    <row r="24" spans="1:97">
      <c r="A24" s="133" t="s">
        <v>92</v>
      </c>
      <c r="B24" s="90" t="s">
        <v>98</v>
      </c>
      <c r="C24" s="208">
        <f>'Op Cost-24'!E17</f>
        <v>7464284</v>
      </c>
      <c r="D24" s="92">
        <f>'Ridership-24'!$E16</f>
        <v>1544283</v>
      </c>
      <c r="E24" s="92">
        <f>'Revenue Hours-24'!$F16</f>
        <v>79332</v>
      </c>
      <c r="F24" s="92">
        <f>'Revenue Miles-24'!$F16</f>
        <v>1099092</v>
      </c>
      <c r="G24" s="134">
        <f t="shared" si="0"/>
        <v>2.4848865936477633E-2</v>
      </c>
      <c r="H24" s="94">
        <f t="shared" si="1"/>
        <v>2.3459102574754236E-2</v>
      </c>
      <c r="J24" s="95">
        <f>'Ridership-24'!B16/'Revenue Hours-24'!C16</f>
        <v>23.927803085810158</v>
      </c>
      <c r="K24" s="207">
        <f>'Ridership-24'!C16/'Revenue Hours-24'!J16</f>
        <v>23.310953988801508</v>
      </c>
      <c r="L24" s="207">
        <f>'Ridership-24'!D16/'Revenue Hours-24'!K16</f>
        <v>14.316342020333447</v>
      </c>
      <c r="M24" s="207">
        <f>'Ridership-24'!E16/'Revenue Hours-24'!L16</f>
        <v>19.466079261836335</v>
      </c>
      <c r="N24" s="97">
        <f t="shared" si="2"/>
        <v>1.076344980447</v>
      </c>
      <c r="O24" s="98">
        <f t="shared" si="3"/>
        <v>2.5250087302128014E-2</v>
      </c>
      <c r="P24" s="99">
        <f t="shared" si="4"/>
        <v>2.4035681320216235E-2</v>
      </c>
      <c r="Q24" s="95">
        <f>'Ridership-24'!B16/'Revenue Miles-24'!C16</f>
        <v>1.6630463742338306</v>
      </c>
      <c r="R24" s="207">
        <f>'Ridership-24'!C16/'Revenue Miles-24'!J16</f>
        <v>1.6285925776934442</v>
      </c>
      <c r="S24" s="207">
        <f>'Ridership-24'!D16/'Revenue Miles-24'!K16</f>
        <v>1.0462325686324412</v>
      </c>
      <c r="T24" s="207">
        <f>'Ridership-24'!E16/'Revenue Miles-24'!L16</f>
        <v>1.4050534441156883</v>
      </c>
      <c r="U24" s="97">
        <f t="shared" si="5"/>
        <v>1.0964259555786009</v>
      </c>
      <c r="V24" s="98">
        <f t="shared" si="6"/>
        <v>2.572116895754133E-2</v>
      </c>
      <c r="W24" s="99">
        <f t="shared" si="7"/>
        <v>2.4429280650276823E-2</v>
      </c>
      <c r="X24" s="95">
        <f>'Op Cost-24'!B17/'Revenue Hours-24'!C16</f>
        <v>80.153154301126648</v>
      </c>
      <c r="Y24" s="96">
        <f>'Op Cost-24'!C17/'Revenue Hours-24'!D16</f>
        <v>79.983720905617247</v>
      </c>
      <c r="Z24" s="96">
        <f>'Op Cost-24'!D17/'Revenue Hours-24'!E16</f>
        <v>90.654407919074401</v>
      </c>
      <c r="AA24" s="96">
        <f>'Op Cost-24'!E17/'Revenue Hours-24'!F16</f>
        <v>94.089194776382797</v>
      </c>
      <c r="AB24" s="97">
        <f t="shared" si="8"/>
        <v>0.98105796356384378</v>
      </c>
      <c r="AC24" s="98">
        <f t="shared" si="9"/>
        <v>2.391204541017683E-2</v>
      </c>
      <c r="AD24" s="99">
        <f t="shared" si="10"/>
        <v>2.4047709395601115E-2</v>
      </c>
      <c r="AE24" s="95">
        <f>'Op Cost-24'!B17/'Revenue Miles-24'!C16</f>
        <v>5.5708588108092147</v>
      </c>
      <c r="AF24" s="96">
        <f>'Op Cost-24'!C17/'Revenue Miles-24'!D16</f>
        <v>5.5879692553882192</v>
      </c>
      <c r="AG24" s="96">
        <f>'Op Cost-24'!D17/'Revenue Miles-24'!E16</f>
        <v>6.6249879976545323</v>
      </c>
      <c r="AH24" s="96">
        <f>'Op Cost-24'!E17/'Revenue Miles-24'!F16</f>
        <v>6.7913186521237527</v>
      </c>
      <c r="AI24" s="97">
        <f t="shared" si="11"/>
        <v>0.99833996202258612</v>
      </c>
      <c r="AJ24" s="98">
        <f t="shared" si="12"/>
        <v>2.3498110330299995E-2</v>
      </c>
      <c r="AK24" s="99">
        <f t="shared" si="13"/>
        <v>2.3524225447473058E-2</v>
      </c>
      <c r="AL24" s="95">
        <f>'Op Cost-24'!B17/'Ridership-24'!B16</f>
        <v>3.3497916216411721</v>
      </c>
      <c r="AM24" s="96">
        <f>'Op Cost-24'!C17/'Ridership-24'!C16</f>
        <v>3.4311646337614974</v>
      </c>
      <c r="AN24" s="96">
        <f>'Op Cost-24'!D17/'Ridership-24'!D16</f>
        <v>6.3322326185221254</v>
      </c>
      <c r="AO24" s="96">
        <f>'Op Cost-24'!E17/'Ridership-24'!E16</f>
        <v>4.833494896984555</v>
      </c>
      <c r="AP24" s="97">
        <f t="shared" si="14"/>
        <v>0.9196236726899828</v>
      </c>
      <c r="AQ24" s="98">
        <f t="shared" si="15"/>
        <v>2.5509459218393357E-2</v>
      </c>
      <c r="AR24" s="99">
        <f t="shared" si="16"/>
        <v>2.7013504656983007E-2</v>
      </c>
      <c r="AT24" s="101">
        <f t="shared" si="27"/>
        <v>0</v>
      </c>
      <c r="AU24" s="102">
        <f t="shared" si="17"/>
        <v>0</v>
      </c>
      <c r="AV24" s="102">
        <f t="shared" si="18"/>
        <v>0</v>
      </c>
      <c r="AW24" s="102">
        <f t="shared" si="19"/>
        <v>0</v>
      </c>
      <c r="AX24" s="103">
        <f t="shared" si="20"/>
        <v>0</v>
      </c>
      <c r="AY24" s="104">
        <f t="shared" si="28"/>
        <v>-1</v>
      </c>
      <c r="AZ24" s="105">
        <f t="shared" si="21"/>
        <v>0</v>
      </c>
      <c r="BA24" s="106">
        <f t="shared" si="21"/>
        <v>0</v>
      </c>
      <c r="BB24" s="106">
        <f t="shared" si="21"/>
        <v>0</v>
      </c>
      <c r="BC24" s="106">
        <f t="shared" si="21"/>
        <v>0</v>
      </c>
      <c r="BD24" s="106">
        <f t="shared" si="21"/>
        <v>0</v>
      </c>
      <c r="BE24" s="107">
        <f t="shared" si="29"/>
        <v>2969989.4696136089</v>
      </c>
      <c r="BG24" s="108">
        <f>'Op Cost-24'!E17</f>
        <v>7464284</v>
      </c>
      <c r="BH24" s="109">
        <f t="shared" si="22"/>
        <v>0.3978934174548569</v>
      </c>
      <c r="BI24" s="110">
        <f t="shared" si="23"/>
        <v>2239285.1999999997</v>
      </c>
      <c r="BJ24" s="111">
        <f t="shared" si="24"/>
        <v>730704.26961360918</v>
      </c>
      <c r="BK24" s="1">
        <f t="shared" si="30"/>
        <v>2.3395359634942765</v>
      </c>
      <c r="BL24" s="112">
        <f t="shared" si="31"/>
        <v>1.9858584169295506</v>
      </c>
      <c r="BM24" s="112">
        <f t="shared" si="32"/>
        <v>2.0376163795760163</v>
      </c>
      <c r="BN24" s="113">
        <f t="shared" si="33"/>
        <v>2.6673345287357697</v>
      </c>
      <c r="BO24" s="114">
        <f t="shared" si="25"/>
        <v>0</v>
      </c>
      <c r="BP24" s="115">
        <f t="shared" si="34"/>
        <v>5.4883414144938712E-2</v>
      </c>
      <c r="BQ24" s="116">
        <f t="shared" si="35"/>
        <v>0</v>
      </c>
      <c r="BR24" s="117">
        <f t="shared" si="36"/>
        <v>0</v>
      </c>
      <c r="BS24" s="118">
        <f t="shared" si="37"/>
        <v>2239285.1999999997</v>
      </c>
      <c r="BT24" s="119">
        <f t="shared" si="38"/>
        <v>2239285.1999999997</v>
      </c>
      <c r="BU24" s="119">
        <f t="shared" si="39"/>
        <v>2239285.1999999997</v>
      </c>
      <c r="BV24" s="119">
        <f t="shared" si="56"/>
        <v>0</v>
      </c>
      <c r="BW24" s="120">
        <f t="shared" si="40"/>
        <v>0</v>
      </c>
      <c r="BX24" s="121">
        <f t="shared" si="41"/>
        <v>0</v>
      </c>
      <c r="BY24" s="122">
        <f t="shared" si="42"/>
        <v>2239285.1999999997</v>
      </c>
      <c r="BZ24" s="123">
        <f t="shared" si="58"/>
        <v>28154978617394.758</v>
      </c>
      <c r="CA24" s="111">
        <f t="shared" si="57"/>
        <v>28154980856680</v>
      </c>
      <c r="CC24" s="124">
        <f t="shared" si="26"/>
        <v>1</v>
      </c>
      <c r="CD24" s="17"/>
      <c r="CE24" s="108">
        <f t="shared" si="44"/>
        <v>7464284</v>
      </c>
      <c r="CF24" s="125">
        <f t="shared" si="45"/>
        <v>3771960.0241201967</v>
      </c>
      <c r="CG24" s="110">
        <f t="shared" si="46"/>
        <v>2239285.1999999997</v>
      </c>
      <c r="CH24" s="126">
        <f t="shared" si="47"/>
        <v>28154978617394.801</v>
      </c>
      <c r="CJ24" s="127">
        <f t="shared" si="48"/>
        <v>0</v>
      </c>
      <c r="CK24" s="128" t="e">
        <f t="shared" si="49"/>
        <v>#DIV/0!</v>
      </c>
      <c r="CL24" s="129" t="e">
        <f t="shared" si="50"/>
        <v>#DIV/0!</v>
      </c>
      <c r="CM24" s="130" t="e">
        <f t="shared" si="51"/>
        <v>#DIV/0!</v>
      </c>
      <c r="CO24" s="131" t="e">
        <f t="shared" si="52"/>
        <v>#DIV/0!</v>
      </c>
      <c r="CP24" s="1">
        <f t="shared" si="53"/>
        <v>0</v>
      </c>
      <c r="CQ24" s="132">
        <f t="shared" si="54"/>
        <v>0.3</v>
      </c>
      <c r="CS24" s="104">
        <f t="shared" si="55"/>
        <v>4.5527963366879171E-2</v>
      </c>
    </row>
    <row r="25" spans="1:97">
      <c r="A25" s="133" t="s">
        <v>99</v>
      </c>
      <c r="B25" s="90" t="s">
        <v>100</v>
      </c>
      <c r="C25" s="208">
        <f>'Op Cost-24'!E18</f>
        <v>3169013</v>
      </c>
      <c r="D25" s="92">
        <f>'Ridership-24'!$E17</f>
        <v>228559</v>
      </c>
      <c r="E25" s="92">
        <f>'Revenue Hours-24'!$F17</f>
        <v>35273</v>
      </c>
      <c r="F25" s="92">
        <f>'Revenue Miles-24'!$F17</f>
        <v>531990</v>
      </c>
      <c r="G25" s="93">
        <f t="shared" si="0"/>
        <v>6.9064475017984036E-3</v>
      </c>
      <c r="H25" s="94">
        <f t="shared" si="1"/>
        <v>6.5201792623462628E-3</v>
      </c>
      <c r="J25" s="95">
        <f>'Ridership-24'!B17/'Revenue Hours-24'!C17</f>
        <v>8.9080882352941178</v>
      </c>
      <c r="K25" s="207">
        <f>'Ridership-24'!C17/'Revenue Hours-24'!J17</f>
        <v>8.8925454444382677</v>
      </c>
      <c r="L25" s="207">
        <f>'Ridership-24'!D17/'Revenue Hours-24'!K17</f>
        <v>5.7639186016175321</v>
      </c>
      <c r="M25" s="207">
        <f>'Ridership-24'!E17/'Revenue Hours-24'!L17</f>
        <v>6.4797153630255435</v>
      </c>
      <c r="N25" s="97">
        <f t="shared" si="2"/>
        <v>1.0455356770573143</v>
      </c>
      <c r="O25" s="98">
        <f t="shared" si="3"/>
        <v>6.8170800395922606E-3</v>
      </c>
      <c r="P25" s="99">
        <f t="shared" si="4"/>
        <v>6.4892117562000478E-3</v>
      </c>
      <c r="Q25" s="95">
        <f>'Ridership-24'!B17/'Revenue Miles-24'!C17</f>
        <v>0.57308420056764431</v>
      </c>
      <c r="R25" s="207">
        <f>'Ridership-24'!C17/'Revenue Miles-24'!J17</f>
        <v>0.59288580032429927</v>
      </c>
      <c r="S25" s="207">
        <f>'Ridership-24'!D17/'Revenue Miles-24'!K17</f>
        <v>0.39323250859241093</v>
      </c>
      <c r="T25" s="207">
        <f>'Ridership-24'!E17/'Revenue Miles-24'!L17</f>
        <v>0.42963025620782347</v>
      </c>
      <c r="U25" s="97">
        <f t="shared" si="5"/>
        <v>1.0619919413280272</v>
      </c>
      <c r="V25" s="98">
        <f t="shared" si="6"/>
        <v>6.9243778326258517E-3</v>
      </c>
      <c r="W25" s="99">
        <f t="shared" si="7"/>
        <v>6.5765894886428275E-3</v>
      </c>
      <c r="X25" s="95">
        <f>'Op Cost-24'!B18/'Revenue Hours-24'!C17</f>
        <v>71.858939628482972</v>
      </c>
      <c r="Y25" s="96">
        <f>'Op Cost-24'!C18/'Revenue Hours-24'!D17</f>
        <v>81.611429206737455</v>
      </c>
      <c r="Z25" s="96">
        <f>'Op Cost-24'!D18/'Revenue Hours-24'!E17</f>
        <v>72.997808505087406</v>
      </c>
      <c r="AA25" s="96">
        <f>'Op Cost-24'!E18/'Revenue Hours-24'!F17</f>
        <v>89.842457403679873</v>
      </c>
      <c r="AB25" s="97">
        <f t="shared" si="8"/>
        <v>1.0250571937013797</v>
      </c>
      <c r="AC25" s="98">
        <f t="shared" si="9"/>
        <v>6.360795575515687E-3</v>
      </c>
      <c r="AD25" s="99">
        <f t="shared" si="10"/>
        <v>6.3968832820853793E-3</v>
      </c>
      <c r="AE25" s="95">
        <f>'Op Cost-24'!B18/'Revenue Miles-24'!C17</f>
        <v>4.6229024548125279</v>
      </c>
      <c r="AF25" s="96">
        <f>'Op Cost-24'!C18/'Revenue Miles-24'!D17</f>
        <v>5.4412156590224692</v>
      </c>
      <c r="AG25" s="96">
        <f>'Op Cost-24'!D18/'Revenue Miles-24'!E17</f>
        <v>4.9801382261276927</v>
      </c>
      <c r="AH25" s="96">
        <f>'Op Cost-24'!E18/'Revenue Miles-24'!F17</f>
        <v>5.9569033252504751</v>
      </c>
      <c r="AI25" s="97">
        <f t="shared" si="11"/>
        <v>1.0411556949490044</v>
      </c>
      <c r="AJ25" s="98">
        <f t="shared" si="12"/>
        <v>6.2624440263620894E-3</v>
      </c>
      <c r="AK25" s="99">
        <f t="shared" si="13"/>
        <v>6.2694039247215456E-3</v>
      </c>
      <c r="AL25" s="95">
        <f>'Op Cost-24'!B18/'Ridership-24'!B17</f>
        <v>8.0667072137628431</v>
      </c>
      <c r="AM25" s="96">
        <f>'Op Cost-24'!C18/'Ridership-24'!C17</f>
        <v>9.1775105021004197</v>
      </c>
      <c r="AN25" s="96">
        <f>'Op Cost-24'!D18/'Ridership-24'!D17</f>
        <v>12.664614743969837</v>
      </c>
      <c r="AO25" s="96">
        <f>'Op Cost-24'!E18/'Ridership-24'!E17</f>
        <v>13.865185794477576</v>
      </c>
      <c r="AP25" s="100">
        <f t="shared" si="14"/>
        <v>1.033331970083422</v>
      </c>
      <c r="AQ25" s="98">
        <f t="shared" si="15"/>
        <v>6.3098592234786671E-3</v>
      </c>
      <c r="AR25" s="99">
        <f t="shared" si="16"/>
        <v>6.6818904336257258E-3</v>
      </c>
      <c r="AT25" s="101">
        <f t="shared" si="27"/>
        <v>0</v>
      </c>
      <c r="AU25" s="102">
        <f t="shared" si="17"/>
        <v>0</v>
      </c>
      <c r="AV25" s="102">
        <f t="shared" si="18"/>
        <v>0</v>
      </c>
      <c r="AW25" s="102">
        <f t="shared" si="19"/>
        <v>0</v>
      </c>
      <c r="AX25" s="103">
        <f t="shared" si="20"/>
        <v>0</v>
      </c>
      <c r="AY25" s="104">
        <f t="shared" si="28"/>
        <v>-1</v>
      </c>
      <c r="AZ25" s="105">
        <f t="shared" si="21"/>
        <v>0</v>
      </c>
      <c r="BA25" s="106">
        <f t="shared" si="21"/>
        <v>0</v>
      </c>
      <c r="BB25" s="106">
        <f t="shared" si="21"/>
        <v>0</v>
      </c>
      <c r="BC25" s="106">
        <f t="shared" si="21"/>
        <v>0</v>
      </c>
      <c r="BD25" s="106">
        <f t="shared" si="21"/>
        <v>0</v>
      </c>
      <c r="BE25" s="107">
        <f t="shared" si="29"/>
        <v>825473.33971765544</v>
      </c>
      <c r="BG25" s="108">
        <f>'Op Cost-24'!E18</f>
        <v>3169013</v>
      </c>
      <c r="BH25" s="109">
        <f t="shared" si="22"/>
        <v>0.26048278745390296</v>
      </c>
      <c r="BI25" s="110">
        <f t="shared" si="23"/>
        <v>825473.33971765544</v>
      </c>
      <c r="BJ25" s="111">
        <f t="shared" si="24"/>
        <v>0</v>
      </c>
      <c r="BK25" s="1">
        <f t="shared" si="30"/>
        <v>0.90724668721498769</v>
      </c>
      <c r="BL25" s="112">
        <f t="shared" si="31"/>
        <v>0.73684725072115043</v>
      </c>
      <c r="BM25" s="112">
        <f t="shared" si="32"/>
        <v>0.70611288698750263</v>
      </c>
      <c r="BN25" s="113">
        <f t="shared" si="33"/>
        <v>1.0930133055756488</v>
      </c>
      <c r="BO25" s="114">
        <f t="shared" si="25"/>
        <v>825473.33971765544</v>
      </c>
      <c r="BP25" s="115">
        <f t="shared" si="34"/>
        <v>5.9154110358115089E-3</v>
      </c>
      <c r="BQ25" s="116">
        <f t="shared" si="35"/>
        <v>5.9154110358115089E-3</v>
      </c>
      <c r="BR25" s="117">
        <f t="shared" si="36"/>
        <v>9.0746172803057596E-3</v>
      </c>
      <c r="BS25" s="118">
        <f t="shared" si="37"/>
        <v>939570.30936138355</v>
      </c>
      <c r="BT25" s="119">
        <f t="shared" si="38"/>
        <v>950703.89999999991</v>
      </c>
      <c r="BU25" s="119">
        <f t="shared" si="39"/>
        <v>939570.30936138355</v>
      </c>
      <c r="BV25" s="119">
        <f>BS25-BU25</f>
        <v>0</v>
      </c>
      <c r="BW25" s="120">
        <f t="shared" si="40"/>
        <v>5.9154110358115089E-3</v>
      </c>
      <c r="BX25" s="121">
        <f t="shared" si="41"/>
        <v>1.1211634573284994E-2</v>
      </c>
      <c r="BY25" s="122">
        <f t="shared" si="42"/>
        <v>957417.39289715711</v>
      </c>
      <c r="BZ25" s="123">
        <f t="shared" si="58"/>
        <v>12037799483934.113</v>
      </c>
      <c r="CA25" s="111">
        <f t="shared" si="57"/>
        <v>12037800309408</v>
      </c>
      <c r="CC25" s="124">
        <f t="shared" si="26"/>
        <v>1</v>
      </c>
      <c r="CD25" s="17"/>
      <c r="CE25" s="108">
        <f t="shared" si="44"/>
        <v>3169013</v>
      </c>
      <c r="CF25" s="125">
        <f t="shared" si="45"/>
        <v>3798596.0642660665</v>
      </c>
      <c r="CG25" s="110">
        <f t="shared" si="46"/>
        <v>950703.89999999991</v>
      </c>
      <c r="CH25" s="126">
        <f t="shared" si="47"/>
        <v>12037799358704.1</v>
      </c>
      <c r="CJ25" s="127">
        <f t="shared" si="48"/>
        <v>0</v>
      </c>
      <c r="CK25" s="128" t="e">
        <f t="shared" si="49"/>
        <v>#DIV/0!</v>
      </c>
      <c r="CL25" s="129" t="e">
        <f t="shared" si="50"/>
        <v>#DIV/0!</v>
      </c>
      <c r="CM25" s="130" t="e">
        <f t="shared" si="51"/>
        <v>#DIV/0!</v>
      </c>
      <c r="CO25" s="131" t="e">
        <f t="shared" si="52"/>
        <v>#DIV/0!</v>
      </c>
      <c r="CP25" s="1">
        <f t="shared" si="53"/>
        <v>1</v>
      </c>
      <c r="CQ25" s="132">
        <f t="shared" si="54"/>
        <v>0.30211848070587188</v>
      </c>
      <c r="CS25" s="104">
        <f t="shared" si="55"/>
        <v>4.9070674835795585E-3</v>
      </c>
    </row>
    <row r="26" spans="1:97">
      <c r="A26" s="133" t="s">
        <v>99</v>
      </c>
      <c r="B26" s="90" t="s">
        <v>101</v>
      </c>
      <c r="C26" s="208">
        <f>'Op Cost-24'!E19</f>
        <v>605988</v>
      </c>
      <c r="D26" s="92">
        <f>'Ridership-24'!$E18</f>
        <v>77681</v>
      </c>
      <c r="E26" s="92">
        <f>'Revenue Hours-24'!$F18</f>
        <v>11837</v>
      </c>
      <c r="F26" s="92">
        <f>'Revenue Miles-24'!$F18</f>
        <v>174059</v>
      </c>
      <c r="G26" s="93">
        <f t="shared" si="0"/>
        <v>1.9791744224356834E-3</v>
      </c>
      <c r="H26" s="94">
        <f t="shared" si="1"/>
        <v>1.8684818819474124E-3</v>
      </c>
      <c r="J26" s="95">
        <f>'Ridership-24'!B18/'Revenue Hours-24'!C18</f>
        <v>10.856297723051524</v>
      </c>
      <c r="K26" s="207">
        <f>'Ridership-24'!C18/'Revenue Hours-24'!J18</f>
        <v>12.121389319430746</v>
      </c>
      <c r="L26" s="207">
        <f>'Ridership-24'!D18/'Revenue Hours-24'!K18</f>
        <v>6.5520235467255334</v>
      </c>
      <c r="M26" s="207">
        <f>'Ridership-24'!E18/'Revenue Hours-24'!L18</f>
        <v>6.5625580805947452</v>
      </c>
      <c r="N26" s="97">
        <f t="shared" si="2"/>
        <v>0.98357091089663873</v>
      </c>
      <c r="O26" s="98">
        <f t="shared" si="3"/>
        <v>1.8377844266208821E-3</v>
      </c>
      <c r="P26" s="99">
        <f t="shared" si="4"/>
        <v>1.7493959638623944E-3</v>
      </c>
      <c r="Q26" s="95">
        <f>'Ridership-24'!B18/'Revenue Miles-24'!C18</f>
        <v>0.71788643403976582</v>
      </c>
      <c r="R26" s="207">
        <f>'Ridership-24'!C18/'Revenue Miles-24'!J18</f>
        <v>0.79351997048242784</v>
      </c>
      <c r="S26" s="207">
        <f>'Ridership-24'!D18/'Revenue Miles-24'!K18</f>
        <v>0.47317713453679738</v>
      </c>
      <c r="T26" s="207">
        <f>'Ridership-24'!E18/'Revenue Miles-24'!L18</f>
        <v>0.44629120011030743</v>
      </c>
      <c r="U26" s="97">
        <f t="shared" si="5"/>
        <v>1.0034455573175893</v>
      </c>
      <c r="V26" s="98">
        <f t="shared" si="6"/>
        <v>1.8749198433685393E-3</v>
      </c>
      <c r="W26" s="99">
        <f t="shared" si="7"/>
        <v>1.7807488892138356E-3</v>
      </c>
      <c r="X26" s="95">
        <f>'Op Cost-24'!B19/'Revenue Hours-24'!C18</f>
        <v>48.505056063837102</v>
      </c>
      <c r="Y26" s="96">
        <f>'Op Cost-24'!C19/'Revenue Hours-24'!D18</f>
        <v>47.958362688459914</v>
      </c>
      <c r="Z26" s="96">
        <f>'Op Cost-24'!D19/'Revenue Hours-24'!E18</f>
        <v>45.519278881530539</v>
      </c>
      <c r="AA26" s="96">
        <f>'Op Cost-24'!E19/'Revenue Hours-24'!F18</f>
        <v>51.194390470558417</v>
      </c>
      <c r="AB26" s="97">
        <f t="shared" si="8"/>
        <v>0.956622704001726</v>
      </c>
      <c r="AC26" s="98">
        <f t="shared" si="9"/>
        <v>1.9532067074419356E-3</v>
      </c>
      <c r="AD26" s="99">
        <f t="shared" si="10"/>
        <v>1.9642881436697309E-3</v>
      </c>
      <c r="AE26" s="95">
        <f>'Op Cost-24'!B19/'Revenue Miles-24'!C18</f>
        <v>3.2074582531602962</v>
      </c>
      <c r="AF26" s="96">
        <f>'Op Cost-24'!C19/'Revenue Miles-24'!D18</f>
        <v>3.1395673830827415</v>
      </c>
      <c r="AG26" s="96">
        <f>'Op Cost-24'!D19/'Revenue Miles-24'!E18</f>
        <v>3.2873328054671349</v>
      </c>
      <c r="AH26" s="96">
        <f>'Op Cost-24'!E19/'Revenue Miles-24'!F18</f>
        <v>3.4815091434513583</v>
      </c>
      <c r="AI26" s="97">
        <f t="shared" si="11"/>
        <v>0.96467791237883294</v>
      </c>
      <c r="AJ26" s="98">
        <f t="shared" si="12"/>
        <v>1.9368971321628561E-3</v>
      </c>
      <c r="AK26" s="99">
        <f t="shared" si="13"/>
        <v>1.9390497433663782E-3</v>
      </c>
      <c r="AL26" s="95">
        <f>'Op Cost-24'!B19/'Ridership-24'!B18</f>
        <v>4.4679187418418689</v>
      </c>
      <c r="AM26" s="96">
        <f>'Op Cost-24'!C19/'Ridership-24'!C18</f>
        <v>3.95650708220237</v>
      </c>
      <c r="AN26" s="96">
        <f>'Op Cost-24'!D19/'Ridership-24'!D18</f>
        <v>6.9473619190943596</v>
      </c>
      <c r="AO26" s="96">
        <f>'Op Cost-24'!E19/'Ridership-24'!E18</f>
        <v>7.8009809348489334</v>
      </c>
      <c r="AP26" s="100">
        <f t="shared" si="14"/>
        <v>1.0159518574690711</v>
      </c>
      <c r="AQ26" s="98">
        <f t="shared" si="15"/>
        <v>1.839144117125939E-3</v>
      </c>
      <c r="AR26" s="99">
        <f t="shared" si="16"/>
        <v>1.9475806110786508E-3</v>
      </c>
      <c r="AT26" s="101">
        <f t="shared" si="27"/>
        <v>0</v>
      </c>
      <c r="AU26" s="102">
        <f t="shared" si="17"/>
        <v>0</v>
      </c>
      <c r="AV26" s="102">
        <f t="shared" si="18"/>
        <v>0</v>
      </c>
      <c r="AW26" s="102">
        <f t="shared" si="19"/>
        <v>0</v>
      </c>
      <c r="AX26" s="103">
        <f t="shared" si="20"/>
        <v>0</v>
      </c>
      <c r="AY26" s="104">
        <f t="shared" si="28"/>
        <v>-1</v>
      </c>
      <c r="AZ26" s="105">
        <f t="shared" si="21"/>
        <v>0</v>
      </c>
      <c r="BA26" s="106">
        <f t="shared" si="21"/>
        <v>0</v>
      </c>
      <c r="BB26" s="106">
        <f t="shared" si="21"/>
        <v>0</v>
      </c>
      <c r="BC26" s="106">
        <f t="shared" si="21"/>
        <v>0</v>
      </c>
      <c r="BD26" s="106">
        <f t="shared" si="21"/>
        <v>0</v>
      </c>
      <c r="BE26" s="107">
        <f t="shared" si="29"/>
        <v>236555.14936533201</v>
      </c>
      <c r="BG26" s="108">
        <f>'Op Cost-24'!E19</f>
        <v>605988</v>
      </c>
      <c r="BH26" s="109">
        <f t="shared" si="22"/>
        <v>0.39036276191167485</v>
      </c>
      <c r="BI26" s="110">
        <f t="shared" si="23"/>
        <v>181796.4</v>
      </c>
      <c r="BJ26" s="111">
        <f t="shared" si="24"/>
        <v>54758.749365332013</v>
      </c>
      <c r="BK26" s="1">
        <f t="shared" si="30"/>
        <v>1.4816141075309821</v>
      </c>
      <c r="BL26" s="112">
        <f t="shared" si="31"/>
        <v>0.85730147260113043</v>
      </c>
      <c r="BM26" s="112">
        <f t="shared" si="32"/>
        <v>0.8399023483973781</v>
      </c>
      <c r="BN26" s="113">
        <f t="shared" si="33"/>
        <v>2.1146263045627101</v>
      </c>
      <c r="BO26" s="114">
        <f t="shared" si="25"/>
        <v>0</v>
      </c>
      <c r="BP26" s="115">
        <f t="shared" si="34"/>
        <v>2.7683691159593252E-3</v>
      </c>
      <c r="BQ26" s="116">
        <f t="shared" si="35"/>
        <v>0</v>
      </c>
      <c r="BR26" s="117">
        <f t="shared" si="36"/>
        <v>0</v>
      </c>
      <c r="BS26" s="118">
        <f t="shared" si="37"/>
        <v>181796.4</v>
      </c>
      <c r="BT26" s="119">
        <f t="shared" si="38"/>
        <v>181796.4</v>
      </c>
      <c r="BU26" s="119">
        <f t="shared" si="39"/>
        <v>181796.4</v>
      </c>
      <c r="BV26" s="119">
        <f t="shared" si="56"/>
        <v>0</v>
      </c>
      <c r="BW26" s="120">
        <f t="shared" si="40"/>
        <v>0</v>
      </c>
      <c r="BX26" s="121">
        <f t="shared" si="41"/>
        <v>0</v>
      </c>
      <c r="BY26" s="122">
        <f t="shared" si="42"/>
        <v>181796.4</v>
      </c>
      <c r="BZ26" s="123">
        <f t="shared" si="58"/>
        <v>2285762329300.1465</v>
      </c>
      <c r="CA26" s="111">
        <f t="shared" si="57"/>
        <v>2285762511097</v>
      </c>
      <c r="CC26" s="124">
        <f t="shared" si="26"/>
        <v>1</v>
      </c>
      <c r="CD26" s="17"/>
      <c r="CE26" s="108">
        <f t="shared" si="44"/>
        <v>605988</v>
      </c>
      <c r="CF26" s="125">
        <f t="shared" si="45"/>
        <v>3771960.0241209399</v>
      </c>
      <c r="CG26" s="110">
        <f t="shared" si="46"/>
        <v>181796.4</v>
      </c>
      <c r="CH26" s="126">
        <f t="shared" si="47"/>
        <v>2285762329300.6001</v>
      </c>
      <c r="CJ26" s="127">
        <f t="shared" si="48"/>
        <v>0</v>
      </c>
      <c r="CK26" s="128" t="e">
        <f t="shared" si="49"/>
        <v>#DIV/0!</v>
      </c>
      <c r="CL26" s="129" t="e">
        <f t="shared" si="50"/>
        <v>#DIV/0!</v>
      </c>
      <c r="CM26" s="130" t="e">
        <f t="shared" si="51"/>
        <v>#DIV/0!</v>
      </c>
      <c r="CO26" s="131" t="e">
        <f t="shared" si="52"/>
        <v>#DIV/0!</v>
      </c>
      <c r="CP26" s="1">
        <f t="shared" si="53"/>
        <v>0</v>
      </c>
      <c r="CQ26" s="132">
        <f t="shared" si="54"/>
        <v>0.3</v>
      </c>
      <c r="CS26" s="104">
        <f t="shared" si="55"/>
        <v>2.2964717057242135E-3</v>
      </c>
    </row>
    <row r="27" spans="1:97">
      <c r="A27" s="133" t="s">
        <v>99</v>
      </c>
      <c r="B27" s="90" t="s">
        <v>102</v>
      </c>
      <c r="C27" s="208">
        <f>'Op Cost-24'!E20</f>
        <v>7696112</v>
      </c>
      <c r="D27" s="92">
        <f>'Ridership-24'!$E19</f>
        <v>445943</v>
      </c>
      <c r="E27" s="92">
        <f>'Revenue Hours-24'!$F19</f>
        <v>74332</v>
      </c>
      <c r="F27" s="92">
        <f>'Revenue Miles-24'!$F19</f>
        <v>1073547</v>
      </c>
      <c r="G27" s="93">
        <f t="shared" si="0"/>
        <v>1.4864782308569458E-2</v>
      </c>
      <c r="H27" s="94">
        <f t="shared" si="1"/>
        <v>1.4033415199693972E-2</v>
      </c>
      <c r="J27" s="95">
        <f>'Ridership-24'!B19/'Revenue Hours-24'!C19</f>
        <v>22.056571921738222</v>
      </c>
      <c r="K27" s="207">
        <f>'Ridership-24'!C19/'Revenue Hours-24'!J19</f>
        <v>21.272344057919085</v>
      </c>
      <c r="L27" s="207">
        <f>'Ridership-24'!D19/'Revenue Hours-24'!K19</f>
        <v>6.2106387495687709</v>
      </c>
      <c r="M27" s="207">
        <f>'Ridership-24'!E19/'Revenue Hours-24'!L19</f>
        <v>5.9993407953505891</v>
      </c>
      <c r="N27" s="97">
        <f t="shared" si="2"/>
        <v>0.76216084942828932</v>
      </c>
      <c r="O27" s="98">
        <f t="shared" si="3"/>
        <v>1.0695719648978624E-2</v>
      </c>
      <c r="P27" s="99">
        <f t="shared" si="4"/>
        <v>1.0181307727659196E-2</v>
      </c>
      <c r="Q27" s="95">
        <f>'Ridership-24'!B19/'Revenue Miles-24'!C19</f>
        <v>1.8438212046014921</v>
      </c>
      <c r="R27" s="207">
        <f>'Ridership-24'!C19/'Revenue Miles-24'!J19</f>
        <v>1.6130997617774709</v>
      </c>
      <c r="S27" s="207">
        <f>'Ridership-24'!D19/'Revenue Miles-24'!K19</f>
        <v>0.43710720015539234</v>
      </c>
      <c r="T27" s="207">
        <f>'Ridership-24'!E19/'Revenue Miles-24'!L19</f>
        <v>0.41539215330115964</v>
      </c>
      <c r="U27" s="97">
        <f t="shared" si="5"/>
        <v>0.71974151668977804</v>
      </c>
      <c r="V27" s="98">
        <f t="shared" si="6"/>
        <v>1.0100431540165124E-2</v>
      </c>
      <c r="W27" s="99">
        <f t="shared" si="7"/>
        <v>9.5931206389146921E-3</v>
      </c>
      <c r="X27" s="95">
        <f>'Op Cost-24'!B20/'Revenue Hours-24'!C19</f>
        <v>79.05589855938392</v>
      </c>
      <c r="Y27" s="96">
        <f>'Op Cost-24'!C20/'Revenue Hours-24'!D19</f>
        <v>85.260382965718563</v>
      </c>
      <c r="Z27" s="96">
        <f>'Op Cost-24'!D20/'Revenue Hours-24'!E19</f>
        <v>88.890998593530242</v>
      </c>
      <c r="AA27" s="96">
        <f>'Op Cost-24'!E20/'Revenue Hours-24'!F19</f>
        <v>103.53699617930367</v>
      </c>
      <c r="AB27" s="97">
        <f t="shared" si="8"/>
        <v>1.0248251681607927</v>
      </c>
      <c r="AC27" s="98">
        <f t="shared" si="9"/>
        <v>1.3693472443576991E-2</v>
      </c>
      <c r="AD27" s="99">
        <f t="shared" si="10"/>
        <v>1.3771161784414503E-2</v>
      </c>
      <c r="AE27" s="95">
        <f>'Op Cost-24'!B20/'Revenue Miles-24'!C19</f>
        <v>6.6086852766524222</v>
      </c>
      <c r="AF27" s="96">
        <f>'Op Cost-24'!C20/'Revenue Miles-24'!D19</f>
        <v>6.465366631744411</v>
      </c>
      <c r="AG27" s="96">
        <f>'Op Cost-24'!D20/'Revenue Miles-24'!E19</f>
        <v>6.2561834749980854</v>
      </c>
      <c r="AH27" s="96">
        <f>'Op Cost-24'!E20/'Revenue Miles-24'!F19</f>
        <v>7.168863589577354</v>
      </c>
      <c r="AI27" s="97">
        <f t="shared" si="11"/>
        <v>0.9727281441536425</v>
      </c>
      <c r="AJ27" s="98">
        <f t="shared" si="12"/>
        <v>1.4426862514504766E-2</v>
      </c>
      <c r="AK27" s="99">
        <f t="shared" si="13"/>
        <v>1.4442896110385883E-2</v>
      </c>
      <c r="AL27" s="95">
        <f>'Op Cost-24'!B20/'Ridership-24'!B19</f>
        <v>3.5842332543739066</v>
      </c>
      <c r="AM27" s="96">
        <f>'Op Cost-24'!C20/'Ridership-24'!C19</f>
        <v>4.008038922912144</v>
      </c>
      <c r="AN27" s="96">
        <f>'Op Cost-24'!D20/'Ridership-24'!D19</f>
        <v>14.312698287225656</v>
      </c>
      <c r="AO27" s="96">
        <f>'Op Cost-24'!E20/'Ridership-24'!E19</f>
        <v>17.258062129016487</v>
      </c>
      <c r="AP27" s="97">
        <f t="shared" si="14"/>
        <v>1.3818582831318029</v>
      </c>
      <c r="AQ27" s="98">
        <f t="shared" si="15"/>
        <v>1.0155466281165282E-2</v>
      </c>
      <c r="AR27" s="99">
        <f t="shared" si="16"/>
        <v>1.0754235647703805E-2</v>
      </c>
      <c r="AT27" s="101">
        <f t="shared" si="27"/>
        <v>0</v>
      </c>
      <c r="AU27" s="102">
        <f t="shared" si="17"/>
        <v>0</v>
      </c>
      <c r="AV27" s="102">
        <f t="shared" si="18"/>
        <v>0</v>
      </c>
      <c r="AW27" s="102">
        <f t="shared" si="19"/>
        <v>0</v>
      </c>
      <c r="AX27" s="103">
        <f t="shared" si="20"/>
        <v>0</v>
      </c>
      <c r="AY27" s="104">
        <f t="shared" si="28"/>
        <v>-1</v>
      </c>
      <c r="AZ27" s="105">
        <f t="shared" si="21"/>
        <v>0</v>
      </c>
      <c r="BA27" s="106">
        <f t="shared" si="21"/>
        <v>0</v>
      </c>
      <c r="BB27" s="106">
        <f t="shared" si="21"/>
        <v>0</v>
      </c>
      <c r="BC27" s="106">
        <f t="shared" si="21"/>
        <v>0</v>
      </c>
      <c r="BD27" s="106">
        <f t="shared" si="21"/>
        <v>0</v>
      </c>
      <c r="BE27" s="107">
        <f t="shared" si="29"/>
        <v>1776670.4942353617</v>
      </c>
      <c r="BG27" s="108">
        <f>'Op Cost-24'!E20</f>
        <v>7696112</v>
      </c>
      <c r="BH27" s="109">
        <f t="shared" si="22"/>
        <v>0.23085299359408512</v>
      </c>
      <c r="BI27" s="110">
        <f t="shared" si="23"/>
        <v>1776670.4942353617</v>
      </c>
      <c r="BJ27" s="111">
        <f t="shared" si="24"/>
        <v>0</v>
      </c>
      <c r="BK27" s="1">
        <f t="shared" si="30"/>
        <v>1.1977072451009931</v>
      </c>
      <c r="BL27" s="112">
        <f t="shared" si="31"/>
        <v>1.0454606700470699</v>
      </c>
      <c r="BM27" s="112">
        <f t="shared" si="32"/>
        <v>1.0879318237111935</v>
      </c>
      <c r="BN27" s="113">
        <f t="shared" si="33"/>
        <v>1.3287182433228544</v>
      </c>
      <c r="BO27" s="114">
        <f t="shared" si="25"/>
        <v>1776670.4942353617</v>
      </c>
      <c r="BP27" s="115">
        <f t="shared" si="34"/>
        <v>1.680792305818387E-2</v>
      </c>
      <c r="BQ27" s="116">
        <f t="shared" si="35"/>
        <v>1.680792305818387E-2</v>
      </c>
      <c r="BR27" s="117">
        <f t="shared" si="36"/>
        <v>2.578442446458341E-2</v>
      </c>
      <c r="BS27" s="118">
        <f t="shared" si="37"/>
        <v>2100863.1962021217</v>
      </c>
      <c r="BT27" s="119">
        <f t="shared" si="38"/>
        <v>2308833.6</v>
      </c>
      <c r="BU27" s="119">
        <f t="shared" si="39"/>
        <v>2100863.1962021217</v>
      </c>
      <c r="BV27" s="119">
        <f t="shared" si="56"/>
        <v>0</v>
      </c>
      <c r="BW27" s="120">
        <f t="shared" si="40"/>
        <v>1.680792305818387E-2</v>
      </c>
      <c r="BX27" s="121">
        <f t="shared" si="41"/>
        <v>3.1856499932704417E-2</v>
      </c>
      <c r="BY27" s="122">
        <f t="shared" si="42"/>
        <v>2151573.5196380164</v>
      </c>
      <c r="BZ27" s="123">
        <f t="shared" si="58"/>
        <v>27052162198527.07</v>
      </c>
      <c r="CA27" s="111">
        <f t="shared" si="57"/>
        <v>27052163975198</v>
      </c>
      <c r="CC27" s="124">
        <f t="shared" si="26"/>
        <v>1</v>
      </c>
      <c r="CD27" s="17"/>
      <c r="CE27" s="108">
        <f t="shared" si="44"/>
        <v>7696112</v>
      </c>
      <c r="CF27" s="125">
        <f t="shared" si="45"/>
        <v>3515042.9171506339</v>
      </c>
      <c r="CG27" s="110">
        <f t="shared" si="46"/>
        <v>2308833.6</v>
      </c>
      <c r="CH27" s="126">
        <f t="shared" si="47"/>
        <v>27052161666364.398</v>
      </c>
      <c r="CJ27" s="127">
        <f t="shared" si="48"/>
        <v>0</v>
      </c>
      <c r="CK27" s="128" t="e">
        <f t="shared" si="49"/>
        <v>#DIV/0!</v>
      </c>
      <c r="CL27" s="129" t="e">
        <f t="shared" si="50"/>
        <v>#DIV/0!</v>
      </c>
      <c r="CM27" s="130" t="e">
        <f t="shared" si="51"/>
        <v>#DIV/0!</v>
      </c>
      <c r="CO27" s="131" t="e">
        <f t="shared" si="52"/>
        <v>#DIV/0!</v>
      </c>
      <c r="CP27" s="1">
        <f t="shared" si="53"/>
        <v>0</v>
      </c>
      <c r="CQ27" s="132">
        <f t="shared" si="54"/>
        <v>0.27956629524596527</v>
      </c>
      <c r="CS27" s="104">
        <f t="shared" si="55"/>
        <v>1.3942837142847237E-2</v>
      </c>
    </row>
    <row r="28" spans="1:97">
      <c r="A28" s="133" t="s">
        <v>99</v>
      </c>
      <c r="B28" s="90" t="s">
        <v>103</v>
      </c>
      <c r="C28" s="208">
        <f>'Op Cost-24'!E21</f>
        <v>107836</v>
      </c>
      <c r="D28" s="92">
        <f>'Ridership-24'!$E20</f>
        <v>14878</v>
      </c>
      <c r="E28" s="92">
        <f>'Revenue Hours-24'!$F20</f>
        <v>3043</v>
      </c>
      <c r="F28" s="92">
        <f>'Revenue Miles-24'!$F20</f>
        <v>48696</v>
      </c>
      <c r="G28" s="134">
        <f t="shared" si="0"/>
        <v>4.3714996511028229E-4</v>
      </c>
      <c r="H28" s="94">
        <f t="shared" si="1"/>
        <v>4.1270076060163376E-4</v>
      </c>
      <c r="J28" s="95">
        <f>'Ridership-24'!B20/'Revenue Hours-24'!C20</f>
        <v>6.4826216484607748</v>
      </c>
      <c r="K28" s="207">
        <f>'Ridership-24'!C20/'Revenue Hours-24'!J20</f>
        <v>5.9558432934926957</v>
      </c>
      <c r="L28" s="207">
        <f>'Ridership-24'!D20/'Revenue Hours-24'!K20</f>
        <v>4.686815011624045</v>
      </c>
      <c r="M28" s="207">
        <f>'Ridership-24'!E20/'Revenue Hours-24'!L20</f>
        <v>4.8892540256325994</v>
      </c>
      <c r="N28" s="97">
        <f t="shared" si="2"/>
        <v>1.08799560674147</v>
      </c>
      <c r="O28" s="98">
        <f t="shared" si="3"/>
        <v>4.490166144334407E-4</v>
      </c>
      <c r="P28" s="99">
        <f t="shared" si="4"/>
        <v>4.2742110642504704E-4</v>
      </c>
      <c r="Q28" s="95">
        <f>'Ridership-24'!B20/'Revenue Miles-24'!C20</f>
        <v>0.40805950867834895</v>
      </c>
      <c r="R28" s="207">
        <f>'Ridership-24'!C20/'Revenue Miles-24'!J20</f>
        <v>0.37067112984544176</v>
      </c>
      <c r="S28" s="207">
        <f>'Ridership-24'!D20/'Revenue Miles-24'!K20</f>
        <v>0.28707433174661295</v>
      </c>
      <c r="T28" s="207">
        <f>'Ridership-24'!E20/'Revenue Miles-24'!L20</f>
        <v>0.30552817479875144</v>
      </c>
      <c r="U28" s="97">
        <f t="shared" si="5"/>
        <v>1.0831024445606128</v>
      </c>
      <c r="V28" s="98">
        <f t="shared" si="6"/>
        <v>4.4699720267965374E-4</v>
      </c>
      <c r="W28" s="99">
        <f t="shared" si="7"/>
        <v>4.2454602791092399E-4</v>
      </c>
      <c r="X28" s="95">
        <f>'Op Cost-24'!B21/'Revenue Hours-24'!C20</f>
        <v>33.555445216815627</v>
      </c>
      <c r="Y28" s="96">
        <f>'Op Cost-24'!C21/'Revenue Hours-24'!D20</f>
        <v>35.128818061088978</v>
      </c>
      <c r="Z28" s="96">
        <f>'Op Cost-24'!D21/'Revenue Hours-24'!E20</f>
        <v>38.42344735968117</v>
      </c>
      <c r="AA28" s="96">
        <f>'Op Cost-24'!E21/'Revenue Hours-24'!F20</f>
        <v>35.43739730529083</v>
      </c>
      <c r="AB28" s="97">
        <f t="shared" si="8"/>
        <v>0.9478174478679624</v>
      </c>
      <c r="AC28" s="98">
        <f t="shared" si="9"/>
        <v>4.3542220237659718E-4</v>
      </c>
      <c r="AD28" s="99">
        <f t="shared" si="10"/>
        <v>4.3789255195578826E-4</v>
      </c>
      <c r="AE28" s="95">
        <f>'Op Cost-24'!B21/'Revenue Miles-24'!C20</f>
        <v>2.1122038630633635</v>
      </c>
      <c r="AF28" s="96">
        <f>'Op Cost-24'!C21/'Revenue Miles-24'!D20</f>
        <v>2.1862963881312507</v>
      </c>
      <c r="AG28" s="96">
        <f>'Op Cost-24'!D21/'Revenue Miles-24'!E20</f>
        <v>2.3534928190731925</v>
      </c>
      <c r="AH28" s="96">
        <f>'Op Cost-24'!E21/'Revenue Miles-24'!F20</f>
        <v>2.2144734680466569</v>
      </c>
      <c r="AI28" s="97">
        <f t="shared" si="11"/>
        <v>0.95084288699013142</v>
      </c>
      <c r="AJ28" s="98">
        <f t="shared" si="12"/>
        <v>4.3403675438749648E-4</v>
      </c>
      <c r="AK28" s="99">
        <f t="shared" si="13"/>
        <v>4.3451913022703913E-4</v>
      </c>
      <c r="AL28" s="95">
        <f>'Op Cost-24'!B21/'Ridership-24'!B20</f>
        <v>5.1762152777777777</v>
      </c>
      <c r="AM28" s="96">
        <f>'Op Cost-24'!C21/'Ridership-24'!C20</f>
        <v>5.8982106025976924</v>
      </c>
      <c r="AN28" s="96">
        <f>'Op Cost-24'!D21/'Ridership-24'!D20</f>
        <v>8.1982001133786842</v>
      </c>
      <c r="AO28" s="96">
        <f>'Op Cost-24'!E21/'Ridership-24'!E20</f>
        <v>7.2480172066137918</v>
      </c>
      <c r="AP28" s="100">
        <f t="shared" si="14"/>
        <v>0.94501573326470911</v>
      </c>
      <c r="AQ28" s="98">
        <f t="shared" si="15"/>
        <v>4.3671311077106884E-4</v>
      </c>
      <c r="AR28" s="99">
        <f t="shared" si="16"/>
        <v>4.6246184799847022E-4</v>
      </c>
      <c r="AT28" s="101">
        <f t="shared" si="27"/>
        <v>0</v>
      </c>
      <c r="AU28" s="102">
        <f t="shared" si="17"/>
        <v>0</v>
      </c>
      <c r="AV28" s="102">
        <f t="shared" si="18"/>
        <v>0</v>
      </c>
      <c r="AW28" s="102">
        <f t="shared" si="19"/>
        <v>0</v>
      </c>
      <c r="AX28" s="103">
        <f t="shared" si="20"/>
        <v>0</v>
      </c>
      <c r="AY28" s="104">
        <f t="shared" si="28"/>
        <v>-1</v>
      </c>
      <c r="AZ28" s="105">
        <f t="shared" si="21"/>
        <v>0</v>
      </c>
      <c r="BA28" s="106">
        <f t="shared" si="21"/>
        <v>0</v>
      </c>
      <c r="BB28" s="106">
        <f t="shared" si="21"/>
        <v>0</v>
      </c>
      <c r="BC28" s="106">
        <f t="shared" si="21"/>
        <v>0</v>
      </c>
      <c r="BD28" s="106">
        <f t="shared" si="21"/>
        <v>0</v>
      </c>
      <c r="BE28" s="107">
        <f t="shared" si="29"/>
        <v>52249.096451261845</v>
      </c>
      <c r="BG28" s="108">
        <f>'Op Cost-24'!E21</f>
        <v>107836</v>
      </c>
      <c r="BH28" s="109">
        <f t="shared" si="22"/>
        <v>0.48452368829761716</v>
      </c>
      <c r="BI28" s="110">
        <f t="shared" si="23"/>
        <v>32350.799999999999</v>
      </c>
      <c r="BJ28" s="111">
        <f t="shared" si="24"/>
        <v>19898.296451261846</v>
      </c>
      <c r="BK28" s="1">
        <f t="shared" si="30"/>
        <v>1.1688862412192749</v>
      </c>
      <c r="BL28" s="112">
        <f t="shared" si="31"/>
        <v>0.55360257767264309</v>
      </c>
      <c r="BM28" s="112">
        <f t="shared" si="32"/>
        <v>0.48920166157678285</v>
      </c>
      <c r="BN28" s="113">
        <f t="shared" si="33"/>
        <v>1.8163703628138366</v>
      </c>
      <c r="BO28" s="114">
        <f t="shared" si="25"/>
        <v>0</v>
      </c>
      <c r="BP28" s="115">
        <f t="shared" si="34"/>
        <v>4.8240024080797948E-4</v>
      </c>
      <c r="BQ28" s="116">
        <f t="shared" si="35"/>
        <v>0</v>
      </c>
      <c r="BR28" s="117">
        <f t="shared" si="36"/>
        <v>0</v>
      </c>
      <c r="BS28" s="118">
        <f t="shared" si="37"/>
        <v>32350.799999999999</v>
      </c>
      <c r="BT28" s="119">
        <f t="shared" si="38"/>
        <v>32350.799999999999</v>
      </c>
      <c r="BU28" s="119">
        <f t="shared" si="39"/>
        <v>32350.799999999999</v>
      </c>
      <c r="BV28" s="119">
        <f t="shared" si="56"/>
        <v>0</v>
      </c>
      <c r="BW28" s="120">
        <f t="shared" si="40"/>
        <v>0</v>
      </c>
      <c r="BX28" s="121">
        <f t="shared" si="41"/>
        <v>0</v>
      </c>
      <c r="BY28" s="122">
        <f t="shared" si="42"/>
        <v>32350.799999999999</v>
      </c>
      <c r="BZ28" s="123">
        <f t="shared" si="58"/>
        <v>406753048810.22498</v>
      </c>
      <c r="CA28" s="111">
        <f t="shared" si="57"/>
        <v>406753081161</v>
      </c>
      <c r="CC28" s="124">
        <f t="shared" si="26"/>
        <v>1</v>
      </c>
      <c r="CD28" s="17"/>
      <c r="CE28" s="108">
        <f t="shared" si="44"/>
        <v>107836</v>
      </c>
      <c r="CF28" s="125">
        <f t="shared" si="45"/>
        <v>3771960.0241199601</v>
      </c>
      <c r="CG28" s="110">
        <f t="shared" si="46"/>
        <v>32350.799999999999</v>
      </c>
      <c r="CH28" s="126">
        <f t="shared" si="47"/>
        <v>406753048810.20001</v>
      </c>
      <c r="CJ28" s="127">
        <f t="shared" si="48"/>
        <v>0</v>
      </c>
      <c r="CK28" s="128" t="e">
        <f t="shared" si="49"/>
        <v>#DIV/0!</v>
      </c>
      <c r="CL28" s="129" t="e">
        <f t="shared" si="50"/>
        <v>#DIV/0!</v>
      </c>
      <c r="CM28" s="130" t="e">
        <f t="shared" si="51"/>
        <v>#DIV/0!</v>
      </c>
      <c r="CO28" s="131" t="e">
        <f t="shared" si="52"/>
        <v>#DIV/0!</v>
      </c>
      <c r="CP28" s="1">
        <f t="shared" si="53"/>
        <v>0</v>
      </c>
      <c r="CQ28" s="132">
        <f t="shared" si="54"/>
        <v>0.3</v>
      </c>
      <c r="CS28" s="104">
        <f t="shared" si="55"/>
        <v>4.0017008478516374E-4</v>
      </c>
    </row>
    <row r="29" spans="1:97">
      <c r="A29" s="133" t="s">
        <v>104</v>
      </c>
      <c r="B29" s="90" t="s">
        <v>105</v>
      </c>
      <c r="C29" s="208">
        <f>'Op Cost-24'!E22</f>
        <v>15647246</v>
      </c>
      <c r="D29" s="92">
        <f>'Ridership-24'!$E21</f>
        <v>421563</v>
      </c>
      <c r="E29" s="92">
        <f>'Revenue Hours-24'!$F21</f>
        <v>98775</v>
      </c>
      <c r="F29" s="92">
        <f>'Revenue Miles-24'!$F21</f>
        <v>2248360.5</v>
      </c>
      <c r="G29" s="134">
        <f t="shared" si="0"/>
        <v>2.4194644989165483E-2</v>
      </c>
      <c r="H29" s="94">
        <f t="shared" si="1"/>
        <v>2.2841471317505638E-2</v>
      </c>
      <c r="J29" s="95">
        <f>'Ridership-24'!B21/'Revenue Hours-24'!C21</f>
        <v>9.2001258890004944</v>
      </c>
      <c r="K29" s="207">
        <f>'Ridership-24'!C21/'Revenue Hours-24'!J21</f>
        <v>10.167075447153263</v>
      </c>
      <c r="L29" s="207">
        <f>'Ridership-24'!D21/'Revenue Hours-24'!K21</f>
        <v>3.7989869458797934</v>
      </c>
      <c r="M29" s="207">
        <f>'Ridership-24'!E21/'Revenue Hours-24'!L21</f>
        <v>4.7546665463609399</v>
      </c>
      <c r="N29" s="97">
        <f t="shared" si="2"/>
        <v>0.93613361719438382</v>
      </c>
      <c r="O29" s="98">
        <f t="shared" si="3"/>
        <v>2.1382669166498322E-2</v>
      </c>
      <c r="P29" s="99">
        <f t="shared" si="4"/>
        <v>2.0354267124385476E-2</v>
      </c>
      <c r="Q29" s="95">
        <f>'Ridership-24'!B21/'Revenue Miles-24'!C21</f>
        <v>0.3814515427407344</v>
      </c>
      <c r="R29" s="207">
        <f>'Ridership-24'!C21/'Revenue Miles-24'!J21</f>
        <v>0.44728239586328256</v>
      </c>
      <c r="S29" s="207">
        <f>'Ridership-24'!D21/'Revenue Miles-24'!K21</f>
        <v>0.19319109064254694</v>
      </c>
      <c r="T29" s="207">
        <f>'Ridership-24'!E21/'Revenue Miles-24'!L21</f>
        <v>0.23157738033111441</v>
      </c>
      <c r="U29" s="97">
        <f t="shared" si="5"/>
        <v>0.98872537471784128</v>
      </c>
      <c r="V29" s="98">
        <f t="shared" si="6"/>
        <v>2.2583942287507586E-2</v>
      </c>
      <c r="W29" s="99">
        <f t="shared" si="7"/>
        <v>2.1449626385251004E-2</v>
      </c>
      <c r="X29" s="95">
        <f>'Op Cost-24'!B22/'Revenue Hours-24'!C21</f>
        <v>93.378558519513959</v>
      </c>
      <c r="Y29" s="96">
        <f>'Op Cost-24'!C22/'Revenue Hours-24'!D21</f>
        <v>112.24563612250527</v>
      </c>
      <c r="Z29" s="96">
        <f>'Op Cost-24'!D22/'Revenue Hours-24'!E21</f>
        <v>179.69728056645377</v>
      </c>
      <c r="AA29" s="96">
        <f>'Op Cost-24'!E22/'Revenue Hours-24'!F21</f>
        <v>158.41301948873704</v>
      </c>
      <c r="AB29" s="97">
        <f t="shared" si="8"/>
        <v>1.1234756688906935</v>
      </c>
      <c r="AC29" s="98">
        <f t="shared" si="9"/>
        <v>2.0331077877333147E-2</v>
      </c>
      <c r="AD29" s="99">
        <f t="shared" si="10"/>
        <v>2.0446425393846168E-2</v>
      </c>
      <c r="AE29" s="95">
        <f>'Op Cost-24'!B22/'Revenue Miles-24'!C21</f>
        <v>3.8716204143206845</v>
      </c>
      <c r="AF29" s="96">
        <f>'Op Cost-24'!C22/'Revenue Miles-24'!D21</f>
        <v>4.3417151082679135</v>
      </c>
      <c r="AG29" s="96">
        <f>'Op Cost-24'!D22/'Revenue Miles-24'!E21</f>
        <v>8.4429703468712045</v>
      </c>
      <c r="AH29" s="96">
        <f>'Op Cost-24'!E22/'Revenue Miles-24'!F21</f>
        <v>6.9594026402794391</v>
      </c>
      <c r="AI29" s="97">
        <f t="shared" si="11"/>
        <v>1.1730229212345462</v>
      </c>
      <c r="AJ29" s="98">
        <f t="shared" si="12"/>
        <v>1.9472314567788807E-2</v>
      </c>
      <c r="AK29" s="99">
        <f t="shared" si="13"/>
        <v>1.9493955532505564E-2</v>
      </c>
      <c r="AL29" s="95">
        <f>'Op Cost-24'!B22/'Ridership-24'!B21</f>
        <v>10.149704432974739</v>
      </c>
      <c r="AM29" s="96">
        <f>'Op Cost-24'!C22/'Ridership-24'!C21</f>
        <v>11.695032280575219</v>
      </c>
      <c r="AN29" s="96">
        <f>'Op Cost-24'!D22/'Ridership-24'!D21</f>
        <v>51.778617939287642</v>
      </c>
      <c r="AO29" s="96">
        <f>'Op Cost-24'!E22/'Ridership-24'!E21</f>
        <v>37.117218541475417</v>
      </c>
      <c r="AP29" s="97">
        <f t="shared" si="14"/>
        <v>1.303510424877655</v>
      </c>
      <c r="AQ29" s="98">
        <f t="shared" si="15"/>
        <v>1.7523044604456844E-2</v>
      </c>
      <c r="AR29" s="99">
        <f t="shared" si="16"/>
        <v>1.8556208619495348E-2</v>
      </c>
      <c r="AT29" s="101">
        <f t="shared" si="27"/>
        <v>0</v>
      </c>
      <c r="AU29" s="102">
        <f t="shared" si="17"/>
        <v>0</v>
      </c>
      <c r="AV29" s="102">
        <f t="shared" si="18"/>
        <v>0</v>
      </c>
      <c r="AW29" s="102">
        <f t="shared" si="19"/>
        <v>0</v>
      </c>
      <c r="AX29" s="103">
        <f t="shared" si="20"/>
        <v>0</v>
      </c>
      <c r="AY29" s="104">
        <f t="shared" si="28"/>
        <v>-1</v>
      </c>
      <c r="AZ29" s="105">
        <f t="shared" si="21"/>
        <v>0</v>
      </c>
      <c r="BA29" s="106">
        <f t="shared" si="21"/>
        <v>0</v>
      </c>
      <c r="BB29" s="106">
        <f t="shared" si="21"/>
        <v>0</v>
      </c>
      <c r="BC29" s="106">
        <f t="shared" si="21"/>
        <v>0</v>
      </c>
      <c r="BD29" s="106">
        <f t="shared" si="21"/>
        <v>0</v>
      </c>
      <c r="BE29" s="107">
        <f t="shared" si="29"/>
        <v>2891795.5862675933</v>
      </c>
      <c r="BG29" s="108">
        <f>'Op Cost-24'!E22</f>
        <v>15647246</v>
      </c>
      <c r="BH29" s="109">
        <f t="shared" si="22"/>
        <v>0.18481179283994087</v>
      </c>
      <c r="BI29" s="110">
        <f t="shared" si="23"/>
        <v>2891795.5862675933</v>
      </c>
      <c r="BJ29" s="111">
        <f t="shared" si="24"/>
        <v>0</v>
      </c>
      <c r="BK29" s="1">
        <f t="shared" si="30"/>
        <v>0.4860195461424287</v>
      </c>
      <c r="BL29" s="112">
        <f t="shared" si="31"/>
        <v>0.60978065319511521</v>
      </c>
      <c r="BM29" s="112">
        <f t="shared" si="32"/>
        <v>0.41295133250394156</v>
      </c>
      <c r="BN29" s="113">
        <f t="shared" si="33"/>
        <v>0.46067309943532903</v>
      </c>
      <c r="BO29" s="114">
        <f t="shared" si="25"/>
        <v>2891795.5862675933</v>
      </c>
      <c r="BP29" s="115">
        <f t="shared" si="34"/>
        <v>1.1101401522959393E-2</v>
      </c>
      <c r="BQ29" s="116">
        <f t="shared" si="35"/>
        <v>1.1101401522959393E-2</v>
      </c>
      <c r="BR29" s="117">
        <f t="shared" si="36"/>
        <v>1.7030256982309561E-2</v>
      </c>
      <c r="BS29" s="118">
        <f t="shared" si="37"/>
        <v>3105920.3976965547</v>
      </c>
      <c r="BT29" s="119">
        <f t="shared" si="38"/>
        <v>4694173.8</v>
      </c>
      <c r="BU29" s="119">
        <f t="shared" si="39"/>
        <v>3105920.3976965547</v>
      </c>
      <c r="BV29" s="119">
        <f t="shared" si="56"/>
        <v>0</v>
      </c>
      <c r="BW29" s="120">
        <f t="shared" si="40"/>
        <v>1.1101401522959393E-2</v>
      </c>
      <c r="BX29" s="121">
        <f t="shared" si="41"/>
        <v>2.1040779139983371E-2</v>
      </c>
      <c r="BY29" s="122">
        <f t="shared" si="42"/>
        <v>3139413.8674055855</v>
      </c>
      <c r="BZ29" s="123">
        <f t="shared" si="58"/>
        <v>39472475550660.922</v>
      </c>
      <c r="CA29" s="111">
        <f t="shared" si="57"/>
        <v>39472478442457</v>
      </c>
      <c r="CC29" s="124">
        <f t="shared" si="26"/>
        <v>1</v>
      </c>
      <c r="CD29" s="17"/>
      <c r="CE29" s="108">
        <f t="shared" si="44"/>
        <v>15647246</v>
      </c>
      <c r="CF29" s="125">
        <f t="shared" si="45"/>
        <v>2522647.0167630138</v>
      </c>
      <c r="CG29" s="110">
        <f t="shared" si="46"/>
        <v>4694173.8</v>
      </c>
      <c r="CH29" s="126">
        <f t="shared" si="47"/>
        <v>39472473748283.203</v>
      </c>
      <c r="CJ29" s="127">
        <f t="shared" si="48"/>
        <v>0</v>
      </c>
      <c r="CK29" s="128" t="e">
        <f t="shared" si="49"/>
        <v>#DIV/0!</v>
      </c>
      <c r="CL29" s="129" t="e">
        <f t="shared" si="50"/>
        <v>#DIV/0!</v>
      </c>
      <c r="CM29" s="130" t="e">
        <f t="shared" si="51"/>
        <v>#DIV/0!</v>
      </c>
      <c r="CO29" s="131" t="e">
        <f t="shared" si="52"/>
        <v>#DIV/0!</v>
      </c>
      <c r="CP29" s="1">
        <f t="shared" si="53"/>
        <v>0</v>
      </c>
      <c r="CQ29" s="132">
        <f t="shared" si="54"/>
        <v>0.20063683202817834</v>
      </c>
      <c r="CS29" s="104">
        <f t="shared" si="55"/>
        <v>9.2090517642281471E-3</v>
      </c>
    </row>
    <row r="30" spans="1:97">
      <c r="A30" s="133" t="s">
        <v>104</v>
      </c>
      <c r="B30" s="90" t="s">
        <v>106</v>
      </c>
      <c r="C30" s="208">
        <f>'Op Cost-24'!E23</f>
        <v>26239078</v>
      </c>
      <c r="D30" s="92">
        <f>'Ridership-24'!$E22</f>
        <v>1815957</v>
      </c>
      <c r="E30" s="92">
        <f>'Revenue Hours-24'!$F22</f>
        <v>204460</v>
      </c>
      <c r="F30" s="92">
        <f>'Revenue Miles-24'!$F22</f>
        <v>2083544</v>
      </c>
      <c r="G30" s="134">
        <f t="shared" si="0"/>
        <v>4.7824107256183815E-2</v>
      </c>
      <c r="H30" s="94">
        <f t="shared" si="1"/>
        <v>4.5149369815783921E-2</v>
      </c>
      <c r="J30" s="95">
        <f>'Ridership-24'!B22/'Revenue Hours-24'!C22</f>
        <v>13.865819939305384</v>
      </c>
      <c r="K30" s="207">
        <f>'Ridership-24'!C22/'Revenue Hours-24'!J22</f>
        <v>12.903471027599291</v>
      </c>
      <c r="L30" s="207">
        <f>'Ridership-24'!D22/'Revenue Hours-24'!K22</f>
        <v>7.8216167510040826</v>
      </c>
      <c r="M30" s="207">
        <f>'Ridership-24'!E22/'Revenue Hours-24'!L22</f>
        <v>8.8817225863249529</v>
      </c>
      <c r="N30" s="97">
        <f t="shared" si="2"/>
        <v>0.99856691724436875</v>
      </c>
      <c r="O30" s="98">
        <f t="shared" si="3"/>
        <v>4.5084667032473304E-2</v>
      </c>
      <c r="P30" s="99">
        <f t="shared" si="4"/>
        <v>4.2916314555841585E-2</v>
      </c>
      <c r="Q30" s="95">
        <f>'Ridership-24'!B22/'Revenue Miles-24'!C22</f>
        <v>1.3701537016658529</v>
      </c>
      <c r="R30" s="207">
        <f>'Ridership-24'!C22/'Revenue Miles-24'!J22</f>
        <v>1.2587048387152435</v>
      </c>
      <c r="S30" s="207">
        <f>'Ridership-24'!D22/'Revenue Miles-24'!K22</f>
        <v>0.78433143162528551</v>
      </c>
      <c r="T30" s="207">
        <f>'Ridership-24'!E22/'Revenue Miles-24'!L22</f>
        <v>0.87157122671755427</v>
      </c>
      <c r="U30" s="97">
        <f t="shared" si="5"/>
        <v>1.0022577420680119</v>
      </c>
      <c r="V30" s="98">
        <f t="shared" si="6"/>
        <v>4.5251305447361244E-2</v>
      </c>
      <c r="W30" s="99">
        <f t="shared" si="7"/>
        <v>4.2978483691382671E-2</v>
      </c>
      <c r="X30" s="95">
        <f>'Op Cost-24'!B23/'Revenue Hours-24'!C22</f>
        <v>71.878358997414864</v>
      </c>
      <c r="Y30" s="96">
        <f>'Op Cost-24'!C23/'Revenue Hours-24'!D22</f>
        <v>70.784446046283321</v>
      </c>
      <c r="Z30" s="96">
        <f>'Op Cost-24'!D23/'Revenue Hours-24'!E22</f>
        <v>115.12446224595757</v>
      </c>
      <c r="AA30" s="96">
        <f>'Op Cost-24'!E23/'Revenue Hours-24'!F22</f>
        <v>128.33355179497212</v>
      </c>
      <c r="AB30" s="97">
        <f t="shared" si="8"/>
        <v>1.1369244024920826</v>
      </c>
      <c r="AC30" s="98">
        <f t="shared" si="9"/>
        <v>3.9711848665415848E-2</v>
      </c>
      <c r="AD30" s="99">
        <f t="shared" si="10"/>
        <v>3.9937152171080133E-2</v>
      </c>
      <c r="AE30" s="95">
        <f>'Op Cost-24'!B23/'Revenue Miles-24'!C22</f>
        <v>7.1026740633492365</v>
      </c>
      <c r="AF30" s="96">
        <f>'Op Cost-24'!C23/'Revenue Miles-24'!D22</f>
        <v>6.9048649432129956</v>
      </c>
      <c r="AG30" s="96">
        <f>'Op Cost-24'!D23/'Revenue Miles-24'!E22</f>
        <v>11.544382339734495</v>
      </c>
      <c r="AH30" s="96">
        <f>'Op Cost-24'!E23/'Revenue Miles-24'!F22</f>
        <v>12.593483986899244</v>
      </c>
      <c r="AI30" s="97">
        <f t="shared" si="11"/>
        <v>1.1413899080937748</v>
      </c>
      <c r="AJ30" s="98">
        <f t="shared" si="12"/>
        <v>3.9556482404148365E-2</v>
      </c>
      <c r="AK30" s="99">
        <f t="shared" si="13"/>
        <v>3.9600444329529506E-2</v>
      </c>
      <c r="AL30" s="95">
        <f>'Op Cost-24'!B23/'Ridership-24'!B22</f>
        <v>5.1838520413539744</v>
      </c>
      <c r="AM30" s="96">
        <f>'Op Cost-24'!C23/'Ridership-24'!C22</f>
        <v>5.485690315023156</v>
      </c>
      <c r="AN30" s="96">
        <f>'Op Cost-24'!D23/'Ridership-24'!D22</f>
        <v>14.718755202519828</v>
      </c>
      <c r="AO30" s="96">
        <f>'Op Cost-24'!E23/'Ridership-24'!E22</f>
        <v>14.449173631313958</v>
      </c>
      <c r="AP30" s="97">
        <f t="shared" si="14"/>
        <v>1.1417394937986716</v>
      </c>
      <c r="AQ30" s="98">
        <f t="shared" si="15"/>
        <v>3.9544370726432389E-2</v>
      </c>
      <c r="AR30" s="99">
        <f t="shared" si="16"/>
        <v>4.1875918796651916E-2</v>
      </c>
      <c r="AT30" s="101">
        <f t="shared" si="27"/>
        <v>0</v>
      </c>
      <c r="AU30" s="102">
        <f t="shared" si="17"/>
        <v>0</v>
      </c>
      <c r="AV30" s="102">
        <f t="shared" si="18"/>
        <v>0</v>
      </c>
      <c r="AW30" s="102">
        <f t="shared" si="19"/>
        <v>0</v>
      </c>
      <c r="AX30" s="103">
        <f t="shared" si="20"/>
        <v>0</v>
      </c>
      <c r="AY30" s="104">
        <f t="shared" si="28"/>
        <v>-1</v>
      </c>
      <c r="AZ30" s="105">
        <f t="shared" si="21"/>
        <v>0</v>
      </c>
      <c r="BA30" s="106">
        <f t="shared" si="21"/>
        <v>0</v>
      </c>
      <c r="BB30" s="106">
        <f t="shared" si="21"/>
        <v>0</v>
      </c>
      <c r="BC30" s="106">
        <f t="shared" si="21"/>
        <v>0</v>
      </c>
      <c r="BD30" s="106">
        <f t="shared" si="21"/>
        <v>0</v>
      </c>
      <c r="BE30" s="107">
        <f t="shared" si="29"/>
        <v>5716039.3278161697</v>
      </c>
      <c r="BG30" s="108">
        <f>'Op Cost-24'!E23</f>
        <v>26239078</v>
      </c>
      <c r="BH30" s="109">
        <f t="shared" si="22"/>
        <v>0.21784451907251351</v>
      </c>
      <c r="BI30" s="110">
        <f t="shared" si="23"/>
        <v>5716039.3278161697</v>
      </c>
      <c r="BJ30" s="111">
        <f t="shared" si="24"/>
        <v>0</v>
      </c>
      <c r="BK30" s="1">
        <f t="shared" si="30"/>
        <v>1.2163123264398563</v>
      </c>
      <c r="BL30" s="112">
        <f t="shared" si="31"/>
        <v>1.0238129564106229</v>
      </c>
      <c r="BM30" s="112">
        <f t="shared" si="32"/>
        <v>1.4431248539786969</v>
      </c>
      <c r="BN30" s="113">
        <f t="shared" si="33"/>
        <v>1.1991557476850525</v>
      </c>
      <c r="BO30" s="114">
        <f t="shared" si="25"/>
        <v>5716039.3278161697</v>
      </c>
      <c r="BP30" s="115">
        <f t="shared" si="34"/>
        <v>5.4915735037929569E-2</v>
      </c>
      <c r="BQ30" s="116">
        <f t="shared" si="35"/>
        <v>5.4915735037929569E-2</v>
      </c>
      <c r="BR30" s="117">
        <f t="shared" si="36"/>
        <v>8.4244235120598546E-2</v>
      </c>
      <c r="BS30" s="118">
        <f t="shared" si="37"/>
        <v>6775258.8673635349</v>
      </c>
      <c r="BT30" s="119">
        <f t="shared" si="38"/>
        <v>7871723.3999999994</v>
      </c>
      <c r="BU30" s="119">
        <f t="shared" si="39"/>
        <v>6775258.8673635349</v>
      </c>
      <c r="BV30" s="119">
        <f t="shared" si="56"/>
        <v>0</v>
      </c>
      <c r="BW30" s="120">
        <f t="shared" si="40"/>
        <v>5.4915735037929569E-2</v>
      </c>
      <c r="BX30" s="121">
        <f t="shared" si="41"/>
        <v>0.10408324118835215</v>
      </c>
      <c r="BY30" s="122">
        <f t="shared" si="42"/>
        <v>6940942.3177133016</v>
      </c>
      <c r="BZ30" s="123">
        <f t="shared" si="58"/>
        <v>87269849566186.766</v>
      </c>
      <c r="CA30" s="111">
        <f t="shared" si="57"/>
        <v>87269855282226</v>
      </c>
      <c r="CC30" s="124">
        <f t="shared" si="26"/>
        <v>1</v>
      </c>
      <c r="CD30" s="17"/>
      <c r="CE30" s="108">
        <f t="shared" si="44"/>
        <v>26239078</v>
      </c>
      <c r="CF30" s="125">
        <f t="shared" si="45"/>
        <v>3325949.7640209002</v>
      </c>
      <c r="CG30" s="110">
        <f t="shared" si="46"/>
        <v>7871723.3999999994</v>
      </c>
      <c r="CH30" s="126">
        <f t="shared" si="47"/>
        <v>87269847410502.594</v>
      </c>
      <c r="CJ30" s="127">
        <f t="shared" si="48"/>
        <v>0</v>
      </c>
      <c r="CK30" s="128" t="e">
        <f t="shared" si="49"/>
        <v>#DIV/0!</v>
      </c>
      <c r="CL30" s="129" t="e">
        <f t="shared" si="50"/>
        <v>#DIV/0!</v>
      </c>
      <c r="CM30" s="130" t="e">
        <f t="shared" si="51"/>
        <v>#DIV/0!</v>
      </c>
      <c r="CO30" s="131" t="e">
        <f t="shared" si="52"/>
        <v>#DIV/0!</v>
      </c>
      <c r="CP30" s="1">
        <f t="shared" si="53"/>
        <v>0</v>
      </c>
      <c r="CQ30" s="132">
        <f t="shared" si="54"/>
        <v>0.26452691354906988</v>
      </c>
      <c r="CS30" s="104">
        <f t="shared" si="55"/>
        <v>4.5554774826315467E-2</v>
      </c>
    </row>
    <row r="31" spans="1:97">
      <c r="A31" s="133" t="s">
        <v>104</v>
      </c>
      <c r="B31" s="90" t="s">
        <v>107</v>
      </c>
      <c r="C31" s="208">
        <f>'Op Cost-24'!E24</f>
        <v>27269531</v>
      </c>
      <c r="D31" s="92">
        <f>'Ridership-24'!$E23</f>
        <v>3047077</v>
      </c>
      <c r="E31" s="92">
        <f>'Revenue Hours-24'!$F23</f>
        <v>276476</v>
      </c>
      <c r="F31" s="92">
        <f>'Revenue Miles-24'!$F23</f>
        <v>2503129</v>
      </c>
      <c r="G31" s="134">
        <f t="shared" si="0"/>
        <v>6.3206500702821328E-2</v>
      </c>
      <c r="H31" s="94">
        <f t="shared" si="1"/>
        <v>5.9671446864787835E-2</v>
      </c>
      <c r="J31" s="95">
        <f>'Ridership-24'!B23/'Revenue Hours-24'!C23</f>
        <v>16.336445534406419</v>
      </c>
      <c r="K31" s="207">
        <f>'Ridership-24'!C23/'Revenue Hours-24'!J23</f>
        <v>15.892603773584906</v>
      </c>
      <c r="L31" s="207">
        <f>'Ridership-24'!D23/'Revenue Hours-24'!K23</f>
        <v>7.2218469159098948</v>
      </c>
      <c r="M31" s="207">
        <f>'Ridership-24'!E23/'Revenue Hours-24'!L23</f>
        <v>11.021126607734487</v>
      </c>
      <c r="N31" s="97">
        <f t="shared" si="2"/>
        <v>1.0152818096633436</v>
      </c>
      <c r="O31" s="98">
        <f t="shared" si="3"/>
        <v>6.0583334558111844E-2</v>
      </c>
      <c r="P31" s="99">
        <f t="shared" si="4"/>
        <v>5.7669571805088291E-2</v>
      </c>
      <c r="Q31" s="95">
        <f>'Ridership-24'!B23/'Revenue Miles-24'!C23</f>
        <v>1.802680802858009</v>
      </c>
      <c r="R31" s="207">
        <f>'Ridership-24'!C23/'Revenue Miles-24'!J23</f>
        <v>1.6926824335930128</v>
      </c>
      <c r="S31" s="207">
        <f>'Ridership-24'!D23/'Revenue Miles-24'!K23</f>
        <v>0.80452628182287345</v>
      </c>
      <c r="T31" s="207">
        <f>'Ridership-24'!E23/'Revenue Miles-24'!L23</f>
        <v>1.2173072182855937</v>
      </c>
      <c r="U31" s="97">
        <f t="shared" si="5"/>
        <v>1.0211052742749469</v>
      </c>
      <c r="V31" s="98">
        <f t="shared" si="6"/>
        <v>6.0930829117252103E-2</v>
      </c>
      <c r="W31" s="99">
        <f t="shared" si="7"/>
        <v>5.7870477318372041E-2</v>
      </c>
      <c r="X31" s="95">
        <f>'Op Cost-24'!B24/'Revenue Hours-24'!C23</f>
        <v>76.667882499885891</v>
      </c>
      <c r="Y31" s="96">
        <f>'Op Cost-24'!C24/'Revenue Hours-24'!D23</f>
        <v>83.128810327706063</v>
      </c>
      <c r="Z31" s="96">
        <f>'Op Cost-24'!D24/'Revenue Hours-24'!E23</f>
        <v>113.69054841372804</v>
      </c>
      <c r="AA31" s="96">
        <f>'Op Cost-24'!E24/'Revenue Hours-24'!F23</f>
        <v>98.632543150219192</v>
      </c>
      <c r="AB31" s="97">
        <f t="shared" si="8"/>
        <v>1.0166046781627676</v>
      </c>
      <c r="AC31" s="98">
        <f t="shared" si="9"/>
        <v>5.869680530353992E-2</v>
      </c>
      <c r="AD31" s="99">
        <f t="shared" si="10"/>
        <v>5.9029819163398285E-2</v>
      </c>
      <c r="AE31" s="95">
        <f>'Op Cost-24'!B24/'Revenue Miles-24'!C23</f>
        <v>8.4600851321810815</v>
      </c>
      <c r="AF31" s="96">
        <f>'Op Cost-24'!C24/'Revenue Miles-24'!D23</f>
        <v>8.8538466680374093</v>
      </c>
      <c r="AG31" s="96">
        <f>'Op Cost-24'!D24/'Revenue Miles-24'!E23</f>
        <v>12.665324432756394</v>
      </c>
      <c r="AH31" s="96">
        <f>'Op Cost-24'!E24/'Revenue Miles-24'!F23</f>
        <v>10.894177247756708</v>
      </c>
      <c r="AI31" s="97">
        <f t="shared" si="11"/>
        <v>1.0223143327218718</v>
      </c>
      <c r="AJ31" s="98">
        <f t="shared" si="12"/>
        <v>5.8368981980243734E-2</v>
      </c>
      <c r="AK31" s="99">
        <f t="shared" si="13"/>
        <v>5.8433851571128279E-2</v>
      </c>
      <c r="AL31" s="95">
        <f>'Op Cost-24'!B24/'Ridership-24'!B23</f>
        <v>4.6930577608461137</v>
      </c>
      <c r="AM31" s="96">
        <f>'Op Cost-24'!C24/'Ridership-24'!C23</f>
        <v>5.2306602185523836</v>
      </c>
      <c r="AN31" s="96">
        <f>'Op Cost-24'!D24/'Ridership-24'!D23</f>
        <v>15.742586313102974</v>
      </c>
      <c r="AO31" s="96">
        <f>'Op Cost-24'!E24/'Ridership-24'!E23</f>
        <v>8.9494065952386492</v>
      </c>
      <c r="AP31" s="97">
        <f t="shared" si="14"/>
        <v>1.0288072437017239</v>
      </c>
      <c r="AQ31" s="98">
        <f t="shared" si="15"/>
        <v>5.8000609181254971E-2</v>
      </c>
      <c r="AR31" s="99">
        <f t="shared" si="16"/>
        <v>6.1420342658458096E-2</v>
      </c>
      <c r="AT31" s="101">
        <f t="shared" si="27"/>
        <v>0</v>
      </c>
      <c r="AU31" s="102">
        <f t="shared" si="17"/>
        <v>0</v>
      </c>
      <c r="AV31" s="102">
        <f t="shared" si="18"/>
        <v>0</v>
      </c>
      <c r="AW31" s="102">
        <f t="shared" si="19"/>
        <v>0</v>
      </c>
      <c r="AX31" s="103">
        <f t="shared" si="20"/>
        <v>0</v>
      </c>
      <c r="AY31" s="104">
        <f t="shared" si="28"/>
        <v>-1</v>
      </c>
      <c r="AZ31" s="105">
        <f t="shared" si="21"/>
        <v>0</v>
      </c>
      <c r="BA31" s="106">
        <f t="shared" si="21"/>
        <v>0</v>
      </c>
      <c r="BB31" s="106">
        <f t="shared" si="21"/>
        <v>0</v>
      </c>
      <c r="BC31" s="106">
        <f t="shared" si="21"/>
        <v>0</v>
      </c>
      <c r="BD31" s="106">
        <f t="shared" si="21"/>
        <v>0</v>
      </c>
      <c r="BE31" s="107">
        <f t="shared" si="29"/>
        <v>7554575.8095515938</v>
      </c>
      <c r="BG31" s="108">
        <f>'Op Cost-24'!E24</f>
        <v>27269531</v>
      </c>
      <c r="BH31" s="109">
        <f t="shared" si="22"/>
        <v>0.27703358042907278</v>
      </c>
      <c r="BI31" s="110">
        <f t="shared" si="23"/>
        <v>7554575.8095515938</v>
      </c>
      <c r="BJ31" s="111">
        <f t="shared" si="24"/>
        <v>0</v>
      </c>
      <c r="BK31" s="1">
        <f t="shared" si="30"/>
        <v>1.4334933198357167</v>
      </c>
      <c r="BL31" s="112">
        <f t="shared" si="31"/>
        <v>1.1483511489448774</v>
      </c>
      <c r="BM31" s="112">
        <f t="shared" si="32"/>
        <v>1.7957702709275882</v>
      </c>
      <c r="BN31" s="113">
        <f t="shared" si="33"/>
        <v>1.3949259297352006</v>
      </c>
      <c r="BO31" s="114">
        <f t="shared" si="25"/>
        <v>7554575.8095515938</v>
      </c>
      <c r="BP31" s="115">
        <f t="shared" si="34"/>
        <v>8.5538620465605286E-2</v>
      </c>
      <c r="BQ31" s="116">
        <f t="shared" si="35"/>
        <v>8.5538620465605286E-2</v>
      </c>
      <c r="BR31" s="117">
        <f t="shared" si="36"/>
        <v>0.13122169173223142</v>
      </c>
      <c r="BS31" s="118">
        <f t="shared" si="37"/>
        <v>9204452.2633679025</v>
      </c>
      <c r="BT31" s="119">
        <f t="shared" si="38"/>
        <v>8180859.2999999998</v>
      </c>
      <c r="BU31" s="119">
        <f t="shared" si="39"/>
        <v>8180859.2999999998</v>
      </c>
      <c r="BV31" s="119">
        <f t="shared" si="56"/>
        <v>1023592.9633679027</v>
      </c>
      <c r="BW31" s="120">
        <f t="shared" si="40"/>
        <v>0</v>
      </c>
      <c r="BX31" s="121">
        <f t="shared" si="41"/>
        <v>0</v>
      </c>
      <c r="BY31" s="122">
        <f t="shared" si="42"/>
        <v>8180859.2999999998</v>
      </c>
      <c r="BZ31" s="123">
        <f t="shared" si="58"/>
        <v>102859572627647</v>
      </c>
      <c r="CA31" s="111">
        <f t="shared" si="57"/>
        <v>102859580182223</v>
      </c>
      <c r="CC31" s="124">
        <f t="shared" si="26"/>
        <v>1</v>
      </c>
      <c r="CD31" s="17"/>
      <c r="CE31" s="108">
        <f t="shared" si="44"/>
        <v>27269531</v>
      </c>
      <c r="CF31" s="125">
        <f t="shared" si="45"/>
        <v>3771960.0011537788</v>
      </c>
      <c r="CG31" s="110">
        <f t="shared" si="46"/>
        <v>8180859.2999999998</v>
      </c>
      <c r="CH31" s="126">
        <f t="shared" si="47"/>
        <v>102859572001363.7</v>
      </c>
      <c r="CJ31" s="127">
        <f t="shared" si="48"/>
        <v>0</v>
      </c>
      <c r="CK31" s="128" t="e">
        <f t="shared" si="49"/>
        <v>#DIV/0!</v>
      </c>
      <c r="CL31" s="129" t="e">
        <f t="shared" si="50"/>
        <v>#DIV/0!</v>
      </c>
      <c r="CM31" s="130" t="e">
        <f t="shared" si="51"/>
        <v>#DIV/0!</v>
      </c>
      <c r="CO31" s="131" t="e">
        <f t="shared" si="52"/>
        <v>#DIV/0!</v>
      </c>
      <c r="CP31" s="1">
        <f t="shared" si="53"/>
        <v>0</v>
      </c>
      <c r="CQ31" s="132">
        <f t="shared" si="54"/>
        <v>0.3</v>
      </c>
      <c r="CS31" s="104">
        <f t="shared" si="55"/>
        <v>7.0957669811264751E-2</v>
      </c>
    </row>
    <row r="32" spans="1:97">
      <c r="A32" s="133" t="s">
        <v>104</v>
      </c>
      <c r="B32" s="90" t="s">
        <v>108</v>
      </c>
      <c r="C32" s="208">
        <f>'Op Cost-24'!E25</f>
        <v>5346157</v>
      </c>
      <c r="D32" s="92">
        <f>'Ridership-24'!$E24</f>
        <v>471899</v>
      </c>
      <c r="E32" s="92">
        <f>'Revenue Hours-24'!$F24</f>
        <v>35046</v>
      </c>
      <c r="F32" s="92">
        <f>'Revenue Miles-24'!$F24</f>
        <v>434291</v>
      </c>
      <c r="G32" s="134">
        <f t="shared" si="0"/>
        <v>1.0460086639716528E-2</v>
      </c>
      <c r="H32" s="94">
        <f t="shared" si="1"/>
        <v>9.8750681841663964E-3</v>
      </c>
      <c r="J32" s="95">
        <f>'Ridership-24'!B24/'Revenue Hours-24'!C24</f>
        <v>18.030378842030022</v>
      </c>
      <c r="K32" s="207">
        <f>'Ridership-24'!C24/'Revenue Hours-24'!J24</f>
        <v>17.559390774078722</v>
      </c>
      <c r="L32" s="207">
        <f>'Ridership-24'!D24/'Revenue Hours-24'!K24</f>
        <v>9.5356184364060681</v>
      </c>
      <c r="M32" s="207">
        <f>'Ridership-24'!E24/'Revenue Hours-24'!L24</f>
        <v>13.465131541402728</v>
      </c>
      <c r="N32" s="97">
        <f t="shared" si="2"/>
        <v>1.0436502726700094</v>
      </c>
      <c r="O32" s="98">
        <f t="shared" si="3"/>
        <v>1.0306117603040194E-2</v>
      </c>
      <c r="P32" s="99">
        <f t="shared" si="4"/>
        <v>9.8104436389203353E-3</v>
      </c>
      <c r="Q32" s="95">
        <f>'Ridership-24'!B24/'Revenue Miles-24'!C24</f>
        <v>1.3764010967774205</v>
      </c>
      <c r="R32" s="207">
        <f>'Ridership-24'!C24/'Revenue Miles-24'!J24</f>
        <v>1.3807895890071515</v>
      </c>
      <c r="S32" s="207">
        <f>'Ridership-24'!D24/'Revenue Miles-24'!K24</f>
        <v>0.74451206457520036</v>
      </c>
      <c r="T32" s="207">
        <f>'Ridership-24'!E24/'Revenue Miles-24'!L24</f>
        <v>1.0865963144527517</v>
      </c>
      <c r="U32" s="97">
        <f t="shared" si="5"/>
        <v>1.0693702541727059</v>
      </c>
      <c r="V32" s="98">
        <f t="shared" si="6"/>
        <v>1.0560104174074821E-2</v>
      </c>
      <c r="W32" s="99">
        <f t="shared" si="7"/>
        <v>1.0029705453530572E-2</v>
      </c>
      <c r="X32" s="95">
        <f>'Op Cost-24'!B25/'Revenue Hours-24'!C24</f>
        <v>116.72551822730522</v>
      </c>
      <c r="Y32" s="96">
        <f>'Op Cost-24'!C25/'Revenue Hours-24'!D24</f>
        <v>115.9866367111137</v>
      </c>
      <c r="Z32" s="96">
        <f>'Op Cost-24'!D25/'Revenue Hours-24'!E24</f>
        <v>133.20037922987166</v>
      </c>
      <c r="AA32" s="96">
        <f>'Op Cost-24'!E25/'Revenue Hours-24'!F24</f>
        <v>152.54685270786965</v>
      </c>
      <c r="AB32" s="97">
        <f t="shared" si="8"/>
        <v>1.0194822652763735</v>
      </c>
      <c r="AC32" s="98">
        <f t="shared" si="9"/>
        <v>9.6863560264967875E-3</v>
      </c>
      <c r="AD32" s="99">
        <f t="shared" si="10"/>
        <v>9.7413111606248718E-3</v>
      </c>
      <c r="AE32" s="95">
        <f>'Op Cost-24'!B25/'Revenue Miles-24'!C24</f>
        <v>8.9105799005988615</v>
      </c>
      <c r="AF32" s="96">
        <f>'Op Cost-24'!C25/'Revenue Miles-24'!D24</f>
        <v>9.1206547251673182</v>
      </c>
      <c r="AG32" s="96">
        <f>'Op Cost-24'!D25/'Revenue Miles-24'!E24</f>
        <v>10.399880196968939</v>
      </c>
      <c r="AH32" s="96">
        <f>'Op Cost-24'!E25/'Revenue Miles-24'!F24</f>
        <v>12.310080107577638</v>
      </c>
      <c r="AI32" s="97">
        <f t="shared" si="11"/>
        <v>1.0469308779778348</v>
      </c>
      <c r="AJ32" s="98">
        <f t="shared" si="12"/>
        <v>9.4323974885909025E-3</v>
      </c>
      <c r="AK32" s="99">
        <f t="shared" si="13"/>
        <v>9.4428803811373637E-3</v>
      </c>
      <c r="AL32" s="95">
        <f>'Op Cost-24'!B25/'Ridership-24'!B24</f>
        <v>6.4738250510416462</v>
      </c>
      <c r="AM32" s="96">
        <f>'Op Cost-24'!C25/'Ridership-24'!C24</f>
        <v>6.6053907110680559</v>
      </c>
      <c r="AN32" s="96">
        <f>'Op Cost-24'!D25/'Ridership-24'!D24</f>
        <v>13.968719503427852</v>
      </c>
      <c r="AO32" s="96">
        <f>'Op Cost-24'!E25/'Ridership-24'!E24</f>
        <v>11.329028033541075</v>
      </c>
      <c r="AP32" s="100">
        <f t="shared" si="14"/>
        <v>0.97654005192677629</v>
      </c>
      <c r="AQ32" s="98">
        <f t="shared" si="15"/>
        <v>1.011230227032906E-2</v>
      </c>
      <c r="AR32" s="99">
        <f t="shared" si="16"/>
        <v>1.0708526673720631E-2</v>
      </c>
      <c r="AT32" s="101">
        <f t="shared" si="27"/>
        <v>0</v>
      </c>
      <c r="AU32" s="102">
        <f t="shared" si="17"/>
        <v>0</v>
      </c>
      <c r="AV32" s="102">
        <f t="shared" si="18"/>
        <v>0</v>
      </c>
      <c r="AW32" s="102">
        <f t="shared" si="19"/>
        <v>0</v>
      </c>
      <c r="AX32" s="103">
        <f t="shared" si="20"/>
        <v>0</v>
      </c>
      <c r="AY32" s="104">
        <f t="shared" si="28"/>
        <v>-1</v>
      </c>
      <c r="AZ32" s="105">
        <f t="shared" si="21"/>
        <v>0</v>
      </c>
      <c r="BA32" s="106">
        <f t="shared" si="21"/>
        <v>0</v>
      </c>
      <c r="BB32" s="106">
        <f t="shared" si="21"/>
        <v>0</v>
      </c>
      <c r="BC32" s="106">
        <f t="shared" si="21"/>
        <v>0</v>
      </c>
      <c r="BD32" s="106">
        <f t="shared" si="21"/>
        <v>0</v>
      </c>
      <c r="BE32" s="107">
        <f t="shared" si="29"/>
        <v>1250211.8708604451</v>
      </c>
      <c r="BG32" s="108">
        <f>'Op Cost-24'!E25</f>
        <v>5346157</v>
      </c>
      <c r="BH32" s="109">
        <f t="shared" si="22"/>
        <v>0.23385244220482959</v>
      </c>
      <c r="BI32" s="110">
        <f t="shared" si="23"/>
        <v>1250211.8708604451</v>
      </c>
      <c r="BJ32" s="111">
        <f t="shared" si="24"/>
        <v>0</v>
      </c>
      <c r="BK32" s="1">
        <f t="shared" si="30"/>
        <v>1.3576786721876268</v>
      </c>
      <c r="BL32" s="112">
        <f t="shared" si="31"/>
        <v>1.3913980718624959</v>
      </c>
      <c r="BM32" s="112">
        <f t="shared" si="32"/>
        <v>1.5748877208629182</v>
      </c>
      <c r="BN32" s="113">
        <f t="shared" si="33"/>
        <v>1.2322144480125463</v>
      </c>
      <c r="BO32" s="114">
        <f t="shared" si="25"/>
        <v>1250211.8708604451</v>
      </c>
      <c r="BP32" s="115">
        <f t="shared" si="34"/>
        <v>1.3407169460041312E-2</v>
      </c>
      <c r="BQ32" s="116">
        <f t="shared" si="35"/>
        <v>1.3407169460041312E-2</v>
      </c>
      <c r="BR32" s="117">
        <f t="shared" si="36"/>
        <v>2.0567451851701772E-2</v>
      </c>
      <c r="BS32" s="118">
        <f t="shared" si="37"/>
        <v>1508810.5375684462</v>
      </c>
      <c r="BT32" s="119">
        <f t="shared" si="38"/>
        <v>1603847.0999999999</v>
      </c>
      <c r="BU32" s="119">
        <f t="shared" si="39"/>
        <v>1508810.5375684462</v>
      </c>
      <c r="BV32" s="119">
        <f t="shared" si="56"/>
        <v>0</v>
      </c>
      <c r="BW32" s="120">
        <f t="shared" si="40"/>
        <v>1.3407169460041312E-2</v>
      </c>
      <c r="BX32" s="121">
        <f t="shared" si="41"/>
        <v>2.5410961932836956E-2</v>
      </c>
      <c r="BY32" s="122">
        <f t="shared" si="42"/>
        <v>1549260.6215749593</v>
      </c>
      <c r="BZ32" s="123">
        <f t="shared" si="58"/>
        <v>19479162222487.199</v>
      </c>
      <c r="CA32" s="111">
        <f t="shared" si="57"/>
        <v>19479163472699</v>
      </c>
      <c r="CC32" s="124">
        <f t="shared" si="26"/>
        <v>1</v>
      </c>
      <c r="CD32" s="17"/>
      <c r="CE32" s="108">
        <f t="shared" si="44"/>
        <v>5346157</v>
      </c>
      <c r="CF32" s="125">
        <f t="shared" si="45"/>
        <v>3643582.3850102047</v>
      </c>
      <c r="CG32" s="110">
        <f t="shared" si="46"/>
        <v>1603847.0999999999</v>
      </c>
      <c r="CH32" s="126">
        <f t="shared" si="47"/>
        <v>19479161868851.898</v>
      </c>
      <c r="CJ32" s="127">
        <f t="shared" si="48"/>
        <v>0</v>
      </c>
      <c r="CK32" s="128" t="e">
        <f t="shared" si="49"/>
        <v>#DIV/0!</v>
      </c>
      <c r="CL32" s="129" t="e">
        <f t="shared" si="50"/>
        <v>#DIV/0!</v>
      </c>
      <c r="CM32" s="130" t="e">
        <f t="shared" si="51"/>
        <v>#DIV/0!</v>
      </c>
      <c r="CO32" s="131" t="e">
        <f t="shared" si="52"/>
        <v>#DIV/0!</v>
      </c>
      <c r="CP32" s="1">
        <f t="shared" si="53"/>
        <v>0</v>
      </c>
      <c r="CQ32" s="132">
        <f t="shared" si="54"/>
        <v>0.28978958559858214</v>
      </c>
      <c r="CS32" s="104">
        <f t="shared" si="55"/>
        <v>1.1121777490342091E-2</v>
      </c>
    </row>
    <row r="33" spans="1:97">
      <c r="A33" s="133" t="s">
        <v>104</v>
      </c>
      <c r="B33" s="90" t="s">
        <v>109</v>
      </c>
      <c r="C33" s="208">
        <f>'Op Cost-24'!E26</f>
        <v>103826125</v>
      </c>
      <c r="D33" s="92">
        <f>'Ridership-24'!$E25</f>
        <v>5191499</v>
      </c>
      <c r="E33" s="92">
        <f>'Revenue Hours-24'!$F25</f>
        <v>842949</v>
      </c>
      <c r="F33" s="92">
        <f>'Revenue Miles-24'!$F25</f>
        <v>10941805</v>
      </c>
      <c r="G33" s="134">
        <f t="shared" si="0"/>
        <v>0.17895909018040188</v>
      </c>
      <c r="H33" s="94">
        <f t="shared" si="1"/>
        <v>0.16895015104346633</v>
      </c>
      <c r="J33" s="95">
        <f>'Ridership-24'!B25/'Revenue Hours-24'!C25</f>
        <v>11.061264869468026</v>
      </c>
      <c r="K33" s="207">
        <f>'Ridership-24'!C25/'Revenue Hours-24'!J25</f>
        <v>11.250841081281331</v>
      </c>
      <c r="L33" s="207">
        <f>'Ridership-24'!D25/'Revenue Hours-24'!K25</f>
        <v>5.8893423328487904</v>
      </c>
      <c r="M33" s="207">
        <f>'Ridership-24'!E25/'Revenue Hours-24'!L25</f>
        <v>6.1772085175648597</v>
      </c>
      <c r="N33" s="97">
        <f t="shared" si="2"/>
        <v>0.95145256842717441</v>
      </c>
      <c r="O33" s="98">
        <f t="shared" si="3"/>
        <v>0.16074805514646509</v>
      </c>
      <c r="P33" s="99">
        <f t="shared" si="4"/>
        <v>0.15301685812465918</v>
      </c>
      <c r="Q33" s="95">
        <f>'Ridership-24'!B25/'Revenue Miles-24'!C25</f>
        <v>0.83785839609808965</v>
      </c>
      <c r="R33" s="207">
        <f>'Ridership-24'!C25/'Revenue Miles-24'!J25</f>
        <v>0.88518691955347295</v>
      </c>
      <c r="S33" s="207">
        <f>'Ridership-24'!D25/'Revenue Miles-24'!K25</f>
        <v>0.45809445888874789</v>
      </c>
      <c r="T33" s="207">
        <f>'Ridership-24'!E25/'Revenue Miles-24'!L25</f>
        <v>0.47819886223375052</v>
      </c>
      <c r="U33" s="97">
        <f t="shared" si="5"/>
        <v>0.96331130085471905</v>
      </c>
      <c r="V33" s="98">
        <f t="shared" si="6"/>
        <v>0.16275158978128282</v>
      </c>
      <c r="W33" s="99">
        <f t="shared" si="7"/>
        <v>0.15457712165449489</v>
      </c>
      <c r="X33" s="95">
        <f>'Op Cost-24'!B26/'Revenue Hours-24'!C25</f>
        <v>114.34052079729622</v>
      </c>
      <c r="Y33" s="96">
        <f>'Op Cost-24'!C26/'Revenue Hours-24'!D25</f>
        <v>111.12397982480542</v>
      </c>
      <c r="Z33" s="96">
        <f>'Op Cost-24'!D26/'Revenue Hours-24'!E25</f>
        <v>123.96447205256577</v>
      </c>
      <c r="AA33" s="96">
        <f>'Op Cost-24'!E26/'Revenue Hours-24'!F25</f>
        <v>123.17011468072208</v>
      </c>
      <c r="AB33" s="97">
        <f t="shared" si="8"/>
        <v>0.95293795539383053</v>
      </c>
      <c r="AC33" s="98">
        <f t="shared" si="9"/>
        <v>0.17729396765778163</v>
      </c>
      <c r="AD33" s="99">
        <f t="shared" si="10"/>
        <v>0.17829983753764989</v>
      </c>
      <c r="AE33" s="95">
        <f>'Op Cost-24'!B26/'Revenue Miles-24'!C25</f>
        <v>8.6609593473056652</v>
      </c>
      <c r="AF33" s="96">
        <f>'Op Cost-24'!C26/'Revenue Miles-24'!D25</f>
        <v>8.3651641583266318</v>
      </c>
      <c r="AG33" s="96">
        <f>'Op Cost-24'!D26/'Revenue Miles-24'!E25</f>
        <v>9.6003592943580749</v>
      </c>
      <c r="AH33" s="96">
        <f>'Op Cost-24'!E26/'Revenue Miles-24'!F25</f>
        <v>9.4889394391510358</v>
      </c>
      <c r="AI33" s="97">
        <f t="shared" si="11"/>
        <v>0.96337874086375253</v>
      </c>
      <c r="AJ33" s="98">
        <f t="shared" si="12"/>
        <v>0.17537251329833983</v>
      </c>
      <c r="AK33" s="99">
        <f t="shared" si="13"/>
        <v>0.17556741721483965</v>
      </c>
      <c r="AL33" s="95">
        <f>'Op Cost-24'!B26/'Ridership-24'!B25</f>
        <v>10.337020417339961</v>
      </c>
      <c r="AM33" s="96">
        <f>'Op Cost-24'!C26/'Ridership-24'!C25</f>
        <v>10.161469822420175</v>
      </c>
      <c r="AN33" s="96">
        <f>'Op Cost-24'!D26/'Ridership-24'!D25</f>
        <v>21.10561073742015</v>
      </c>
      <c r="AO33" s="96">
        <f>'Op Cost-24'!E26/'Ridership-24'!E25</f>
        <v>19.999257439903197</v>
      </c>
      <c r="AP33" s="97">
        <f t="shared" si="14"/>
        <v>1.0176178200882871</v>
      </c>
      <c r="AQ33" s="98">
        <f t="shared" si="15"/>
        <v>0.16602514982374078</v>
      </c>
      <c r="AR33" s="99">
        <f t="shared" si="16"/>
        <v>0.17581404292201194</v>
      </c>
      <c r="AT33" s="101">
        <f t="shared" si="27"/>
        <v>0</v>
      </c>
      <c r="AU33" s="102">
        <f t="shared" si="17"/>
        <v>0</v>
      </c>
      <c r="AV33" s="102">
        <f t="shared" si="18"/>
        <v>0</v>
      </c>
      <c r="AW33" s="102">
        <f t="shared" si="19"/>
        <v>0</v>
      </c>
      <c r="AX33" s="103">
        <f t="shared" si="20"/>
        <v>0</v>
      </c>
      <c r="AY33" s="104">
        <f t="shared" si="28"/>
        <v>-1</v>
      </c>
      <c r="AZ33" s="105">
        <f t="shared" si="21"/>
        <v>0</v>
      </c>
      <c r="BA33" s="106">
        <f t="shared" si="21"/>
        <v>0</v>
      </c>
      <c r="BB33" s="106">
        <f t="shared" si="21"/>
        <v>0</v>
      </c>
      <c r="BC33" s="106">
        <f t="shared" si="21"/>
        <v>0</v>
      </c>
      <c r="BD33" s="106">
        <f t="shared" si="21"/>
        <v>0</v>
      </c>
      <c r="BE33" s="107">
        <f t="shared" si="29"/>
        <v>21389572.25195476</v>
      </c>
      <c r="BG33" s="108">
        <f>'Op Cost-24'!E26</f>
        <v>103826125</v>
      </c>
      <c r="BH33" s="109">
        <f t="shared" si="22"/>
        <v>0.20601339260185969</v>
      </c>
      <c r="BI33" s="110">
        <f t="shared" si="23"/>
        <v>21389572.25195476</v>
      </c>
      <c r="BJ33" s="111">
        <f t="shared" si="24"/>
        <v>0</v>
      </c>
      <c r="BK33" s="1">
        <f t="shared" si="30"/>
        <v>0.8029425100838109</v>
      </c>
      <c r="BL33" s="112">
        <f t="shared" si="31"/>
        <v>0.7897157950787409</v>
      </c>
      <c r="BM33" s="112">
        <f t="shared" si="32"/>
        <v>0.87918917594824408</v>
      </c>
      <c r="BN33" s="113">
        <f t="shared" si="33"/>
        <v>0.77143253465412931</v>
      </c>
      <c r="BO33" s="114">
        <f t="shared" si="25"/>
        <v>21389572.25195476</v>
      </c>
      <c r="BP33" s="115">
        <f t="shared" si="34"/>
        <v>0.13565725835787984</v>
      </c>
      <c r="BQ33" s="116">
        <f t="shared" si="35"/>
        <v>0.13565725835787984</v>
      </c>
      <c r="BR33" s="117">
        <f t="shared" si="36"/>
        <v>0.20810687430521702</v>
      </c>
      <c r="BS33" s="118">
        <f t="shared" si="37"/>
        <v>24006141.412594166</v>
      </c>
      <c r="BT33" s="119">
        <f t="shared" si="38"/>
        <v>31147837.5</v>
      </c>
      <c r="BU33" s="119">
        <f t="shared" si="39"/>
        <v>24006141.412594166</v>
      </c>
      <c r="BV33" s="119">
        <f t="shared" si="56"/>
        <v>0</v>
      </c>
      <c r="BW33" s="120">
        <f t="shared" si="40"/>
        <v>0.13565725835787984</v>
      </c>
      <c r="BX33" s="121">
        <f t="shared" si="41"/>
        <v>0.25711478014200401</v>
      </c>
      <c r="BY33" s="122">
        <f t="shared" si="42"/>
        <v>24415425.97582908</v>
      </c>
      <c r="BZ33" s="123">
        <f t="shared" si="58"/>
        <v>306980011426884.06</v>
      </c>
      <c r="CA33" s="111">
        <f>ROUND((BZ33+BI33),0)</f>
        <v>306980032816456</v>
      </c>
      <c r="CC33" s="124">
        <f t="shared" si="26"/>
        <v>1</v>
      </c>
      <c r="CD33" s="17"/>
      <c r="CE33" s="108">
        <f t="shared" si="44"/>
        <v>103826125</v>
      </c>
      <c r="CF33" s="125">
        <f t="shared" si="45"/>
        <v>2956674.2745764228</v>
      </c>
      <c r="CG33" s="110">
        <f t="shared" si="46"/>
        <v>31147837.5</v>
      </c>
      <c r="CH33" s="126">
        <f t="shared" si="47"/>
        <v>306980001668618.5</v>
      </c>
      <c r="CJ33" s="127">
        <f t="shared" si="48"/>
        <v>0</v>
      </c>
      <c r="CK33" s="128" t="e">
        <f t="shared" si="49"/>
        <v>#DIV/0!</v>
      </c>
      <c r="CL33" s="129" t="e">
        <f t="shared" si="50"/>
        <v>#DIV/0!</v>
      </c>
      <c r="CM33" s="130" t="e">
        <f t="shared" si="51"/>
        <v>#DIV/0!</v>
      </c>
      <c r="CO33" s="131" t="e">
        <f t="shared" si="52"/>
        <v>#DIV/0!</v>
      </c>
      <c r="CP33" s="1">
        <f t="shared" si="53"/>
        <v>0</v>
      </c>
      <c r="CQ33" s="132">
        <f t="shared" si="54"/>
        <v>0.23515686418836376</v>
      </c>
      <c r="CS33" s="104">
        <f t="shared" si="55"/>
        <v>0.11253306276935358</v>
      </c>
    </row>
    <row r="34" spans="1:97">
      <c r="A34" s="133" t="s">
        <v>104</v>
      </c>
      <c r="B34" s="90" t="s">
        <v>110</v>
      </c>
      <c r="C34" s="208">
        <f>'Op Cost-24'!E27</f>
        <v>82086963</v>
      </c>
      <c r="D34" s="92">
        <f>'Ridership-24'!$E26</f>
        <v>821936</v>
      </c>
      <c r="E34" s="92">
        <f>'Revenue Hours-24'!$F26</f>
        <v>71732</v>
      </c>
      <c r="F34" s="92">
        <f>'Revenue Miles-24'!$F26</f>
        <v>2197853</v>
      </c>
      <c r="G34" s="163">
        <f>$C$4</f>
        <v>5.592864339467718E-2</v>
      </c>
      <c r="H34" s="164">
        <f>$C$4</f>
        <v>5.592864339467718E-2</v>
      </c>
      <c r="J34" s="95">
        <f>'Ridership-24'!B26/'Revenue Hours-24'!C26</f>
        <v>59.097809306301592</v>
      </c>
      <c r="K34" s="207">
        <f>'Ridership-24'!C26/'Revenue Hours-24'!J26</f>
        <v>55.342163410837145</v>
      </c>
      <c r="L34" s="207">
        <f>'Ridership-24'!D26/'Revenue Hours-24'!K26</f>
        <v>6.8452722063037248</v>
      </c>
      <c r="M34" s="207">
        <f>'Ridership-24'!E26/'Revenue Hours-24'!L26</f>
        <v>11.458428595327051</v>
      </c>
      <c r="N34" s="97">
        <f t="shared" si="2"/>
        <v>0.8267628961688408</v>
      </c>
      <c r="O34" s="98">
        <f t="shared" si="3"/>
        <v>4.6239727191777616E-2</v>
      </c>
      <c r="P34" s="99">
        <f t="shared" si="4"/>
        <v>4.4015821958034884E-2</v>
      </c>
      <c r="Q34" s="95">
        <f>'Ridership-24'!B26/'Revenue Miles-24'!C26</f>
        <v>1.9169269798702158</v>
      </c>
      <c r="R34" s="207">
        <f>'Ridership-24'!C26/'Revenue Miles-24'!J26</f>
        <v>1.7949837852981274</v>
      </c>
      <c r="S34" s="207">
        <f>'Ridership-24'!D26/'Revenue Miles-24'!K26</f>
        <v>0.21891420471730516</v>
      </c>
      <c r="T34" s="207">
        <f>'Ridership-24'!E26/'Revenue Miles-24'!L26</f>
        <v>0.3739722356317734</v>
      </c>
      <c r="U34" s="97">
        <f t="shared" si="5"/>
        <v>0.84609812474829893</v>
      </c>
      <c r="V34" s="98">
        <f t="shared" si="6"/>
        <v>4.7321120295952694E-2</v>
      </c>
      <c r="W34" s="99">
        <f t="shared" si="7"/>
        <v>4.4944338661419933E-2</v>
      </c>
      <c r="X34" s="95">
        <f>'Op Cost-24'!B27/'Revenue Hours-24'!C26</f>
        <v>1005.9172333720352</v>
      </c>
      <c r="Y34" s="96">
        <f>'Op Cost-24'!C27/'Revenue Hours-24'!D26</f>
        <v>972.50946617787372</v>
      </c>
      <c r="Z34" s="96">
        <f>'Op Cost-24'!D27/'Revenue Hours-24'!E26</f>
        <v>1634.8335704410204</v>
      </c>
      <c r="AA34" s="96">
        <f>'Op Cost-24'!E27/'Revenue Hours-24'!F26</f>
        <v>1144.3562566218702</v>
      </c>
      <c r="AB34" s="97">
        <f t="shared" si="8"/>
        <v>1.0080005539781249</v>
      </c>
      <c r="AC34" s="98">
        <f t="shared" si="9"/>
        <v>5.5484734779114926E-2</v>
      </c>
      <c r="AD34" s="99">
        <f t="shared" si="10"/>
        <v>5.5799525091747099E-2</v>
      </c>
      <c r="AE34" s="95">
        <f>'Op Cost-24'!B27/'Revenue Miles-24'!C26</f>
        <v>32.628449460336377</v>
      </c>
      <c r="AF34" s="96">
        <f>'Op Cost-24'!C27/'Revenue Miles-24'!D26</f>
        <v>31.54265419440377</v>
      </c>
      <c r="AG34" s="96">
        <f>'Op Cost-24'!D27/'Revenue Miles-24'!E26</f>
        <v>52.282550661560784</v>
      </c>
      <c r="AH34" s="96">
        <f>'Op Cost-24'!E27/'Revenue Miles-24'!F26</f>
        <v>37.348704849687401</v>
      </c>
      <c r="AI34" s="97">
        <f t="shared" si="11"/>
        <v>1.0074292279502493</v>
      </c>
      <c r="AJ34" s="98">
        <f t="shared" si="12"/>
        <v>5.5516200883382702E-2</v>
      </c>
      <c r="AK34" s="99">
        <f t="shared" si="13"/>
        <v>5.5577899976232872E-2</v>
      </c>
      <c r="AL34" s="95">
        <f>'Op Cost-24'!B27/'Ridership-24'!B26</f>
        <v>17.021227100964204</v>
      </c>
      <c r="AM34" s="96">
        <f>'Op Cost-24'!C27/'Ridership-24'!C26</f>
        <v>17.572668038984474</v>
      </c>
      <c r="AN34" s="96">
        <f>'Op Cost-24'!D27/'Ridership-24'!D26</f>
        <v>238.82667060858773</v>
      </c>
      <c r="AO34" s="96">
        <f>'Op Cost-24'!E27/'Ridership-24'!E26</f>
        <v>99.870261188219033</v>
      </c>
      <c r="AP34" s="97">
        <f t="shared" si="14"/>
        <v>2.4216650482883781</v>
      </c>
      <c r="AQ34" s="98">
        <f t="shared" si="15"/>
        <v>2.3095119382512165E-2</v>
      </c>
      <c r="AR34" s="99">
        <f t="shared" si="16"/>
        <v>2.4456814613428888E-2</v>
      </c>
      <c r="AT34" s="101">
        <f t="shared" si="27"/>
        <v>0</v>
      </c>
      <c r="AU34" s="102">
        <f t="shared" si="17"/>
        <v>0</v>
      </c>
      <c r="AV34" s="102">
        <f t="shared" si="18"/>
        <v>0</v>
      </c>
      <c r="AW34" s="102">
        <f t="shared" si="19"/>
        <v>0</v>
      </c>
      <c r="AX34" s="103">
        <f t="shared" si="20"/>
        <v>0</v>
      </c>
      <c r="AY34" s="104">
        <f t="shared" si="28"/>
        <v>-1</v>
      </c>
      <c r="AZ34" s="105">
        <f t="shared" si="21"/>
        <v>0</v>
      </c>
      <c r="BA34" s="106">
        <f t="shared" si="21"/>
        <v>0</v>
      </c>
      <c r="BB34" s="106">
        <f t="shared" si="21"/>
        <v>0</v>
      </c>
      <c r="BC34" s="106">
        <f t="shared" si="21"/>
        <v>0</v>
      </c>
      <c r="BD34" s="106">
        <f t="shared" si="21"/>
        <v>0</v>
      </c>
      <c r="BE34" s="107">
        <f t="shared" si="29"/>
        <v>7080726.1873147823</v>
      </c>
      <c r="BG34" s="108">
        <f>'Op Cost-24'!E27</f>
        <v>82086963</v>
      </c>
      <c r="BH34" s="109">
        <f t="shared" si="22"/>
        <v>8.6258839754064023E-2</v>
      </c>
      <c r="BI34" s="110">
        <f t="shared" si="23"/>
        <v>7080726.1873147823</v>
      </c>
      <c r="BJ34" s="111">
        <f t="shared" si="24"/>
        <v>0</v>
      </c>
      <c r="BK34" s="1">
        <f t="shared" si="30"/>
        <v>0.88374333501590352</v>
      </c>
      <c r="BL34" s="112">
        <f t="shared" si="31"/>
        <v>2.1187043525116742</v>
      </c>
      <c r="BM34" s="112">
        <f t="shared" si="32"/>
        <v>0.98222521909793759</v>
      </c>
      <c r="BN34" s="113">
        <f t="shared" si="33"/>
        <v>0.21702188422700117</v>
      </c>
      <c r="BO34" s="114">
        <f t="shared" si="25"/>
        <v>7080726.1873147823</v>
      </c>
      <c r="BP34" s="115">
        <f t="shared" si="34"/>
        <v>4.9426565836527193E-2</v>
      </c>
      <c r="BQ34" s="116">
        <f t="shared" si="35"/>
        <v>4.9426565836527193E-2</v>
      </c>
      <c r="BR34" s="117">
        <f t="shared" si="36"/>
        <v>7.5823499961535382E-2</v>
      </c>
      <c r="BS34" s="118">
        <f t="shared" si="37"/>
        <v>8034070.1473039165</v>
      </c>
      <c r="BT34" s="119">
        <f t="shared" si="38"/>
        <v>24626088.899999999</v>
      </c>
      <c r="BU34" s="119">
        <f t="shared" si="39"/>
        <v>8034070.1473039165</v>
      </c>
      <c r="BV34" s="119">
        <f t="shared" si="56"/>
        <v>0</v>
      </c>
      <c r="BW34" s="120">
        <f t="shared" si="40"/>
        <v>4.9426565836527193E-2</v>
      </c>
      <c r="BX34" s="121">
        <f t="shared" si="41"/>
        <v>9.3679474007258651E-2</v>
      </c>
      <c r="BY34" s="122">
        <f t="shared" si="42"/>
        <v>8183192.5065162545</v>
      </c>
      <c r="BZ34" s="123">
        <f t="shared" si="58"/>
        <v>102888908497671.56</v>
      </c>
      <c r="CA34" s="111">
        <f>ROUND((BZ34+BI34),0)</f>
        <v>102888915578398</v>
      </c>
      <c r="CC34" s="124">
        <f t="shared" si="26"/>
        <v>1</v>
      </c>
      <c r="CD34" s="17"/>
      <c r="CE34" s="108">
        <f t="shared" si="44"/>
        <v>82086963</v>
      </c>
      <c r="CF34" s="125">
        <f t="shared" si="45"/>
        <v>1253413.5972163815</v>
      </c>
      <c r="CG34" s="110">
        <f t="shared" si="46"/>
        <v>24626088.899999999</v>
      </c>
      <c r="CH34" s="126">
        <f t="shared" si="47"/>
        <v>102888890952309.09</v>
      </c>
      <c r="CJ34" s="127">
        <f t="shared" si="48"/>
        <v>0</v>
      </c>
      <c r="CK34" s="128" t="e">
        <f t="shared" si="49"/>
        <v>#DIV/0!</v>
      </c>
      <c r="CL34" s="129" t="e">
        <f t="shared" si="50"/>
        <v>#DIV/0!</v>
      </c>
      <c r="CM34" s="130" t="e">
        <f t="shared" si="51"/>
        <v>#DIV/0!</v>
      </c>
      <c r="CO34" s="131" t="e">
        <f t="shared" si="52"/>
        <v>#DIV/0!</v>
      </c>
      <c r="CP34" s="1">
        <f t="shared" si="53"/>
        <v>0</v>
      </c>
      <c r="CQ34" s="132">
        <f t="shared" si="54"/>
        <v>9.9689307625088458E-2</v>
      </c>
      <c r="CS34" s="104">
        <f t="shared" si="55"/>
        <v>4.1001291807637494E-2</v>
      </c>
    </row>
    <row r="35" spans="1:97">
      <c r="A35" s="133" t="s">
        <v>104</v>
      </c>
      <c r="B35" s="90" t="s">
        <v>111</v>
      </c>
      <c r="C35" s="208">
        <f>'Op Cost-24'!E28</f>
        <v>39737337</v>
      </c>
      <c r="D35" s="92">
        <f>'Ridership-24'!$E27</f>
        <v>1220283</v>
      </c>
      <c r="E35" s="92">
        <f>'Revenue Hours-24'!$F27</f>
        <v>217350</v>
      </c>
      <c r="F35" s="92">
        <f>'Revenue Miles-24'!$F27</f>
        <v>5217740</v>
      </c>
      <c r="G35" s="134">
        <f t="shared" ref="G35:G50" si="59">IFERROR($C$9*(C35/C$51),0) + IFERROR($D$9*(D35/D$51),0) + IFERROR($E$9*(E35/E$51),0) + IFERROR($F$9*(F35/F$51),0)</f>
        <v>6.0443128956391687E-2</v>
      </c>
      <c r="H35" s="94">
        <f t="shared" ref="H35:H50" si="60">G35/(SUM($G$11:$G$50)-$G$34)*(1-$G$34)</f>
        <v>5.7062626751331176E-2</v>
      </c>
      <c r="J35" s="95">
        <f>'Ridership-24'!B27/'Revenue Hours-24'!C27</f>
        <v>10.344199378821216</v>
      </c>
      <c r="K35" s="207">
        <f>'Ridership-24'!C27/'Revenue Hours-24'!J27</f>
        <v>13.791361679865155</v>
      </c>
      <c r="L35" s="207">
        <f>'Ridership-24'!D27/'Revenue Hours-24'!K27</f>
        <v>4.7414961079159808</v>
      </c>
      <c r="M35" s="207">
        <f>'Ridership-24'!E27/'Revenue Hours-24'!L27</f>
        <v>8.3506672141244103</v>
      </c>
      <c r="N35" s="97">
        <f t="shared" si="2"/>
        <v>1.1249729754844189</v>
      </c>
      <c r="O35" s="98">
        <f t="shared" si="3"/>
        <v>6.4193913005401837E-2</v>
      </c>
      <c r="P35" s="99">
        <f t="shared" si="4"/>
        <v>6.1106499048242398E-2</v>
      </c>
      <c r="Q35" s="95">
        <f>'Ridership-24'!B27/'Revenue Miles-24'!C27</f>
        <v>0.49586520195533368</v>
      </c>
      <c r="R35" s="207">
        <f>'Ridership-24'!C27/'Revenue Miles-24'!J27</f>
        <v>0.8576762227747069</v>
      </c>
      <c r="S35" s="207">
        <f>'Ridership-24'!D27/'Revenue Miles-24'!K27</f>
        <v>0.22608261693569948</v>
      </c>
      <c r="T35" s="207">
        <f>'Ridership-24'!E27/'Revenue Miles-24'!L27</f>
        <v>0.36842213317062111</v>
      </c>
      <c r="U35" s="97">
        <f t="shared" si="5"/>
        <v>1.1829406657152364</v>
      </c>
      <c r="V35" s="98">
        <f t="shared" si="6"/>
        <v>6.7501701676679751E-2</v>
      </c>
      <c r="W35" s="99">
        <f t="shared" si="7"/>
        <v>6.4111316921596856E-2</v>
      </c>
      <c r="X35" s="95">
        <f>'Op Cost-24'!B28/'Revenue Hours-24'!C27</f>
        <v>132.85237039556537</v>
      </c>
      <c r="Y35" s="96">
        <f>'Op Cost-24'!C28/'Revenue Hours-24'!D27</f>
        <v>147.42823097382487</v>
      </c>
      <c r="Z35" s="96">
        <f>'Op Cost-24'!D28/'Revenue Hours-24'!E27</f>
        <v>162.67460550900779</v>
      </c>
      <c r="AA35" s="96">
        <f>'Op Cost-24'!E28/'Revenue Hours-24'!F27</f>
        <v>182.82648723257418</v>
      </c>
      <c r="AB35" s="97">
        <f t="shared" si="8"/>
        <v>1.0380499392550568</v>
      </c>
      <c r="AC35" s="98">
        <f t="shared" si="9"/>
        <v>5.4970984143866364E-2</v>
      </c>
      <c r="AD35" s="99">
        <f t="shared" si="10"/>
        <v>5.5282859713844924E-2</v>
      </c>
      <c r="AE35" s="95">
        <f>'Op Cost-24'!B28/'Revenue Miles-24'!C27</f>
        <v>6.3684839264910691</v>
      </c>
      <c r="AF35" s="96">
        <f>'Op Cost-24'!C28/'Revenue Miles-24'!D27</f>
        <v>7.5014755999523217</v>
      </c>
      <c r="AG35" s="96">
        <f>'Op Cost-24'!D28/'Revenue Miles-24'!E27</f>
        <v>7.31477070368339</v>
      </c>
      <c r="AH35" s="96">
        <f>'Op Cost-24'!E28/'Revenue Miles-24'!F27</f>
        <v>7.6158139347686928</v>
      </c>
      <c r="AI35" s="97">
        <f t="shared" si="11"/>
        <v>1.00473780092762</v>
      </c>
      <c r="AJ35" s="98">
        <f t="shared" si="12"/>
        <v>5.6793550216432925E-2</v>
      </c>
      <c r="AK35" s="99">
        <f t="shared" si="13"/>
        <v>5.685666891822333E-2</v>
      </c>
      <c r="AL35" s="95">
        <f>'Op Cost-24'!B28/'Ridership-24'!B27</f>
        <v>12.843175728763333</v>
      </c>
      <c r="AM35" s="96">
        <f>'Op Cost-24'!C28/'Ridership-24'!C27</f>
        <v>13.882982657939651</v>
      </c>
      <c r="AN35" s="96">
        <f>'Op Cost-24'!D28/'Ridership-24'!D27</f>
        <v>51.119974938660576</v>
      </c>
      <c r="AO35" s="96">
        <f>'Op Cost-24'!E28/'Ridership-24'!E27</f>
        <v>32.564033916722593</v>
      </c>
      <c r="AP35" s="97">
        <f t="shared" si="14"/>
        <v>1.141557882420283</v>
      </c>
      <c r="AQ35" s="98">
        <f t="shared" si="15"/>
        <v>4.9986625847083105E-2</v>
      </c>
      <c r="AR35" s="99">
        <f t="shared" si="16"/>
        <v>5.2933852440643483E-2</v>
      </c>
      <c r="AT35" s="101">
        <f t="shared" si="27"/>
        <v>0</v>
      </c>
      <c r="AU35" s="102">
        <f t="shared" si="17"/>
        <v>0</v>
      </c>
      <c r="AV35" s="102">
        <f t="shared" si="18"/>
        <v>0</v>
      </c>
      <c r="AW35" s="102">
        <f t="shared" si="19"/>
        <v>0</v>
      </c>
      <c r="AX35" s="103">
        <f t="shared" si="20"/>
        <v>0</v>
      </c>
      <c r="AY35" s="104">
        <f t="shared" si="28"/>
        <v>-1</v>
      </c>
      <c r="AZ35" s="105">
        <f t="shared" si="21"/>
        <v>0</v>
      </c>
      <c r="BA35" s="106">
        <f t="shared" si="21"/>
        <v>0</v>
      </c>
      <c r="BB35" s="106">
        <f t="shared" si="21"/>
        <v>0</v>
      </c>
      <c r="BC35" s="106">
        <f t="shared" si="21"/>
        <v>0</v>
      </c>
      <c r="BD35" s="106">
        <f t="shared" si="21"/>
        <v>0</v>
      </c>
      <c r="BE35" s="107">
        <f t="shared" si="29"/>
        <v>7224291.7230059849</v>
      </c>
      <c r="BG35" s="108">
        <f>'Op Cost-24'!E28</f>
        <v>39737337</v>
      </c>
      <c r="BH35" s="109">
        <f t="shared" si="22"/>
        <v>0.18180110365739871</v>
      </c>
      <c r="BI35" s="110">
        <f t="shared" si="23"/>
        <v>7224291.7230059849</v>
      </c>
      <c r="BJ35" s="111">
        <f t="shared" si="24"/>
        <v>0</v>
      </c>
      <c r="BK35" s="1">
        <f t="shared" si="30"/>
        <v>0.60573659038857419</v>
      </c>
      <c r="BL35" s="112">
        <f t="shared" si="31"/>
        <v>0.87817714118987988</v>
      </c>
      <c r="BM35" s="112">
        <f t="shared" si="32"/>
        <v>0.65352652368744446</v>
      </c>
      <c r="BN35" s="113">
        <f t="shared" si="33"/>
        <v>0.44562134833848627</v>
      </c>
      <c r="BO35" s="114">
        <f t="shared" si="25"/>
        <v>7224291.7230059849</v>
      </c>
      <c r="BP35" s="115">
        <f t="shared" si="34"/>
        <v>3.4564920966967186E-2</v>
      </c>
      <c r="BQ35" s="116">
        <f t="shared" si="35"/>
        <v>3.4564920966967186E-2</v>
      </c>
      <c r="BR35" s="117">
        <f t="shared" si="36"/>
        <v>5.3024790196377819E-2</v>
      </c>
      <c r="BS35" s="118">
        <f t="shared" si="37"/>
        <v>7890982.9663415197</v>
      </c>
      <c r="BT35" s="119">
        <f t="shared" si="38"/>
        <v>11921201.1</v>
      </c>
      <c r="BU35" s="119">
        <f t="shared" si="39"/>
        <v>7890982.9663415197</v>
      </c>
      <c r="BV35" s="119">
        <f t="shared" si="56"/>
        <v>0</v>
      </c>
      <c r="BW35" s="120">
        <f t="shared" si="40"/>
        <v>3.4564920966967186E-2</v>
      </c>
      <c r="BX35" s="121">
        <f t="shared" si="41"/>
        <v>6.5511806464510422E-2</v>
      </c>
      <c r="BY35" s="122">
        <f t="shared" si="42"/>
        <v>7995267.0183153059</v>
      </c>
      <c r="BZ35" s="123">
        <f t="shared" si="58"/>
        <v>100526083922239.56</v>
      </c>
      <c r="CA35" s="111">
        <f t="shared" si="57"/>
        <v>100526091146531</v>
      </c>
      <c r="CC35" s="124">
        <f t="shared" si="26"/>
        <v>1</v>
      </c>
      <c r="CD35" s="17"/>
      <c r="CE35" s="108">
        <f t="shared" si="44"/>
        <v>39737337</v>
      </c>
      <c r="CF35" s="125">
        <f t="shared" si="45"/>
        <v>2529764.1647836389</v>
      </c>
      <c r="CG35" s="110">
        <f t="shared" si="46"/>
        <v>11921201.1</v>
      </c>
      <c r="CH35" s="126">
        <f t="shared" si="47"/>
        <v>100526079225329.91</v>
      </c>
      <c r="CJ35" s="127">
        <f t="shared" si="48"/>
        <v>0</v>
      </c>
      <c r="CK35" s="128" t="e">
        <f t="shared" si="49"/>
        <v>#DIV/0!</v>
      </c>
      <c r="CL35" s="129" t="e">
        <f t="shared" si="50"/>
        <v>#DIV/0!</v>
      </c>
      <c r="CM35" s="130" t="e">
        <f t="shared" si="51"/>
        <v>#DIV/0!</v>
      </c>
      <c r="CO35" s="131" t="e">
        <f t="shared" si="52"/>
        <v>#DIV/0!</v>
      </c>
      <c r="CP35" s="1">
        <f t="shared" si="53"/>
        <v>0</v>
      </c>
      <c r="CQ35" s="132">
        <f t="shared" si="54"/>
        <v>0.20120288932082453</v>
      </c>
      <c r="CS35" s="104">
        <f t="shared" si="55"/>
        <v>2.867296942218887E-2</v>
      </c>
    </row>
    <row r="36" spans="1:97">
      <c r="A36" s="133" t="s">
        <v>112</v>
      </c>
      <c r="B36" s="90" t="s">
        <v>113</v>
      </c>
      <c r="C36" s="208">
        <f>'Op Cost-24'!E29</f>
        <v>4080556</v>
      </c>
      <c r="D36" s="92">
        <f>'Ridership-24'!$E28</f>
        <v>404081</v>
      </c>
      <c r="E36" s="92">
        <f>'Revenue Hours-24'!$F28</f>
        <v>47286</v>
      </c>
      <c r="F36" s="92">
        <f>'Revenue Miles-24'!$F28</f>
        <v>554292</v>
      </c>
      <c r="G36" s="93">
        <f t="shared" si="59"/>
        <v>9.6308831556733039E-3</v>
      </c>
      <c r="H36" s="94">
        <f t="shared" si="60"/>
        <v>9.0922409260838499E-3</v>
      </c>
      <c r="J36" s="95">
        <f>'Ridership-24'!B28/'Revenue Hours-24'!C28</f>
        <v>5.8235136133212473</v>
      </c>
      <c r="K36" s="207">
        <f>'Ridership-24'!C28/'Revenue Hours-24'!J28</f>
        <v>7.2311072676573369</v>
      </c>
      <c r="L36" s="207">
        <f>'Ridership-24'!D28/'Revenue Hours-24'!K28</f>
        <v>7.0651748073074137</v>
      </c>
      <c r="M36" s="207">
        <f>'Ridership-24'!E28/'Revenue Hours-24'!L28</f>
        <v>8.5454680032144825</v>
      </c>
      <c r="N36" s="97">
        <f t="shared" si="2"/>
        <v>1.3624910960990697</v>
      </c>
      <c r="O36" s="98">
        <f t="shared" si="3"/>
        <v>1.2388097305376806E-2</v>
      </c>
      <c r="P36" s="99">
        <f t="shared" si="4"/>
        <v>1.1792290277379446E-2</v>
      </c>
      <c r="Q36" s="95">
        <f>'Ridership-24'!B28/'Revenue Miles-24'!C28</f>
        <v>0.5399100487106463</v>
      </c>
      <c r="R36" s="207">
        <f>'Ridership-24'!C28/'Revenue Miles-24'!J28</f>
        <v>0.68740479018609113</v>
      </c>
      <c r="S36" s="207">
        <f>'Ridership-24'!D28/'Revenue Miles-24'!K28</f>
        <v>0.60435953803758868</v>
      </c>
      <c r="T36" s="207">
        <f>'Ridership-24'!E28/'Revenue Miles-24'!L28</f>
        <v>0.7290038463481342</v>
      </c>
      <c r="U36" s="97">
        <f t="shared" si="5"/>
        <v>1.3105322544942031</v>
      </c>
      <c r="V36" s="98">
        <f t="shared" si="6"/>
        <v>1.1915674999265128E-2</v>
      </c>
      <c r="W36" s="99">
        <f t="shared" si="7"/>
        <v>1.1317190489088882E-2</v>
      </c>
      <c r="X36" s="95">
        <f>'Op Cost-24'!B29/'Revenue Hours-24'!C28</f>
        <v>60.12394668815255</v>
      </c>
      <c r="Y36" s="96">
        <f>'Op Cost-24'!C29/'Revenue Hours-24'!D28</f>
        <v>63.118368571529423</v>
      </c>
      <c r="Z36" s="96">
        <f>'Op Cost-24'!D29/'Revenue Hours-24'!E28</f>
        <v>99.128071370778855</v>
      </c>
      <c r="AA36" s="96">
        <f>'Op Cost-24'!E29/'Revenue Hours-24'!F28</f>
        <v>86.295224802267057</v>
      </c>
      <c r="AB36" s="97">
        <f t="shared" si="8"/>
        <v>1.0617091010611783</v>
      </c>
      <c r="AC36" s="98">
        <f t="shared" si="9"/>
        <v>8.5637778907576047E-3</v>
      </c>
      <c r="AD36" s="99">
        <f t="shared" si="10"/>
        <v>8.6123641249763686E-3</v>
      </c>
      <c r="AE36" s="95">
        <f>'Op Cost-24'!B29/'Revenue Miles-24'!C28</f>
        <v>5.5742160387195172</v>
      </c>
      <c r="AF36" s="96">
        <f>'Op Cost-24'!C29/'Revenue Miles-24'!D28</f>
        <v>6.0001694483031685</v>
      </c>
      <c r="AG36" s="96">
        <f>'Op Cost-24'!D29/'Revenue Miles-24'!E28</f>
        <v>8.4794781522232086</v>
      </c>
      <c r="AH36" s="96">
        <f>'Op Cost-24'!E29/'Revenue Miles-24'!F28</f>
        <v>7.3617443513527165</v>
      </c>
      <c r="AI36" s="97">
        <f t="shared" si="11"/>
        <v>1.0302319714596049</v>
      </c>
      <c r="AJ36" s="98">
        <f t="shared" si="12"/>
        <v>8.8254307553688217E-3</v>
      </c>
      <c r="AK36" s="99">
        <f t="shared" si="13"/>
        <v>8.8352390827210851E-3</v>
      </c>
      <c r="AL36" s="95">
        <f>'Op Cost-24'!B29/'Ridership-24'!B28</f>
        <v>10.324342086299829</v>
      </c>
      <c r="AM36" s="96">
        <f>'Op Cost-24'!C29/'Ridership-24'!C28</f>
        <v>8.7287280129060925</v>
      </c>
      <c r="AN36" s="96">
        <f>'Op Cost-24'!D29/'Ridership-24'!D28</f>
        <v>14.030519282870687</v>
      </c>
      <c r="AO36" s="96">
        <f>'Op Cost-24'!E29/'Ridership-24'!E28</f>
        <v>10.098361467131589</v>
      </c>
      <c r="AP36" s="100">
        <f t="shared" si="14"/>
        <v>0.80929745558716537</v>
      </c>
      <c r="AQ36" s="98">
        <f t="shared" si="15"/>
        <v>1.1234733117364374E-2</v>
      </c>
      <c r="AR36" s="99">
        <f t="shared" si="16"/>
        <v>1.1897136383316799E-2</v>
      </c>
      <c r="AT36" s="101">
        <f t="shared" si="27"/>
        <v>0</v>
      </c>
      <c r="AU36" s="102">
        <f t="shared" si="17"/>
        <v>0</v>
      </c>
      <c r="AV36" s="102">
        <f t="shared" si="18"/>
        <v>0</v>
      </c>
      <c r="AW36" s="102">
        <f t="shared" si="19"/>
        <v>0</v>
      </c>
      <c r="AX36" s="103">
        <f t="shared" si="20"/>
        <v>0</v>
      </c>
      <c r="AY36" s="104">
        <f t="shared" si="28"/>
        <v>-1</v>
      </c>
      <c r="AZ36" s="105">
        <f t="shared" si="21"/>
        <v>0</v>
      </c>
      <c r="BA36" s="106">
        <f t="shared" si="21"/>
        <v>0</v>
      </c>
      <c r="BB36" s="106">
        <f t="shared" si="21"/>
        <v>0</v>
      </c>
      <c r="BC36" s="106">
        <f t="shared" si="21"/>
        <v>0</v>
      </c>
      <c r="BD36" s="106">
        <f t="shared" si="21"/>
        <v>0</v>
      </c>
      <c r="BE36" s="107">
        <f t="shared" si="29"/>
        <v>1151103.7014143676</v>
      </c>
      <c r="BG36" s="108">
        <f>'Op Cost-24'!E29</f>
        <v>4080556</v>
      </c>
      <c r="BH36" s="109">
        <f t="shared" si="22"/>
        <v>0.28209481781756401</v>
      </c>
      <c r="BI36" s="110">
        <f t="shared" si="23"/>
        <v>1151103.7014143676</v>
      </c>
      <c r="BJ36" s="111">
        <f t="shared" si="24"/>
        <v>0</v>
      </c>
      <c r="BK36" s="1">
        <f t="shared" si="30"/>
        <v>1.0632382290870586</v>
      </c>
      <c r="BL36" s="112">
        <f t="shared" si="31"/>
        <v>0.8352287987399486</v>
      </c>
      <c r="BM36" s="112">
        <f t="shared" si="32"/>
        <v>1.0432458773490656</v>
      </c>
      <c r="BN36" s="113">
        <f t="shared" si="33"/>
        <v>1.18723912012961</v>
      </c>
      <c r="BO36" s="114">
        <f t="shared" si="25"/>
        <v>1151103.7014143676</v>
      </c>
      <c r="BP36" s="115">
        <f t="shared" si="34"/>
        <v>9.6672181406822696E-3</v>
      </c>
      <c r="BQ36" s="116">
        <f t="shared" si="35"/>
        <v>9.6672181406822696E-3</v>
      </c>
      <c r="BR36" s="117">
        <f t="shared" si="36"/>
        <v>1.4830128331037582E-2</v>
      </c>
      <c r="BS36" s="118">
        <f t="shared" si="37"/>
        <v>1337565.8573083929</v>
      </c>
      <c r="BT36" s="119">
        <f t="shared" si="38"/>
        <v>1224166.8</v>
      </c>
      <c r="BU36" s="119">
        <f t="shared" si="39"/>
        <v>1224166.8</v>
      </c>
      <c r="BV36" s="119">
        <f t="shared" si="56"/>
        <v>113399.05730839283</v>
      </c>
      <c r="BW36" s="120">
        <f t="shared" si="40"/>
        <v>0</v>
      </c>
      <c r="BX36" s="121">
        <f t="shared" si="41"/>
        <v>0</v>
      </c>
      <c r="BY36" s="122">
        <f t="shared" si="42"/>
        <v>1224166.8</v>
      </c>
      <c r="BZ36" s="123">
        <f t="shared" si="58"/>
        <v>15391692884016.992</v>
      </c>
      <c r="CA36" s="111">
        <f t="shared" si="57"/>
        <v>15391694035121</v>
      </c>
      <c r="CC36" s="124">
        <f t="shared" si="26"/>
        <v>1</v>
      </c>
      <c r="CD36" s="17"/>
      <c r="CE36" s="108">
        <f t="shared" si="44"/>
        <v>4080556</v>
      </c>
      <c r="CF36" s="125">
        <f t="shared" si="45"/>
        <v>3771960.0062150843</v>
      </c>
      <c r="CG36" s="110">
        <f t="shared" si="46"/>
        <v>1224166.8</v>
      </c>
      <c r="CH36" s="126">
        <f t="shared" si="47"/>
        <v>15391692810954.199</v>
      </c>
      <c r="CJ36" s="127">
        <f t="shared" si="48"/>
        <v>0</v>
      </c>
      <c r="CK36" s="128" t="e">
        <f t="shared" si="49"/>
        <v>#DIV/0!</v>
      </c>
      <c r="CL36" s="129" t="e">
        <f t="shared" si="50"/>
        <v>#DIV/0!</v>
      </c>
      <c r="CM36" s="130" t="e">
        <f t="shared" si="51"/>
        <v>#DIV/0!</v>
      </c>
      <c r="CO36" s="131" t="e">
        <f t="shared" si="52"/>
        <v>#DIV/0!</v>
      </c>
      <c r="CP36" s="1">
        <f t="shared" si="53"/>
        <v>0</v>
      </c>
      <c r="CQ36" s="132">
        <f t="shared" si="54"/>
        <v>0.3</v>
      </c>
      <c r="CS36" s="104">
        <f t="shared" si="55"/>
        <v>8.0193399085249934E-3</v>
      </c>
    </row>
    <row r="37" spans="1:97">
      <c r="A37" s="133" t="s">
        <v>112</v>
      </c>
      <c r="B37" s="90" t="s">
        <v>114</v>
      </c>
      <c r="C37" s="208">
        <f>'Op Cost-24'!E30</f>
        <v>58367488</v>
      </c>
      <c r="D37" s="92">
        <f>'Ridership-24'!$E29</f>
        <v>8838099</v>
      </c>
      <c r="E37" s="92">
        <f>'Revenue Hours-24'!$F29</f>
        <v>589217</v>
      </c>
      <c r="F37" s="92">
        <f>'Revenue Miles-24'!$F29</f>
        <v>7359404</v>
      </c>
      <c r="G37" s="134">
        <f t="shared" si="59"/>
        <v>0.16098813847786023</v>
      </c>
      <c r="H37" s="94">
        <f t="shared" si="60"/>
        <v>0.15198429029015911</v>
      </c>
      <c r="J37" s="95">
        <f>'Ridership-24'!B29/'Revenue Hours-24'!C29</f>
        <v>14.064279158532678</v>
      </c>
      <c r="K37" s="207">
        <f>'Ridership-24'!C29/'Revenue Hours-24'!J29</f>
        <v>15.08483737680125</v>
      </c>
      <c r="L37" s="207">
        <f>'Ridership-24'!D29/'Revenue Hours-24'!K29</f>
        <v>12.685908078458269</v>
      </c>
      <c r="M37" s="207">
        <f>'Ridership-24'!E29/'Revenue Hours-24'!L29</f>
        <v>14.999735241854868</v>
      </c>
      <c r="N37" s="97">
        <f t="shared" si="2"/>
        <v>1.2105616251265683</v>
      </c>
      <c r="O37" s="98">
        <f t="shared" si="3"/>
        <v>0.18398634944736314</v>
      </c>
      <c r="P37" s="99">
        <f t="shared" si="4"/>
        <v>0.17513750386970217</v>
      </c>
      <c r="Q37" s="95">
        <f>'Ridership-24'!B29/'Revenue Miles-24'!C29</f>
        <v>1.1305960147789027</v>
      </c>
      <c r="R37" s="207">
        <f>'Ridership-24'!C29/'Revenue Miles-24'!J29</f>
        <v>1.1884855709632467</v>
      </c>
      <c r="S37" s="207">
        <f>'Ridership-24'!D29/'Revenue Miles-24'!K29</f>
        <v>1.0554722157446399</v>
      </c>
      <c r="T37" s="207">
        <f>'Ridership-24'!E29/'Revenue Miles-24'!L29</f>
        <v>1.2009259173704827</v>
      </c>
      <c r="U37" s="97">
        <f t="shared" si="5"/>
        <v>1.2233193409195682</v>
      </c>
      <c r="V37" s="98">
        <f t="shared" si="6"/>
        <v>0.18592532182788576</v>
      </c>
      <c r="W37" s="99">
        <f t="shared" si="7"/>
        <v>0.17658691463145032</v>
      </c>
      <c r="X37" s="95">
        <f>'Op Cost-24'!B30/'Revenue Hours-24'!C29</f>
        <v>85.845490006118709</v>
      </c>
      <c r="Y37" s="96">
        <f>'Op Cost-24'!C30/'Revenue Hours-24'!D29</f>
        <v>87.19640419871854</v>
      </c>
      <c r="Z37" s="96">
        <f>'Op Cost-24'!D30/'Revenue Hours-24'!E29</f>
        <v>106.94058914595765</v>
      </c>
      <c r="AA37" s="96">
        <f>'Op Cost-24'!E30/'Revenue Hours-24'!F29</f>
        <v>99.059409351732896</v>
      </c>
      <c r="AB37" s="97">
        <f t="shared" si="8"/>
        <v>0.97517721343486441</v>
      </c>
      <c r="AC37" s="98">
        <f t="shared" si="9"/>
        <v>0.15585299594401433</v>
      </c>
      <c r="AD37" s="99">
        <f t="shared" si="10"/>
        <v>0.15673722137129967</v>
      </c>
      <c r="AE37" s="95">
        <f>'Op Cost-24'!B30/'Revenue Miles-24'!C29</f>
        <v>6.9009273631188233</v>
      </c>
      <c r="AF37" s="96">
        <f>'Op Cost-24'!C30/'Revenue Miles-24'!D29</f>
        <v>6.8699228000581352</v>
      </c>
      <c r="AG37" s="96">
        <f>'Op Cost-24'!D30/'Revenue Miles-24'!E29</f>
        <v>8.897496330640184</v>
      </c>
      <c r="AH37" s="96">
        <f>'Op Cost-24'!E30/'Revenue Miles-24'!F29</f>
        <v>7.9310074565820816</v>
      </c>
      <c r="AI37" s="97">
        <f t="shared" si="11"/>
        <v>0.97974863423532932</v>
      </c>
      <c r="AJ37" s="98">
        <f t="shared" si="12"/>
        <v>0.15512579959734188</v>
      </c>
      <c r="AK37" s="99">
        <f t="shared" si="13"/>
        <v>0.1552982019044255</v>
      </c>
      <c r="AL37" s="95">
        <f>'Op Cost-24'!B30/'Ridership-24'!B29</f>
        <v>6.1037959385239438</v>
      </c>
      <c r="AM37" s="96">
        <f>'Op Cost-24'!C30/'Ridership-24'!C29</f>
        <v>5.7804006778897481</v>
      </c>
      <c r="AN37" s="96">
        <f>'Op Cost-24'!D30/'Ridership-24'!D29</f>
        <v>8.4298726180707302</v>
      </c>
      <c r="AO37" s="96">
        <f>'Op Cost-24'!E30/'Ridership-24'!E29</f>
        <v>6.6040771889973175</v>
      </c>
      <c r="AP37" s="97">
        <f t="shared" si="14"/>
        <v>0.84876555859417591</v>
      </c>
      <c r="AQ37" s="98">
        <f t="shared" si="15"/>
        <v>0.17906510078223856</v>
      </c>
      <c r="AR37" s="99">
        <f t="shared" si="16"/>
        <v>0.18962283333691105</v>
      </c>
      <c r="AT37" s="101">
        <f t="shared" si="27"/>
        <v>0</v>
      </c>
      <c r="AU37" s="102">
        <f t="shared" si="17"/>
        <v>0</v>
      </c>
      <c r="AV37" s="102">
        <f t="shared" si="18"/>
        <v>0</v>
      </c>
      <c r="AW37" s="102">
        <f t="shared" si="19"/>
        <v>0</v>
      </c>
      <c r="AX37" s="103">
        <f t="shared" si="20"/>
        <v>0</v>
      </c>
      <c r="AY37" s="104">
        <f t="shared" si="28"/>
        <v>-1</v>
      </c>
      <c r="AZ37" s="105">
        <f t="shared" si="21"/>
        <v>0</v>
      </c>
      <c r="BA37" s="106">
        <f t="shared" si="21"/>
        <v>0</v>
      </c>
      <c r="BB37" s="106">
        <f t="shared" si="21"/>
        <v>0</v>
      </c>
      <c r="BC37" s="106">
        <f t="shared" si="21"/>
        <v>0</v>
      </c>
      <c r="BD37" s="106">
        <f t="shared" si="21"/>
        <v>0</v>
      </c>
      <c r="BE37" s="107">
        <f t="shared" si="29"/>
        <v>19241645.765010655</v>
      </c>
      <c r="BG37" s="108">
        <f>'Op Cost-24'!E30</f>
        <v>58367488</v>
      </c>
      <c r="BH37" s="109">
        <f t="shared" si="22"/>
        <v>0.32966376358377208</v>
      </c>
      <c r="BI37" s="110">
        <f t="shared" si="23"/>
        <v>17510246.399999999</v>
      </c>
      <c r="BJ37" s="111">
        <f t="shared" si="24"/>
        <v>1731399.3650106564</v>
      </c>
      <c r="BK37" s="1">
        <f t="shared" si="30"/>
        <v>1.7634444590057217</v>
      </c>
      <c r="BL37" s="112">
        <f t="shared" si="31"/>
        <v>1.5386614130497034</v>
      </c>
      <c r="BM37" s="112">
        <f t="shared" si="32"/>
        <v>1.7788736988451179</v>
      </c>
      <c r="BN37" s="113">
        <f t="shared" si="33"/>
        <v>1.8681213620640325</v>
      </c>
      <c r="BO37" s="114">
        <f t="shared" si="25"/>
        <v>0</v>
      </c>
      <c r="BP37" s="115">
        <f t="shared" si="34"/>
        <v>0.26801585456809818</v>
      </c>
      <c r="BQ37" s="116">
        <f t="shared" si="35"/>
        <v>0</v>
      </c>
      <c r="BR37" s="117">
        <f t="shared" si="36"/>
        <v>0</v>
      </c>
      <c r="BS37" s="118">
        <f t="shared" si="37"/>
        <v>17510246.399999999</v>
      </c>
      <c r="BT37" s="119">
        <f t="shared" si="38"/>
        <v>17510246.399999999</v>
      </c>
      <c r="BU37" s="119">
        <f t="shared" si="39"/>
        <v>17510246.399999999</v>
      </c>
      <c r="BV37" s="119">
        <f t="shared" si="56"/>
        <v>0</v>
      </c>
      <c r="BW37" s="120">
        <f t="shared" si="40"/>
        <v>0</v>
      </c>
      <c r="BX37" s="121">
        <f t="shared" si="41"/>
        <v>0</v>
      </c>
      <c r="BY37" s="122">
        <f t="shared" si="42"/>
        <v>17510246.399999999</v>
      </c>
      <c r="BZ37" s="123">
        <f t="shared" si="58"/>
        <v>220159813934068.56</v>
      </c>
      <c r="CA37" s="111">
        <f>ROUND((BZ37+BI37),0)</f>
        <v>220159831444315</v>
      </c>
      <c r="CC37" s="124">
        <f t="shared" si="26"/>
        <v>1</v>
      </c>
      <c r="CD37" s="17"/>
      <c r="CE37" s="108">
        <f t="shared" si="44"/>
        <v>58367488</v>
      </c>
      <c r="CF37" s="125">
        <f t="shared" si="45"/>
        <v>3771960.0241201916</v>
      </c>
      <c r="CG37" s="110">
        <f t="shared" si="46"/>
        <v>17510246.399999999</v>
      </c>
      <c r="CH37" s="126">
        <f t="shared" si="47"/>
        <v>220159813934068.59</v>
      </c>
      <c r="CJ37" s="127">
        <f t="shared" si="48"/>
        <v>0</v>
      </c>
      <c r="CK37" s="128" t="e">
        <f t="shared" si="49"/>
        <v>#DIV/0!</v>
      </c>
      <c r="CL37" s="129" t="e">
        <f t="shared" si="50"/>
        <v>#DIV/0!</v>
      </c>
      <c r="CM37" s="130" t="e">
        <f t="shared" si="51"/>
        <v>#DIV/0!</v>
      </c>
      <c r="CO37" s="131" t="e">
        <f t="shared" si="52"/>
        <v>#DIV/0!</v>
      </c>
      <c r="CP37" s="1">
        <f t="shared" si="53"/>
        <v>0</v>
      </c>
      <c r="CQ37" s="132">
        <f t="shared" si="54"/>
        <v>0.3</v>
      </c>
      <c r="CS37" s="104">
        <f t="shared" si="55"/>
        <v>0.22232975478338501</v>
      </c>
    </row>
    <row r="38" spans="1:97">
      <c r="A38" s="133" t="s">
        <v>115</v>
      </c>
      <c r="B38" s="90" t="s">
        <v>116</v>
      </c>
      <c r="C38" s="208">
        <f>'Op Cost-24'!E31</f>
        <v>10001495</v>
      </c>
      <c r="D38" s="92">
        <f>'Ridership-24'!$E30</f>
        <v>3267836</v>
      </c>
      <c r="E38" s="92">
        <f>'Revenue Hours-24'!$F30</f>
        <v>100136</v>
      </c>
      <c r="F38" s="92">
        <f>'Revenue Miles-24'!$F30</f>
        <v>1050017</v>
      </c>
      <c r="G38" s="134">
        <f t="shared" si="59"/>
        <v>4.2880126184399604E-2</v>
      </c>
      <c r="H38" s="94">
        <f t="shared" si="60"/>
        <v>4.0481898898313565E-2</v>
      </c>
      <c r="J38" s="95">
        <f>'Ridership-24'!B30/'Revenue Hours-24'!C30</f>
        <v>38.430821690741176</v>
      </c>
      <c r="K38" s="207">
        <f>'Ridership-24'!C30/'Revenue Hours-24'!J30</f>
        <v>41.020012326113751</v>
      </c>
      <c r="L38" s="207">
        <f>'Ridership-24'!D30/'Revenue Hours-24'!K30</f>
        <v>7.7359808402431227</v>
      </c>
      <c r="M38" s="207">
        <f>'Ridership-24'!E30/'Revenue Hours-24'!L30</f>
        <v>32.633977790205321</v>
      </c>
      <c r="N38" s="97">
        <f t="shared" si="2"/>
        <v>1.570997120982047</v>
      </c>
      <c r="O38" s="98">
        <f t="shared" si="3"/>
        <v>6.3596946621136907E-2</v>
      </c>
      <c r="P38" s="99">
        <f t="shared" si="4"/>
        <v>6.0538243833938077E-2</v>
      </c>
      <c r="Q38" s="95">
        <f>'Ridership-24'!B30/'Revenue Miles-24'!C30</f>
        <v>3.9038389560856674</v>
      </c>
      <c r="R38" s="207">
        <f>'Ridership-24'!C30/'Revenue Miles-24'!J30</f>
        <v>4.0590237544714967</v>
      </c>
      <c r="S38" s="207">
        <f>'Ridership-24'!D30/'Revenue Miles-24'!K30</f>
        <v>0.74890286156611607</v>
      </c>
      <c r="T38" s="207">
        <f>'Ridership-24'!E30/'Revenue Miles-24'!L30</f>
        <v>3.1121743743196539</v>
      </c>
      <c r="U38" s="97">
        <f t="shared" si="5"/>
        <v>1.5695446744042203</v>
      </c>
      <c r="V38" s="98">
        <f t="shared" si="6"/>
        <v>6.3538148825618132E-2</v>
      </c>
      <c r="W38" s="99">
        <f t="shared" si="7"/>
        <v>6.0346840076449429E-2</v>
      </c>
      <c r="X38" s="95">
        <f>'Op Cost-24'!B31/'Revenue Hours-24'!C30</f>
        <v>85.193729576130707</v>
      </c>
      <c r="Y38" s="96">
        <f>'Op Cost-24'!C31/'Revenue Hours-24'!D30</f>
        <v>80.165865469272759</v>
      </c>
      <c r="Z38" s="96">
        <f>'Op Cost-24'!D31/'Revenue Hours-24'!E30</f>
        <v>94.638769882541524</v>
      </c>
      <c r="AA38" s="96">
        <f>'Op Cost-24'!E31/'Revenue Hours-24'!F30</f>
        <v>99.879114404410004</v>
      </c>
      <c r="AB38" s="97">
        <f t="shared" si="8"/>
        <v>0.98112606835854699</v>
      </c>
      <c r="AC38" s="98">
        <f t="shared" si="9"/>
        <v>4.1260649577929347E-2</v>
      </c>
      <c r="AD38" s="99">
        <f t="shared" si="10"/>
        <v>4.1494740140527328E-2</v>
      </c>
      <c r="AE38" s="95">
        <f>'Op Cost-24'!B31/'Revenue Miles-24'!C30</f>
        <v>8.6540590521293268</v>
      </c>
      <c r="AF38" s="96">
        <f>'Op Cost-24'!C31/'Revenue Miles-24'!D30</f>
        <v>7.9325951842875142</v>
      </c>
      <c r="AG38" s="96">
        <f>'Op Cost-24'!D31/'Revenue Miles-24'!E30</f>
        <v>9.1617659148578081</v>
      </c>
      <c r="AH38" s="96">
        <f>'Op Cost-24'!E31/'Revenue Miles-24'!F30</f>
        <v>9.5250791177666656</v>
      </c>
      <c r="AI38" s="97">
        <f t="shared" si="11"/>
        <v>0.96661079663279281</v>
      </c>
      <c r="AJ38" s="98">
        <f t="shared" si="12"/>
        <v>4.1880246981859742E-2</v>
      </c>
      <c r="AK38" s="99">
        <f t="shared" si="13"/>
        <v>4.1926791471684433E-2</v>
      </c>
      <c r="AL38" s="95">
        <f>'Op Cost-24'!B31/'Ridership-24'!B30</f>
        <v>2.216807391257412</v>
      </c>
      <c r="AM38" s="96">
        <f>'Op Cost-24'!C31/'Ridership-24'!C30</f>
        <v>1.9543111014191081</v>
      </c>
      <c r="AN38" s="96">
        <f>'Op Cost-24'!D31/'Ridership-24'!D30</f>
        <v>12.233583799771571</v>
      </c>
      <c r="AO38" s="96">
        <f>'Op Cost-24'!E31/'Ridership-24'!E30</f>
        <v>3.0605865777841972</v>
      </c>
      <c r="AP38" s="97">
        <f t="shared" si="14"/>
        <v>1.2723471939974662</v>
      </c>
      <c r="AQ38" s="98">
        <f t="shared" si="15"/>
        <v>3.1816707805302227E-2</v>
      </c>
      <c r="AR38" s="99">
        <f t="shared" si="16"/>
        <v>3.3692630530116403E-2</v>
      </c>
      <c r="AT38" s="101">
        <f t="shared" si="27"/>
        <v>0</v>
      </c>
      <c r="AU38" s="102">
        <f t="shared" si="17"/>
        <v>0</v>
      </c>
      <c r="AV38" s="102">
        <f t="shared" si="18"/>
        <v>0</v>
      </c>
      <c r="AW38" s="102">
        <f t="shared" si="19"/>
        <v>0</v>
      </c>
      <c r="AX38" s="103">
        <f t="shared" si="20"/>
        <v>0</v>
      </c>
      <c r="AY38" s="104">
        <f t="shared" si="28"/>
        <v>-1</v>
      </c>
      <c r="AZ38" s="105">
        <f t="shared" si="21"/>
        <v>0</v>
      </c>
      <c r="BA38" s="106">
        <f t="shared" si="21"/>
        <v>0</v>
      </c>
      <c r="BB38" s="106">
        <f t="shared" si="21"/>
        <v>0</v>
      </c>
      <c r="BC38" s="106">
        <f t="shared" si="21"/>
        <v>0</v>
      </c>
      <c r="BD38" s="106">
        <f t="shared" si="21"/>
        <v>0</v>
      </c>
      <c r="BE38" s="107">
        <f t="shared" si="29"/>
        <v>5125124.1625645868</v>
      </c>
      <c r="BG38" s="108">
        <f>'Op Cost-24'!E31</f>
        <v>10001495</v>
      </c>
      <c r="BH38" s="109">
        <f t="shared" si="22"/>
        <v>0.51243580710329673</v>
      </c>
      <c r="BI38" s="110">
        <f t="shared" si="23"/>
        <v>3000448.5</v>
      </c>
      <c r="BJ38" s="111">
        <f t="shared" si="24"/>
        <v>2124675.6625645868</v>
      </c>
      <c r="BK38" s="1">
        <f t="shared" si="30"/>
        <v>3.2172273321665985</v>
      </c>
      <c r="BL38" s="112">
        <f t="shared" si="31"/>
        <v>2.5968391844087431</v>
      </c>
      <c r="BM38" s="112">
        <f t="shared" si="32"/>
        <v>3.6117392594565096</v>
      </c>
      <c r="BN38" s="113">
        <f t="shared" si="33"/>
        <v>3.3301654424005704</v>
      </c>
      <c r="BO38" s="114">
        <f t="shared" si="25"/>
        <v>0</v>
      </c>
      <c r="BP38" s="115">
        <f t="shared" si="34"/>
        <v>0.13023947159365931</v>
      </c>
      <c r="BQ38" s="116">
        <f t="shared" si="35"/>
        <v>0</v>
      </c>
      <c r="BR38" s="117">
        <f t="shared" si="36"/>
        <v>0</v>
      </c>
      <c r="BS38" s="118">
        <f t="shared" si="37"/>
        <v>3000448.5</v>
      </c>
      <c r="BT38" s="119">
        <f t="shared" si="38"/>
        <v>3000448.5</v>
      </c>
      <c r="BU38" s="119">
        <f t="shared" si="39"/>
        <v>3000448.5</v>
      </c>
      <c r="BV38" s="119">
        <f t="shared" si="56"/>
        <v>0</v>
      </c>
      <c r="BW38" s="120">
        <f t="shared" si="40"/>
        <v>0</v>
      </c>
      <c r="BX38" s="121">
        <f t="shared" si="41"/>
        <v>0</v>
      </c>
      <c r="BY38" s="122">
        <f t="shared" si="42"/>
        <v>3000448.5</v>
      </c>
      <c r="BZ38" s="123">
        <f t="shared" si="58"/>
        <v>37725236320989.477</v>
      </c>
      <c r="CA38" s="111">
        <f t="shared" si="57"/>
        <v>37725239321438</v>
      </c>
      <c r="CC38" s="124">
        <f t="shared" si="26"/>
        <v>1</v>
      </c>
      <c r="CD38" s="17"/>
      <c r="CE38" s="108">
        <f t="shared" si="44"/>
        <v>10001495</v>
      </c>
      <c r="CF38" s="125">
        <f t="shared" si="45"/>
        <v>3771960.0241201939</v>
      </c>
      <c r="CG38" s="110">
        <f t="shared" si="46"/>
        <v>3000448.5</v>
      </c>
      <c r="CH38" s="126">
        <f t="shared" si="47"/>
        <v>37725236320989.5</v>
      </c>
      <c r="CJ38" s="127">
        <f t="shared" si="48"/>
        <v>0</v>
      </c>
      <c r="CK38" s="128" t="e">
        <f t="shared" si="49"/>
        <v>#DIV/0!</v>
      </c>
      <c r="CL38" s="129" t="e">
        <f t="shared" si="50"/>
        <v>#DIV/0!</v>
      </c>
      <c r="CM38" s="130" t="e">
        <f t="shared" si="51"/>
        <v>#DIV/0!</v>
      </c>
      <c r="CO38" s="131" t="e">
        <f t="shared" si="52"/>
        <v>#DIV/0!</v>
      </c>
      <c r="CP38" s="1">
        <f t="shared" si="53"/>
        <v>0</v>
      </c>
      <c r="CQ38" s="132">
        <f t="shared" si="54"/>
        <v>0.3</v>
      </c>
      <c r="CS38" s="104">
        <f t="shared" si="55"/>
        <v>0.10803879430639679</v>
      </c>
    </row>
    <row r="39" spans="1:97">
      <c r="A39" s="133" t="s">
        <v>115</v>
      </c>
      <c r="B39" s="90" t="s">
        <v>117</v>
      </c>
      <c r="C39" s="208">
        <f>'Op Cost-24'!E32</f>
        <v>1758084</v>
      </c>
      <c r="D39" s="92">
        <f>'Ridership-24'!$E31</f>
        <v>125489</v>
      </c>
      <c r="E39" s="92">
        <f>'Revenue Hours-24'!$F31</f>
        <v>31063</v>
      </c>
      <c r="F39" s="92">
        <f>'Revenue Miles-24'!$F31</f>
        <v>373643</v>
      </c>
      <c r="G39" s="134">
        <f t="shared" si="59"/>
        <v>4.4072347125158461E-3</v>
      </c>
      <c r="H39" s="94">
        <f t="shared" si="60"/>
        <v>4.1607440539229053E-3</v>
      </c>
      <c r="J39" s="95">
        <f>'Ridership-24'!B31/'Revenue Hours-24'!C31</f>
        <v>10.469111047455362</v>
      </c>
      <c r="K39" s="207">
        <f>'Ridership-24'!C31/'Revenue Hours-24'!J31</f>
        <v>8.58772210149559</v>
      </c>
      <c r="L39" s="207">
        <f>'Ridership-24'!D31/'Revenue Hours-24'!K31</f>
        <v>3.353975911522431</v>
      </c>
      <c r="M39" s="207">
        <f>'Ridership-24'!E31/'Revenue Hours-24'!L31</f>
        <v>4.039822296622992</v>
      </c>
      <c r="N39" s="97">
        <f t="shared" si="2"/>
        <v>0.83958861914202576</v>
      </c>
      <c r="O39" s="98">
        <f t="shared" si="3"/>
        <v>3.4933133548365265E-3</v>
      </c>
      <c r="P39" s="99">
        <f t="shared" si="4"/>
        <v>3.3253020294084258E-3</v>
      </c>
      <c r="Q39" s="95">
        <f>'Ridership-24'!B31/'Revenue Miles-24'!C31</f>
        <v>0.95972094977446065</v>
      </c>
      <c r="R39" s="207">
        <f>'Ridership-24'!C31/'Revenue Miles-24'!J31</f>
        <v>0.78227240838260248</v>
      </c>
      <c r="S39" s="207">
        <f>'Ridership-24'!D31/'Revenue Miles-24'!K31</f>
        <v>0.29134203947124609</v>
      </c>
      <c r="T39" s="207">
        <f>'Ridership-24'!E31/'Revenue Miles-24'!L31</f>
        <v>0.3358526722031458</v>
      </c>
      <c r="U39" s="97">
        <f t="shared" si="5"/>
        <v>0.81813252123285196</v>
      </c>
      <c r="V39" s="98">
        <f t="shared" si="6"/>
        <v>3.404040023040544E-3</v>
      </c>
      <c r="W39" s="99">
        <f t="shared" si="7"/>
        <v>3.2330664755129885E-3</v>
      </c>
      <c r="X39" s="95">
        <f>'Op Cost-24'!B32/'Revenue Hours-24'!C31</f>
        <v>45.655272287469366</v>
      </c>
      <c r="Y39" s="96">
        <f>'Op Cost-24'!C32/'Revenue Hours-24'!D31</f>
        <v>50.245430141889301</v>
      </c>
      <c r="Z39" s="96">
        <f>'Op Cost-24'!D32/'Revenue Hours-24'!E31</f>
        <v>54.975878704341831</v>
      </c>
      <c r="AA39" s="96">
        <f>'Op Cost-24'!E32/'Revenue Hours-24'!F31</f>
        <v>56.597366641985644</v>
      </c>
      <c r="AB39" s="97">
        <f t="shared" si="8"/>
        <v>1.0011244458616895</v>
      </c>
      <c r="AC39" s="98">
        <f t="shared" si="9"/>
        <v>4.1560707773364404E-3</v>
      </c>
      <c r="AD39" s="99">
        <f t="shared" si="10"/>
        <v>4.1796500703532944E-3</v>
      </c>
      <c r="AE39" s="95">
        <f>'Op Cost-24'!B32/'Revenue Miles-24'!C31</f>
        <v>4.1852953018959314</v>
      </c>
      <c r="AF39" s="96">
        <f>'Op Cost-24'!C32/'Revenue Miles-24'!D31</f>
        <v>4.5769545384416093</v>
      </c>
      <c r="AG39" s="96">
        <f>'Op Cost-24'!D32/'Revenue Miles-24'!E31</f>
        <v>4.775462032515458</v>
      </c>
      <c r="AH39" s="96">
        <f>'Op Cost-24'!E32/'Revenue Miles-24'!F31</f>
        <v>4.7052507339893959</v>
      </c>
      <c r="AI39" s="97">
        <f t="shared" si="11"/>
        <v>0.97631099927011855</v>
      </c>
      <c r="AJ39" s="98">
        <f t="shared" si="12"/>
        <v>4.261699455433198E-3</v>
      </c>
      <c r="AK39" s="99">
        <f t="shared" si="13"/>
        <v>4.2664357844005322E-3</v>
      </c>
      <c r="AL39" s="95">
        <f>'Op Cost-24'!B32/'Ridership-24'!B31</f>
        <v>4.3609502354611482</v>
      </c>
      <c r="AM39" s="96">
        <f>'Op Cost-24'!C32/'Ridership-24'!C31</f>
        <v>5.8508449095178374</v>
      </c>
      <c r="AN39" s="96">
        <f>'Op Cost-24'!D32/'Ridership-24'!D31</f>
        <v>16.391256274523233</v>
      </c>
      <c r="AO39" s="96">
        <f>'Op Cost-24'!E32/'Ridership-24'!E31</f>
        <v>14.009865406529656</v>
      </c>
      <c r="AP39" s="100">
        <f t="shared" si="14"/>
        <v>1.1962544231491588</v>
      </c>
      <c r="AQ39" s="98">
        <f t="shared" si="15"/>
        <v>3.4781430884658136E-3</v>
      </c>
      <c r="AR39" s="99">
        <f t="shared" si="16"/>
        <v>3.6832154579810859E-3</v>
      </c>
      <c r="AT39" s="101">
        <f t="shared" si="27"/>
        <v>0</v>
      </c>
      <c r="AU39" s="102">
        <f t="shared" si="17"/>
        <v>0</v>
      </c>
      <c r="AV39" s="102">
        <f t="shared" si="18"/>
        <v>0</v>
      </c>
      <c r="AW39" s="102">
        <f t="shared" si="19"/>
        <v>0</v>
      </c>
      <c r="AX39" s="103">
        <f t="shared" si="20"/>
        <v>0</v>
      </c>
      <c r="AY39" s="104">
        <f t="shared" si="28"/>
        <v>-1</v>
      </c>
      <c r="AZ39" s="105">
        <f t="shared" si="21"/>
        <v>0</v>
      </c>
      <c r="BA39" s="106">
        <f t="shared" si="21"/>
        <v>0</v>
      </c>
      <c r="BB39" s="106">
        <f t="shared" si="21"/>
        <v>0</v>
      </c>
      <c r="BC39" s="106">
        <f t="shared" si="21"/>
        <v>0</v>
      </c>
      <c r="BD39" s="106">
        <f t="shared" si="21"/>
        <v>0</v>
      </c>
      <c r="BE39" s="107">
        <f t="shared" si="29"/>
        <v>526762.09529033641</v>
      </c>
      <c r="BG39" s="108">
        <f>'Op Cost-24'!E32</f>
        <v>1758084</v>
      </c>
      <c r="BH39" s="109">
        <f t="shared" si="22"/>
        <v>0.29962282535438378</v>
      </c>
      <c r="BI39" s="110">
        <f t="shared" si="23"/>
        <v>526762.09529033641</v>
      </c>
      <c r="BJ39" s="111">
        <f t="shared" si="24"/>
        <v>0</v>
      </c>
      <c r="BK39" s="1">
        <f t="shared" si="30"/>
        <v>0.86338810651448705</v>
      </c>
      <c r="BL39" s="112">
        <f t="shared" si="31"/>
        <v>0.52290254148373216</v>
      </c>
      <c r="BM39" s="112">
        <f t="shared" si="32"/>
        <v>0.65355680519039516</v>
      </c>
      <c r="BN39" s="113">
        <f t="shared" si="33"/>
        <v>1.1385465396919103</v>
      </c>
      <c r="BO39" s="114">
        <f t="shared" si="25"/>
        <v>0</v>
      </c>
      <c r="BP39" s="115">
        <f t="shared" si="34"/>
        <v>3.5923369304079081E-3</v>
      </c>
      <c r="BQ39" s="116">
        <f t="shared" si="35"/>
        <v>0</v>
      </c>
      <c r="BR39" s="117">
        <f t="shared" si="36"/>
        <v>0</v>
      </c>
      <c r="BS39" s="118">
        <f t="shared" si="37"/>
        <v>526762.09529033641</v>
      </c>
      <c r="BT39" s="119">
        <f t="shared" si="38"/>
        <v>527425.19999999995</v>
      </c>
      <c r="BU39" s="119">
        <f t="shared" si="39"/>
        <v>526762.09529033641</v>
      </c>
      <c r="BV39" s="119">
        <f t="shared" si="56"/>
        <v>0</v>
      </c>
      <c r="BW39" s="120">
        <f t="shared" si="40"/>
        <v>3.5923369304079081E-3</v>
      </c>
      <c r="BX39" s="121">
        <f t="shared" si="41"/>
        <v>6.8086509431080485E-3</v>
      </c>
      <c r="BY39" s="122">
        <f t="shared" si="42"/>
        <v>537600.3509749372</v>
      </c>
      <c r="BZ39" s="123">
        <f t="shared" si="58"/>
        <v>6759356238501.1406</v>
      </c>
      <c r="CA39" s="111">
        <f t="shared" si="57"/>
        <v>6759356765263</v>
      </c>
      <c r="CC39" s="124">
        <f t="shared" si="26"/>
        <v>1</v>
      </c>
      <c r="CD39" s="17"/>
      <c r="CE39" s="108">
        <f t="shared" si="44"/>
        <v>1758084</v>
      </c>
      <c r="CF39" s="125">
        <f t="shared" si="45"/>
        <v>3844729.1285643918</v>
      </c>
      <c r="CG39" s="110">
        <f t="shared" si="46"/>
        <v>527425.19999999995</v>
      </c>
      <c r="CH39" s="126">
        <f t="shared" si="47"/>
        <v>6759356237837.7998</v>
      </c>
      <c r="CJ39" s="127">
        <f t="shared" si="48"/>
        <v>0</v>
      </c>
      <c r="CK39" s="128" t="e">
        <f t="shared" si="49"/>
        <v>#DIV/0!</v>
      </c>
      <c r="CL39" s="129" t="e">
        <f t="shared" si="50"/>
        <v>#DIV/0!</v>
      </c>
      <c r="CM39" s="130" t="e">
        <f t="shared" si="51"/>
        <v>#DIV/0!</v>
      </c>
      <c r="CO39" s="131" t="e">
        <f t="shared" si="52"/>
        <v>#DIV/0!</v>
      </c>
      <c r="CP39" s="1">
        <f t="shared" si="53"/>
        <v>1</v>
      </c>
      <c r="CQ39" s="132">
        <f t="shared" si="54"/>
        <v>0.30578763641267265</v>
      </c>
      <c r="CS39" s="104">
        <f t="shared" si="55"/>
        <v>2.9799856061647899E-3</v>
      </c>
    </row>
    <row r="40" spans="1:97">
      <c r="A40" s="133" t="s">
        <v>115</v>
      </c>
      <c r="B40" s="90" t="s">
        <v>118</v>
      </c>
      <c r="C40" s="208">
        <f>'Op Cost-24'!E33</f>
        <v>10624308</v>
      </c>
      <c r="D40" s="92">
        <f>'Ridership-24'!$E32</f>
        <v>1134478</v>
      </c>
      <c r="E40" s="92">
        <f>'Revenue Hours-24'!$F32</f>
        <v>155800</v>
      </c>
      <c r="F40" s="92">
        <f>'Revenue Miles-24'!$F32</f>
        <v>2582667</v>
      </c>
      <c r="G40" s="134">
        <f t="shared" si="59"/>
        <v>2.9719545369874457E-2</v>
      </c>
      <c r="H40" s="94">
        <f t="shared" si="60"/>
        <v>2.8057371515030821E-2</v>
      </c>
      <c r="J40" s="95">
        <f>'Ridership-24'!B32/'Revenue Hours-24'!C32</f>
        <v>13.489683908981412</v>
      </c>
      <c r="K40" s="207">
        <f>'Ridership-24'!C32/'Revenue Hours-24'!J32</f>
        <v>13.061303342191943</v>
      </c>
      <c r="L40" s="207">
        <f>'Ridership-24'!D32/'Revenue Hours-24'!K32</f>
        <v>7.5369057433360815</v>
      </c>
      <c r="M40" s="207">
        <f>'Ridership-24'!E32/'Revenue Hours-24'!L32</f>
        <v>7.2816302952503209</v>
      </c>
      <c r="N40" s="97">
        <f t="shared" si="2"/>
        <v>0.94844527831451908</v>
      </c>
      <c r="O40" s="98">
        <f t="shared" si="3"/>
        <v>2.6610881535347266E-2</v>
      </c>
      <c r="P40" s="99">
        <f t="shared" si="4"/>
        <v>2.5331027991326138E-2</v>
      </c>
      <c r="Q40" s="95">
        <f>'Ridership-24'!B32/'Revenue Miles-24'!C32</f>
        <v>0.84707708145185789</v>
      </c>
      <c r="R40" s="207">
        <f>'Ridership-24'!C32/'Revenue Miles-24'!J32</f>
        <v>0.76270122520155903</v>
      </c>
      <c r="S40" s="207">
        <f>'Ridership-24'!D32/'Revenue Miles-24'!K32</f>
        <v>0.4322966250764449</v>
      </c>
      <c r="T40" s="207">
        <f>'Ridership-24'!E32/'Revenue Miles-24'!L32</f>
        <v>0.43926607650153893</v>
      </c>
      <c r="U40" s="97">
        <f t="shared" si="5"/>
        <v>0.93488870997493956</v>
      </c>
      <c r="V40" s="98">
        <f t="shared" si="6"/>
        <v>2.6230519860974778E-2</v>
      </c>
      <c r="W40" s="99">
        <f t="shared" si="7"/>
        <v>2.4913048561058325E-2</v>
      </c>
      <c r="X40" s="95">
        <f>'Op Cost-24'!B33/'Revenue Hours-24'!C32</f>
        <v>62.404362121162798</v>
      </c>
      <c r="Y40" s="96">
        <f>'Op Cost-24'!C33/'Revenue Hours-24'!D32</f>
        <v>69.193957147306961</v>
      </c>
      <c r="Z40" s="96">
        <f>'Op Cost-24'!D33/'Revenue Hours-24'!E32</f>
        <v>71.568899422918378</v>
      </c>
      <c r="AA40" s="96">
        <f>'Op Cost-24'!E33/'Revenue Hours-24'!F32</f>
        <v>68.191964056482675</v>
      </c>
      <c r="AB40" s="97">
        <f t="shared" si="8"/>
        <v>0.9619893036190682</v>
      </c>
      <c r="AC40" s="98">
        <f t="shared" si="9"/>
        <v>2.9165991149254063E-2</v>
      </c>
      <c r="AD40" s="99">
        <f t="shared" si="10"/>
        <v>2.9331463175184275E-2</v>
      </c>
      <c r="AE40" s="95">
        <f>'Op Cost-24'!B33/'Revenue Miles-24'!C32</f>
        <v>3.9186466704578953</v>
      </c>
      <c r="AF40" s="96">
        <f>'Op Cost-24'!C33/'Revenue Miles-24'!D32</f>
        <v>4.0405091674364728</v>
      </c>
      <c r="AG40" s="96">
        <f>'Op Cost-24'!D33/'Revenue Miles-24'!E32</f>
        <v>4.104999416812201</v>
      </c>
      <c r="AH40" s="96">
        <f>'Op Cost-24'!E33/'Revenue Miles-24'!F32</f>
        <v>4.1136964231161048</v>
      </c>
      <c r="AI40" s="97">
        <f t="shared" si="11"/>
        <v>0.95410645766052327</v>
      </c>
      <c r="AJ40" s="98">
        <f t="shared" si="12"/>
        <v>2.9406961130760734E-2</v>
      </c>
      <c r="AK40" s="99">
        <f t="shared" si="13"/>
        <v>2.9439643173054288E-2</v>
      </c>
      <c r="AL40" s="95">
        <f>'Op Cost-24'!B33/'Ridership-24'!B32</f>
        <v>4.6260803842567482</v>
      </c>
      <c r="AM40" s="96">
        <f>'Op Cost-24'!C33/'Ridership-24'!C32</f>
        <v>5.2976303615726961</v>
      </c>
      <c r="AN40" s="96">
        <f>'Op Cost-24'!D33/'Ridership-24'!D32</f>
        <v>9.4957933481120662</v>
      </c>
      <c r="AO40" s="96">
        <f>'Op Cost-24'!E33/'Ridership-24'!E32</f>
        <v>9.3649308316247648</v>
      </c>
      <c r="AP40" s="97">
        <f t="shared" si="14"/>
        <v>1.0470853269200342</v>
      </c>
      <c r="AQ40" s="98">
        <f t="shared" si="15"/>
        <v>2.6795687795149056E-2</v>
      </c>
      <c r="AR40" s="99">
        <f t="shared" si="16"/>
        <v>2.837556966003418E-2</v>
      </c>
      <c r="AT40" s="101">
        <f t="shared" si="27"/>
        <v>0</v>
      </c>
      <c r="AU40" s="102">
        <f t="shared" si="17"/>
        <v>0</v>
      </c>
      <c r="AV40" s="102">
        <f t="shared" si="18"/>
        <v>0</v>
      </c>
      <c r="AW40" s="102">
        <f t="shared" si="19"/>
        <v>0</v>
      </c>
      <c r="AX40" s="103">
        <f t="shared" si="20"/>
        <v>0</v>
      </c>
      <c r="AY40" s="104">
        <f t="shared" si="28"/>
        <v>-1</v>
      </c>
      <c r="AZ40" s="105">
        <f t="shared" si="21"/>
        <v>0</v>
      </c>
      <c r="BA40" s="106">
        <f t="shared" si="21"/>
        <v>0</v>
      </c>
      <c r="BB40" s="106">
        <f t="shared" si="21"/>
        <v>0</v>
      </c>
      <c r="BC40" s="106">
        <f t="shared" si="21"/>
        <v>0</v>
      </c>
      <c r="BD40" s="106">
        <f t="shared" si="21"/>
        <v>0</v>
      </c>
      <c r="BE40" s="107">
        <f t="shared" si="29"/>
        <v>3552143.4666624861</v>
      </c>
      <c r="BG40" s="108">
        <f>'Op Cost-24'!E33</f>
        <v>10624308</v>
      </c>
      <c r="BH40" s="109">
        <f t="shared" si="22"/>
        <v>0.33434116054076052</v>
      </c>
      <c r="BI40" s="110">
        <f t="shared" si="23"/>
        <v>3187292.4</v>
      </c>
      <c r="BJ40" s="111">
        <f t="shared" si="24"/>
        <v>364851.06666248618</v>
      </c>
      <c r="BK40" s="1">
        <f t="shared" si="30"/>
        <v>1.2470014187831375</v>
      </c>
      <c r="BL40" s="112">
        <f t="shared" si="31"/>
        <v>0.95447575182849942</v>
      </c>
      <c r="BM40" s="112">
        <f t="shared" si="32"/>
        <v>0.79760549045020446</v>
      </c>
      <c r="BN40" s="113">
        <f t="shared" si="33"/>
        <v>1.617962216426923</v>
      </c>
      <c r="BO40" s="114">
        <f t="shared" si="25"/>
        <v>0</v>
      </c>
      <c r="BP40" s="115">
        <f t="shared" si="34"/>
        <v>3.4987582086569026E-2</v>
      </c>
      <c r="BQ40" s="116">
        <f t="shared" si="35"/>
        <v>0</v>
      </c>
      <c r="BR40" s="117">
        <f t="shared" si="36"/>
        <v>0</v>
      </c>
      <c r="BS40" s="118">
        <f t="shared" si="37"/>
        <v>3187292.4</v>
      </c>
      <c r="BT40" s="119">
        <f t="shared" si="38"/>
        <v>3187292.4</v>
      </c>
      <c r="BU40" s="119">
        <f t="shared" si="39"/>
        <v>3187292.4</v>
      </c>
      <c r="BV40" s="119">
        <f t="shared" si="56"/>
        <v>0</v>
      </c>
      <c r="BW40" s="120">
        <f t="shared" si="40"/>
        <v>0</v>
      </c>
      <c r="BX40" s="121">
        <f t="shared" si="41"/>
        <v>0</v>
      </c>
      <c r="BY40" s="122">
        <f t="shared" si="42"/>
        <v>3187292.4</v>
      </c>
      <c r="BZ40" s="123">
        <f t="shared" si="58"/>
        <v>40074461872647.945</v>
      </c>
      <c r="CA40" s="111">
        <f t="shared" si="57"/>
        <v>40074465059940</v>
      </c>
      <c r="CC40" s="124">
        <f t="shared" si="26"/>
        <v>1</v>
      </c>
      <c r="CD40" s="17"/>
      <c r="CE40" s="108">
        <f t="shared" si="44"/>
        <v>10624308</v>
      </c>
      <c r="CF40" s="125">
        <f t="shared" si="45"/>
        <v>3771960.024120159</v>
      </c>
      <c r="CG40" s="110">
        <f t="shared" si="46"/>
        <v>3187292.4</v>
      </c>
      <c r="CH40" s="126">
        <f t="shared" si="47"/>
        <v>40074461872647.602</v>
      </c>
      <c r="CJ40" s="127">
        <f t="shared" si="48"/>
        <v>0</v>
      </c>
      <c r="CK40" s="128" t="e">
        <f t="shared" si="49"/>
        <v>#DIV/0!</v>
      </c>
      <c r="CL40" s="129" t="e">
        <f t="shared" si="50"/>
        <v>#DIV/0!</v>
      </c>
      <c r="CM40" s="130" t="e">
        <f t="shared" si="51"/>
        <v>#DIV/0!</v>
      </c>
      <c r="CO40" s="131" t="e">
        <f t="shared" si="52"/>
        <v>#DIV/0!</v>
      </c>
      <c r="CP40" s="1">
        <f t="shared" si="53"/>
        <v>0</v>
      </c>
      <c r="CQ40" s="132">
        <f t="shared" si="54"/>
        <v>0.3</v>
      </c>
      <c r="CS40" s="104">
        <f t="shared" si="55"/>
        <v>2.9023583542495218E-2</v>
      </c>
    </row>
    <row r="41" spans="1:97">
      <c r="A41" s="133" t="s">
        <v>115</v>
      </c>
      <c r="B41" s="90" t="s">
        <v>119</v>
      </c>
      <c r="C41" s="208">
        <f>'Op Cost-24'!E34</f>
        <v>788081</v>
      </c>
      <c r="D41" s="92">
        <f>'Ridership-24'!$E33</f>
        <v>29480</v>
      </c>
      <c r="E41" s="92">
        <f>'Revenue Hours-24'!$F33</f>
        <v>19090</v>
      </c>
      <c r="F41" s="92">
        <f>'Revenue Miles-24'!$F33</f>
        <v>220116</v>
      </c>
      <c r="G41" s="134">
        <f t="shared" si="59"/>
        <v>2.0400409779248972E-3</v>
      </c>
      <c r="H41" s="94">
        <f t="shared" si="60"/>
        <v>1.9259442535600076E-3</v>
      </c>
      <c r="J41" s="95">
        <f>'Ridership-24'!B33/'Revenue Hours-24'!C33</f>
        <v>7.7063312747903803</v>
      </c>
      <c r="K41" s="207">
        <f>'Ridership-24'!C33/'Revenue Hours-24'!J33</f>
        <v>3.4694402420574888</v>
      </c>
      <c r="L41" s="207">
        <f>'Ridership-24'!D33/'Revenue Hours-24'!K33</f>
        <v>2.0660778541053322</v>
      </c>
      <c r="M41" s="207">
        <f>'Ridership-24'!E33/'Revenue Hours-24'!L33</f>
        <v>1.5442640125720273</v>
      </c>
      <c r="N41" s="97">
        <f t="shared" si="2"/>
        <v>0.73045267772485667</v>
      </c>
      <c r="O41" s="98">
        <f t="shared" si="3"/>
        <v>1.4068111371617078E-3</v>
      </c>
      <c r="P41" s="99">
        <f t="shared" si="4"/>
        <v>1.3391503865295582E-3</v>
      </c>
      <c r="Q41" s="95">
        <f>'Ridership-24'!B33/'Revenue Miles-24'!C33</f>
        <v>0.5486185080601923</v>
      </c>
      <c r="R41" s="207">
        <f>'Ridership-24'!C33/'Revenue Miles-24'!J33</f>
        <v>0.3128535569419939</v>
      </c>
      <c r="S41" s="207">
        <f>'Ridership-24'!D33/'Revenue Miles-24'!K33</f>
        <v>0.17929853281414856</v>
      </c>
      <c r="T41" s="207">
        <f>'Ridership-24'!E33/'Revenue Miles-24'!L33</f>
        <v>0.13392938268912755</v>
      </c>
      <c r="U41" s="97">
        <f t="shared" si="5"/>
        <v>0.75640028467482434</v>
      </c>
      <c r="V41" s="98">
        <f t="shared" si="6"/>
        <v>1.4567847816606319E-3</v>
      </c>
      <c r="W41" s="99">
        <f t="shared" si="7"/>
        <v>1.3836153534462717E-3</v>
      </c>
      <c r="X41" s="95">
        <f>'Op Cost-24'!B34/'Revenue Hours-24'!C33</f>
        <v>37.027162725310035</v>
      </c>
      <c r="Y41" s="96">
        <f>'Op Cost-24'!C34/'Revenue Hours-24'!D33</f>
        <v>37.011396873424104</v>
      </c>
      <c r="Z41" s="96">
        <f>'Op Cost-24'!D34/'Revenue Hours-24'!E33</f>
        <v>43.551303020390364</v>
      </c>
      <c r="AA41" s="96">
        <f>'Op Cost-24'!E34/'Revenue Hours-24'!F33</f>
        <v>41.282399161864852</v>
      </c>
      <c r="AB41" s="97">
        <f t="shared" si="8"/>
        <v>0.96349729165483955</v>
      </c>
      <c r="AC41" s="98">
        <f t="shared" si="9"/>
        <v>1.998909877839026E-3</v>
      </c>
      <c r="AD41" s="99">
        <f t="shared" si="10"/>
        <v>2.0102506090847187E-3</v>
      </c>
      <c r="AE41" s="95">
        <f>'Op Cost-24'!B34/'Revenue Miles-24'!C33</f>
        <v>2.6359867033634772</v>
      </c>
      <c r="AF41" s="96">
        <f>'Op Cost-24'!C34/'Revenue Miles-24'!D33</f>
        <v>3.3374683958746383</v>
      </c>
      <c r="AG41" s="96">
        <f>'Op Cost-24'!D34/'Revenue Miles-24'!E33</f>
        <v>3.7794726458078038</v>
      </c>
      <c r="AH41" s="96">
        <f>'Op Cost-24'!E34/'Revenue Miles-24'!F33</f>
        <v>3.5802985698449907</v>
      </c>
      <c r="AI41" s="97">
        <f t="shared" si="11"/>
        <v>1.0441051212287928</v>
      </c>
      <c r="AJ41" s="98">
        <f t="shared" si="12"/>
        <v>1.8445884560870562E-3</v>
      </c>
      <c r="AK41" s="99">
        <f t="shared" si="13"/>
        <v>1.8466384781096643E-3</v>
      </c>
      <c r="AL41" s="95">
        <f>'Op Cost-24'!B34/'Ridership-24'!B33</f>
        <v>4.8047717396261573</v>
      </c>
      <c r="AM41" s="96">
        <f>'Op Cost-24'!C34/'Ridership-24'!C33</f>
        <v>10.667829474265615</v>
      </c>
      <c r="AN41" s="96">
        <f>'Op Cost-24'!D34/'Ridership-24'!D33</f>
        <v>21.079216803884314</v>
      </c>
      <c r="AO41" s="96">
        <f>'Op Cost-24'!E34/'Ridership-24'!E33</f>
        <v>26.732734056987788</v>
      </c>
      <c r="AP41" s="100">
        <f t="shared" si="14"/>
        <v>1.5438760170177328</v>
      </c>
      <c r="AQ41" s="98">
        <f t="shared" si="15"/>
        <v>1.2474733931551749E-3</v>
      </c>
      <c r="AR41" s="99">
        <f t="shared" si="16"/>
        <v>1.3210248020923011E-3</v>
      </c>
      <c r="AT41" s="101">
        <f t="shared" si="27"/>
        <v>0</v>
      </c>
      <c r="AU41" s="102">
        <f t="shared" si="17"/>
        <v>0</v>
      </c>
      <c r="AV41" s="102">
        <f t="shared" si="18"/>
        <v>0</v>
      </c>
      <c r="AW41" s="102">
        <f t="shared" si="19"/>
        <v>0</v>
      </c>
      <c r="AX41" s="103">
        <f t="shared" si="20"/>
        <v>0</v>
      </c>
      <c r="AY41" s="104">
        <f t="shared" si="28"/>
        <v>-1</v>
      </c>
      <c r="AZ41" s="105">
        <f t="shared" si="21"/>
        <v>0</v>
      </c>
      <c r="BA41" s="106">
        <f t="shared" si="21"/>
        <v>0</v>
      </c>
      <c r="BB41" s="106">
        <f t="shared" si="21"/>
        <v>0</v>
      </c>
      <c r="BC41" s="106">
        <f t="shared" si="21"/>
        <v>0</v>
      </c>
      <c r="BD41" s="106">
        <f t="shared" si="21"/>
        <v>0</v>
      </c>
      <c r="BE41" s="107">
        <f t="shared" si="29"/>
        <v>243830.04993088442</v>
      </c>
      <c r="BG41" s="108">
        <f>'Op Cost-24'!E34</f>
        <v>788081</v>
      </c>
      <c r="BH41" s="109">
        <f t="shared" si="22"/>
        <v>0.30939719385556108</v>
      </c>
      <c r="BI41" s="110">
        <f t="shared" si="23"/>
        <v>236424.3</v>
      </c>
      <c r="BJ41" s="111">
        <f t="shared" si="24"/>
        <v>7405.7499308844272</v>
      </c>
      <c r="BK41" s="1">
        <f t="shared" si="30"/>
        <v>0.48679502951831194</v>
      </c>
      <c r="BL41" s="112">
        <f t="shared" si="31"/>
        <v>0.24209121032721334</v>
      </c>
      <c r="BM41" s="112">
        <f t="shared" si="32"/>
        <v>0.30363119517040621</v>
      </c>
      <c r="BN41" s="113">
        <f t="shared" si="33"/>
        <v>0.70072885628781412</v>
      </c>
      <c r="BO41" s="114">
        <f t="shared" si="25"/>
        <v>0</v>
      </c>
      <c r="BP41" s="115">
        <f t="shared" si="34"/>
        <v>9.3754008976236719E-4</v>
      </c>
      <c r="BQ41" s="116">
        <f t="shared" si="35"/>
        <v>0</v>
      </c>
      <c r="BR41" s="117">
        <f t="shared" si="36"/>
        <v>0</v>
      </c>
      <c r="BS41" s="118">
        <f t="shared" si="37"/>
        <v>236424.3</v>
      </c>
      <c r="BT41" s="119">
        <f t="shared" si="38"/>
        <v>236424.3</v>
      </c>
      <c r="BU41" s="119">
        <f t="shared" si="39"/>
        <v>236424.3</v>
      </c>
      <c r="BV41" s="119">
        <f t="shared" si="56"/>
        <v>0</v>
      </c>
      <c r="BW41" s="120">
        <f t="shared" si="40"/>
        <v>0</v>
      </c>
      <c r="BX41" s="121">
        <f t="shared" si="41"/>
        <v>0</v>
      </c>
      <c r="BY41" s="122">
        <f t="shared" si="42"/>
        <v>236424.3</v>
      </c>
      <c r="BZ41" s="123">
        <f t="shared" si="58"/>
        <v>2972609791344.3643</v>
      </c>
      <c r="CA41" s="111">
        <f t="shared" si="57"/>
        <v>2972610027769</v>
      </c>
      <c r="CC41" s="124">
        <f t="shared" si="26"/>
        <v>1</v>
      </c>
      <c r="CD41" s="17"/>
      <c r="CE41" s="108">
        <f t="shared" si="44"/>
        <v>788081</v>
      </c>
      <c r="CF41" s="125">
        <f t="shared" si="45"/>
        <v>3771960.0241206172</v>
      </c>
      <c r="CG41" s="110">
        <f t="shared" si="46"/>
        <v>236424.3</v>
      </c>
      <c r="CH41" s="126">
        <f t="shared" si="47"/>
        <v>2972609791344.7002</v>
      </c>
      <c r="CJ41" s="127">
        <f t="shared" si="48"/>
        <v>0</v>
      </c>
      <c r="CK41" s="128" t="e">
        <f t="shared" si="49"/>
        <v>#DIV/0!</v>
      </c>
      <c r="CL41" s="129" t="e">
        <f t="shared" si="50"/>
        <v>#DIV/0!</v>
      </c>
      <c r="CM41" s="130" t="e">
        <f t="shared" si="51"/>
        <v>#DIV/0!</v>
      </c>
      <c r="CO41" s="131" t="e">
        <f t="shared" si="52"/>
        <v>#DIV/0!</v>
      </c>
      <c r="CP41" s="1">
        <f t="shared" si="53"/>
        <v>0</v>
      </c>
      <c r="CQ41" s="132">
        <f t="shared" si="54"/>
        <v>0.3</v>
      </c>
      <c r="CS41" s="104">
        <f t="shared" si="55"/>
        <v>7.7772659603425858E-4</v>
      </c>
    </row>
    <row r="42" spans="1:97">
      <c r="A42" s="133" t="s">
        <v>120</v>
      </c>
      <c r="B42" s="90" t="s">
        <v>121</v>
      </c>
      <c r="C42" s="208">
        <f>'Op Cost-24'!E35</f>
        <v>2522688</v>
      </c>
      <c r="D42" s="92">
        <f>'Ridership-24'!$E34</f>
        <v>162733</v>
      </c>
      <c r="E42" s="92">
        <f>'Revenue Hours-24'!$F34</f>
        <v>36937</v>
      </c>
      <c r="F42" s="92">
        <f>'Revenue Miles-24'!$F34</f>
        <v>710177</v>
      </c>
      <c r="G42" s="134">
        <f t="shared" si="59"/>
        <v>6.3274685795238466E-3</v>
      </c>
      <c r="H42" s="94">
        <f t="shared" si="60"/>
        <v>5.9735818457486338E-3</v>
      </c>
      <c r="J42" s="95">
        <f>'Ridership-24'!B34/'Revenue Hours-24'!C34</f>
        <v>8.7030537830446679</v>
      </c>
      <c r="K42" s="207">
        <f>'Ridership-24'!C34/'Revenue Hours-24'!J34</f>
        <v>8.9718507404266425</v>
      </c>
      <c r="L42" s="207">
        <f>'Ridership-24'!D34/'Revenue Hours-24'!K34</f>
        <v>4.4820247253569612</v>
      </c>
      <c r="M42" s="207">
        <f>'Ridership-24'!E34/'Revenue Hours-24'!L34</f>
        <v>4.4056907707718551</v>
      </c>
      <c r="N42" s="97">
        <f t="shared" si="2"/>
        <v>0.9234994985351318</v>
      </c>
      <c r="O42" s="98">
        <f t="shared" si="3"/>
        <v>5.51659983900743E-3</v>
      </c>
      <c r="P42" s="99">
        <f t="shared" si="4"/>
        <v>5.2512783070799117E-3</v>
      </c>
      <c r="Q42" s="95">
        <f>'Ridership-24'!B34/'Revenue Miles-24'!C34</f>
        <v>0.47321678296920194</v>
      </c>
      <c r="R42" s="207">
        <f>'Ridership-24'!C34/'Revenue Miles-24'!J34</f>
        <v>0.47298136165339449</v>
      </c>
      <c r="S42" s="207">
        <f>'Ridership-24'!D34/'Revenue Miles-24'!K34</f>
        <v>0.24753017027607868</v>
      </c>
      <c r="T42" s="207">
        <f>'Ridership-24'!E34/'Revenue Miles-24'!L34</f>
        <v>0.22914428374898088</v>
      </c>
      <c r="U42" s="97">
        <f t="shared" si="5"/>
        <v>0.91652715051762312</v>
      </c>
      <c r="V42" s="98">
        <f t="shared" si="6"/>
        <v>5.4749499474677993E-3</v>
      </c>
      <c r="W42" s="99">
        <f t="shared" si="7"/>
        <v>5.199961519388667E-3</v>
      </c>
      <c r="X42" s="95">
        <f>'Op Cost-24'!B35/'Revenue Hours-24'!C34</f>
        <v>67.114175022789425</v>
      </c>
      <c r="Y42" s="96">
        <f>'Op Cost-24'!C35/'Revenue Hours-24'!D34</f>
        <v>69.175941026811927</v>
      </c>
      <c r="Z42" s="96">
        <f>'Op Cost-24'!D35/'Revenue Hours-24'!E34</f>
        <v>68.510851019247468</v>
      </c>
      <c r="AA42" s="96">
        <f>'Op Cost-24'!E35/'Revenue Hours-24'!F34</f>
        <v>68.297046322116032</v>
      </c>
      <c r="AB42" s="97">
        <f t="shared" si="8"/>
        <v>0.93911063246421012</v>
      </c>
      <c r="AC42" s="98">
        <f t="shared" si="9"/>
        <v>6.3608925713832653E-3</v>
      </c>
      <c r="AD42" s="99">
        <f t="shared" si="10"/>
        <v>6.3969808282549386E-3</v>
      </c>
      <c r="AE42" s="95">
        <f>'Op Cost-24'!B35/'Revenue Miles-24'!C34</f>
        <v>3.649242528845507</v>
      </c>
      <c r="AF42" s="96">
        <f>'Op Cost-24'!C35/'Revenue Miles-24'!D34</f>
        <v>3.6468429677599077</v>
      </c>
      <c r="AG42" s="96">
        <f>'Op Cost-24'!D35/'Revenue Miles-24'!E34</f>
        <v>3.7836700281038187</v>
      </c>
      <c r="AH42" s="96">
        <f>'Op Cost-24'!E35/'Revenue Miles-24'!F34</f>
        <v>3.5521961426517614</v>
      </c>
      <c r="AI42" s="97">
        <f t="shared" si="11"/>
        <v>0.92788520953180242</v>
      </c>
      <c r="AJ42" s="98">
        <f t="shared" si="12"/>
        <v>6.4378457425383661E-3</v>
      </c>
      <c r="AK42" s="99">
        <f t="shared" si="13"/>
        <v>6.4450005772695527E-3</v>
      </c>
      <c r="AL42" s="95">
        <f>'Op Cost-24'!B35/'Ridership-24'!B34</f>
        <v>7.7115661577941292</v>
      </c>
      <c r="AM42" s="96">
        <f>'Op Cost-24'!C35/'Ridership-24'!C34</f>
        <v>7.7103312380252964</v>
      </c>
      <c r="AN42" s="96">
        <f>'Op Cost-24'!D35/'Ridership-24'!D34</f>
        <v>15.285692341599267</v>
      </c>
      <c r="AO42" s="96">
        <f>'Op Cost-24'!E35/'Ridership-24'!E34</f>
        <v>15.502006353966314</v>
      </c>
      <c r="AP42" s="100">
        <f t="shared" si="14"/>
        <v>1.0383695060729243</v>
      </c>
      <c r="AQ42" s="98">
        <f t="shared" si="15"/>
        <v>5.7528479128210368E-3</v>
      </c>
      <c r="AR42" s="99">
        <f t="shared" si="16"/>
        <v>6.0920375674547046E-3</v>
      </c>
      <c r="AT42" s="101">
        <f t="shared" si="27"/>
        <v>0</v>
      </c>
      <c r="AU42" s="102">
        <f t="shared" si="17"/>
        <v>0</v>
      </c>
      <c r="AV42" s="102">
        <f t="shared" si="18"/>
        <v>0</v>
      </c>
      <c r="AW42" s="102">
        <f t="shared" si="19"/>
        <v>0</v>
      </c>
      <c r="AX42" s="103">
        <f t="shared" si="20"/>
        <v>0</v>
      </c>
      <c r="AY42" s="104">
        <f t="shared" si="28"/>
        <v>-1</v>
      </c>
      <c r="AZ42" s="105">
        <f t="shared" si="21"/>
        <v>0</v>
      </c>
      <c r="BA42" s="106">
        <f t="shared" si="21"/>
        <v>0</v>
      </c>
      <c r="BB42" s="106">
        <f t="shared" si="21"/>
        <v>0</v>
      </c>
      <c r="BC42" s="106">
        <f t="shared" si="21"/>
        <v>0</v>
      </c>
      <c r="BD42" s="106">
        <f t="shared" si="21"/>
        <v>0</v>
      </c>
      <c r="BE42" s="107">
        <f t="shared" si="29"/>
        <v>756272.54372642306</v>
      </c>
      <c r="BG42" s="108">
        <f>'Op Cost-24'!E35</f>
        <v>2522688</v>
      </c>
      <c r="BH42" s="109">
        <f t="shared" si="22"/>
        <v>0.29978837800252073</v>
      </c>
      <c r="BI42" s="110">
        <f t="shared" si="23"/>
        <v>756272.54372642306</v>
      </c>
      <c r="BJ42" s="111">
        <f t="shared" si="24"/>
        <v>0</v>
      </c>
      <c r="BK42" s="1">
        <f t="shared" si="30"/>
        <v>0.77845501910724824</v>
      </c>
      <c r="BL42" s="112">
        <f t="shared" si="31"/>
        <v>0.60009877943177681</v>
      </c>
      <c r="BM42" s="112">
        <f t="shared" si="32"/>
        <v>0.45745883272363769</v>
      </c>
      <c r="BN42" s="113">
        <f t="shared" si="33"/>
        <v>1.0281312321367893</v>
      </c>
      <c r="BO42" s="114">
        <f t="shared" si="25"/>
        <v>0</v>
      </c>
      <c r="BP42" s="115">
        <f t="shared" si="34"/>
        <v>4.6501647698709639E-3</v>
      </c>
      <c r="BQ42" s="116">
        <f t="shared" si="35"/>
        <v>0</v>
      </c>
      <c r="BR42" s="117">
        <f t="shared" si="36"/>
        <v>0</v>
      </c>
      <c r="BS42" s="118">
        <f t="shared" si="37"/>
        <v>756272.54372642306</v>
      </c>
      <c r="BT42" s="119">
        <f t="shared" si="38"/>
        <v>756806.4</v>
      </c>
      <c r="BU42" s="119">
        <f t="shared" si="39"/>
        <v>756272.54372642306</v>
      </c>
      <c r="BV42" s="119">
        <f t="shared" si="56"/>
        <v>0</v>
      </c>
      <c r="BW42" s="120">
        <f t="shared" si="40"/>
        <v>4.6501647698709639E-3</v>
      </c>
      <c r="BX42" s="121">
        <f t="shared" si="41"/>
        <v>8.8135799506965044E-3</v>
      </c>
      <c r="BY42" s="122">
        <f t="shared" si="42"/>
        <v>770302.31758331496</v>
      </c>
      <c r="BZ42" s="123">
        <f t="shared" si="58"/>
        <v>9685164391069.0156</v>
      </c>
      <c r="CA42" s="111">
        <f t="shared" si="57"/>
        <v>9685165147342</v>
      </c>
      <c r="CC42" s="124">
        <f t="shared" si="26"/>
        <v>1</v>
      </c>
      <c r="CD42" s="17"/>
      <c r="CE42" s="108">
        <f t="shared" si="44"/>
        <v>2522688</v>
      </c>
      <c r="CF42" s="125">
        <f t="shared" si="45"/>
        <v>3839224.3302945113</v>
      </c>
      <c r="CG42" s="110">
        <f t="shared" si="46"/>
        <v>756806.4</v>
      </c>
      <c r="CH42" s="126">
        <f t="shared" si="47"/>
        <v>9685164390535.5996</v>
      </c>
      <c r="CJ42" s="127">
        <f t="shared" si="48"/>
        <v>0</v>
      </c>
      <c r="CK42" s="128" t="e">
        <f t="shared" si="49"/>
        <v>#DIV/0!</v>
      </c>
      <c r="CL42" s="129" t="e">
        <f t="shared" si="50"/>
        <v>#DIV/0!</v>
      </c>
      <c r="CM42" s="130" t="e">
        <f t="shared" si="51"/>
        <v>#DIV/0!</v>
      </c>
      <c r="CO42" s="131" t="e">
        <f t="shared" si="52"/>
        <v>#DIV/0!</v>
      </c>
      <c r="CP42" s="1">
        <f t="shared" si="53"/>
        <v>1</v>
      </c>
      <c r="CQ42" s="132">
        <f t="shared" si="54"/>
        <v>0.30534981637971675</v>
      </c>
      <c r="CS42" s="104">
        <f t="shared" si="55"/>
        <v>3.8574956494786729E-3</v>
      </c>
    </row>
    <row r="43" spans="1:97">
      <c r="A43" s="133" t="s">
        <v>120</v>
      </c>
      <c r="B43" s="90" t="s">
        <v>122</v>
      </c>
      <c r="C43" s="208">
        <f>'Op Cost-24'!E36</f>
        <v>5960670</v>
      </c>
      <c r="D43" s="92">
        <f>'Ridership-24'!$E35</f>
        <v>1360253</v>
      </c>
      <c r="E43" s="92">
        <f>'Revenue Hours-24'!$F35</f>
        <v>74536</v>
      </c>
      <c r="F43" s="92">
        <f>'Revenue Miles-24'!$F35</f>
        <v>753636</v>
      </c>
      <c r="G43" s="134">
        <f t="shared" si="59"/>
        <v>2.1074798479745492E-2</v>
      </c>
      <c r="H43" s="94">
        <f t="shared" si="60"/>
        <v>1.9896113590957124E-2</v>
      </c>
      <c r="J43" s="95">
        <f>'Ridership-24'!B35/'Revenue Hours-24'!C35</f>
        <v>27.350763625087215</v>
      </c>
      <c r="K43" s="207">
        <f>'Ridership-24'!C35/'Revenue Hours-24'!J35</f>
        <v>28.025032050011234</v>
      </c>
      <c r="L43" s="207">
        <f>'Ridership-24'!D35/'Revenue Hours-24'!K35</f>
        <v>6.5232631919715116</v>
      </c>
      <c r="M43" s="207">
        <f>'Ridership-24'!E35/'Revenue Hours-24'!L35</f>
        <v>18.24961092626382</v>
      </c>
      <c r="N43" s="97">
        <f t="shared" si="2"/>
        <v>1.2177722543573253</v>
      </c>
      <c r="O43" s="98">
        <f t="shared" si="3"/>
        <v>2.4228935100609274E-2</v>
      </c>
      <c r="P43" s="99">
        <f t="shared" si="4"/>
        <v>2.3063641556493392E-2</v>
      </c>
      <c r="Q43" s="95">
        <f>'Ridership-24'!B35/'Revenue Miles-24'!C35</f>
        <v>2.7826950582098497</v>
      </c>
      <c r="R43" s="207">
        <f>'Ridership-24'!C35/'Revenue Miles-24'!J35</f>
        <v>2.8699282943585609</v>
      </c>
      <c r="S43" s="207">
        <f>'Ridership-24'!D35/'Revenue Miles-24'!K35</f>
        <v>0.66929775146545356</v>
      </c>
      <c r="T43" s="207">
        <f>'Ridership-24'!E35/'Revenue Miles-24'!L35</f>
        <v>1.8049204125068334</v>
      </c>
      <c r="U43" s="97">
        <f t="shared" si="5"/>
        <v>1.2111775195672629</v>
      </c>
      <c r="V43" s="98">
        <f t="shared" si="6"/>
        <v>2.4097725508123957E-2</v>
      </c>
      <c r="W43" s="99">
        <f t="shared" si="7"/>
        <v>2.2887377336662358E-2</v>
      </c>
      <c r="X43" s="95">
        <f>'Op Cost-24'!B36/'Revenue Hours-24'!C35</f>
        <v>60.134222291133682</v>
      </c>
      <c r="Y43" s="96">
        <f>'Op Cost-24'!C36/'Revenue Hours-24'!D35</f>
        <v>65.071448396177786</v>
      </c>
      <c r="Z43" s="96">
        <f>'Op Cost-24'!D36/'Revenue Hours-24'!E35</f>
        <v>76.682473292327614</v>
      </c>
      <c r="AA43" s="96">
        <f>'Op Cost-24'!E36/'Revenue Hours-24'!F35</f>
        <v>79.970349898035849</v>
      </c>
      <c r="AB43" s="97">
        <f t="shared" si="8"/>
        <v>1.0225563424064019</v>
      </c>
      <c r="AC43" s="98">
        <f t="shared" si="9"/>
        <v>1.9457229656544117E-2</v>
      </c>
      <c r="AD43" s="99">
        <f t="shared" si="10"/>
        <v>1.9567619431874628E-2</v>
      </c>
      <c r="AE43" s="95">
        <f>'Op Cost-24'!B36/'Revenue Miles-24'!C35</f>
        <v>6.1181181444361483</v>
      </c>
      <c r="AF43" s="96">
        <f>'Op Cost-24'!C36/'Revenue Miles-24'!D35</f>
        <v>6.6636994588917435</v>
      </c>
      <c r="AG43" s="96">
        <f>'Op Cost-24'!D36/'Revenue Miles-24'!E35</f>
        <v>7.8677504557122129</v>
      </c>
      <c r="AH43" s="96">
        <f>'Op Cost-24'!E36/'Revenue Miles-24'!F35</f>
        <v>7.9092161202490328</v>
      </c>
      <c r="AI43" s="97">
        <f t="shared" si="11"/>
        <v>1.0186025700982582</v>
      </c>
      <c r="AJ43" s="98">
        <f t="shared" si="12"/>
        <v>1.9532754162438319E-2</v>
      </c>
      <c r="AK43" s="99">
        <f t="shared" si="13"/>
        <v>1.9554462297964727E-2</v>
      </c>
      <c r="AL43" s="95">
        <f>'Op Cost-24'!B36/'Ridership-24'!B35</f>
        <v>2.1986304702650483</v>
      </c>
      <c r="AM43" s="96">
        <f>'Op Cost-24'!C36/'Ridership-24'!C35</f>
        <v>2.3219045130816078</v>
      </c>
      <c r="AN43" s="96">
        <f>'Op Cost-24'!D36/'Ridership-24'!D35</f>
        <v>11.755232164586637</v>
      </c>
      <c r="AO43" s="96">
        <f>'Op Cost-24'!E36/'Ridership-24'!E35</f>
        <v>4.3820304016973317</v>
      </c>
      <c r="AP43" s="100">
        <f t="shared" si="14"/>
        <v>1.2138335695226248</v>
      </c>
      <c r="AQ43" s="98">
        <f t="shared" si="15"/>
        <v>1.639113803614926E-2</v>
      </c>
      <c r="AR43" s="99">
        <f t="shared" si="16"/>
        <v>1.7357564497231893E-2</v>
      </c>
      <c r="AT43" s="101">
        <f t="shared" si="27"/>
        <v>0</v>
      </c>
      <c r="AU43" s="102">
        <f t="shared" si="17"/>
        <v>0</v>
      </c>
      <c r="AV43" s="102">
        <f t="shared" si="18"/>
        <v>0</v>
      </c>
      <c r="AW43" s="102">
        <f t="shared" si="19"/>
        <v>0</v>
      </c>
      <c r="AX43" s="103">
        <f t="shared" si="20"/>
        <v>0</v>
      </c>
      <c r="AY43" s="104">
        <f t="shared" si="28"/>
        <v>-1</v>
      </c>
      <c r="AZ43" s="105">
        <f t="shared" si="21"/>
        <v>0</v>
      </c>
      <c r="BA43" s="106">
        <f t="shared" si="21"/>
        <v>0</v>
      </c>
      <c r="BB43" s="106">
        <f t="shared" si="21"/>
        <v>0</v>
      </c>
      <c r="BC43" s="106">
        <f t="shared" si="21"/>
        <v>0</v>
      </c>
      <c r="BD43" s="106">
        <f t="shared" si="21"/>
        <v>0</v>
      </c>
      <c r="BE43" s="107">
        <f t="shared" si="29"/>
        <v>2518904.8755415962</v>
      </c>
      <c r="BG43" s="108">
        <f>'Op Cost-24'!E36</f>
        <v>5960670</v>
      </c>
      <c r="BH43" s="109">
        <f t="shared" si="22"/>
        <v>0.42258754058547043</v>
      </c>
      <c r="BI43" s="110">
        <f t="shared" si="23"/>
        <v>1788201</v>
      </c>
      <c r="BJ43" s="111">
        <f t="shared" si="24"/>
        <v>730703.87554159621</v>
      </c>
      <c r="BK43" s="1">
        <f t="shared" si="30"/>
        <v>2.3702514342396208</v>
      </c>
      <c r="BL43" s="112">
        <f t="shared" si="31"/>
        <v>1.6829244348581867</v>
      </c>
      <c r="BM43" s="112">
        <f t="shared" si="32"/>
        <v>2.4355038496537205</v>
      </c>
      <c r="BN43" s="113">
        <f t="shared" si="33"/>
        <v>2.6812887262232876</v>
      </c>
      <c r="BO43" s="114">
        <f t="shared" si="25"/>
        <v>0</v>
      </c>
      <c r="BP43" s="115">
        <f t="shared" si="34"/>
        <v>4.7158791774760532E-2</v>
      </c>
      <c r="BQ43" s="116">
        <f t="shared" si="35"/>
        <v>0</v>
      </c>
      <c r="BR43" s="117">
        <f t="shared" si="36"/>
        <v>0</v>
      </c>
      <c r="BS43" s="118">
        <f t="shared" si="37"/>
        <v>1788201</v>
      </c>
      <c r="BT43" s="119">
        <f t="shared" si="38"/>
        <v>1788201</v>
      </c>
      <c r="BU43" s="119">
        <f t="shared" si="39"/>
        <v>1788201</v>
      </c>
      <c r="BV43" s="119">
        <f t="shared" si="56"/>
        <v>0</v>
      </c>
      <c r="BW43" s="120">
        <f t="shared" si="40"/>
        <v>0</v>
      </c>
      <c r="BX43" s="121">
        <f t="shared" si="41"/>
        <v>0</v>
      </c>
      <c r="BY43" s="122">
        <f t="shared" si="42"/>
        <v>1788201</v>
      </c>
      <c r="BZ43" s="123">
        <f t="shared" si="58"/>
        <v>22483407168771.5</v>
      </c>
      <c r="CA43" s="111">
        <f t="shared" si="57"/>
        <v>22483408956973</v>
      </c>
      <c r="CC43" s="124">
        <f t="shared" si="26"/>
        <v>1</v>
      </c>
      <c r="CD43" s="17"/>
      <c r="CE43" s="108">
        <f t="shared" si="44"/>
        <v>5960670</v>
      </c>
      <c r="CF43" s="125">
        <f t="shared" si="45"/>
        <v>3771960.0241202749</v>
      </c>
      <c r="CG43" s="110">
        <f t="shared" si="46"/>
        <v>1788201</v>
      </c>
      <c r="CH43" s="126">
        <f t="shared" si="47"/>
        <v>22483407168772</v>
      </c>
      <c r="CJ43" s="127">
        <f t="shared" si="48"/>
        <v>0</v>
      </c>
      <c r="CK43" s="128" t="e">
        <f t="shared" si="49"/>
        <v>#DIV/0!</v>
      </c>
      <c r="CL43" s="129" t="e">
        <f t="shared" si="50"/>
        <v>#DIV/0!</v>
      </c>
      <c r="CM43" s="130" t="e">
        <f t="shared" si="51"/>
        <v>#DIV/0!</v>
      </c>
      <c r="CO43" s="131" t="e">
        <f t="shared" si="52"/>
        <v>#DIV/0!</v>
      </c>
      <c r="CP43" s="1">
        <f t="shared" si="53"/>
        <v>0</v>
      </c>
      <c r="CQ43" s="132">
        <f t="shared" si="54"/>
        <v>0.3</v>
      </c>
      <c r="CS43" s="104">
        <f t="shared" si="55"/>
        <v>3.9120083504236194E-2</v>
      </c>
    </row>
    <row r="44" spans="1:97">
      <c r="A44" s="133" t="s">
        <v>120</v>
      </c>
      <c r="B44" s="90" t="s">
        <v>123</v>
      </c>
      <c r="C44" s="208">
        <f>'Op Cost-24'!E37</f>
        <v>1423713</v>
      </c>
      <c r="D44" s="92">
        <f>'Ridership-24'!$E36</f>
        <v>134223</v>
      </c>
      <c r="E44" s="92">
        <f>'Revenue Hours-24'!$F36</f>
        <v>17310</v>
      </c>
      <c r="F44" s="92">
        <f>'Revenue Miles-24'!$F36</f>
        <v>185237</v>
      </c>
      <c r="G44" s="93">
        <f t="shared" si="59"/>
        <v>3.3073235794176914E-3</v>
      </c>
      <c r="H44" s="94">
        <f t="shared" si="60"/>
        <v>3.1223494583536324E-3</v>
      </c>
      <c r="J44" s="95">
        <f>'Ridership-24'!B36/'Revenue Hours-24'!C36</f>
        <v>7.7310729471533488</v>
      </c>
      <c r="K44" s="207">
        <f>'Ridership-24'!C36/'Revenue Hours-24'!J36</f>
        <v>7.608599966141866</v>
      </c>
      <c r="L44" s="207">
        <f>'Ridership-24'!D36/'Revenue Hours-24'!K36</f>
        <v>5.1692512721104915</v>
      </c>
      <c r="M44" s="207">
        <f>'Ridership-24'!E36/'Revenue Hours-24'!L36</f>
        <v>7.7540727902946278</v>
      </c>
      <c r="N44" s="97">
        <f t="shared" si="2"/>
        <v>1.1583121090765018</v>
      </c>
      <c r="O44" s="98">
        <f t="shared" si="3"/>
        <v>3.616655186379469E-3</v>
      </c>
      <c r="P44" s="99">
        <f t="shared" si="4"/>
        <v>3.4427117207471215E-3</v>
      </c>
      <c r="Q44" s="95">
        <f>'Ridership-24'!B36/'Revenue Miles-24'!C36</f>
        <v>0.72165979381443301</v>
      </c>
      <c r="R44" s="207">
        <f>'Ridership-24'!C36/'Revenue Miles-24'!J36</f>
        <v>0.70818473562300743</v>
      </c>
      <c r="S44" s="207">
        <f>'Ridership-24'!D36/'Revenue Miles-24'!K36</f>
        <v>0.48672727894958989</v>
      </c>
      <c r="T44" s="207">
        <f>'Ridership-24'!E36/'Revenue Miles-24'!L36</f>
        <v>0.72460145651246777</v>
      </c>
      <c r="U44" s="97">
        <f t="shared" si="5"/>
        <v>1.164432865063014</v>
      </c>
      <c r="V44" s="98">
        <f t="shared" si="6"/>
        <v>3.6357663255186701E-3</v>
      </c>
      <c r="W44" s="99">
        <f t="shared" si="7"/>
        <v>3.4531539406913287E-3</v>
      </c>
      <c r="X44" s="95">
        <f>'Op Cost-24'!B37/'Revenue Hours-24'!C36</f>
        <v>56.649621735048868</v>
      </c>
      <c r="Y44" s="96">
        <f>'Op Cost-24'!C37/'Revenue Hours-24'!D36</f>
        <v>63.818012527509737</v>
      </c>
      <c r="Z44" s="96">
        <f>'Op Cost-24'!D37/'Revenue Hours-24'!E36</f>
        <v>76.918100314998782</v>
      </c>
      <c r="AA44" s="96">
        <f>'Op Cost-24'!E37/'Revenue Hours-24'!F36</f>
        <v>82.248006932409012</v>
      </c>
      <c r="AB44" s="97">
        <f t="shared" si="8"/>
        <v>1.0532047630257686</v>
      </c>
      <c r="AC44" s="98">
        <f t="shared" si="9"/>
        <v>2.9646176773673004E-3</v>
      </c>
      <c r="AD44" s="99">
        <f t="shared" si="10"/>
        <v>2.9814373112577483E-3</v>
      </c>
      <c r="AE44" s="95">
        <f>'Op Cost-24'!B37/'Revenue Miles-24'!C36</f>
        <v>5.2879793814432992</v>
      </c>
      <c r="AF44" s="96">
        <f>'Op Cost-24'!C37/'Revenue Miles-24'!D36</f>
        <v>5.9399814066841392</v>
      </c>
      <c r="AG44" s="96">
        <f>'Op Cost-24'!D37/'Revenue Miles-24'!E36</f>
        <v>7.2424681443287211</v>
      </c>
      <c r="AH44" s="96">
        <f>'Op Cost-24'!E37/'Revenue Miles-24'!F36</f>
        <v>7.6858996852680619</v>
      </c>
      <c r="AI44" s="97">
        <f t="shared" si="11"/>
        <v>1.0592800607325368</v>
      </c>
      <c r="AJ44" s="98">
        <f t="shared" si="12"/>
        <v>2.9476146810451585E-3</v>
      </c>
      <c r="AK44" s="99">
        <f t="shared" si="13"/>
        <v>2.950890574369962E-3</v>
      </c>
      <c r="AL44" s="95">
        <f>'Op Cost-24'!B37/'Ridership-24'!B36</f>
        <v>7.3275238925158215</v>
      </c>
      <c r="AM44" s="96">
        <f>'Op Cost-24'!C37/'Ridership-24'!C36</f>
        <v>8.3876156995372018</v>
      </c>
      <c r="AN44" s="96">
        <f>'Op Cost-24'!D37/'Ridership-24'!D36</f>
        <v>14.879930625541988</v>
      </c>
      <c r="AO44" s="96">
        <f>'Op Cost-24'!E37/'Ridership-24'!E36</f>
        <v>10.607071813325586</v>
      </c>
      <c r="AP44" s="100">
        <f t="shared" si="14"/>
        <v>0.9271831994846752</v>
      </c>
      <c r="AQ44" s="98">
        <f t="shared" si="15"/>
        <v>3.3675647488964661E-3</v>
      </c>
      <c r="AR44" s="99">
        <f t="shared" si="16"/>
        <v>3.5661173860327714E-3</v>
      </c>
      <c r="AT44" s="101">
        <f t="shared" si="27"/>
        <v>0</v>
      </c>
      <c r="AU44" s="102">
        <f t="shared" si="17"/>
        <v>0</v>
      </c>
      <c r="AV44" s="102">
        <f t="shared" si="18"/>
        <v>0</v>
      </c>
      <c r="AW44" s="102">
        <f t="shared" si="19"/>
        <v>0</v>
      </c>
      <c r="AX44" s="103">
        <f t="shared" si="20"/>
        <v>0</v>
      </c>
      <c r="AY44" s="104">
        <f t="shared" si="28"/>
        <v>-1</v>
      </c>
      <c r="AZ44" s="105">
        <f t="shared" si="21"/>
        <v>0</v>
      </c>
      <c r="BA44" s="106">
        <f t="shared" si="21"/>
        <v>0</v>
      </c>
      <c r="BB44" s="106">
        <f t="shared" si="21"/>
        <v>0</v>
      </c>
      <c r="BC44" s="106">
        <f t="shared" si="21"/>
        <v>0</v>
      </c>
      <c r="BD44" s="106">
        <f t="shared" si="21"/>
        <v>0</v>
      </c>
      <c r="BE44" s="107">
        <f t="shared" si="29"/>
        <v>395298.37009808095</v>
      </c>
      <c r="BG44" s="108">
        <f>'Op Cost-24'!E37</f>
        <v>1423713</v>
      </c>
      <c r="BH44" s="109">
        <f t="shared" si="22"/>
        <v>0.27765312959710348</v>
      </c>
      <c r="BI44" s="110">
        <f t="shared" si="23"/>
        <v>395298.37009808095</v>
      </c>
      <c r="BJ44" s="111">
        <f t="shared" si="24"/>
        <v>0</v>
      </c>
      <c r="BK44" s="1">
        <f t="shared" si="30"/>
        <v>0.99928423771190911</v>
      </c>
      <c r="BL44" s="112">
        <f t="shared" si="31"/>
        <v>0.72412603686323651</v>
      </c>
      <c r="BM44" s="112">
        <f t="shared" si="32"/>
        <v>0.96864523986697704</v>
      </c>
      <c r="BN44" s="113">
        <f t="shared" si="33"/>
        <v>1.1521828370587115</v>
      </c>
      <c r="BO44" s="114">
        <f t="shared" si="25"/>
        <v>395298.37009808095</v>
      </c>
      <c r="BP44" s="115">
        <f t="shared" si="34"/>
        <v>3.1201145983611018E-3</v>
      </c>
      <c r="BQ44" s="116">
        <f t="shared" si="35"/>
        <v>3.1201145983611018E-3</v>
      </c>
      <c r="BR44" s="117">
        <f t="shared" si="36"/>
        <v>4.786454513373924E-3</v>
      </c>
      <c r="BS44" s="118">
        <f t="shared" si="37"/>
        <v>455479.41558401345</v>
      </c>
      <c r="BT44" s="119">
        <f t="shared" si="38"/>
        <v>427113.89999999997</v>
      </c>
      <c r="BU44" s="119">
        <f t="shared" si="39"/>
        <v>427113.89999999997</v>
      </c>
      <c r="BV44" s="119">
        <f t="shared" si="56"/>
        <v>28365.515584013483</v>
      </c>
      <c r="BW44" s="120">
        <f t="shared" si="40"/>
        <v>0</v>
      </c>
      <c r="BX44" s="121">
        <f t="shared" si="41"/>
        <v>0</v>
      </c>
      <c r="BY44" s="122">
        <f t="shared" si="42"/>
        <v>427113.89999999997</v>
      </c>
      <c r="BZ44" s="123">
        <f t="shared" si="58"/>
        <v>5370188094706.3301</v>
      </c>
      <c r="CA44" s="111">
        <f t="shared" si="57"/>
        <v>5370188490005</v>
      </c>
      <c r="CC44" s="124">
        <f t="shared" si="26"/>
        <v>1</v>
      </c>
      <c r="CD44" s="17"/>
      <c r="CE44" s="108">
        <f t="shared" si="44"/>
        <v>1423713</v>
      </c>
      <c r="CF44" s="125">
        <f t="shared" si="45"/>
        <v>3771960.0017735315</v>
      </c>
      <c r="CG44" s="110">
        <f t="shared" si="46"/>
        <v>427113.89999999997</v>
      </c>
      <c r="CH44" s="126">
        <f t="shared" si="47"/>
        <v>5370188062891.0996</v>
      </c>
      <c r="CJ44" s="127">
        <f t="shared" si="48"/>
        <v>0</v>
      </c>
      <c r="CK44" s="128" t="e">
        <f t="shared" si="49"/>
        <v>#DIV/0!</v>
      </c>
      <c r="CL44" s="129" t="e">
        <f t="shared" si="50"/>
        <v>#DIV/0!</v>
      </c>
      <c r="CM44" s="130" t="e">
        <f t="shared" si="51"/>
        <v>#DIV/0!</v>
      </c>
      <c r="CO44" s="131" t="e">
        <f t="shared" si="52"/>
        <v>#DIV/0!</v>
      </c>
      <c r="CP44" s="1">
        <f t="shared" si="53"/>
        <v>0</v>
      </c>
      <c r="CQ44" s="132">
        <f t="shared" si="54"/>
        <v>0.3</v>
      </c>
      <c r="CS44" s="104">
        <f t="shared" si="55"/>
        <v>2.5882584993621263E-3</v>
      </c>
    </row>
    <row r="45" spans="1:97">
      <c r="A45" s="133" t="s">
        <v>124</v>
      </c>
      <c r="B45" s="90" t="s">
        <v>125</v>
      </c>
      <c r="C45" s="208">
        <f>'Op Cost-24'!E38</f>
        <v>4637640</v>
      </c>
      <c r="D45" s="92">
        <f>'Ridership-24'!$E37</f>
        <v>127135</v>
      </c>
      <c r="E45" s="92">
        <f>'Revenue Hours-24'!$F37</f>
        <v>60586</v>
      </c>
      <c r="F45" s="92">
        <f>'Revenue Miles-24'!$F37</f>
        <v>1402170</v>
      </c>
      <c r="G45" s="134">
        <f t="shared" si="59"/>
        <v>1.00611037094336E-2</v>
      </c>
      <c r="H45" s="94">
        <f t="shared" si="60"/>
        <v>9.498399827911827E-3</v>
      </c>
      <c r="J45" s="95">
        <f>'Ridership-24'!B37/'Revenue Hours-24'!C37</f>
        <v>2.2830581849901463</v>
      </c>
      <c r="K45" s="207">
        <f>'Ridership-24'!C37/'Revenue Hours-24'!J37</f>
        <v>2.3373679249962795</v>
      </c>
      <c r="L45" s="207">
        <f>'Ridership-24'!D37/'Revenue Hours-24'!K37</f>
        <v>1.944317205840252</v>
      </c>
      <c r="M45" s="207">
        <f>'Ridership-24'!E37/'Revenue Hours-24'!L37</f>
        <v>2.0984220777077214</v>
      </c>
      <c r="N45" s="97">
        <f t="shared" si="2"/>
        <v>1.1616293810859883</v>
      </c>
      <c r="O45" s="98">
        <f t="shared" si="3"/>
        <v>1.1033620313404473E-2</v>
      </c>
      <c r="P45" s="99">
        <f t="shared" si="4"/>
        <v>1.0502957019039846E-2</v>
      </c>
      <c r="Q45" s="95">
        <f>'Ridership-24'!B37/'Revenue Miles-24'!C37</f>
        <v>0.10105390351849336</v>
      </c>
      <c r="R45" s="207">
        <f>'Ridership-24'!C37/'Revenue Miles-24'!J37</f>
        <v>9.8864253896849164E-2</v>
      </c>
      <c r="S45" s="207">
        <f>'Ridership-24'!D37/'Revenue Miles-24'!K37</f>
        <v>8.4847547858705061E-2</v>
      </c>
      <c r="T45" s="207">
        <f>'Ridership-24'!E37/'Revenue Miles-24'!L37</f>
        <v>9.06701755136681E-2</v>
      </c>
      <c r="U45" s="97">
        <f t="shared" si="5"/>
        <v>1.1613529121666903</v>
      </c>
      <c r="V45" s="98">
        <f t="shared" si="6"/>
        <v>1.1030994301068991E-2</v>
      </c>
      <c r="W45" s="99">
        <f t="shared" si="7"/>
        <v>1.0476944344063668E-2</v>
      </c>
      <c r="X45" s="95">
        <f>'Op Cost-24'!B38/'Revenue Hours-24'!C37</f>
        <v>58.289454980131168</v>
      </c>
      <c r="Y45" s="96">
        <f>'Op Cost-24'!C38/'Revenue Hours-24'!D37</f>
        <v>59.71751244274683</v>
      </c>
      <c r="Z45" s="96">
        <f>'Op Cost-24'!D38/'Revenue Hours-24'!E37</f>
        <v>69.859111079301456</v>
      </c>
      <c r="AA45" s="96">
        <f>'Op Cost-24'!E38/'Revenue Hours-24'!F37</f>
        <v>76.546396857359781</v>
      </c>
      <c r="AB45" s="97">
        <f t="shared" si="8"/>
        <v>1.0189423271546556</v>
      </c>
      <c r="AC45" s="98">
        <f t="shared" si="9"/>
        <v>9.3218228105565338E-3</v>
      </c>
      <c r="AD45" s="99">
        <f t="shared" si="10"/>
        <v>9.3747097807929183E-3</v>
      </c>
      <c r="AE45" s="95">
        <f>'Op Cost-24'!B38/'Revenue Miles-24'!C37</f>
        <v>2.5800380377660677</v>
      </c>
      <c r="AF45" s="96">
        <f>'Op Cost-24'!C38/'Revenue Miles-24'!D37</f>
        <v>2.5258870240710474</v>
      </c>
      <c r="AG45" s="96">
        <f>'Op Cost-24'!D38/'Revenue Miles-24'!E37</f>
        <v>3.0485633994613872</v>
      </c>
      <c r="AH45" s="96">
        <f>'Op Cost-24'!E38/'Revenue Miles-24'!F37</f>
        <v>3.3074734162048824</v>
      </c>
      <c r="AI45" s="97">
        <f t="shared" si="11"/>
        <v>1.0165484061575014</v>
      </c>
      <c r="AJ45" s="98">
        <f t="shared" si="12"/>
        <v>9.3437752401927133E-3</v>
      </c>
      <c r="AK45" s="99">
        <f t="shared" si="13"/>
        <v>9.3541596405468871E-3</v>
      </c>
      <c r="AL45" s="95">
        <f>'Op Cost-24'!B38/'Ridership-24'!B37</f>
        <v>25.531305055364914</v>
      </c>
      <c r="AM45" s="96">
        <f>'Op Cost-24'!C38/'Ridership-24'!C37</f>
        <v>25.549042495242542</v>
      </c>
      <c r="AN45" s="96">
        <f>'Op Cost-24'!D38/'Ridership-24'!D37</f>
        <v>35.929893985128473</v>
      </c>
      <c r="AO45" s="96">
        <f>'Op Cost-24'!E38/'Ridership-24'!E37</f>
        <v>36.47807448774924</v>
      </c>
      <c r="AP45" s="100">
        <f t="shared" si="14"/>
        <v>0.9583100618876742</v>
      </c>
      <c r="AQ45" s="98">
        <f t="shared" si="15"/>
        <v>9.9116144196607185E-3</v>
      </c>
      <c r="AR45" s="99">
        <f t="shared" si="16"/>
        <v>1.0496006206617973E-2</v>
      </c>
      <c r="AT45" s="101">
        <f t="shared" si="27"/>
        <v>0</v>
      </c>
      <c r="AU45" s="102">
        <f t="shared" si="17"/>
        <v>0</v>
      </c>
      <c r="AV45" s="102">
        <f t="shared" si="18"/>
        <v>0</v>
      </c>
      <c r="AW45" s="102">
        <f t="shared" si="19"/>
        <v>0</v>
      </c>
      <c r="AX45" s="103">
        <f t="shared" si="20"/>
        <v>0</v>
      </c>
      <c r="AY45" s="104">
        <f t="shared" si="28"/>
        <v>-1</v>
      </c>
      <c r="AZ45" s="105">
        <f t="shared" si="21"/>
        <v>0</v>
      </c>
      <c r="BA45" s="106">
        <f t="shared" si="21"/>
        <v>0</v>
      </c>
      <c r="BB45" s="106">
        <f t="shared" si="21"/>
        <v>0</v>
      </c>
      <c r="BC45" s="106">
        <f t="shared" si="21"/>
        <v>0</v>
      </c>
      <c r="BD45" s="106">
        <f t="shared" si="21"/>
        <v>0</v>
      </c>
      <c r="BE45" s="107">
        <f t="shared" si="29"/>
        <v>1202524.5798377851</v>
      </c>
      <c r="BG45" s="108">
        <f>'Op Cost-24'!E38</f>
        <v>4637640</v>
      </c>
      <c r="BH45" s="109">
        <f t="shared" si="22"/>
        <v>0.25929666378541349</v>
      </c>
      <c r="BI45" s="110">
        <f t="shared" si="23"/>
        <v>1202524.5798377851</v>
      </c>
      <c r="BJ45" s="111">
        <f t="shared" si="24"/>
        <v>0</v>
      </c>
      <c r="BK45" s="1">
        <f t="shared" si="30"/>
        <v>0.29074545507010735</v>
      </c>
      <c r="BL45" s="112">
        <f t="shared" si="31"/>
        <v>0.22898430825773097</v>
      </c>
      <c r="BM45" s="112">
        <f t="shared" si="32"/>
        <v>0.14101587367611154</v>
      </c>
      <c r="BN45" s="113">
        <f t="shared" si="33"/>
        <v>0.39649081917329343</v>
      </c>
      <c r="BO45" s="114">
        <f t="shared" si="25"/>
        <v>1202524.5798377851</v>
      </c>
      <c r="BP45" s="115">
        <f t="shared" si="34"/>
        <v>2.7616165804040535E-3</v>
      </c>
      <c r="BQ45" s="116">
        <f t="shared" si="35"/>
        <v>2.7616165804040535E-3</v>
      </c>
      <c r="BR45" s="117">
        <f t="shared" si="36"/>
        <v>4.2364957211592259E-3</v>
      </c>
      <c r="BS45" s="118">
        <f t="shared" si="37"/>
        <v>1255790.8839431854</v>
      </c>
      <c r="BT45" s="119">
        <f t="shared" si="38"/>
        <v>1391292</v>
      </c>
      <c r="BU45" s="119">
        <f t="shared" si="39"/>
        <v>1255790.8839431854</v>
      </c>
      <c r="BV45" s="119">
        <f t="shared" si="56"/>
        <v>0</v>
      </c>
      <c r="BW45" s="120">
        <f t="shared" si="40"/>
        <v>2.7616165804040535E-3</v>
      </c>
      <c r="BX45" s="121">
        <f t="shared" si="41"/>
        <v>5.2341647509482987E-3</v>
      </c>
      <c r="BY45" s="122">
        <f t="shared" si="42"/>
        <v>1264122.8158251578</v>
      </c>
      <c r="BZ45" s="123">
        <f t="shared" si="58"/>
        <v>15894067825446.34</v>
      </c>
      <c r="CA45" s="111">
        <f t="shared" si="57"/>
        <v>15894069027971</v>
      </c>
      <c r="CC45" s="124">
        <f t="shared" si="26"/>
        <v>1</v>
      </c>
      <c r="CD45" s="17"/>
      <c r="CE45" s="108">
        <f t="shared" si="44"/>
        <v>4637640</v>
      </c>
      <c r="CF45" s="125">
        <f t="shared" si="45"/>
        <v>3427189.0504590697</v>
      </c>
      <c r="CG45" s="110">
        <f t="shared" si="46"/>
        <v>1391292</v>
      </c>
      <c r="CH45" s="126">
        <f t="shared" si="47"/>
        <v>15894067636679</v>
      </c>
      <c r="CJ45" s="127">
        <f t="shared" si="48"/>
        <v>0</v>
      </c>
      <c r="CK45" s="128" t="e">
        <f t="shared" si="49"/>
        <v>#DIV/0!</v>
      </c>
      <c r="CL45" s="129" t="e">
        <f t="shared" si="50"/>
        <v>#DIV/0!</v>
      </c>
      <c r="CM45" s="130" t="e">
        <f t="shared" si="51"/>
        <v>#DIV/0!</v>
      </c>
      <c r="CO45" s="131" t="e">
        <f t="shared" si="52"/>
        <v>#DIV/0!</v>
      </c>
      <c r="CP45" s="1">
        <f t="shared" si="53"/>
        <v>0</v>
      </c>
      <c r="CQ45" s="132">
        <f t="shared" si="54"/>
        <v>0.27257890130004869</v>
      </c>
      <c r="CS45" s="104">
        <f t="shared" si="55"/>
        <v>2.2908702103328722E-3</v>
      </c>
    </row>
    <row r="46" spans="1:97">
      <c r="A46" s="133" t="s">
        <v>124</v>
      </c>
      <c r="B46" s="90" t="s">
        <v>126</v>
      </c>
      <c r="C46" s="208">
        <f>'Op Cost-24'!E39</f>
        <v>573381</v>
      </c>
      <c r="D46" s="92">
        <f>'Ridership-24'!$E38</f>
        <v>24049</v>
      </c>
      <c r="E46" s="92">
        <f>'Revenue Hours-24'!$F38</f>
        <v>15570</v>
      </c>
      <c r="F46" s="92">
        <f>'Revenue Miles-24'!$F38</f>
        <v>414537</v>
      </c>
      <c r="G46" s="134">
        <f t="shared" si="59"/>
        <v>2.1846805277742857E-3</v>
      </c>
      <c r="H46" s="94">
        <f t="shared" si="60"/>
        <v>2.0624943096051031E-3</v>
      </c>
      <c r="J46" s="95">
        <f>'Ridership-24'!B38/'Revenue Hours-24'!C38</f>
        <v>2.4957182320441991</v>
      </c>
      <c r="K46" s="207">
        <f>'Ridership-24'!C38/'Revenue Hours-24'!J38</f>
        <v>2.6155528221948887</v>
      </c>
      <c r="L46" s="207">
        <f>'Ridership-24'!D38/'Revenue Hours-24'!K38</f>
        <v>1.3983089137029627</v>
      </c>
      <c r="M46" s="207">
        <f>'Ridership-24'!E38/'Revenue Hours-24'!L38</f>
        <v>1.5445728965960179</v>
      </c>
      <c r="N46" s="97">
        <f t="shared" si="2"/>
        <v>0.98344145725361898</v>
      </c>
      <c r="O46" s="98">
        <f t="shared" si="3"/>
        <v>2.0283424094153396E-3</v>
      </c>
      <c r="P46" s="99">
        <f t="shared" si="4"/>
        <v>1.9307890375839581E-3</v>
      </c>
      <c r="Q46" s="95">
        <f>'Ridership-24'!B38/'Revenue Miles-24'!C38</f>
        <v>9.3473318279519824E-2</v>
      </c>
      <c r="R46" s="207">
        <f>'Ridership-24'!C38/'Revenue Miles-24'!J38</f>
        <v>9.9669556205390739E-2</v>
      </c>
      <c r="S46" s="207">
        <f>'Ridership-24'!D38/'Revenue Miles-24'!K38</f>
        <v>5.2832581392513109E-2</v>
      </c>
      <c r="T46" s="207">
        <f>'Ridership-24'!E38/'Revenue Miles-24'!L38</f>
        <v>5.8014121779238044E-2</v>
      </c>
      <c r="U46" s="97">
        <f t="shared" si="5"/>
        <v>0.98900730829066263</v>
      </c>
      <c r="V46" s="98">
        <f t="shared" si="6"/>
        <v>2.0398219455073515E-3</v>
      </c>
      <c r="W46" s="99">
        <f t="shared" si="7"/>
        <v>1.9373685101812775E-3</v>
      </c>
      <c r="X46" s="95">
        <f>'Op Cost-24'!B39/'Revenue Hours-24'!C38</f>
        <v>25.043991712707182</v>
      </c>
      <c r="Y46" s="96">
        <f>'Op Cost-24'!C39/'Revenue Hours-24'!D38</f>
        <v>27.952507858411916</v>
      </c>
      <c r="Z46" s="96">
        <f>'Op Cost-24'!D39/'Revenue Hours-24'!E38</f>
        <v>37.360937197444009</v>
      </c>
      <c r="AA46" s="96">
        <f>'Op Cost-24'!E39/'Revenue Hours-24'!F38</f>
        <v>36.826011560693644</v>
      </c>
      <c r="AB46" s="97">
        <f t="shared" si="8"/>
        <v>1.0578409227089491</v>
      </c>
      <c r="AC46" s="98">
        <f t="shared" si="9"/>
        <v>1.9497206671901185E-3</v>
      </c>
      <c r="AD46" s="99">
        <f t="shared" si="10"/>
        <v>1.9607823255149447E-3</v>
      </c>
      <c r="AE46" s="95">
        <f>'Op Cost-24'!B39/'Revenue Miles-24'!C38</f>
        <v>0.93798449612403101</v>
      </c>
      <c r="AF46" s="96">
        <f>'Op Cost-24'!C39/'Revenue Miles-24'!D38</f>
        <v>1.0651721614773884</v>
      </c>
      <c r="AG46" s="96">
        <f>'Op Cost-24'!D39/'Revenue Miles-24'!E38</f>
        <v>1.4116156566272406</v>
      </c>
      <c r="AH46" s="96">
        <f>'Op Cost-24'!E39/'Revenue Miles-24'!F38</f>
        <v>1.3831841307289821</v>
      </c>
      <c r="AI46" s="97">
        <f t="shared" si="11"/>
        <v>1.0641048167932705</v>
      </c>
      <c r="AJ46" s="98">
        <f t="shared" si="12"/>
        <v>1.9382435612128191E-3</v>
      </c>
      <c r="AK46" s="99">
        <f t="shared" si="13"/>
        <v>1.9403976687984719E-3</v>
      </c>
      <c r="AL46" s="95">
        <f>'Op Cost-24'!B39/'Ridership-24'!B38</f>
        <v>10.034783330566164</v>
      </c>
      <c r="AM46" s="96">
        <f>'Op Cost-24'!C39/'Ridership-24'!C38</f>
        <v>10.687036262932386</v>
      </c>
      <c r="AN46" s="96">
        <f>'Op Cost-24'!D39/'Ridership-24'!D38</f>
        <v>26.718657680945348</v>
      </c>
      <c r="AO46" s="96">
        <f>'Op Cost-24'!E39/'Ridership-24'!E38</f>
        <v>23.842197180755957</v>
      </c>
      <c r="AP46" s="100">
        <f t="shared" si="14"/>
        <v>1.0799884459077091</v>
      </c>
      <c r="AQ46" s="98">
        <f t="shared" si="15"/>
        <v>1.9097373841547138E-3</v>
      </c>
      <c r="AR46" s="99">
        <f t="shared" si="16"/>
        <v>2.0223360785037873E-3</v>
      </c>
      <c r="AT46" s="101">
        <f t="shared" si="27"/>
        <v>0</v>
      </c>
      <c r="AU46" s="102">
        <f t="shared" si="17"/>
        <v>0</v>
      </c>
      <c r="AV46" s="102">
        <f t="shared" si="18"/>
        <v>0</v>
      </c>
      <c r="AW46" s="102">
        <f t="shared" si="19"/>
        <v>0</v>
      </c>
      <c r="AX46" s="103">
        <f t="shared" si="20"/>
        <v>0</v>
      </c>
      <c r="AY46" s="104">
        <f t="shared" si="28"/>
        <v>-1</v>
      </c>
      <c r="AZ46" s="105">
        <f t="shared" si="21"/>
        <v>0</v>
      </c>
      <c r="BA46" s="106">
        <f t="shared" si="21"/>
        <v>0</v>
      </c>
      <c r="BB46" s="106">
        <f t="shared" si="21"/>
        <v>0</v>
      </c>
      <c r="BC46" s="106">
        <f t="shared" si="21"/>
        <v>0</v>
      </c>
      <c r="BD46" s="106">
        <f t="shared" si="21"/>
        <v>0</v>
      </c>
      <c r="BE46" s="107">
        <f t="shared" si="29"/>
        <v>261117.67750473379</v>
      </c>
      <c r="BG46" s="108">
        <f>'Op Cost-24'!E39</f>
        <v>573381</v>
      </c>
      <c r="BH46" s="109">
        <f t="shared" si="22"/>
        <v>0.45539994786142857</v>
      </c>
      <c r="BI46" s="110">
        <f t="shared" si="23"/>
        <v>172014.3</v>
      </c>
      <c r="BJ46" s="111">
        <f t="shared" si="24"/>
        <v>89103.377504733799</v>
      </c>
      <c r="BK46" s="1">
        <f t="shared" si="30"/>
        <v>0.40333578830729</v>
      </c>
      <c r="BL46" s="112">
        <f t="shared" si="31"/>
        <v>0.18902971627646217</v>
      </c>
      <c r="BM46" s="112">
        <f t="shared" si="32"/>
        <v>0.10208406959951016</v>
      </c>
      <c r="BN46" s="113">
        <f t="shared" si="33"/>
        <v>0.66111468367659387</v>
      </c>
      <c r="BO46" s="114">
        <f t="shared" si="25"/>
        <v>0</v>
      </c>
      <c r="BP46" s="115">
        <f t="shared" si="34"/>
        <v>8.3187776824387408E-4</v>
      </c>
      <c r="BQ46" s="116">
        <f t="shared" si="35"/>
        <v>0</v>
      </c>
      <c r="BR46" s="117">
        <f t="shared" si="36"/>
        <v>0</v>
      </c>
      <c r="BS46" s="118">
        <f t="shared" si="37"/>
        <v>172014.3</v>
      </c>
      <c r="BT46" s="119">
        <f t="shared" si="38"/>
        <v>172014.3</v>
      </c>
      <c r="BU46" s="119">
        <f t="shared" si="39"/>
        <v>172014.3</v>
      </c>
      <c r="BV46" s="119">
        <f t="shared" si="56"/>
        <v>0</v>
      </c>
      <c r="BW46" s="120">
        <f t="shared" si="40"/>
        <v>0</v>
      </c>
      <c r="BX46" s="121">
        <f t="shared" si="41"/>
        <v>0</v>
      </c>
      <c r="BY46" s="122">
        <f t="shared" si="42"/>
        <v>172014.3</v>
      </c>
      <c r="BZ46" s="123">
        <f t="shared" si="58"/>
        <v>2162770038575.7593</v>
      </c>
      <c r="CA46" s="111">
        <f t="shared" si="57"/>
        <v>2162770210590</v>
      </c>
      <c r="CC46" s="124">
        <f t="shared" si="26"/>
        <v>1</v>
      </c>
      <c r="CD46" s="17"/>
      <c r="CE46" s="108">
        <f t="shared" si="44"/>
        <v>573381</v>
      </c>
      <c r="CF46" s="125">
        <f t="shared" si="45"/>
        <v>3771960.0241200877</v>
      </c>
      <c r="CG46" s="110">
        <f t="shared" si="46"/>
        <v>172014.3</v>
      </c>
      <c r="CH46" s="126">
        <f t="shared" si="47"/>
        <v>2162770038575.7</v>
      </c>
      <c r="CJ46" s="127">
        <f t="shared" si="48"/>
        <v>0</v>
      </c>
      <c r="CK46" s="128" t="e">
        <f t="shared" si="49"/>
        <v>#DIV/0!</v>
      </c>
      <c r="CL46" s="129" t="e">
        <f t="shared" si="50"/>
        <v>#DIV/0!</v>
      </c>
      <c r="CM46" s="130" t="e">
        <f t="shared" si="51"/>
        <v>#DIV/0!</v>
      </c>
      <c r="CO46" s="131" t="e">
        <f t="shared" si="52"/>
        <v>#DIV/0!</v>
      </c>
      <c r="CP46" s="1">
        <f t="shared" si="53"/>
        <v>0</v>
      </c>
      <c r="CQ46" s="132">
        <f t="shared" si="54"/>
        <v>0.3</v>
      </c>
      <c r="CS46" s="104">
        <f t="shared" si="55"/>
        <v>6.9007552005255436E-4</v>
      </c>
    </row>
    <row r="47" spans="1:97">
      <c r="A47" s="133" t="s">
        <v>124</v>
      </c>
      <c r="B47" s="90" t="s">
        <v>127</v>
      </c>
      <c r="C47" s="208">
        <f>'Op Cost-24'!E40</f>
        <v>7674872</v>
      </c>
      <c r="D47" s="92">
        <f>'Ridership-24'!$E39</f>
        <v>172720</v>
      </c>
      <c r="E47" s="92">
        <f>'Revenue Hours-24'!$F39</f>
        <v>75094</v>
      </c>
      <c r="F47" s="92">
        <f>'Revenue Miles-24'!$F39</f>
        <v>1190608</v>
      </c>
      <c r="G47" s="134">
        <f t="shared" si="59"/>
        <v>1.2692576229773777E-2</v>
      </c>
      <c r="H47" s="94">
        <f t="shared" si="60"/>
        <v>1.1982697660059004E-2</v>
      </c>
      <c r="J47" s="95">
        <f>'Ridership-24'!B39/'Revenue Hours-24'!C39</f>
        <v>2.8528395937570008</v>
      </c>
      <c r="K47" s="207">
        <f>'Ridership-24'!C39/'Revenue Hours-24'!J39</f>
        <v>2.8967768637798126</v>
      </c>
      <c r="L47" s="207">
        <f>'Ridership-24'!D39/'Revenue Hours-24'!K39</f>
        <v>2.1946189886707304</v>
      </c>
      <c r="M47" s="207">
        <f>'Ridership-24'!E39/'Revenue Hours-24'!L39</f>
        <v>2.3000506032439341</v>
      </c>
      <c r="N47" s="97">
        <f t="shared" si="2"/>
        <v>1.102579996360374</v>
      </c>
      <c r="O47" s="98">
        <f t="shared" si="3"/>
        <v>1.3211882742415318E-2</v>
      </c>
      <c r="P47" s="99">
        <f t="shared" si="4"/>
        <v>1.2576455654868023E-2</v>
      </c>
      <c r="Q47" s="95">
        <f>'Ridership-24'!B39/'Revenue Miles-24'!C39</f>
        <v>0.17268278460800451</v>
      </c>
      <c r="R47" s="207">
        <f>'Ridership-24'!C39/'Revenue Miles-24'!J39</f>
        <v>0.17887553870187622</v>
      </c>
      <c r="S47" s="207">
        <f>'Ridership-24'!D39/'Revenue Miles-24'!K39</f>
        <v>0.13508021153120933</v>
      </c>
      <c r="T47" s="207">
        <f>'Ridership-24'!E39/'Revenue Miles-24'!L39</f>
        <v>0.14506873798932982</v>
      </c>
      <c r="U47" s="97">
        <f t="shared" si="5"/>
        <v>1.1162552956184724</v>
      </c>
      <c r="V47" s="98">
        <f t="shared" si="6"/>
        <v>1.3375749718835941E-2</v>
      </c>
      <c r="W47" s="99">
        <f t="shared" si="7"/>
        <v>1.2703930537865388E-2</v>
      </c>
      <c r="X47" s="95">
        <f>'Op Cost-24'!B40/'Revenue Hours-24'!C39</f>
        <v>67.871126129489951</v>
      </c>
      <c r="Y47" s="96">
        <f>'Op Cost-24'!C40/'Revenue Hours-24'!D39</f>
        <v>82.421987686895335</v>
      </c>
      <c r="Z47" s="96">
        <f>'Op Cost-24'!D40/'Revenue Hours-24'!E39</f>
        <v>132.58479715436326</v>
      </c>
      <c r="AA47" s="96">
        <f>'Op Cost-24'!E40/'Revenue Hours-24'!F39</f>
        <v>102.20353157376088</v>
      </c>
      <c r="AB47" s="97">
        <f t="shared" si="8"/>
        <v>1.0927878671265903</v>
      </c>
      <c r="AC47" s="98">
        <f t="shared" si="9"/>
        <v>1.0965255033043764E-2</v>
      </c>
      <c r="AD47" s="99">
        <f t="shared" si="10"/>
        <v>1.1027465946976844E-2</v>
      </c>
      <c r="AE47" s="95">
        <f>'Op Cost-24'!B40/'Revenue Miles-24'!C39</f>
        <v>4.1082488760213556</v>
      </c>
      <c r="AF47" s="96">
        <f>'Op Cost-24'!C40/'Revenue Miles-24'!D39</f>
        <v>5.0895454298593386</v>
      </c>
      <c r="AG47" s="96">
        <f>'Op Cost-24'!D40/'Revenue Miles-24'!E39</f>
        <v>8.1606796158642627</v>
      </c>
      <c r="AH47" s="96">
        <f>'Op Cost-24'!E40/'Revenue Miles-24'!F39</f>
        <v>6.4461787590877941</v>
      </c>
      <c r="AI47" s="97">
        <f t="shared" si="11"/>
        <v>1.10818527996705</v>
      </c>
      <c r="AJ47" s="98">
        <f t="shared" si="12"/>
        <v>1.0812900944159166E-2</v>
      </c>
      <c r="AK47" s="99">
        <f t="shared" si="13"/>
        <v>1.0824918088140881E-2</v>
      </c>
      <c r="AL47" s="95">
        <f>'Op Cost-24'!B40/'Ridership-24'!B39</f>
        <v>23.790726361908128</v>
      </c>
      <c r="AM47" s="96">
        <f>'Op Cost-24'!C40/'Ridership-24'!C39</f>
        <v>28.452998474776663</v>
      </c>
      <c r="AN47" s="96">
        <f>'Op Cost-24'!D40/'Ridership-24'!D39</f>
        <v>60.413583332143318</v>
      </c>
      <c r="AO47" s="96">
        <f>'Op Cost-24'!E40/'Ridership-24'!E39</f>
        <v>44.435340435386756</v>
      </c>
      <c r="AP47" s="100">
        <f t="shared" si="14"/>
        <v>1.0025928662815951</v>
      </c>
      <c r="AQ47" s="98">
        <f t="shared" si="15"/>
        <v>1.1951708478138584E-2</v>
      </c>
      <c r="AR47" s="99">
        <f t="shared" si="16"/>
        <v>1.2656384828428921E-2</v>
      </c>
      <c r="AT47" s="101">
        <f t="shared" si="27"/>
        <v>0</v>
      </c>
      <c r="AU47" s="102">
        <f t="shared" si="17"/>
        <v>0</v>
      </c>
      <c r="AV47" s="102">
        <f t="shared" si="18"/>
        <v>0</v>
      </c>
      <c r="AW47" s="102">
        <f t="shared" si="19"/>
        <v>0</v>
      </c>
      <c r="AX47" s="103">
        <f t="shared" si="20"/>
        <v>0</v>
      </c>
      <c r="AY47" s="104">
        <f t="shared" si="28"/>
        <v>-1</v>
      </c>
      <c r="AZ47" s="105">
        <f t="shared" si="21"/>
        <v>0</v>
      </c>
      <c r="BA47" s="106">
        <f t="shared" si="21"/>
        <v>0</v>
      </c>
      <c r="BB47" s="106">
        <f t="shared" si="21"/>
        <v>0</v>
      </c>
      <c r="BC47" s="106">
        <f t="shared" si="21"/>
        <v>0</v>
      </c>
      <c r="BD47" s="106">
        <f t="shared" si="21"/>
        <v>0</v>
      </c>
      <c r="BE47" s="107">
        <f t="shared" si="29"/>
        <v>1517043.7894856986</v>
      </c>
      <c r="BG47" s="108">
        <f>'Op Cost-24'!E40</f>
        <v>7674872</v>
      </c>
      <c r="BH47" s="109">
        <f t="shared" si="22"/>
        <v>0.19766372513909009</v>
      </c>
      <c r="BI47" s="110">
        <f t="shared" si="23"/>
        <v>1517043.7894856986</v>
      </c>
      <c r="BJ47" s="111">
        <f t="shared" si="24"/>
        <v>0</v>
      </c>
      <c r="BK47" s="1">
        <f t="shared" si="30"/>
        <v>0.27124452488089301</v>
      </c>
      <c r="BL47" s="112">
        <f t="shared" si="31"/>
        <v>0.26228226666136262</v>
      </c>
      <c r="BM47" s="112">
        <f t="shared" si="32"/>
        <v>0.23246411662382135</v>
      </c>
      <c r="BN47" s="113">
        <f t="shared" si="33"/>
        <v>0.295115858119194</v>
      </c>
      <c r="BO47" s="114">
        <f t="shared" si="25"/>
        <v>1517043.7894856986</v>
      </c>
      <c r="BP47" s="115">
        <f t="shared" si="34"/>
        <v>3.2502411335940933E-3</v>
      </c>
      <c r="BQ47" s="116">
        <f t="shared" si="35"/>
        <v>3.2502411335940933E-3</v>
      </c>
      <c r="BR47" s="117">
        <f t="shared" si="36"/>
        <v>4.9860769061548897E-3</v>
      </c>
      <c r="BS47" s="118">
        <f t="shared" si="37"/>
        <v>1579734.727056972</v>
      </c>
      <c r="BT47" s="119">
        <f t="shared" si="38"/>
        <v>2302461.6</v>
      </c>
      <c r="BU47" s="119">
        <f t="shared" si="39"/>
        <v>1579734.727056972</v>
      </c>
      <c r="BV47" s="119">
        <f t="shared" si="56"/>
        <v>0</v>
      </c>
      <c r="BW47" s="120">
        <f t="shared" si="40"/>
        <v>3.2502411335940933E-3</v>
      </c>
      <c r="BX47" s="121">
        <f t="shared" si="41"/>
        <v>6.1602677555808146E-3</v>
      </c>
      <c r="BY47" s="122">
        <f t="shared" si="42"/>
        <v>1589540.8630416887</v>
      </c>
      <c r="BZ47" s="123">
        <f t="shared" si="58"/>
        <v>19985613717454.996</v>
      </c>
      <c r="CA47" s="111">
        <f t="shared" si="57"/>
        <v>19985615234499</v>
      </c>
      <c r="CC47" s="124">
        <f t="shared" si="26"/>
        <v>1</v>
      </c>
      <c r="CD47" s="17"/>
      <c r="CE47" s="108">
        <f t="shared" si="44"/>
        <v>7674872</v>
      </c>
      <c r="CF47" s="125">
        <f t="shared" si="45"/>
        <v>2604032.3844487569</v>
      </c>
      <c r="CG47" s="110">
        <f t="shared" si="46"/>
        <v>2302461.6</v>
      </c>
      <c r="CH47" s="126">
        <f t="shared" si="47"/>
        <v>19985612932037.398</v>
      </c>
      <c r="CJ47" s="127">
        <f t="shared" si="48"/>
        <v>0</v>
      </c>
      <c r="CK47" s="128" t="e">
        <f t="shared" si="49"/>
        <v>#DIV/0!</v>
      </c>
      <c r="CL47" s="129" t="e">
        <f t="shared" si="50"/>
        <v>#DIV/0!</v>
      </c>
      <c r="CM47" s="130" t="e">
        <f t="shared" si="51"/>
        <v>#DIV/0!</v>
      </c>
      <c r="CO47" s="131" t="e">
        <f t="shared" si="52"/>
        <v>#DIV/0!</v>
      </c>
      <c r="CP47" s="1">
        <f t="shared" si="53"/>
        <v>0</v>
      </c>
      <c r="CQ47" s="132">
        <f t="shared" si="54"/>
        <v>0.20710975545151616</v>
      </c>
      <c r="CS47" s="104">
        <f t="shared" si="55"/>
        <v>2.6962036084892866E-3</v>
      </c>
    </row>
    <row r="48" spans="1:97" ht="16.5" customHeight="1">
      <c r="A48" s="133" t="s">
        <v>124</v>
      </c>
      <c r="B48" s="90" t="s">
        <v>128</v>
      </c>
      <c r="C48" s="208">
        <f>'Op Cost-24'!E41</f>
        <v>162010</v>
      </c>
      <c r="D48" s="92">
        <f>'Ridership-24'!$E40</f>
        <v>11840</v>
      </c>
      <c r="E48" s="92">
        <f>'Revenue Hours-24'!$F40</f>
        <v>5390</v>
      </c>
      <c r="F48" s="92">
        <f>'Revenue Miles-24'!$F40</f>
        <v>55690</v>
      </c>
      <c r="G48" s="93">
        <f t="shared" si="59"/>
        <v>5.4754104873874353E-4</v>
      </c>
      <c r="H48" s="94">
        <f t="shared" si="60"/>
        <v>5.1691782067988688E-4</v>
      </c>
      <c r="J48" s="95">
        <f>'Ridership-24'!B40/'Revenue Hours-24'!C40</f>
        <v>2.4101819589624469</v>
      </c>
      <c r="K48" s="207">
        <f>'Ridership-24'!C40/'Revenue Hours-24'!J40</f>
        <v>2.6243417203042716</v>
      </c>
      <c r="L48" s="207">
        <f>'Ridership-24'!D40/'Revenue Hours-24'!K40</f>
        <v>2.06749490079733</v>
      </c>
      <c r="M48" s="207">
        <f>'Ridership-24'!E40/'Revenue Hours-24'!L40</f>
        <v>2.1966604823747682</v>
      </c>
      <c r="N48" s="97">
        <f t="shared" si="2"/>
        <v>1.1505006924601566</v>
      </c>
      <c r="O48" s="98">
        <f t="shared" si="3"/>
        <v>5.9471431063720496E-4</v>
      </c>
      <c r="P48" s="99">
        <f t="shared" si="4"/>
        <v>5.6611145442824861E-4</v>
      </c>
      <c r="Q48" s="95">
        <f>'Ridership-24'!B40/'Revenue Miles-24'!C40</f>
        <v>0.21125231171210912</v>
      </c>
      <c r="R48" s="207">
        <f>'Ridership-24'!C40/'Revenue Miles-24'!J40</f>
        <v>0.22349384582163678</v>
      </c>
      <c r="S48" s="207">
        <f>'Ridership-24'!D40/'Revenue Miles-24'!K40</f>
        <v>0.21433239783168659</v>
      </c>
      <c r="T48" s="207">
        <f>'Ridership-24'!E40/'Revenue Miles-24'!L40</f>
        <v>0.21260549470281917</v>
      </c>
      <c r="U48" s="97">
        <f t="shared" si="5"/>
        <v>1.2322710598478355</v>
      </c>
      <c r="V48" s="98">
        <f t="shared" si="6"/>
        <v>6.3698287074343755E-4</v>
      </c>
      <c r="W48" s="99">
        <f t="shared" si="7"/>
        <v>6.0498935116430695E-4</v>
      </c>
      <c r="X48" s="95">
        <f>'Op Cost-24'!B41/'Revenue Hours-24'!C40</f>
        <v>26.421215640727837</v>
      </c>
      <c r="Y48" s="96">
        <f>'Op Cost-24'!C41/'Revenue Hours-24'!D40</f>
        <v>28.064170079968793</v>
      </c>
      <c r="Z48" s="96">
        <f>'Op Cost-24'!D41/'Revenue Hours-24'!E40</f>
        <v>27.145188206934915</v>
      </c>
      <c r="AA48" s="96">
        <f>'Op Cost-24'!E41/'Revenue Hours-24'!F40</f>
        <v>30.05751391465677</v>
      </c>
      <c r="AB48" s="97">
        <f t="shared" si="8"/>
        <v>0.97981080740083926</v>
      </c>
      <c r="AC48" s="98">
        <f t="shared" si="9"/>
        <v>5.2756901309460296E-4</v>
      </c>
      <c r="AD48" s="99">
        <f t="shared" si="10"/>
        <v>5.3056215373460485E-4</v>
      </c>
      <c r="AE48" s="95">
        <f>'Op Cost-24'!B41/'Revenue Miles-24'!C40</f>
        <v>2.3158180491694802</v>
      </c>
      <c r="AF48" s="96">
        <f>'Op Cost-24'!C41/'Revenue Miles-24'!D40</f>
        <v>2.3899971762204539</v>
      </c>
      <c r="AG48" s="96">
        <f>'Op Cost-24'!D41/'Revenue Miles-24'!E40</f>
        <v>2.8140786590288722</v>
      </c>
      <c r="AH48" s="96">
        <f>'Op Cost-24'!E41/'Revenue Miles-24'!F40</f>
        <v>2.9091398814868019</v>
      </c>
      <c r="AI48" s="97">
        <f t="shared" si="11"/>
        <v>1.0086373581556125</v>
      </c>
      <c r="AJ48" s="98">
        <f t="shared" si="12"/>
        <v>5.1249125020028932E-4</v>
      </c>
      <c r="AK48" s="99">
        <f t="shared" si="13"/>
        <v>5.1306081808728202E-4</v>
      </c>
      <c r="AL48" s="95">
        <f>'Op Cost-24'!B41/'Ridership-24'!B40</f>
        <v>10.962332342783712</v>
      </c>
      <c r="AM48" s="96">
        <f>'Op Cost-24'!C41/'Ridership-24'!C40</f>
        <v>10.693794128576737</v>
      </c>
      <c r="AN48" s="96">
        <f>'Op Cost-24'!D41/'Ridership-24'!D40</f>
        <v>13.129506726457398</v>
      </c>
      <c r="AO48" s="96">
        <f>'Op Cost-24'!E41/'Ridership-24'!E40</f>
        <v>13.683277027027026</v>
      </c>
      <c r="AP48" s="100">
        <f t="shared" si="14"/>
        <v>0.93660009397915378</v>
      </c>
      <c r="AQ48" s="98">
        <f t="shared" si="15"/>
        <v>5.5190878583383121E-4</v>
      </c>
      <c r="AR48" s="99">
        <f t="shared" si="16"/>
        <v>5.844494949388048E-4</v>
      </c>
      <c r="AT48" s="101">
        <f t="shared" si="27"/>
        <v>0</v>
      </c>
      <c r="AU48" s="102">
        <f t="shared" si="17"/>
        <v>0</v>
      </c>
      <c r="AV48" s="102">
        <f t="shared" si="18"/>
        <v>0</v>
      </c>
      <c r="AW48" s="102">
        <f t="shared" si="19"/>
        <v>0</v>
      </c>
      <c r="AX48" s="103">
        <f t="shared" si="20"/>
        <v>0</v>
      </c>
      <c r="AY48" s="104">
        <f t="shared" si="28"/>
        <v>-1</v>
      </c>
      <c r="AZ48" s="105">
        <f t="shared" si="21"/>
        <v>0</v>
      </c>
      <c r="BA48" s="106">
        <f t="shared" si="21"/>
        <v>0</v>
      </c>
      <c r="BB48" s="106">
        <f t="shared" si="21"/>
        <v>0</v>
      </c>
      <c r="BC48" s="106">
        <f t="shared" si="21"/>
        <v>0</v>
      </c>
      <c r="BD48" s="106">
        <f t="shared" si="21"/>
        <v>0</v>
      </c>
      <c r="BE48" s="107">
        <f t="shared" si="29"/>
        <v>65443.274276273689</v>
      </c>
      <c r="BG48" s="108">
        <f>'Op Cost-24'!E41</f>
        <v>162010</v>
      </c>
      <c r="BH48" s="109">
        <f t="shared" si="22"/>
        <v>0.40394589393416264</v>
      </c>
      <c r="BI48" s="110">
        <f t="shared" si="23"/>
        <v>48603</v>
      </c>
      <c r="BJ48" s="111">
        <f t="shared" si="24"/>
        <v>16840.274276273689</v>
      </c>
      <c r="BK48" s="1">
        <f t="shared" si="30"/>
        <v>0.66661148135813064</v>
      </c>
      <c r="BL48" s="112">
        <f t="shared" si="31"/>
        <v>0.24562187649450165</v>
      </c>
      <c r="BM48" s="112">
        <f t="shared" si="32"/>
        <v>0.33812347738824095</v>
      </c>
      <c r="BN48" s="113">
        <f t="shared" si="33"/>
        <v>1.04135028577489</v>
      </c>
      <c r="BO48" s="114">
        <f t="shared" si="25"/>
        <v>0</v>
      </c>
      <c r="BP48" s="115">
        <f t="shared" si="34"/>
        <v>3.4458335418383594E-4</v>
      </c>
      <c r="BQ48" s="116">
        <f t="shared" si="35"/>
        <v>0</v>
      </c>
      <c r="BR48" s="117">
        <f t="shared" si="36"/>
        <v>0</v>
      </c>
      <c r="BS48" s="118">
        <f t="shared" si="37"/>
        <v>48603</v>
      </c>
      <c r="BT48" s="119">
        <f t="shared" si="38"/>
        <v>48603</v>
      </c>
      <c r="BU48" s="119">
        <f t="shared" si="39"/>
        <v>48603</v>
      </c>
      <c r="BV48" s="119">
        <f t="shared" si="56"/>
        <v>0</v>
      </c>
      <c r="BW48" s="120">
        <f t="shared" si="40"/>
        <v>0</v>
      </c>
      <c r="BX48" s="121">
        <f t="shared" si="41"/>
        <v>0</v>
      </c>
      <c r="BY48" s="122">
        <f t="shared" si="42"/>
        <v>48603</v>
      </c>
      <c r="BZ48" s="123">
        <f t="shared" si="58"/>
        <v>611095194904.71228</v>
      </c>
      <c r="CA48" s="111">
        <f t="shared" si="57"/>
        <v>611095243508</v>
      </c>
      <c r="CC48" s="124">
        <f t="shared" si="26"/>
        <v>1</v>
      </c>
      <c r="CD48" s="17"/>
      <c r="CE48" s="108">
        <f t="shared" si="44"/>
        <v>162010</v>
      </c>
      <c r="CF48" s="125">
        <f t="shared" si="45"/>
        <v>3771960.0241219676</v>
      </c>
      <c r="CG48" s="110">
        <f t="shared" si="46"/>
        <v>48603</v>
      </c>
      <c r="CH48" s="126">
        <f t="shared" si="47"/>
        <v>611095194905</v>
      </c>
      <c r="CJ48" s="127">
        <f t="shared" si="48"/>
        <v>0</v>
      </c>
      <c r="CK48" s="128" t="e">
        <f t="shared" si="49"/>
        <v>#DIV/0!</v>
      </c>
      <c r="CL48" s="129" t="e">
        <f t="shared" si="50"/>
        <v>#DIV/0!</v>
      </c>
      <c r="CM48" s="130" t="e">
        <f t="shared" si="51"/>
        <v>#DIV/0!</v>
      </c>
      <c r="CO48" s="131" t="e">
        <f t="shared" si="52"/>
        <v>#DIV/0!</v>
      </c>
      <c r="CP48" s="1">
        <f t="shared" si="53"/>
        <v>0</v>
      </c>
      <c r="CQ48" s="132">
        <f t="shared" si="54"/>
        <v>0.3</v>
      </c>
      <c r="CS48" s="104">
        <f t="shared" si="55"/>
        <v>2.858455249283135E-4</v>
      </c>
    </row>
    <row r="49" spans="1:97">
      <c r="A49" s="133" t="s">
        <v>124</v>
      </c>
      <c r="B49" s="90" t="s">
        <v>129</v>
      </c>
      <c r="C49" s="208">
        <f>'Op Cost-24'!E42</f>
        <v>1442390</v>
      </c>
      <c r="D49" s="92">
        <f>'Ridership-24'!$E41</f>
        <v>49444</v>
      </c>
      <c r="E49" s="92">
        <f>'Revenue Hours-24'!$F41</f>
        <v>18141</v>
      </c>
      <c r="F49" s="92">
        <f>'Revenue Miles-24'!$F41</f>
        <v>310870</v>
      </c>
      <c r="G49" s="134">
        <f t="shared" si="59"/>
        <v>2.8896994735534147E-3</v>
      </c>
      <c r="H49" s="94">
        <f t="shared" si="60"/>
        <v>2.7280825021792597E-3</v>
      </c>
      <c r="J49" s="95">
        <f>'Ridership-24'!B41/'Revenue Hours-24'!C41</f>
        <v>2.1531983805668018</v>
      </c>
      <c r="K49" s="207">
        <f>'Ridership-24'!C41/'Revenue Hours-24'!J41</f>
        <v>2.3018086155869781</v>
      </c>
      <c r="L49" s="207">
        <f>'Ridership-24'!D41/'Revenue Hours-24'!K41</f>
        <v>1.8714498597475455</v>
      </c>
      <c r="M49" s="207">
        <f>'Ridership-24'!E41/'Revenue Hours-24'!L41</f>
        <v>2.7255388346838654</v>
      </c>
      <c r="N49" s="97">
        <f t="shared" si="2"/>
        <v>1.2621314439470319</v>
      </c>
      <c r="O49" s="98">
        <f t="shared" si="3"/>
        <v>3.4431987076821409E-3</v>
      </c>
      <c r="P49" s="99">
        <f t="shared" si="4"/>
        <v>3.2775976522288518E-3</v>
      </c>
      <c r="Q49" s="95">
        <f>'Ridership-24'!B41/'Revenue Miles-24'!C41</f>
        <v>0.14216405642296373</v>
      </c>
      <c r="R49" s="207">
        <f>'Ridership-24'!C41/'Revenue Miles-24'!J41</f>
        <v>0.15794010138539991</v>
      </c>
      <c r="S49" s="207">
        <f>'Ridership-24'!D41/'Revenue Miles-24'!K41</f>
        <v>0.12054951539089166</v>
      </c>
      <c r="T49" s="207">
        <f>'Ridership-24'!E41/'Revenue Miles-24'!L41</f>
        <v>0.1590504069225078</v>
      </c>
      <c r="U49" s="97">
        <f t="shared" si="5"/>
        <v>1.2117777521158943</v>
      </c>
      <c r="V49" s="98">
        <f t="shared" si="6"/>
        <v>3.305829682077488E-3</v>
      </c>
      <c r="W49" s="99">
        <f t="shared" si="7"/>
        <v>3.139788911569207E-3</v>
      </c>
      <c r="X49" s="95">
        <f>'Op Cost-24'!B42/'Revenue Hours-24'!C41</f>
        <v>27.147165991902835</v>
      </c>
      <c r="Y49" s="96">
        <f>'Op Cost-24'!C42/'Revenue Hours-24'!D41</f>
        <v>30.822514523731229</v>
      </c>
      <c r="Z49" s="96">
        <f>'Op Cost-24'!D42/'Revenue Hours-24'!E41</f>
        <v>53.352691093969142</v>
      </c>
      <c r="AA49" s="96">
        <f>'Op Cost-24'!E42/'Revenue Hours-24'!F41</f>
        <v>79.509949837384923</v>
      </c>
      <c r="AB49" s="97">
        <f t="shared" si="8"/>
        <v>1.3396410293256915</v>
      </c>
      <c r="AC49" s="98">
        <f t="shared" si="9"/>
        <v>2.0364280000833065E-3</v>
      </c>
      <c r="AD49" s="99">
        <f t="shared" si="10"/>
        <v>2.0479815888199407E-3</v>
      </c>
      <c r="AE49" s="95">
        <f>'Op Cost-24'!B42/'Revenue Miles-24'!C41</f>
        <v>1.7923807079868379</v>
      </c>
      <c r="AF49" s="96">
        <f>'Op Cost-24'!C42/'Revenue Miles-24'!D41</f>
        <v>2.1149069631011295</v>
      </c>
      <c r="AG49" s="96">
        <f>'Op Cost-24'!D42/'Revenue Miles-24'!E41</f>
        <v>3.4367156686984583</v>
      </c>
      <c r="AH49" s="96">
        <f>'Op Cost-24'!E42/'Revenue Miles-24'!F41</f>
        <v>4.639849454756007</v>
      </c>
      <c r="AI49" s="97">
        <f t="shared" si="11"/>
        <v>1.2854839634662996</v>
      </c>
      <c r="AJ49" s="98">
        <f t="shared" si="12"/>
        <v>2.1222221200045172E-3</v>
      </c>
      <c r="AK49" s="99">
        <f t="shared" si="13"/>
        <v>2.1245806960156154E-3</v>
      </c>
      <c r="AL49" s="95">
        <f>'Op Cost-24'!B42/'Ridership-24'!B41</f>
        <v>12.607833182912154</v>
      </c>
      <c r="AM49" s="96">
        <f>'Op Cost-24'!C42/'Ridership-24'!C41</f>
        <v>13.390563539910664</v>
      </c>
      <c r="AN49" s="96">
        <f>'Op Cost-24'!D42/'Ridership-24'!D41</f>
        <v>28.508747277453804</v>
      </c>
      <c r="AO49" s="96">
        <f>'Op Cost-24'!E42/'Ridership-24'!E41</f>
        <v>29.17219480624545</v>
      </c>
      <c r="AP49" s="100">
        <f t="shared" si="14"/>
        <v>1.0831038405019571</v>
      </c>
      <c r="AQ49" s="98">
        <f t="shared" si="15"/>
        <v>2.5187635757204486E-3</v>
      </c>
      <c r="AR49" s="99">
        <f t="shared" si="16"/>
        <v>2.6672706387089323E-3</v>
      </c>
      <c r="AT49" s="101">
        <f t="shared" si="27"/>
        <v>0</v>
      </c>
      <c r="AU49" s="102">
        <f t="shared" si="17"/>
        <v>0</v>
      </c>
      <c r="AV49" s="102">
        <f t="shared" si="18"/>
        <v>0</v>
      </c>
      <c r="AW49" s="102">
        <f t="shared" si="19"/>
        <v>0</v>
      </c>
      <c r="AX49" s="103">
        <f t="shared" si="20"/>
        <v>0</v>
      </c>
      <c r="AY49" s="104">
        <f t="shared" si="28"/>
        <v>-1</v>
      </c>
      <c r="AZ49" s="105">
        <f t="shared" si="21"/>
        <v>0</v>
      </c>
      <c r="BA49" s="106">
        <f t="shared" si="21"/>
        <v>0</v>
      </c>
      <c r="BB49" s="106">
        <f t="shared" si="21"/>
        <v>0</v>
      </c>
      <c r="BC49" s="106">
        <f t="shared" si="21"/>
        <v>0</v>
      </c>
      <c r="BD49" s="106">
        <f t="shared" si="21"/>
        <v>0</v>
      </c>
      <c r="BE49" s="107">
        <f t="shared" si="29"/>
        <v>345383.0460006175</v>
      </c>
      <c r="BG49" s="108">
        <f>'Op Cost-24'!E42</f>
        <v>1442390</v>
      </c>
      <c r="BH49" s="109">
        <f t="shared" si="22"/>
        <v>0.23945191383787845</v>
      </c>
      <c r="BI49" s="110">
        <f t="shared" si="23"/>
        <v>345383.0460006175</v>
      </c>
      <c r="BJ49" s="111">
        <f t="shared" si="24"/>
        <v>0</v>
      </c>
      <c r="BK49" s="1">
        <f t="shared" si="30"/>
        <v>0.39912091019720197</v>
      </c>
      <c r="BL49" s="112">
        <f t="shared" si="31"/>
        <v>0.24795969442464708</v>
      </c>
      <c r="BM49" s="112">
        <f t="shared" si="32"/>
        <v>0.22277206502385827</v>
      </c>
      <c r="BN49" s="113">
        <f t="shared" si="33"/>
        <v>0.56287594067015123</v>
      </c>
      <c r="BO49" s="114">
        <f t="shared" si="25"/>
        <v>345383.0460006175</v>
      </c>
      <c r="BP49" s="115">
        <f t="shared" si="34"/>
        <v>1.0888347713628463E-3</v>
      </c>
      <c r="BQ49" s="116">
        <f t="shared" si="35"/>
        <v>1.0888347713628463E-3</v>
      </c>
      <c r="BR49" s="117">
        <f t="shared" si="36"/>
        <v>1.6703418869440504E-3</v>
      </c>
      <c r="BS49" s="118">
        <f t="shared" si="37"/>
        <v>366384.5870774971</v>
      </c>
      <c r="BT49" s="119">
        <f t="shared" si="38"/>
        <v>432717</v>
      </c>
      <c r="BU49" s="119">
        <f t="shared" si="39"/>
        <v>366384.5870774971</v>
      </c>
      <c r="BV49" s="119">
        <f t="shared" si="56"/>
        <v>0</v>
      </c>
      <c r="BW49" s="120">
        <f t="shared" si="40"/>
        <v>1.0888347713628463E-3</v>
      </c>
      <c r="BX49" s="121">
        <f t="shared" si="41"/>
        <v>2.0636972635210702E-3</v>
      </c>
      <c r="BY49" s="122">
        <f t="shared" si="42"/>
        <v>369669.65467525565</v>
      </c>
      <c r="BZ49" s="123">
        <f t="shared" si="58"/>
        <v>4647930162214.9463</v>
      </c>
      <c r="CA49" s="111">
        <f t="shared" si="57"/>
        <v>4647930507598</v>
      </c>
      <c r="CC49" s="124">
        <f t="shared" si="26"/>
        <v>1</v>
      </c>
      <c r="CD49" s="17"/>
      <c r="CE49" s="108">
        <f t="shared" si="44"/>
        <v>1442390</v>
      </c>
      <c r="CF49" s="125">
        <f t="shared" si="45"/>
        <v>3222381.2613772973</v>
      </c>
      <c r="CG49" s="110">
        <f t="shared" si="46"/>
        <v>432717</v>
      </c>
      <c r="CH49" s="126">
        <f t="shared" si="47"/>
        <v>4647930074881</v>
      </c>
      <c r="CJ49" s="127">
        <f t="shared" si="48"/>
        <v>0</v>
      </c>
      <c r="CK49" s="128" t="e">
        <f t="shared" si="49"/>
        <v>#DIV/0!</v>
      </c>
      <c r="CL49" s="129" t="e">
        <f t="shared" si="50"/>
        <v>#DIV/0!</v>
      </c>
      <c r="CM49" s="130" t="e">
        <f t="shared" si="51"/>
        <v>#DIV/0!</v>
      </c>
      <c r="CO49" s="131" t="e">
        <f t="shared" si="52"/>
        <v>#DIV/0!</v>
      </c>
      <c r="CP49" s="1">
        <f t="shared" si="53"/>
        <v>0</v>
      </c>
      <c r="CQ49" s="132">
        <f t="shared" si="54"/>
        <v>0.25628966831110561</v>
      </c>
      <c r="CS49" s="104">
        <f t="shared" si="55"/>
        <v>9.0323152004135004E-4</v>
      </c>
    </row>
    <row r="50" spans="1:97">
      <c r="A50" s="133" t="s">
        <v>124</v>
      </c>
      <c r="B50" s="90" t="s">
        <v>130</v>
      </c>
      <c r="C50" s="208">
        <f>'Op Cost-24'!E43</f>
        <v>4022350</v>
      </c>
      <c r="D50" s="92">
        <f>'Ridership-24'!$E42</f>
        <v>169413</v>
      </c>
      <c r="E50" s="92">
        <f>'Revenue Hours-24'!$F42</f>
        <v>60519</v>
      </c>
      <c r="F50" s="92">
        <f>'Revenue Miles-24'!$F42</f>
        <v>935668</v>
      </c>
      <c r="G50" s="134">
        <f t="shared" si="59"/>
        <v>8.8530245831985894E-3</v>
      </c>
      <c r="H50" s="94">
        <f t="shared" si="60"/>
        <v>8.3578869283205664E-3</v>
      </c>
      <c r="J50" s="95">
        <f>'Ridership-24'!B42/'Revenue Hours-24'!C42</f>
        <v>4.7280595896966418</v>
      </c>
      <c r="K50" s="207">
        <f>'Ridership-24'!C42/'Revenue Hours-24'!J42</f>
        <v>4.6066913646259025</v>
      </c>
      <c r="L50" s="207">
        <f>'Ridership-24'!D42/'Revenue Hours-24'!K42</f>
        <v>2.6052602436323364</v>
      </c>
      <c r="M50" s="207">
        <f>'Ridership-24'!E42/'Revenue Hours-24'!L42</f>
        <v>2.7993357457988401</v>
      </c>
      <c r="N50" s="97">
        <f t="shared" si="2"/>
        <v>0.97105400854216295</v>
      </c>
      <c r="O50" s="98">
        <f t="shared" si="3"/>
        <v>8.1159596046878318E-3</v>
      </c>
      <c r="P50" s="99">
        <f t="shared" si="4"/>
        <v>7.7256215525870527E-3</v>
      </c>
      <c r="Q50" s="95">
        <f>'Ridership-24'!B42/'Revenue Miles-24'!C42</f>
        <v>0.24363623107916568</v>
      </c>
      <c r="R50" s="207">
        <f>'Ridership-24'!C42/'Revenue Miles-24'!J42</f>
        <v>0.25866990351642838</v>
      </c>
      <c r="S50" s="207">
        <f>'Ridership-24'!D42/'Revenue Miles-24'!K42</f>
        <v>0.16890249812434263</v>
      </c>
      <c r="T50" s="207">
        <f>'Ridership-24'!E42/'Revenue Miles-24'!L42</f>
        <v>0.1810610173694088</v>
      </c>
      <c r="U50" s="97">
        <f t="shared" si="5"/>
        <v>1.0591075107965426</v>
      </c>
      <c r="V50" s="98">
        <f t="shared" si="6"/>
        <v>8.8519008201725577E-3</v>
      </c>
      <c r="W50" s="99">
        <f t="shared" si="7"/>
        <v>8.4072994420033471E-3</v>
      </c>
      <c r="X50" s="95">
        <f>'Op Cost-24'!B43/'Revenue Hours-24'!C42</f>
        <v>61.140297948483209</v>
      </c>
      <c r="Y50" s="96">
        <f>'Op Cost-24'!C43/'Revenue Hours-24'!D42</f>
        <v>60.089370965893899</v>
      </c>
      <c r="Z50" s="96">
        <f>'Op Cost-24'!D43/'Revenue Hours-24'!E42</f>
        <v>61.375230712440015</v>
      </c>
      <c r="AA50" s="96">
        <f>'Op Cost-24'!E43/'Revenue Hours-24'!F42</f>
        <v>66.464250896412693</v>
      </c>
      <c r="AB50" s="97">
        <f t="shared" si="8"/>
        <v>0.96052410898235108</v>
      </c>
      <c r="AC50" s="98">
        <f t="shared" si="9"/>
        <v>8.7013817249996118E-3</v>
      </c>
      <c r="AD50" s="99">
        <f t="shared" si="10"/>
        <v>8.7507486487931364E-3</v>
      </c>
      <c r="AE50" s="95">
        <f>'Op Cost-24'!B43/'Revenue Miles-24'!C42</f>
        <v>3.1505507654106029</v>
      </c>
      <c r="AF50" s="96">
        <f>'Op Cost-24'!C43/'Revenue Miles-24'!D42</f>
        <v>3.3740727476265127</v>
      </c>
      <c r="AG50" s="96">
        <f>'Op Cost-24'!D43/'Revenue Miles-24'!E42</f>
        <v>3.9790381078535897</v>
      </c>
      <c r="AH50" s="96">
        <f>'Op Cost-24'!E43/'Revenue Miles-24'!F42</f>
        <v>4.2989073047277451</v>
      </c>
      <c r="AI50" s="97">
        <f t="shared" si="11"/>
        <v>1.0378270388481003</v>
      </c>
      <c r="AJ50" s="98">
        <f t="shared" si="12"/>
        <v>8.0532560970825243E-3</v>
      </c>
      <c r="AK50" s="99">
        <f t="shared" si="13"/>
        <v>8.0622062519521611E-3</v>
      </c>
      <c r="AL50" s="95">
        <f>'Op Cost-24'!B43/'Ridership-24'!B42</f>
        <v>12.931372117584932</v>
      </c>
      <c r="AM50" s="96">
        <f>'Op Cost-24'!C43/'Ridership-24'!C42</f>
        <v>13.043932447333294</v>
      </c>
      <c r="AN50" s="96">
        <f>'Op Cost-24'!D43/'Ridership-24'!D42</f>
        <v>23.558195716704567</v>
      </c>
      <c r="AO50" s="96">
        <f>'Op Cost-24'!E43/'Ridership-24'!E42</f>
        <v>23.742865069386646</v>
      </c>
      <c r="AP50" s="100">
        <f t="shared" si="14"/>
        <v>1.0138070034269091</v>
      </c>
      <c r="AQ50" s="98">
        <f t="shared" si="15"/>
        <v>8.2440611478012266E-3</v>
      </c>
      <c r="AR50" s="99">
        <f t="shared" si="16"/>
        <v>8.7301334889923754E-3</v>
      </c>
      <c r="AT50" s="101">
        <f t="shared" si="27"/>
        <v>0</v>
      </c>
      <c r="AU50" s="102">
        <f t="shared" si="17"/>
        <v>0</v>
      </c>
      <c r="AV50" s="102">
        <f t="shared" si="18"/>
        <v>0</v>
      </c>
      <c r="AW50" s="102">
        <f t="shared" si="19"/>
        <v>0</v>
      </c>
      <c r="AX50" s="103">
        <f t="shared" si="20"/>
        <v>0</v>
      </c>
      <c r="AY50" s="104">
        <f t="shared" si="28"/>
        <v>-1</v>
      </c>
      <c r="AZ50" s="105">
        <f t="shared" si="21"/>
        <v>0</v>
      </c>
      <c r="BA50" s="106">
        <f t="shared" si="21"/>
        <v>0</v>
      </c>
      <c r="BB50" s="106">
        <f t="shared" si="21"/>
        <v>0</v>
      </c>
      <c r="BC50" s="106">
        <f t="shared" si="21"/>
        <v>0</v>
      </c>
      <c r="BD50" s="106">
        <f t="shared" si="21"/>
        <v>0</v>
      </c>
      <c r="BE50" s="107">
        <f t="shared" si="29"/>
        <v>1058132.3853388438</v>
      </c>
      <c r="BG50" s="108">
        <f>'Op Cost-24'!E43</f>
        <v>4022350</v>
      </c>
      <c r="BH50" s="109">
        <f t="shared" si="22"/>
        <v>0.26306323053410163</v>
      </c>
      <c r="BI50" s="110">
        <f t="shared" si="23"/>
        <v>1058132.3853388438</v>
      </c>
      <c r="BJ50" s="111">
        <f t="shared" si="24"/>
        <v>0</v>
      </c>
      <c r="BK50" s="1">
        <f t="shared" si="30"/>
        <v>0.48603259773679502</v>
      </c>
      <c r="BL50" s="112">
        <f t="shared" si="31"/>
        <v>0.34270406617173621</v>
      </c>
      <c r="BM50" s="112">
        <f t="shared" si="32"/>
        <v>0.30283777829101316</v>
      </c>
      <c r="BN50" s="113">
        <f t="shared" si="33"/>
        <v>0.64929427324221534</v>
      </c>
      <c r="BO50" s="114">
        <f t="shared" si="25"/>
        <v>1058132.3853388438</v>
      </c>
      <c r="BP50" s="115">
        <f t="shared" si="34"/>
        <v>4.0622054953620475E-3</v>
      </c>
      <c r="BQ50" s="116">
        <f t="shared" si="35"/>
        <v>4.0622054953620475E-3</v>
      </c>
      <c r="BR50" s="117">
        <f t="shared" si="36"/>
        <v>6.2316819509581865E-3</v>
      </c>
      <c r="BS50" s="118">
        <f t="shared" si="37"/>
        <v>1136484.5631139805</v>
      </c>
      <c r="BT50" s="119">
        <f t="shared" si="38"/>
        <v>1206705</v>
      </c>
      <c r="BU50" s="119">
        <f t="shared" si="39"/>
        <v>1136484.5631139805</v>
      </c>
      <c r="BV50" s="119">
        <f t="shared" si="56"/>
        <v>0</v>
      </c>
      <c r="BW50" s="120">
        <f t="shared" si="40"/>
        <v>4.0622054953620475E-3</v>
      </c>
      <c r="BX50" s="121">
        <f t="shared" si="41"/>
        <v>7.6992052284903401E-3</v>
      </c>
      <c r="BY50" s="122">
        <f t="shared" si="42"/>
        <v>1148740.4351702591</v>
      </c>
      <c r="BZ50" s="123">
        <f t="shared" si="58"/>
        <v>14443342183101.73</v>
      </c>
      <c r="CA50" s="111">
        <f t="shared" si="57"/>
        <v>14443343241234</v>
      </c>
      <c r="CC50" s="124">
        <f t="shared" si="26"/>
        <v>1</v>
      </c>
      <c r="CD50" s="17"/>
      <c r="CE50" s="108">
        <f t="shared" si="44"/>
        <v>4022350</v>
      </c>
      <c r="CF50" s="125">
        <f t="shared" si="45"/>
        <v>3590772.3696928411</v>
      </c>
      <c r="CG50" s="110">
        <f t="shared" si="46"/>
        <v>1206705</v>
      </c>
      <c r="CH50" s="126">
        <f t="shared" si="47"/>
        <v>14443342034529</v>
      </c>
      <c r="CJ50" s="127">
        <f t="shared" si="48"/>
        <v>0</v>
      </c>
      <c r="CK50" s="128" t="e">
        <f t="shared" si="49"/>
        <v>#DIV/0!</v>
      </c>
      <c r="CL50" s="129" t="e">
        <f t="shared" si="50"/>
        <v>#DIV/0!</v>
      </c>
      <c r="CM50" s="130" t="e">
        <f t="shared" si="51"/>
        <v>#DIV/0!</v>
      </c>
      <c r="CO50" s="131" t="e">
        <f t="shared" si="52"/>
        <v>#DIV/0!</v>
      </c>
      <c r="CP50" s="1">
        <f t="shared" si="53"/>
        <v>0</v>
      </c>
      <c r="CQ50" s="132">
        <f t="shared" si="54"/>
        <v>0.28558937814219526</v>
      </c>
      <c r="CS50" s="104">
        <f t="shared" si="55"/>
        <v>3.3697601700428082E-3</v>
      </c>
    </row>
    <row r="51" spans="1:97" s="171" customFormat="1" ht="15" thickBot="1">
      <c r="A51" s="165"/>
      <c r="B51" s="166" t="s">
        <v>131</v>
      </c>
      <c r="C51" s="167">
        <f>SUM(C11:C50)-C34</f>
        <v>475837705</v>
      </c>
      <c r="D51" s="168">
        <f>SUM(D11:D50)-D34</f>
        <v>38752057</v>
      </c>
      <c r="E51" s="168">
        <f>SUM(E11:E50)-E34</f>
        <v>4348164</v>
      </c>
      <c r="F51" s="168">
        <f>SUM(F11:F50)-F34</f>
        <v>61650078.5</v>
      </c>
      <c r="G51" s="169">
        <f>SUM(G11:G50)</f>
        <v>1.0559286433946771</v>
      </c>
      <c r="H51" s="170">
        <f>SUM(H11:H50)</f>
        <v>1</v>
      </c>
      <c r="J51" s="172">
        <f>'Ridership-24'!B43/'Revenue Hours-24'!C43</f>
        <v>13.582953416309731</v>
      </c>
      <c r="K51" s="173">
        <f>'Ridership-24'!C43/'Revenue Hours-24'!D43</f>
        <v>13.526760546299428</v>
      </c>
      <c r="L51" s="173">
        <f>'Ridership-24'!D43/'Revenue Hours-24'!E43</f>
        <v>6.9491805201049877</v>
      </c>
      <c r="M51" s="173">
        <f>'Ridership-24'!E43/'Revenue Hours-24'!F43</f>
        <v>8.9536027544539518</v>
      </c>
      <c r="N51" s="174"/>
      <c r="O51" s="175">
        <f>SUM(O11:O50)</f>
        <v>1.0505251324367639</v>
      </c>
      <c r="P51" s="176">
        <f>SUM(P11:P50)</f>
        <v>1</v>
      </c>
      <c r="Q51" s="172">
        <f>'Ridership-24'!B43/'Revenue Miles-24'!C43</f>
        <v>0.95494323136259107</v>
      </c>
      <c r="R51" s="173">
        <f>'Ridership-24'!C43/'Revenue Miles-24'!D43</f>
        <v>0.94516480852199081</v>
      </c>
      <c r="S51" s="173">
        <f>'Ridership-24'!D43/'Revenue Miles-24'!E43</f>
        <v>0.49283534368231213</v>
      </c>
      <c r="T51" s="173">
        <f>'Ridership-24'!E43/'Revenue Miles-24'!F43</f>
        <v>0.61981636789595917</v>
      </c>
      <c r="U51" s="174"/>
      <c r="V51" s="175">
        <f>SUM(V11:V50)</f>
        <v>1.0528827813540169</v>
      </c>
      <c r="W51" s="176">
        <f>SUM(W11:W50)</f>
        <v>0.99999999999999967</v>
      </c>
      <c r="X51" s="177">
        <f>'Op Cost-24'!B44/'Revenue Hours-24'!C43</f>
        <v>101.23415773619254</v>
      </c>
      <c r="Y51" s="178">
        <f>'Op Cost-24'!C44/'Revenue Hours-24'!D43</f>
        <v>103.16343259700481</v>
      </c>
      <c r="Z51" s="178">
        <f>'Op Cost-24'!D44/'Revenue Hours-24'!E43</f>
        <v>125.95961510933006</v>
      </c>
      <c r="AA51" s="178">
        <f>'Op Cost-24'!E44/'Revenue Hours-24'!F43</f>
        <v>126.23027057650225</v>
      </c>
      <c r="AB51" s="174"/>
      <c r="AC51" s="175">
        <f>SUM(AC11:AC50)</f>
        <v>0.99435854853397798</v>
      </c>
      <c r="AD51" s="176">
        <f>SUM(AD11:AD50)</f>
        <v>0.99999999999999989</v>
      </c>
      <c r="AE51" s="177">
        <f>'Op Cost-24'!B44/'Revenue Miles-24'!C43</f>
        <v>7.1172204416743412</v>
      </c>
      <c r="AF51" s="178">
        <f>'Op Cost-24'!C44/'Revenue Miles-24'!D43</f>
        <v>7.2084107413060252</v>
      </c>
      <c r="AG51" s="178">
        <f>'Op Cost-24'!D44/'Revenue Miles-24'!E43</f>
        <v>8.9330461372962819</v>
      </c>
      <c r="AH51" s="178">
        <f>'Op Cost-24'!E44/'Revenue Miles-24'!F43</f>
        <v>8.7383358378650051</v>
      </c>
      <c r="AI51" s="174"/>
      <c r="AJ51" s="175">
        <f>SUM(AJ11:AJ50)</f>
        <v>0.9988898628253936</v>
      </c>
      <c r="AK51" s="176">
        <f>SUM(AK11:AK50)</f>
        <v>1</v>
      </c>
      <c r="AL51" s="177">
        <f>'Op Cost-24'!B44/'Ridership-24'!B43</f>
        <v>7.453029884843426</v>
      </c>
      <c r="AM51" s="178">
        <f>'Op Cost-24'!C44/'Ridership-24'!C43</f>
        <v>7.6266177880429513</v>
      </c>
      <c r="AN51" s="178">
        <f>'Op Cost-24'!D44/'Ridership-24'!D43</f>
        <v>18.125822857085176</v>
      </c>
      <c r="AO51" s="178">
        <f>'Op Cost-24'!E44/'Ridership-24'!E43</f>
        <v>14.098265696868143</v>
      </c>
      <c r="AP51" s="179"/>
      <c r="AQ51" s="175">
        <f>SUM(AQ11:AQ50)</f>
        <v>0.94432246175799872</v>
      </c>
      <c r="AR51" s="176">
        <f>SUM(AR11:AR50)</f>
        <v>1</v>
      </c>
      <c r="AT51" s="180">
        <f>SUM(AT11:AT50)</f>
        <v>0</v>
      </c>
      <c r="AU51" s="181">
        <f>SUM(AU11:AU50)</f>
        <v>0</v>
      </c>
      <c r="AV51" s="181">
        <f>SUM(AV11:AV50)</f>
        <v>0</v>
      </c>
      <c r="AW51" s="181">
        <f>SUM(AW11:AW50)</f>
        <v>0</v>
      </c>
      <c r="AX51" s="182">
        <f>SUM(AX11:AX50)</f>
        <v>0</v>
      </c>
      <c r="AZ51" s="183">
        <f t="shared" si="21"/>
        <v>0</v>
      </c>
      <c r="BA51" s="184">
        <f t="shared" si="21"/>
        <v>0</v>
      </c>
      <c r="BB51" s="184">
        <f t="shared" si="21"/>
        <v>0</v>
      </c>
      <c r="BC51" s="184">
        <f t="shared" si="21"/>
        <v>0</v>
      </c>
      <c r="BD51" s="184">
        <f t="shared" si="21"/>
        <v>0</v>
      </c>
      <c r="BE51" s="185">
        <f>SUM(BE11:BE50)</f>
        <v>126602859.59999998</v>
      </c>
      <c r="BG51" s="186">
        <f>'Op Cost-24'!E44</f>
        <v>557924668</v>
      </c>
      <c r="BH51" s="187"/>
      <c r="BI51" s="188">
        <f>SUM(BI11:BI50)</f>
        <v>120692968.91959934</v>
      </c>
      <c r="BJ51" s="189">
        <f>SUM(BJ11:BJ50)</f>
        <v>5909890.680400637</v>
      </c>
      <c r="BO51" s="190">
        <f>SUM(BO11:BO50)</f>
        <v>89860096.880582586</v>
      </c>
      <c r="BP51" s="191">
        <f>SUM(BP11:BP50)</f>
        <v>1.2054880140952116</v>
      </c>
      <c r="BQ51" s="191">
        <f>SUM(BQ11:BQ50)</f>
        <v>0.65186341782693846</v>
      </c>
      <c r="BR51" s="192">
        <f>SUM(BR11:BR50)</f>
        <v>0.99999999999999967</v>
      </c>
      <c r="BS51" s="192">
        <f>SUM(BS11:BS50)</f>
        <v>133266168.00000003</v>
      </c>
      <c r="BT51" s="192"/>
      <c r="BU51" s="192"/>
      <c r="BV51" s="192">
        <f>SUM(BV11:BV50)</f>
        <v>1591836.0002830878</v>
      </c>
      <c r="BW51" s="191">
        <f>SUM(BW11:BW50)</f>
        <v>0.527613613977993</v>
      </c>
      <c r="BX51" s="192">
        <f t="shared" ref="BX51" si="61">IF($BX$52=0,1,BW51/$BX$52)</f>
        <v>1</v>
      </c>
      <c r="BY51" s="193">
        <f>SUM(BY11:BY50)</f>
        <v>133266168</v>
      </c>
      <c r="BZ51" s="194">
        <f>SUM(BZ11:BZ50)</f>
        <v>1675582060946116.8</v>
      </c>
      <c r="CA51" s="189">
        <f>SUM(CA11:CA50)</f>
        <v>1675582181639088</v>
      </c>
      <c r="CC51" s="195">
        <f>SUM(CC11:CC50)</f>
        <v>39</v>
      </c>
      <c r="CE51" s="196">
        <f>SUM(CE11:CE50)</f>
        <v>557924668</v>
      </c>
      <c r="CF51" s="197"/>
      <c r="CG51" s="198">
        <f>SUM(CG11:CG50)</f>
        <v>167377400.40000004</v>
      </c>
      <c r="CH51" s="199">
        <f t="shared" si="47"/>
        <v>1675582014261687.5</v>
      </c>
      <c r="CI51" s="1"/>
      <c r="CJ51" s="200">
        <f>SUM(CJ11:CJ50)</f>
        <v>0</v>
      </c>
      <c r="CK51" s="201" t="e">
        <f t="shared" si="49"/>
        <v>#DIV/0!</v>
      </c>
      <c r="CL51" s="202" t="e">
        <f t="shared" si="50"/>
        <v>#DIV/0!</v>
      </c>
      <c r="CM51" s="203" t="e">
        <f>ROUND((CL51+CG51),0)+2</f>
        <v>#DIV/0!</v>
      </c>
      <c r="CN51" s="1"/>
      <c r="CO51" s="204" t="e">
        <f>CM51/CE51</f>
        <v>#DIV/0!</v>
      </c>
      <c r="CP51" s="171">
        <f>SUM(CP11:CP50)</f>
        <v>3</v>
      </c>
      <c r="CS51" s="205">
        <f>SUM(CS11:CS50)</f>
        <v>1.0000000000000002</v>
      </c>
    </row>
    <row r="52" spans="1:97">
      <c r="BP52" s="206">
        <f>BP51-BP34</f>
        <v>1.1560614482586844</v>
      </c>
    </row>
    <row r="55" spans="1:97">
      <c r="B55" s="1">
        <v>1</v>
      </c>
      <c r="C55" s="1">
        <f>B55+1</f>
        <v>2</v>
      </c>
      <c r="D55" s="1">
        <f t="shared" ref="D55:BO55" si="62">C55+1</f>
        <v>3</v>
      </c>
      <c r="E55" s="1">
        <f t="shared" si="62"/>
        <v>4</v>
      </c>
      <c r="F55" s="1">
        <f t="shared" si="62"/>
        <v>5</v>
      </c>
      <c r="G55" s="1">
        <f t="shared" si="62"/>
        <v>6</v>
      </c>
      <c r="H55" s="1">
        <f t="shared" si="62"/>
        <v>7</v>
      </c>
      <c r="I55" s="1">
        <f t="shared" si="62"/>
        <v>8</v>
      </c>
      <c r="J55" s="1">
        <f t="shared" si="62"/>
        <v>9</v>
      </c>
      <c r="K55" s="1">
        <f t="shared" si="62"/>
        <v>10</v>
      </c>
      <c r="L55" s="1">
        <f t="shared" si="62"/>
        <v>11</v>
      </c>
      <c r="M55" s="1">
        <f t="shared" si="62"/>
        <v>12</v>
      </c>
      <c r="N55" s="1">
        <f t="shared" si="62"/>
        <v>13</v>
      </c>
      <c r="O55" s="1">
        <f t="shared" si="62"/>
        <v>14</v>
      </c>
      <c r="P55" s="1">
        <f t="shared" si="62"/>
        <v>15</v>
      </c>
      <c r="Q55" s="1">
        <f t="shared" si="62"/>
        <v>16</v>
      </c>
      <c r="R55" s="1">
        <f t="shared" si="62"/>
        <v>17</v>
      </c>
      <c r="S55" s="1">
        <f t="shared" si="62"/>
        <v>18</v>
      </c>
      <c r="T55" s="1">
        <f t="shared" si="62"/>
        <v>19</v>
      </c>
      <c r="U55" s="1">
        <f t="shared" si="62"/>
        <v>20</v>
      </c>
      <c r="V55" s="1">
        <f t="shared" si="62"/>
        <v>21</v>
      </c>
      <c r="W55" s="1">
        <f t="shared" si="62"/>
        <v>22</v>
      </c>
      <c r="X55" s="1">
        <f t="shared" si="62"/>
        <v>23</v>
      </c>
      <c r="Y55" s="1">
        <f t="shared" si="62"/>
        <v>24</v>
      </c>
      <c r="Z55" s="1">
        <f t="shared" si="62"/>
        <v>25</v>
      </c>
      <c r="AA55" s="1">
        <f t="shared" si="62"/>
        <v>26</v>
      </c>
      <c r="AB55" s="1">
        <f t="shared" si="62"/>
        <v>27</v>
      </c>
      <c r="AC55" s="1">
        <f t="shared" si="62"/>
        <v>28</v>
      </c>
      <c r="AD55" s="1">
        <f t="shared" si="62"/>
        <v>29</v>
      </c>
      <c r="AE55" s="1">
        <f t="shared" si="62"/>
        <v>30</v>
      </c>
      <c r="AF55" s="1">
        <f t="shared" si="62"/>
        <v>31</v>
      </c>
      <c r="AG55" s="1">
        <f t="shared" si="62"/>
        <v>32</v>
      </c>
      <c r="AH55" s="1">
        <f t="shared" si="62"/>
        <v>33</v>
      </c>
      <c r="AI55" s="1">
        <f t="shared" si="62"/>
        <v>34</v>
      </c>
      <c r="AJ55" s="1">
        <f t="shared" si="62"/>
        <v>35</v>
      </c>
      <c r="AK55" s="1">
        <f t="shared" si="62"/>
        <v>36</v>
      </c>
      <c r="AL55" s="1">
        <f t="shared" si="62"/>
        <v>37</v>
      </c>
      <c r="AM55" s="1">
        <f t="shared" si="62"/>
        <v>38</v>
      </c>
      <c r="AN55" s="1">
        <f t="shared" si="62"/>
        <v>39</v>
      </c>
      <c r="AO55" s="1">
        <f t="shared" si="62"/>
        <v>40</v>
      </c>
      <c r="AP55" s="1">
        <f t="shared" si="62"/>
        <v>41</v>
      </c>
      <c r="AQ55" s="1">
        <f t="shared" si="62"/>
        <v>42</v>
      </c>
      <c r="AR55" s="1">
        <f t="shared" si="62"/>
        <v>43</v>
      </c>
      <c r="AS55" s="1">
        <f t="shared" si="62"/>
        <v>44</v>
      </c>
      <c r="AT55" s="1">
        <f t="shared" si="62"/>
        <v>45</v>
      </c>
      <c r="AU55" s="1">
        <f t="shared" si="62"/>
        <v>46</v>
      </c>
      <c r="AV55" s="1">
        <f t="shared" si="62"/>
        <v>47</v>
      </c>
      <c r="AW55" s="1">
        <f t="shared" si="62"/>
        <v>48</v>
      </c>
      <c r="AX55" s="1">
        <f t="shared" si="62"/>
        <v>49</v>
      </c>
      <c r="AY55" s="1">
        <f t="shared" si="62"/>
        <v>50</v>
      </c>
      <c r="AZ55" s="1">
        <f t="shared" si="62"/>
        <v>51</v>
      </c>
      <c r="BA55" s="1">
        <f t="shared" si="62"/>
        <v>52</v>
      </c>
      <c r="BB55" s="1">
        <f t="shared" si="62"/>
        <v>53</v>
      </c>
      <c r="BC55" s="1">
        <f t="shared" si="62"/>
        <v>54</v>
      </c>
      <c r="BD55" s="1">
        <f t="shared" si="62"/>
        <v>55</v>
      </c>
      <c r="BE55" s="1">
        <f t="shared" si="62"/>
        <v>56</v>
      </c>
      <c r="BF55" s="1">
        <f t="shared" si="62"/>
        <v>57</v>
      </c>
      <c r="BG55" s="1">
        <f t="shared" si="62"/>
        <v>58</v>
      </c>
      <c r="BH55" s="1">
        <f t="shared" si="62"/>
        <v>59</v>
      </c>
      <c r="BI55" s="1">
        <f t="shared" si="62"/>
        <v>60</v>
      </c>
      <c r="BJ55" s="1">
        <f t="shared" si="62"/>
        <v>61</v>
      </c>
      <c r="BK55" s="1">
        <f t="shared" si="62"/>
        <v>62</v>
      </c>
      <c r="BL55" s="1">
        <f t="shared" si="62"/>
        <v>63</v>
      </c>
      <c r="BM55" s="1">
        <f t="shared" si="62"/>
        <v>64</v>
      </c>
      <c r="BN55" s="1">
        <f t="shared" si="62"/>
        <v>65</v>
      </c>
      <c r="BO55" s="1">
        <f t="shared" si="62"/>
        <v>66</v>
      </c>
      <c r="BP55" s="1">
        <f t="shared" ref="BP55:BX55" si="63">BO55+1</f>
        <v>67</v>
      </c>
      <c r="BQ55" s="1">
        <f t="shared" si="63"/>
        <v>68</v>
      </c>
      <c r="BR55" s="1">
        <f t="shared" si="63"/>
        <v>69</v>
      </c>
      <c r="BS55" s="1">
        <f t="shared" si="63"/>
        <v>70</v>
      </c>
      <c r="BT55" s="1">
        <f t="shared" si="63"/>
        <v>71</v>
      </c>
      <c r="BU55" s="1">
        <f t="shared" si="63"/>
        <v>72</v>
      </c>
      <c r="BV55" s="1">
        <f t="shared" si="63"/>
        <v>73</v>
      </c>
      <c r="BW55" s="1">
        <f t="shared" si="63"/>
        <v>74</v>
      </c>
      <c r="BX55" s="1">
        <f t="shared" si="63"/>
        <v>75</v>
      </c>
      <c r="BY55" s="1">
        <v>3</v>
      </c>
    </row>
  </sheetData>
  <autoFilter ref="A10:CO10" xr:uid="{00000000-0001-0000-0F00-000000000000}"/>
  <mergeCells count="1">
    <mergeCell ref="CJ3:CM3"/>
  </mergeCells>
  <conditionalFormatting sqref="BK11:BK50">
    <cfRule type="cellIs" dxfId="3" priority="1" operator="greaterThan">
      <formula>0.93</formula>
    </cfRule>
  </conditionalFormatting>
  <conditionalFormatting sqref="CC51">
    <cfRule type="cellIs" dxfId="2" priority="2" operator="notEqual">
      <formula>0</formula>
    </cfRule>
  </conditionalFormatting>
  <printOptions horizontalCentered="1"/>
  <pageMargins left="0.25" right="0.25" top="0.75" bottom="0.75" header="0.3" footer="0.3"/>
  <pageSetup paperSize="17" scale="16" orientation="landscape" r:id="rId1"/>
  <headerFooter alignWithMargins="0">
    <oddFooter>&amp;L&amp;F&amp;R&amp;D</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B0BF0-CD45-416D-949B-9E90C6288BA8}">
  <sheetPr>
    <pageSetUpPr fitToPage="1"/>
  </sheetPr>
  <dimension ref="A1:I42"/>
  <sheetViews>
    <sheetView zoomScale="80" zoomScaleNormal="80" workbookViewId="0"/>
  </sheetViews>
  <sheetFormatPr defaultColWidth="9.28515625" defaultRowHeight="14.25"/>
  <cols>
    <col min="1" max="1" width="46.7109375" style="209" bestFit="1" customWidth="1"/>
    <col min="2" max="4" width="15.7109375" style="229" customWidth="1"/>
    <col min="5" max="6" width="15.7109375" style="209" customWidth="1"/>
    <col min="7" max="7" width="9.28515625" style="209"/>
    <col min="8" max="8" width="15.28515625" style="540" bestFit="1" customWidth="1"/>
    <col min="9" max="9" width="6" style="540" bestFit="1" customWidth="1"/>
    <col min="10" max="16384" width="9.28515625" style="209"/>
  </cols>
  <sheetData>
    <row r="1" spans="1:9" ht="21" thickBot="1">
      <c r="A1" s="370" t="s">
        <v>440</v>
      </c>
      <c r="B1" s="210" t="s">
        <v>194</v>
      </c>
      <c r="C1" s="210" t="s">
        <v>195</v>
      </c>
      <c r="D1" s="210" t="s">
        <v>196</v>
      </c>
      <c r="E1" s="210" t="s">
        <v>197</v>
      </c>
    </row>
    <row r="2" spans="1:9">
      <c r="A2" s="310" t="s">
        <v>132</v>
      </c>
      <c r="B2" s="311" t="s">
        <v>133</v>
      </c>
      <c r="C2" s="311" t="s">
        <v>133</v>
      </c>
      <c r="D2" s="311" t="s">
        <v>133</v>
      </c>
      <c r="E2" s="541" t="s">
        <v>133</v>
      </c>
      <c r="F2" s="312"/>
    </row>
    <row r="3" spans="1:9">
      <c r="A3" s="313" t="s">
        <v>83</v>
      </c>
      <c r="B3" s="315">
        <v>88190</v>
      </c>
      <c r="C3" s="314">
        <v>97489</v>
      </c>
      <c r="D3" s="316">
        <v>121717</v>
      </c>
      <c r="E3" s="542">
        <v>124617</v>
      </c>
      <c r="F3" s="317" t="s">
        <v>82</v>
      </c>
      <c r="H3" s="543"/>
      <c r="I3" s="544"/>
    </row>
    <row r="4" spans="1:9">
      <c r="A4" s="313" t="s">
        <v>84</v>
      </c>
      <c r="B4" s="315">
        <v>14932</v>
      </c>
      <c r="C4" s="314">
        <v>35313</v>
      </c>
      <c r="D4" s="316">
        <v>43762</v>
      </c>
      <c r="E4" s="542">
        <v>42876</v>
      </c>
      <c r="F4" s="317" t="s">
        <v>82</v>
      </c>
      <c r="H4" s="543"/>
      <c r="I4" s="544"/>
    </row>
    <row r="5" spans="1:9">
      <c r="A5" s="313" t="s">
        <v>85</v>
      </c>
      <c r="B5" s="315">
        <v>118746</v>
      </c>
      <c r="C5" s="314">
        <v>135181</v>
      </c>
      <c r="D5" s="316">
        <v>162649</v>
      </c>
      <c r="E5" s="542">
        <v>177659</v>
      </c>
      <c r="F5" s="317" t="s">
        <v>82</v>
      </c>
      <c r="H5" s="543"/>
      <c r="I5" s="544"/>
    </row>
    <row r="6" spans="1:9">
      <c r="A6" s="313" t="s">
        <v>86</v>
      </c>
      <c r="B6" s="315">
        <v>47469</v>
      </c>
      <c r="C6" s="314">
        <v>100658</v>
      </c>
      <c r="D6" s="316">
        <v>131743</v>
      </c>
      <c r="E6" s="542">
        <v>130896</v>
      </c>
      <c r="F6" s="317" t="s">
        <v>82</v>
      </c>
      <c r="H6" s="543"/>
      <c r="I6" s="544"/>
    </row>
    <row r="7" spans="1:9">
      <c r="A7" s="313" t="s">
        <v>87</v>
      </c>
      <c r="B7" s="315">
        <v>31626</v>
      </c>
      <c r="C7" s="314">
        <v>29128</v>
      </c>
      <c r="D7" s="316">
        <v>31171</v>
      </c>
      <c r="E7" s="542">
        <v>33235</v>
      </c>
      <c r="F7" s="317" t="s">
        <v>82</v>
      </c>
      <c r="H7" s="543"/>
      <c r="I7" s="544"/>
    </row>
    <row r="8" spans="1:9">
      <c r="A8" s="313" t="s">
        <v>89</v>
      </c>
      <c r="B8" s="545">
        <v>685129</v>
      </c>
      <c r="C8" s="318">
        <v>1236545</v>
      </c>
      <c r="D8" s="319">
        <v>1244671</v>
      </c>
      <c r="E8" s="546">
        <v>1476869</v>
      </c>
      <c r="F8" s="317" t="s">
        <v>88</v>
      </c>
      <c r="H8" s="543"/>
      <c r="I8" s="544"/>
    </row>
    <row r="9" spans="1:9">
      <c r="A9" s="313" t="s">
        <v>91</v>
      </c>
      <c r="B9" s="315">
        <v>142040</v>
      </c>
      <c r="C9" s="318">
        <v>179874</v>
      </c>
      <c r="D9" s="319">
        <v>288349</v>
      </c>
      <c r="E9" s="546">
        <v>332441</v>
      </c>
      <c r="F9" s="317" t="s">
        <v>90</v>
      </c>
      <c r="H9" s="543"/>
      <c r="I9" s="544"/>
    </row>
    <row r="10" spans="1:9">
      <c r="A10" s="313" t="s">
        <v>93</v>
      </c>
      <c r="B10" s="315">
        <v>108658</v>
      </c>
      <c r="C10" s="318">
        <v>75266</v>
      </c>
      <c r="D10" s="319">
        <v>75077</v>
      </c>
      <c r="E10" s="546">
        <v>77878</v>
      </c>
      <c r="F10" s="317" t="s">
        <v>92</v>
      </c>
      <c r="H10" s="543"/>
      <c r="I10" s="544"/>
    </row>
    <row r="11" spans="1:9">
      <c r="A11" s="313" t="s">
        <v>94</v>
      </c>
      <c r="B11" s="315">
        <v>4105</v>
      </c>
      <c r="C11" s="318">
        <v>5437</v>
      </c>
      <c r="D11" s="319">
        <v>10861</v>
      </c>
      <c r="E11" s="546">
        <v>11821</v>
      </c>
      <c r="F11" s="317" t="s">
        <v>92</v>
      </c>
      <c r="H11" s="543"/>
      <c r="I11" s="544"/>
    </row>
    <row r="12" spans="1:9">
      <c r="A12" s="313" t="s">
        <v>95</v>
      </c>
      <c r="B12" s="315">
        <v>6450801</v>
      </c>
      <c r="C12" s="318">
        <v>6381801</v>
      </c>
      <c r="D12" s="319">
        <v>7133773</v>
      </c>
      <c r="E12" s="546">
        <v>8574727</v>
      </c>
      <c r="F12" s="317" t="s">
        <v>92</v>
      </c>
      <c r="H12" s="543"/>
      <c r="I12" s="544"/>
    </row>
    <row r="13" spans="1:9">
      <c r="A13" s="313" t="s">
        <v>96</v>
      </c>
      <c r="B13" s="315">
        <v>51934</v>
      </c>
      <c r="C13" s="318">
        <v>63727</v>
      </c>
      <c r="D13" s="319">
        <v>91713</v>
      </c>
      <c r="E13" s="546">
        <v>101901</v>
      </c>
      <c r="F13" s="317" t="s">
        <v>92</v>
      </c>
      <c r="H13" s="543"/>
      <c r="I13" s="544"/>
    </row>
    <row r="14" spans="1:9">
      <c r="A14" s="313" t="s">
        <v>97</v>
      </c>
      <c r="B14" s="315">
        <v>1358</v>
      </c>
      <c r="C14" s="318">
        <v>3001</v>
      </c>
      <c r="D14" s="319">
        <v>3145</v>
      </c>
      <c r="E14" s="546">
        <v>6243</v>
      </c>
      <c r="F14" s="317" t="s">
        <v>92</v>
      </c>
      <c r="H14" s="543"/>
      <c r="I14" s="544"/>
    </row>
    <row r="15" spans="1:9">
      <c r="A15" s="313" t="s">
        <v>98</v>
      </c>
      <c r="B15" s="315">
        <v>1122301</v>
      </c>
      <c r="C15" s="318">
        <v>1544283</v>
      </c>
      <c r="D15" s="319">
        <v>1655082</v>
      </c>
      <c r="E15" s="546">
        <v>1423486</v>
      </c>
      <c r="F15" s="317" t="s">
        <v>92</v>
      </c>
      <c r="H15" s="543"/>
      <c r="I15" s="544"/>
    </row>
    <row r="16" spans="1:9">
      <c r="A16" s="313" t="s">
        <v>100</v>
      </c>
      <c r="B16" s="315">
        <v>220931</v>
      </c>
      <c r="C16" s="318">
        <v>228559</v>
      </c>
      <c r="D16" s="319">
        <v>235586</v>
      </c>
      <c r="E16" s="546">
        <v>259346</v>
      </c>
      <c r="F16" s="317" t="s">
        <v>99</v>
      </c>
      <c r="H16" s="543"/>
      <c r="I16" s="544"/>
    </row>
    <row r="17" spans="1:9">
      <c r="A17" s="313" t="s">
        <v>101</v>
      </c>
      <c r="B17" s="315">
        <v>89042</v>
      </c>
      <c r="C17" s="318">
        <v>77681</v>
      </c>
      <c r="D17" s="319">
        <v>90145</v>
      </c>
      <c r="E17" s="546">
        <v>96178</v>
      </c>
      <c r="F17" s="317" t="s">
        <v>99</v>
      </c>
      <c r="H17" s="543"/>
      <c r="I17" s="544"/>
    </row>
    <row r="18" spans="1:9">
      <c r="A18" s="313" t="s">
        <v>102</v>
      </c>
      <c r="B18" s="315">
        <v>468071</v>
      </c>
      <c r="C18" s="318">
        <v>445943</v>
      </c>
      <c r="D18" s="319">
        <v>519342</v>
      </c>
      <c r="E18" s="546">
        <v>585649</v>
      </c>
      <c r="F18" s="317" t="s">
        <v>99</v>
      </c>
      <c r="H18" s="543"/>
      <c r="I18" s="544"/>
    </row>
    <row r="19" spans="1:9">
      <c r="A19" s="313" t="s">
        <v>103</v>
      </c>
      <c r="B19" s="315">
        <v>14112</v>
      </c>
      <c r="C19" s="314">
        <v>14878</v>
      </c>
      <c r="D19" s="316">
        <v>14298</v>
      </c>
      <c r="E19" s="542">
        <v>15318</v>
      </c>
      <c r="F19" s="317" t="s">
        <v>99</v>
      </c>
      <c r="H19" s="543"/>
      <c r="I19" s="544"/>
    </row>
    <row r="20" spans="1:9">
      <c r="A20" s="313" t="s">
        <v>105</v>
      </c>
      <c r="B20" s="315">
        <v>335253</v>
      </c>
      <c r="C20" s="318">
        <v>421563</v>
      </c>
      <c r="D20" s="319">
        <v>527426</v>
      </c>
      <c r="E20" s="546">
        <v>690827</v>
      </c>
      <c r="F20" s="317" t="s">
        <v>104</v>
      </c>
      <c r="H20" s="543"/>
      <c r="I20" s="544"/>
    </row>
    <row r="21" spans="1:9">
      <c r="A21" s="313" t="s">
        <v>106</v>
      </c>
      <c r="B21" s="315">
        <v>1423589</v>
      </c>
      <c r="C21" s="318">
        <v>1815957</v>
      </c>
      <c r="D21" s="319">
        <v>2106063</v>
      </c>
      <c r="E21" s="546">
        <v>2458738</v>
      </c>
      <c r="F21" s="317" t="s">
        <v>104</v>
      </c>
      <c r="H21" s="543"/>
      <c r="I21" s="544"/>
    </row>
    <row r="22" spans="1:9">
      <c r="A22" s="313" t="s">
        <v>107</v>
      </c>
      <c r="B22" s="315">
        <v>1530851</v>
      </c>
      <c r="C22" s="318">
        <v>3047077</v>
      </c>
      <c r="D22" s="319">
        <v>4580046</v>
      </c>
      <c r="E22" s="546">
        <v>5351810</v>
      </c>
      <c r="F22" s="317" t="s">
        <v>104</v>
      </c>
      <c r="H22" s="543"/>
      <c r="I22" s="544"/>
    </row>
    <row r="23" spans="1:9">
      <c r="A23" s="313" t="s">
        <v>108</v>
      </c>
      <c r="B23" s="315">
        <v>326881</v>
      </c>
      <c r="C23" s="318">
        <v>471899</v>
      </c>
      <c r="D23" s="319">
        <v>847511</v>
      </c>
      <c r="E23" s="546">
        <v>1002134</v>
      </c>
      <c r="F23" s="317" t="s">
        <v>104</v>
      </c>
      <c r="H23" s="543"/>
      <c r="I23" s="544"/>
    </row>
    <row r="24" spans="1:9">
      <c r="A24" s="313" t="s">
        <v>109</v>
      </c>
      <c r="B24" s="315">
        <v>4566013</v>
      </c>
      <c r="C24" s="318">
        <v>5191499</v>
      </c>
      <c r="D24" s="319">
        <v>8365287</v>
      </c>
      <c r="E24" s="546">
        <v>8721363</v>
      </c>
      <c r="F24" s="317" t="s">
        <v>104</v>
      </c>
      <c r="H24" s="543"/>
      <c r="I24" s="544"/>
    </row>
    <row r="25" spans="1:9">
      <c r="A25" s="313" t="s">
        <v>111</v>
      </c>
      <c r="B25" s="315">
        <v>723026</v>
      </c>
      <c r="C25" s="318">
        <v>1220283</v>
      </c>
      <c r="D25" s="319">
        <v>1582491</v>
      </c>
      <c r="E25" s="546">
        <v>1972474</v>
      </c>
      <c r="F25" s="317" t="s">
        <v>104</v>
      </c>
      <c r="H25" s="543"/>
      <c r="I25" s="544"/>
    </row>
    <row r="26" spans="1:9">
      <c r="A26" s="313" t="s">
        <v>113</v>
      </c>
      <c r="B26" s="315">
        <v>331823</v>
      </c>
      <c r="C26" s="318">
        <v>404081</v>
      </c>
      <c r="D26" s="319">
        <v>475942</v>
      </c>
      <c r="E26" s="546">
        <v>471466</v>
      </c>
      <c r="F26" s="317" t="s">
        <v>112</v>
      </c>
      <c r="H26" s="543"/>
      <c r="I26" s="544"/>
    </row>
    <row r="27" spans="1:9">
      <c r="A27" s="313" t="s">
        <v>114</v>
      </c>
      <c r="B27" s="315">
        <v>7694498</v>
      </c>
      <c r="C27" s="318">
        <v>8838099</v>
      </c>
      <c r="D27" s="319">
        <v>9625071</v>
      </c>
      <c r="E27" s="546">
        <v>10824111</v>
      </c>
      <c r="F27" s="317" t="s">
        <v>112</v>
      </c>
      <c r="H27" s="544"/>
      <c r="I27" s="544"/>
    </row>
    <row r="28" spans="1:9">
      <c r="A28" s="313" t="s">
        <v>116</v>
      </c>
      <c r="B28" s="315">
        <v>810754</v>
      </c>
      <c r="C28" s="318">
        <v>3267836</v>
      </c>
      <c r="D28" s="319">
        <v>3520078</v>
      </c>
      <c r="E28" s="546">
        <v>3791431</v>
      </c>
      <c r="F28" s="317" t="s">
        <v>115</v>
      </c>
      <c r="H28" s="543"/>
      <c r="I28" s="544"/>
    </row>
    <row r="29" spans="1:9">
      <c r="A29" s="313" t="s">
        <v>117</v>
      </c>
      <c r="B29" s="315">
        <v>102199</v>
      </c>
      <c r="C29" s="318">
        <v>125489</v>
      </c>
      <c r="D29" s="319">
        <v>120233</v>
      </c>
      <c r="E29" s="546">
        <v>90833</v>
      </c>
      <c r="F29" s="317" t="s">
        <v>115</v>
      </c>
      <c r="H29" s="543"/>
      <c r="I29" s="544"/>
    </row>
    <row r="30" spans="1:9">
      <c r="A30" s="313" t="s">
        <v>118</v>
      </c>
      <c r="B30" s="315">
        <v>1097072</v>
      </c>
      <c r="C30" s="318">
        <v>1134478</v>
      </c>
      <c r="D30" s="319">
        <v>1287135</v>
      </c>
      <c r="E30" s="546">
        <v>1396636</v>
      </c>
      <c r="F30" s="317" t="s">
        <v>115</v>
      </c>
      <c r="H30" s="543"/>
      <c r="I30" s="544"/>
    </row>
    <row r="31" spans="1:9">
      <c r="A31" s="313" t="s">
        <v>119</v>
      </c>
      <c r="B31" s="315">
        <v>37896</v>
      </c>
      <c r="C31" s="318">
        <v>29480</v>
      </c>
      <c r="D31" s="319">
        <v>27254</v>
      </c>
      <c r="E31" s="546">
        <v>28456</v>
      </c>
      <c r="F31" s="317" t="s">
        <v>115</v>
      </c>
      <c r="H31" s="543"/>
      <c r="I31" s="544"/>
    </row>
    <row r="32" spans="1:9">
      <c r="A32" s="313" t="s">
        <v>121</v>
      </c>
      <c r="B32" s="315">
        <v>149731</v>
      </c>
      <c r="C32" s="318">
        <v>162733</v>
      </c>
      <c r="D32" s="319">
        <v>196967</v>
      </c>
      <c r="E32" s="546">
        <v>212642</v>
      </c>
      <c r="F32" s="317" t="s">
        <v>120</v>
      </c>
      <c r="H32" s="543"/>
      <c r="I32" s="544"/>
    </row>
    <row r="33" spans="1:9">
      <c r="A33" s="313" t="s">
        <v>122</v>
      </c>
      <c r="B33" s="315">
        <v>503759</v>
      </c>
      <c r="C33" s="318">
        <v>1360253</v>
      </c>
      <c r="D33" s="319">
        <v>1522746</v>
      </c>
      <c r="E33" s="546">
        <v>1877126</v>
      </c>
      <c r="F33" s="317" t="s">
        <v>120</v>
      </c>
      <c r="H33" s="543"/>
      <c r="I33" s="544"/>
    </row>
    <row r="34" spans="1:9">
      <c r="A34" s="313" t="s">
        <v>123</v>
      </c>
      <c r="B34" s="315">
        <v>85334</v>
      </c>
      <c r="C34" s="318">
        <v>134223</v>
      </c>
      <c r="D34" s="319">
        <v>180625</v>
      </c>
      <c r="E34" s="546">
        <v>181306</v>
      </c>
      <c r="F34" s="317" t="s">
        <v>120</v>
      </c>
      <c r="H34" s="543"/>
      <c r="I34" s="544"/>
    </row>
    <row r="35" spans="1:9">
      <c r="A35" s="313" t="s">
        <v>125</v>
      </c>
      <c r="B35" s="315">
        <v>108664</v>
      </c>
      <c r="C35" s="318">
        <v>127135</v>
      </c>
      <c r="D35" s="319">
        <v>129839</v>
      </c>
      <c r="E35" s="546">
        <v>131277</v>
      </c>
      <c r="F35" s="317" t="s">
        <v>124</v>
      </c>
      <c r="H35" s="543"/>
      <c r="I35" s="544"/>
    </row>
    <row r="36" spans="1:9">
      <c r="A36" s="313" t="s">
        <v>126</v>
      </c>
      <c r="B36" s="315">
        <v>21664</v>
      </c>
      <c r="C36" s="318">
        <v>24049</v>
      </c>
      <c r="D36" s="319">
        <v>28422</v>
      </c>
      <c r="E36" s="546">
        <v>28882</v>
      </c>
      <c r="F36" s="317" t="s">
        <v>124</v>
      </c>
      <c r="H36" s="543"/>
      <c r="I36" s="544"/>
    </row>
    <row r="37" spans="1:9">
      <c r="A37" s="313" t="s">
        <v>127</v>
      </c>
      <c r="B37" s="315">
        <v>71935</v>
      </c>
      <c r="C37" s="318">
        <v>90462</v>
      </c>
      <c r="D37" s="319">
        <v>124465</v>
      </c>
      <c r="E37" s="546">
        <v>125848</v>
      </c>
      <c r="F37" s="317" t="s">
        <v>124</v>
      </c>
      <c r="H37" s="543"/>
      <c r="I37" s="544"/>
    </row>
    <row r="38" spans="1:9">
      <c r="A38" s="313" t="s">
        <v>128</v>
      </c>
      <c r="B38" s="315">
        <v>11150</v>
      </c>
      <c r="C38" s="318">
        <v>11840</v>
      </c>
      <c r="D38" s="319">
        <v>11675</v>
      </c>
      <c r="E38" s="546">
        <v>12090</v>
      </c>
      <c r="F38" s="317" t="s">
        <v>124</v>
      </c>
      <c r="H38" s="543"/>
      <c r="I38" s="544"/>
    </row>
    <row r="39" spans="1:9">
      <c r="A39" s="313" t="s">
        <v>129</v>
      </c>
      <c r="B39" s="315">
        <v>42699</v>
      </c>
      <c r="C39" s="314">
        <v>49444</v>
      </c>
      <c r="D39" s="316">
        <v>61663</v>
      </c>
      <c r="E39" s="542">
        <v>62326</v>
      </c>
      <c r="F39" s="317" t="s">
        <v>124</v>
      </c>
      <c r="H39" s="543"/>
      <c r="I39" s="544"/>
    </row>
    <row r="40" spans="1:9">
      <c r="A40" s="324" t="s">
        <v>130</v>
      </c>
      <c r="B40" s="326">
        <v>141153</v>
      </c>
      <c r="C40" s="325">
        <v>169413</v>
      </c>
      <c r="D40" s="327">
        <v>187266</v>
      </c>
      <c r="E40" s="547">
        <v>192152</v>
      </c>
      <c r="F40" s="328" t="s">
        <v>124</v>
      </c>
      <c r="H40" s="543"/>
      <c r="I40" s="544"/>
    </row>
    <row r="41" spans="1:9" ht="15" thickBot="1">
      <c r="A41" s="329" t="s">
        <v>135</v>
      </c>
      <c r="B41" s="548">
        <f>SUM(B3:B40)</f>
        <v>29775389</v>
      </c>
      <c r="C41" s="330">
        <f>SUM(C3:C40)</f>
        <v>38752057</v>
      </c>
      <c r="D41" s="548">
        <f>SUM(D3:D40)</f>
        <v>47361289</v>
      </c>
      <c r="E41" s="330">
        <f>SUM(E3:E40)</f>
        <v>53095068</v>
      </c>
      <c r="F41" s="333"/>
    </row>
    <row r="42" spans="1:9">
      <c r="B42" s="227"/>
      <c r="C42" s="228"/>
    </row>
  </sheetData>
  <conditionalFormatting sqref="H3:I40">
    <cfRule type="cellIs" dxfId="1" priority="1" operator="lessThan">
      <formula>0</formula>
    </cfRule>
  </conditionalFormatting>
  <pageMargins left="0.25" right="0.25" top="0.75" bottom="0.75" header="0.3" footer="0.3"/>
  <pageSetup scale="83"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6992F-AF92-42B5-A485-14ADD79D773D}">
  <sheetPr>
    <pageSetUpPr fitToPage="1"/>
  </sheetPr>
  <dimension ref="A1:L42"/>
  <sheetViews>
    <sheetView zoomScale="80" zoomScaleNormal="80" workbookViewId="0"/>
  </sheetViews>
  <sheetFormatPr defaultColWidth="9.28515625" defaultRowHeight="14.25"/>
  <cols>
    <col min="1" max="1" width="46.7109375" style="230" bestFit="1" customWidth="1"/>
    <col min="2" max="4" width="15.7109375" style="257" customWidth="1"/>
    <col min="5" max="5" width="15.28515625" style="230" customWidth="1"/>
    <col min="6" max="6" width="15.7109375" style="230" customWidth="1"/>
    <col min="7" max="7" width="9.28515625" style="230"/>
    <col min="8" max="9" width="14.7109375" style="540" customWidth="1"/>
    <col min="10" max="12" width="14.7109375" style="230" customWidth="1"/>
    <col min="13" max="16384" width="9.28515625" style="230"/>
  </cols>
  <sheetData>
    <row r="1" spans="1:12" ht="21" thickBot="1">
      <c r="A1" s="370" t="s">
        <v>441</v>
      </c>
      <c r="B1" s="210" t="s">
        <v>194</v>
      </c>
      <c r="C1" s="210" t="s">
        <v>195</v>
      </c>
      <c r="D1" s="210" t="s">
        <v>196</v>
      </c>
      <c r="E1" s="210" t="s">
        <v>197</v>
      </c>
      <c r="H1" s="210" t="s">
        <v>194</v>
      </c>
      <c r="I1" s="210" t="s">
        <v>195</v>
      </c>
      <c r="J1" s="210" t="s">
        <v>196</v>
      </c>
      <c r="K1" s="210" t="s">
        <v>197</v>
      </c>
    </row>
    <row r="2" spans="1:12">
      <c r="A2" s="334" t="s">
        <v>132</v>
      </c>
      <c r="B2" s="335" t="s">
        <v>136</v>
      </c>
      <c r="C2" s="335" t="s">
        <v>136</v>
      </c>
      <c r="D2" s="335" t="s">
        <v>136</v>
      </c>
      <c r="E2" s="549" t="s">
        <v>136</v>
      </c>
      <c r="F2" s="336"/>
      <c r="H2" s="550" t="s">
        <v>136</v>
      </c>
      <c r="I2" s="550" t="s">
        <v>136</v>
      </c>
      <c r="J2" s="550" t="s">
        <v>136</v>
      </c>
      <c r="K2" s="551" t="s">
        <v>136</v>
      </c>
      <c r="L2" s="552"/>
    </row>
    <row r="3" spans="1:12">
      <c r="A3" s="337" t="s">
        <v>83</v>
      </c>
      <c r="B3" s="339">
        <v>29170</v>
      </c>
      <c r="C3" s="340">
        <v>30762</v>
      </c>
      <c r="D3" s="339">
        <v>32940</v>
      </c>
      <c r="E3" s="553">
        <v>31601</v>
      </c>
      <c r="F3" s="317" t="s">
        <v>82</v>
      </c>
      <c r="H3" s="543">
        <f>B3</f>
        <v>29170</v>
      </c>
      <c r="I3" s="543">
        <f t="shared" ref="I3:K18" si="0">C3</f>
        <v>30762</v>
      </c>
      <c r="J3" s="543">
        <f t="shared" si="0"/>
        <v>32940</v>
      </c>
      <c r="K3" s="543">
        <f t="shared" si="0"/>
        <v>31601</v>
      </c>
    </row>
    <row r="4" spans="1:12">
      <c r="A4" s="337" t="s">
        <v>84</v>
      </c>
      <c r="B4" s="342">
        <v>3885</v>
      </c>
      <c r="C4" s="341">
        <v>7303</v>
      </c>
      <c r="D4" s="342">
        <v>7886</v>
      </c>
      <c r="E4" s="554">
        <v>7605</v>
      </c>
      <c r="F4" s="317" t="s">
        <v>82</v>
      </c>
      <c r="H4" s="543">
        <f t="shared" ref="H4:K40" si="1">B4</f>
        <v>3885</v>
      </c>
      <c r="I4" s="543">
        <f t="shared" si="0"/>
        <v>7303</v>
      </c>
      <c r="J4" s="543">
        <f t="shared" si="0"/>
        <v>7886</v>
      </c>
      <c r="K4" s="543">
        <f t="shared" si="0"/>
        <v>7605</v>
      </c>
    </row>
    <row r="5" spans="1:12">
      <c r="A5" s="337" t="s">
        <v>85</v>
      </c>
      <c r="B5" s="343">
        <v>39533</v>
      </c>
      <c r="C5" s="338">
        <v>44776</v>
      </c>
      <c r="D5" s="343">
        <v>46711</v>
      </c>
      <c r="E5" s="555">
        <v>48302</v>
      </c>
      <c r="F5" s="317" t="s">
        <v>82</v>
      </c>
      <c r="H5" s="543">
        <f t="shared" si="1"/>
        <v>39533</v>
      </c>
      <c r="I5" s="543">
        <f t="shared" si="0"/>
        <v>44776</v>
      </c>
      <c r="J5" s="543">
        <f t="shared" si="0"/>
        <v>46711</v>
      </c>
      <c r="K5" s="543">
        <f t="shared" si="0"/>
        <v>48302</v>
      </c>
    </row>
    <row r="6" spans="1:12">
      <c r="A6" s="337" t="s">
        <v>86</v>
      </c>
      <c r="B6" s="343">
        <v>35279</v>
      </c>
      <c r="C6" s="338">
        <v>40013</v>
      </c>
      <c r="D6" s="343">
        <v>47343</v>
      </c>
      <c r="E6" s="555">
        <v>44163</v>
      </c>
      <c r="F6" s="317" t="s">
        <v>82</v>
      </c>
      <c r="H6" s="543">
        <f t="shared" si="1"/>
        <v>35279</v>
      </c>
      <c r="I6" s="543">
        <f t="shared" si="0"/>
        <v>40013</v>
      </c>
      <c r="J6" s="543">
        <f t="shared" si="0"/>
        <v>47343</v>
      </c>
      <c r="K6" s="543">
        <f t="shared" si="0"/>
        <v>44163</v>
      </c>
    </row>
    <row r="7" spans="1:12">
      <c r="A7" s="337" t="s">
        <v>87</v>
      </c>
      <c r="B7" s="343">
        <v>8307</v>
      </c>
      <c r="C7" s="338">
        <v>7979</v>
      </c>
      <c r="D7" s="343">
        <v>8170</v>
      </c>
      <c r="E7" s="555">
        <v>8168</v>
      </c>
      <c r="F7" s="317" t="s">
        <v>82</v>
      </c>
      <c r="H7" s="543">
        <f t="shared" si="1"/>
        <v>8307</v>
      </c>
      <c r="I7" s="543">
        <f t="shared" si="0"/>
        <v>7979</v>
      </c>
      <c r="J7" s="543">
        <f t="shared" si="0"/>
        <v>8170</v>
      </c>
      <c r="K7" s="543">
        <f t="shared" si="0"/>
        <v>8168</v>
      </c>
    </row>
    <row r="8" spans="1:12">
      <c r="A8" s="337" t="s">
        <v>89</v>
      </c>
      <c r="B8" s="343">
        <v>103960</v>
      </c>
      <c r="C8" s="338">
        <v>94012</v>
      </c>
      <c r="D8" s="343">
        <v>113603</v>
      </c>
      <c r="E8" s="555">
        <v>128069</v>
      </c>
      <c r="F8" s="317" t="s">
        <v>88</v>
      </c>
      <c r="H8" s="543">
        <f t="shared" si="1"/>
        <v>103960</v>
      </c>
      <c r="I8" s="543">
        <f t="shared" si="0"/>
        <v>94012</v>
      </c>
      <c r="J8" s="543">
        <f t="shared" si="0"/>
        <v>113603</v>
      </c>
      <c r="K8" s="543">
        <f t="shared" si="0"/>
        <v>128069</v>
      </c>
    </row>
    <row r="9" spans="1:12">
      <c r="A9" s="337" t="s">
        <v>91</v>
      </c>
      <c r="B9" s="343">
        <v>40798</v>
      </c>
      <c r="C9" s="338">
        <v>40268</v>
      </c>
      <c r="D9" s="343">
        <v>37181</v>
      </c>
      <c r="E9" s="555">
        <v>38032</v>
      </c>
      <c r="F9" s="317" t="s">
        <v>90</v>
      </c>
      <c r="H9" s="543">
        <f t="shared" si="1"/>
        <v>40798</v>
      </c>
      <c r="I9" s="543">
        <f t="shared" si="0"/>
        <v>40268</v>
      </c>
      <c r="J9" s="543">
        <f t="shared" si="0"/>
        <v>37181</v>
      </c>
      <c r="K9" s="543">
        <f t="shared" si="0"/>
        <v>38032</v>
      </c>
    </row>
    <row r="10" spans="1:12">
      <c r="A10" s="337" t="s">
        <v>93</v>
      </c>
      <c r="B10" s="342">
        <v>20267</v>
      </c>
      <c r="C10" s="341">
        <v>21618</v>
      </c>
      <c r="D10" s="342">
        <v>22410</v>
      </c>
      <c r="E10" s="554">
        <v>24727.8</v>
      </c>
      <c r="F10" s="317" t="s">
        <v>92</v>
      </c>
      <c r="H10" s="543">
        <f t="shared" si="1"/>
        <v>20267</v>
      </c>
      <c r="I10" s="543">
        <f t="shared" si="0"/>
        <v>21618</v>
      </c>
      <c r="J10" s="543">
        <f t="shared" si="0"/>
        <v>22410</v>
      </c>
      <c r="K10" s="543">
        <f t="shared" si="0"/>
        <v>24727.8</v>
      </c>
    </row>
    <row r="11" spans="1:12">
      <c r="A11" s="337" t="s">
        <v>94</v>
      </c>
      <c r="B11" s="343">
        <v>3060</v>
      </c>
      <c r="C11" s="338">
        <v>3090</v>
      </c>
      <c r="D11" s="343">
        <v>3108</v>
      </c>
      <c r="E11" s="555">
        <v>2826</v>
      </c>
      <c r="F11" s="317" t="s">
        <v>92</v>
      </c>
      <c r="H11" s="543">
        <f t="shared" si="1"/>
        <v>3060</v>
      </c>
      <c r="I11" s="543">
        <f t="shared" si="0"/>
        <v>3090</v>
      </c>
      <c r="J11" s="543">
        <f t="shared" si="0"/>
        <v>3108</v>
      </c>
      <c r="K11" s="543">
        <f t="shared" si="0"/>
        <v>2826</v>
      </c>
    </row>
    <row r="12" spans="1:12">
      <c r="A12" s="337" t="s">
        <v>95</v>
      </c>
      <c r="B12" s="343">
        <v>971392</v>
      </c>
      <c r="C12" s="338">
        <v>886831</v>
      </c>
      <c r="D12" s="343">
        <v>955047</v>
      </c>
      <c r="E12" s="555">
        <v>1002985.3500000001</v>
      </c>
      <c r="F12" s="317" t="s">
        <v>92</v>
      </c>
      <c r="H12" s="543">
        <f t="shared" si="1"/>
        <v>971392</v>
      </c>
      <c r="I12" s="543">
        <f t="shared" si="0"/>
        <v>886831</v>
      </c>
      <c r="J12" s="543">
        <f t="shared" si="0"/>
        <v>955047</v>
      </c>
      <c r="K12" s="543">
        <f t="shared" si="0"/>
        <v>1002985.3500000001</v>
      </c>
    </row>
    <row r="13" spans="1:12">
      <c r="A13" s="337" t="s">
        <v>96</v>
      </c>
      <c r="B13" s="343">
        <v>20410</v>
      </c>
      <c r="C13" s="338">
        <v>20345</v>
      </c>
      <c r="D13" s="343">
        <v>20260</v>
      </c>
      <c r="E13" s="555">
        <v>20119</v>
      </c>
      <c r="F13" s="317" t="s">
        <v>92</v>
      </c>
      <c r="H13" s="543">
        <f t="shared" si="1"/>
        <v>20410</v>
      </c>
      <c r="I13" s="543">
        <f t="shared" si="0"/>
        <v>20345</v>
      </c>
      <c r="J13" s="543">
        <f t="shared" si="0"/>
        <v>20260</v>
      </c>
      <c r="K13" s="543">
        <f t="shared" si="0"/>
        <v>20119</v>
      </c>
    </row>
    <row r="14" spans="1:12">
      <c r="A14" s="337" t="s">
        <v>97</v>
      </c>
      <c r="B14" s="343">
        <v>1342</v>
      </c>
      <c r="C14" s="338">
        <v>880</v>
      </c>
      <c r="D14" s="343">
        <v>502</v>
      </c>
      <c r="E14" s="555">
        <v>3135</v>
      </c>
      <c r="F14" s="317" t="s">
        <v>92</v>
      </c>
      <c r="H14" s="543">
        <f t="shared" si="1"/>
        <v>1342</v>
      </c>
      <c r="I14" s="543">
        <f t="shared" si="0"/>
        <v>880</v>
      </c>
      <c r="J14" s="543">
        <f t="shared" si="0"/>
        <v>502</v>
      </c>
      <c r="K14" s="543">
        <f t="shared" si="0"/>
        <v>3135</v>
      </c>
    </row>
    <row r="15" spans="1:12">
      <c r="A15" s="337" t="s">
        <v>98</v>
      </c>
      <c r="B15" s="343">
        <v>78393</v>
      </c>
      <c r="C15" s="338">
        <v>79332</v>
      </c>
      <c r="D15" s="343">
        <v>71283</v>
      </c>
      <c r="E15" s="555">
        <v>68607</v>
      </c>
      <c r="F15" s="317" t="s">
        <v>92</v>
      </c>
      <c r="H15" s="543">
        <f t="shared" si="1"/>
        <v>78393</v>
      </c>
      <c r="I15" s="543">
        <f t="shared" si="0"/>
        <v>79332</v>
      </c>
      <c r="J15" s="543">
        <f t="shared" si="0"/>
        <v>71283</v>
      </c>
      <c r="K15" s="543">
        <f t="shared" si="0"/>
        <v>68607</v>
      </c>
    </row>
    <row r="16" spans="1:12">
      <c r="A16" s="337" t="s">
        <v>100</v>
      </c>
      <c r="B16" s="343">
        <v>38330</v>
      </c>
      <c r="C16" s="338">
        <v>35273</v>
      </c>
      <c r="D16" s="343">
        <v>29937</v>
      </c>
      <c r="E16" s="555">
        <v>34940</v>
      </c>
      <c r="F16" s="317" t="s">
        <v>99</v>
      </c>
      <c r="H16" s="543">
        <f t="shared" si="1"/>
        <v>38330</v>
      </c>
      <c r="I16" s="543">
        <f t="shared" si="0"/>
        <v>35273</v>
      </c>
      <c r="J16" s="543">
        <f t="shared" si="0"/>
        <v>29937</v>
      </c>
      <c r="K16" s="543">
        <f t="shared" si="0"/>
        <v>34940</v>
      </c>
    </row>
    <row r="17" spans="1:11">
      <c r="A17" s="337" t="s">
        <v>101</v>
      </c>
      <c r="B17" s="343">
        <v>13590</v>
      </c>
      <c r="C17" s="338">
        <v>11837</v>
      </c>
      <c r="D17" s="343">
        <v>11560</v>
      </c>
      <c r="E17" s="555">
        <v>11193</v>
      </c>
      <c r="F17" s="317" t="s">
        <v>99</v>
      </c>
      <c r="H17" s="543">
        <f t="shared" si="1"/>
        <v>13590</v>
      </c>
      <c r="I17" s="543">
        <f t="shared" si="0"/>
        <v>11837</v>
      </c>
      <c r="J17" s="543">
        <f t="shared" si="0"/>
        <v>11560</v>
      </c>
      <c r="K17" s="543">
        <f t="shared" si="0"/>
        <v>11193</v>
      </c>
    </row>
    <row r="18" spans="1:11">
      <c r="A18" s="337" t="s">
        <v>102</v>
      </c>
      <c r="B18" s="343">
        <v>75366</v>
      </c>
      <c r="C18" s="338">
        <v>74332</v>
      </c>
      <c r="D18" s="343">
        <v>79599</v>
      </c>
      <c r="E18" s="555">
        <v>80007.260000000009</v>
      </c>
      <c r="F18" s="317" t="s">
        <v>99</v>
      </c>
      <c r="H18" s="543">
        <f t="shared" si="1"/>
        <v>75366</v>
      </c>
      <c r="I18" s="543">
        <f t="shared" si="0"/>
        <v>74332</v>
      </c>
      <c r="J18" s="543">
        <f t="shared" si="0"/>
        <v>79599</v>
      </c>
      <c r="K18" s="543">
        <f t="shared" si="0"/>
        <v>80007.260000000009</v>
      </c>
    </row>
    <row r="19" spans="1:11">
      <c r="A19" s="337" t="s">
        <v>103</v>
      </c>
      <c r="B19" s="343">
        <v>3011</v>
      </c>
      <c r="C19" s="338">
        <v>3043</v>
      </c>
      <c r="D19" s="343">
        <v>3028</v>
      </c>
      <c r="E19" s="555">
        <v>3004</v>
      </c>
      <c r="F19" s="317" t="s">
        <v>99</v>
      </c>
      <c r="H19" s="543">
        <f t="shared" si="1"/>
        <v>3011</v>
      </c>
      <c r="I19" s="543">
        <f t="shared" si="1"/>
        <v>3043</v>
      </c>
      <c r="J19" s="543">
        <f t="shared" si="1"/>
        <v>3028</v>
      </c>
      <c r="K19" s="543">
        <f t="shared" si="1"/>
        <v>3004</v>
      </c>
    </row>
    <row r="20" spans="1:11">
      <c r="A20" s="337" t="s">
        <v>105</v>
      </c>
      <c r="B20" s="347">
        <f>88248+8353</f>
        <v>96601</v>
      </c>
      <c r="C20" s="347">
        <f>88663+10112</f>
        <v>98775</v>
      </c>
      <c r="D20" s="347">
        <f>108286+10206</f>
        <v>118492</v>
      </c>
      <c r="E20" s="556">
        <f>160073+12922.92</f>
        <v>172995.92</v>
      </c>
      <c r="F20" s="317" t="s">
        <v>104</v>
      </c>
      <c r="H20" s="557">
        <v>88248</v>
      </c>
      <c r="I20" s="557">
        <v>88663</v>
      </c>
      <c r="J20" s="557">
        <v>108286</v>
      </c>
      <c r="K20" s="557">
        <v>160073</v>
      </c>
    </row>
    <row r="21" spans="1:11">
      <c r="A21" s="337" t="s">
        <v>106</v>
      </c>
      <c r="B21" s="343">
        <v>182007</v>
      </c>
      <c r="C21" s="338">
        <v>204460</v>
      </c>
      <c r="D21" s="343">
        <v>216250</v>
      </c>
      <c r="E21" s="555">
        <v>230883</v>
      </c>
      <c r="F21" s="317" t="s">
        <v>104</v>
      </c>
      <c r="H21" s="543">
        <f t="shared" si="1"/>
        <v>182007</v>
      </c>
      <c r="I21" s="543">
        <f t="shared" si="1"/>
        <v>204460</v>
      </c>
      <c r="J21" s="543">
        <f t="shared" si="1"/>
        <v>216250</v>
      </c>
      <c r="K21" s="543">
        <f t="shared" si="1"/>
        <v>230883</v>
      </c>
    </row>
    <row r="22" spans="1:11">
      <c r="A22" s="337" t="s">
        <v>107</v>
      </c>
      <c r="B22" s="343">
        <v>211975</v>
      </c>
      <c r="C22" s="338">
        <v>276476</v>
      </c>
      <c r="D22" s="343">
        <v>310607</v>
      </c>
      <c r="E22" s="555">
        <v>308856.31</v>
      </c>
      <c r="F22" s="317" t="s">
        <v>104</v>
      </c>
      <c r="H22" s="543">
        <f t="shared" si="1"/>
        <v>211975</v>
      </c>
      <c r="I22" s="543">
        <f t="shared" si="1"/>
        <v>276476</v>
      </c>
      <c r="J22" s="543">
        <f t="shared" si="1"/>
        <v>310607</v>
      </c>
      <c r="K22" s="543">
        <f t="shared" si="1"/>
        <v>308856.31</v>
      </c>
    </row>
    <row r="23" spans="1:11">
      <c r="A23" s="337" t="s">
        <v>108</v>
      </c>
      <c r="B23" s="343">
        <v>34280</v>
      </c>
      <c r="C23" s="338">
        <v>35046</v>
      </c>
      <c r="D23" s="343">
        <v>34638</v>
      </c>
      <c r="E23" s="555">
        <v>34526</v>
      </c>
      <c r="F23" s="317" t="s">
        <v>104</v>
      </c>
      <c r="H23" s="543">
        <f t="shared" si="1"/>
        <v>34280</v>
      </c>
      <c r="I23" s="543">
        <f t="shared" si="1"/>
        <v>35046</v>
      </c>
      <c r="J23" s="543">
        <f t="shared" si="1"/>
        <v>34638</v>
      </c>
      <c r="K23" s="543">
        <f t="shared" si="1"/>
        <v>34526</v>
      </c>
    </row>
    <row r="24" spans="1:11">
      <c r="A24" s="337" t="s">
        <v>109</v>
      </c>
      <c r="B24" s="347">
        <f>775301+2087</f>
        <v>777388</v>
      </c>
      <c r="C24" s="347">
        <f>840428+2521</f>
        <v>842949</v>
      </c>
      <c r="D24" s="343">
        <v>848788</v>
      </c>
      <c r="E24" s="555">
        <v>819202.73699999996</v>
      </c>
      <c r="F24" s="317" t="s">
        <v>104</v>
      </c>
      <c r="H24" s="557">
        <v>775301</v>
      </c>
      <c r="I24" s="557">
        <v>840428</v>
      </c>
      <c r="J24" s="543">
        <f t="shared" si="1"/>
        <v>848788</v>
      </c>
      <c r="K24" s="543">
        <f t="shared" si="1"/>
        <v>819202.73699999996</v>
      </c>
    </row>
    <row r="25" spans="1:11">
      <c r="A25" s="337" t="s">
        <v>111</v>
      </c>
      <c r="B25" s="347">
        <f>152489+(152489*0.49)</f>
        <v>227208.61</v>
      </c>
      <c r="C25" s="347">
        <f>147080+71220</f>
        <v>218300</v>
      </c>
      <c r="D25" s="347">
        <f>142232+57989</f>
        <v>200221</v>
      </c>
      <c r="E25" s="556">
        <f>174456.2+62202</f>
        <v>236658.2</v>
      </c>
      <c r="F25" s="317" t="s">
        <v>104</v>
      </c>
      <c r="H25" s="557">
        <v>152489</v>
      </c>
      <c r="I25" s="557">
        <v>147080</v>
      </c>
      <c r="J25" s="557">
        <v>142232</v>
      </c>
      <c r="K25" s="557">
        <v>174456.2</v>
      </c>
    </row>
    <row r="26" spans="1:11">
      <c r="A26" s="337" t="s">
        <v>113</v>
      </c>
      <c r="B26" s="343">
        <v>46966</v>
      </c>
      <c r="C26" s="338">
        <v>47286</v>
      </c>
      <c r="D26" s="343">
        <v>43849</v>
      </c>
      <c r="E26" s="555">
        <v>41575</v>
      </c>
      <c r="F26" s="317" t="s">
        <v>112</v>
      </c>
      <c r="H26" s="543">
        <f t="shared" si="1"/>
        <v>46966</v>
      </c>
      <c r="I26" s="543">
        <f t="shared" si="1"/>
        <v>47286</v>
      </c>
      <c r="J26" s="543">
        <f t="shared" si="1"/>
        <v>43849</v>
      </c>
      <c r="K26" s="543">
        <f t="shared" si="1"/>
        <v>41575</v>
      </c>
    </row>
    <row r="27" spans="1:11">
      <c r="A27" s="337" t="s">
        <v>114</v>
      </c>
      <c r="B27" s="343">
        <v>606539</v>
      </c>
      <c r="C27" s="338">
        <v>589217</v>
      </c>
      <c r="D27" s="349">
        <f>582073+1652</f>
        <v>583725</v>
      </c>
      <c r="E27" s="556">
        <f>631194+2456.79</f>
        <v>633650.79</v>
      </c>
      <c r="F27" s="317" t="s">
        <v>112</v>
      </c>
      <c r="H27" s="543">
        <f t="shared" si="1"/>
        <v>606539</v>
      </c>
      <c r="I27" s="543">
        <f t="shared" si="1"/>
        <v>589217</v>
      </c>
      <c r="J27" s="557">
        <v>582073</v>
      </c>
      <c r="K27" s="557">
        <v>631194</v>
      </c>
    </row>
    <row r="28" spans="1:11">
      <c r="A28" s="337" t="s">
        <v>116</v>
      </c>
      <c r="B28" s="343">
        <v>104803</v>
      </c>
      <c r="C28" s="338">
        <v>100136</v>
      </c>
      <c r="D28" s="343">
        <v>92885</v>
      </c>
      <c r="E28" s="555">
        <v>99331.900000000009</v>
      </c>
      <c r="F28" s="317" t="s">
        <v>115</v>
      </c>
      <c r="H28" s="543">
        <f t="shared" si="1"/>
        <v>104803</v>
      </c>
      <c r="I28" s="543">
        <f t="shared" si="1"/>
        <v>100136</v>
      </c>
      <c r="J28" s="543">
        <f t="shared" si="1"/>
        <v>92885</v>
      </c>
      <c r="K28" s="543">
        <f t="shared" si="1"/>
        <v>99331.900000000009</v>
      </c>
    </row>
    <row r="29" spans="1:11">
      <c r="A29" s="337" t="s">
        <v>117</v>
      </c>
      <c r="B29" s="343">
        <v>30471</v>
      </c>
      <c r="C29" s="338">
        <v>31063</v>
      </c>
      <c r="D29" s="343">
        <v>32095</v>
      </c>
      <c r="E29" s="555">
        <v>36673.339999999997</v>
      </c>
      <c r="F29" s="317" t="s">
        <v>115</v>
      </c>
      <c r="H29" s="543">
        <f t="shared" si="1"/>
        <v>30471</v>
      </c>
      <c r="I29" s="543">
        <f t="shared" si="1"/>
        <v>31063</v>
      </c>
      <c r="J29" s="543">
        <f t="shared" si="1"/>
        <v>32095</v>
      </c>
      <c r="K29" s="543">
        <f t="shared" si="1"/>
        <v>36673.339999999997</v>
      </c>
    </row>
    <row r="30" spans="1:11">
      <c r="A30" s="337" t="s">
        <v>118</v>
      </c>
      <c r="B30" s="343">
        <v>145560</v>
      </c>
      <c r="C30" s="338">
        <v>155800</v>
      </c>
      <c r="D30" s="343">
        <v>141516</v>
      </c>
      <c r="E30" s="555">
        <v>143067</v>
      </c>
      <c r="F30" s="317" t="s">
        <v>115</v>
      </c>
      <c r="H30" s="543">
        <f t="shared" si="1"/>
        <v>145560</v>
      </c>
      <c r="I30" s="543">
        <f t="shared" si="1"/>
        <v>155800</v>
      </c>
      <c r="J30" s="543">
        <f t="shared" si="1"/>
        <v>141516</v>
      </c>
      <c r="K30" s="543">
        <f t="shared" si="1"/>
        <v>143067</v>
      </c>
    </row>
    <row r="31" spans="1:11">
      <c r="A31" s="337" t="s">
        <v>119</v>
      </c>
      <c r="B31" s="343">
        <v>18342</v>
      </c>
      <c r="C31" s="338">
        <v>19090</v>
      </c>
      <c r="D31" s="343">
        <v>18878</v>
      </c>
      <c r="E31" s="555">
        <v>18710.25</v>
      </c>
      <c r="F31" s="317" t="s">
        <v>115</v>
      </c>
      <c r="H31" s="543">
        <f t="shared" si="1"/>
        <v>18342</v>
      </c>
      <c r="I31" s="543">
        <f t="shared" si="1"/>
        <v>19090</v>
      </c>
      <c r="J31" s="543">
        <f t="shared" si="1"/>
        <v>18878</v>
      </c>
      <c r="K31" s="543">
        <f t="shared" si="1"/>
        <v>18710.25</v>
      </c>
    </row>
    <row r="32" spans="1:11">
      <c r="A32" s="337" t="s">
        <v>121</v>
      </c>
      <c r="B32" s="343">
        <v>33407</v>
      </c>
      <c r="C32" s="338">
        <v>36937</v>
      </c>
      <c r="D32" s="343">
        <v>37781</v>
      </c>
      <c r="E32" s="555">
        <v>36534.629999999997</v>
      </c>
      <c r="F32" s="317" t="s">
        <v>120</v>
      </c>
      <c r="H32" s="543">
        <f t="shared" si="1"/>
        <v>33407</v>
      </c>
      <c r="I32" s="543">
        <f t="shared" si="1"/>
        <v>36937</v>
      </c>
      <c r="J32" s="543">
        <f t="shared" si="1"/>
        <v>37781</v>
      </c>
      <c r="K32" s="543">
        <f t="shared" si="1"/>
        <v>36534.629999999997</v>
      </c>
    </row>
    <row r="33" spans="1:11">
      <c r="A33" s="337" t="s">
        <v>122</v>
      </c>
      <c r="B33" s="343">
        <v>77225</v>
      </c>
      <c r="C33" s="338">
        <v>74536</v>
      </c>
      <c r="D33" s="343">
        <v>72014</v>
      </c>
      <c r="E33" s="555">
        <v>76614</v>
      </c>
      <c r="F33" s="317" t="s">
        <v>120</v>
      </c>
      <c r="H33" s="543">
        <f t="shared" si="1"/>
        <v>77225</v>
      </c>
      <c r="I33" s="543">
        <f t="shared" si="1"/>
        <v>74536</v>
      </c>
      <c r="J33" s="543">
        <f t="shared" si="1"/>
        <v>72014</v>
      </c>
      <c r="K33" s="543">
        <f t="shared" si="1"/>
        <v>76614</v>
      </c>
    </row>
    <row r="34" spans="1:11">
      <c r="A34" s="337" t="s">
        <v>123</v>
      </c>
      <c r="B34" s="343">
        <v>16508</v>
      </c>
      <c r="C34" s="338">
        <v>17310</v>
      </c>
      <c r="D34" s="343">
        <v>20219</v>
      </c>
      <c r="E34" s="555">
        <v>25268</v>
      </c>
      <c r="F34" s="317" t="s">
        <v>120</v>
      </c>
      <c r="H34" s="543">
        <f t="shared" si="1"/>
        <v>16508</v>
      </c>
      <c r="I34" s="543">
        <f t="shared" si="1"/>
        <v>17310</v>
      </c>
      <c r="J34" s="543">
        <f t="shared" si="1"/>
        <v>20219</v>
      </c>
      <c r="K34" s="543">
        <f t="shared" si="1"/>
        <v>25268</v>
      </c>
    </row>
    <row r="35" spans="1:11">
      <c r="A35" s="337" t="s">
        <v>125</v>
      </c>
      <c r="B35" s="343">
        <v>55888</v>
      </c>
      <c r="C35" s="338">
        <v>60586</v>
      </c>
      <c r="D35" s="343">
        <v>61652</v>
      </c>
      <c r="E35" s="555">
        <v>61710.71</v>
      </c>
      <c r="F35" s="317" t="s">
        <v>124</v>
      </c>
      <c r="H35" s="543">
        <f t="shared" si="1"/>
        <v>55888</v>
      </c>
      <c r="I35" s="543">
        <f t="shared" si="1"/>
        <v>60586</v>
      </c>
      <c r="J35" s="543">
        <f t="shared" si="1"/>
        <v>61652</v>
      </c>
      <c r="K35" s="543">
        <f t="shared" si="1"/>
        <v>61710.71</v>
      </c>
    </row>
    <row r="36" spans="1:11">
      <c r="A36" s="337" t="s">
        <v>126</v>
      </c>
      <c r="B36" s="343">
        <v>15493</v>
      </c>
      <c r="C36" s="338">
        <v>15570</v>
      </c>
      <c r="D36" s="343">
        <v>15538</v>
      </c>
      <c r="E36" s="555">
        <v>15534</v>
      </c>
      <c r="F36" s="317" t="s">
        <v>124</v>
      </c>
      <c r="H36" s="543">
        <f t="shared" si="1"/>
        <v>15493</v>
      </c>
      <c r="I36" s="543">
        <f t="shared" si="1"/>
        <v>15570</v>
      </c>
      <c r="J36" s="543">
        <f t="shared" si="1"/>
        <v>15538</v>
      </c>
      <c r="K36" s="543">
        <f t="shared" si="1"/>
        <v>15534</v>
      </c>
    </row>
    <row r="37" spans="1:11">
      <c r="A37" s="337" t="s">
        <v>127</v>
      </c>
      <c r="B37" s="343">
        <v>34844</v>
      </c>
      <c r="C37" s="338">
        <v>39833</v>
      </c>
      <c r="D37" s="343">
        <v>46573</v>
      </c>
      <c r="E37" s="555">
        <v>46101.396664300002</v>
      </c>
      <c r="F37" s="317" t="s">
        <v>124</v>
      </c>
      <c r="H37" s="543">
        <f t="shared" si="1"/>
        <v>34844</v>
      </c>
      <c r="I37" s="543">
        <f t="shared" si="1"/>
        <v>39833</v>
      </c>
      <c r="J37" s="543">
        <f t="shared" si="1"/>
        <v>46573</v>
      </c>
      <c r="K37" s="543">
        <f t="shared" si="1"/>
        <v>46101.396664300002</v>
      </c>
    </row>
    <row r="38" spans="1:11">
      <c r="A38" s="337" t="s">
        <v>128</v>
      </c>
      <c r="B38" s="343">
        <v>5393</v>
      </c>
      <c r="C38" s="338">
        <v>5390</v>
      </c>
      <c r="D38" s="343">
        <v>5322</v>
      </c>
      <c r="E38" s="555">
        <v>5064</v>
      </c>
      <c r="F38" s="317" t="s">
        <v>124</v>
      </c>
      <c r="H38" s="543">
        <f t="shared" si="1"/>
        <v>5393</v>
      </c>
      <c r="I38" s="543">
        <f t="shared" si="1"/>
        <v>5390</v>
      </c>
      <c r="J38" s="543">
        <f t="shared" si="1"/>
        <v>5322</v>
      </c>
      <c r="K38" s="543">
        <f t="shared" si="1"/>
        <v>5064</v>
      </c>
    </row>
    <row r="39" spans="1:11">
      <c r="A39" s="337" t="s">
        <v>129</v>
      </c>
      <c r="B39" s="343">
        <v>22816</v>
      </c>
      <c r="C39" s="338">
        <v>18141</v>
      </c>
      <c r="D39" s="343">
        <v>18247</v>
      </c>
      <c r="E39" s="555">
        <v>18443</v>
      </c>
      <c r="F39" s="317" t="s">
        <v>124</v>
      </c>
      <c r="H39" s="543">
        <f t="shared" si="1"/>
        <v>22816</v>
      </c>
      <c r="I39" s="543">
        <f t="shared" si="1"/>
        <v>18141</v>
      </c>
      <c r="J39" s="543">
        <f t="shared" si="1"/>
        <v>18247</v>
      </c>
      <c r="K39" s="543">
        <f t="shared" si="1"/>
        <v>18443</v>
      </c>
    </row>
    <row r="40" spans="1:11">
      <c r="A40" s="350" t="s">
        <v>130</v>
      </c>
      <c r="B40" s="352">
        <v>54180</v>
      </c>
      <c r="C40" s="353">
        <v>60519</v>
      </c>
      <c r="D40" s="352">
        <v>63759</v>
      </c>
      <c r="E40" s="558">
        <v>63064.05</v>
      </c>
      <c r="F40" s="328" t="s">
        <v>124</v>
      </c>
      <c r="H40" s="559">
        <f t="shared" si="1"/>
        <v>54180</v>
      </c>
      <c r="I40" s="559">
        <f t="shared" si="1"/>
        <v>60519</v>
      </c>
      <c r="J40" s="559">
        <f t="shared" si="1"/>
        <v>63759</v>
      </c>
      <c r="K40" s="559">
        <f t="shared" si="1"/>
        <v>63064.05</v>
      </c>
    </row>
    <row r="41" spans="1:11" ht="15" thickBot="1">
      <c r="A41" s="354" t="s">
        <v>135</v>
      </c>
      <c r="B41" s="548">
        <f>SUM(B3:B40)</f>
        <v>4283987.6099999994</v>
      </c>
      <c r="C41" s="330">
        <f>SUM(C3:C40)</f>
        <v>4349114</v>
      </c>
      <c r="D41" s="548">
        <f>SUM(D3:D40)</f>
        <v>4473617</v>
      </c>
      <c r="E41" s="330">
        <f>SUM(E3:E40)</f>
        <v>4681948.6436643004</v>
      </c>
      <c r="F41" s="333"/>
      <c r="H41" s="543">
        <f>SUM(H3:H40)</f>
        <v>4198828</v>
      </c>
      <c r="I41" s="543">
        <f t="shared" ref="I41:K41" si="2">SUM(I3:I40)</f>
        <v>4265261</v>
      </c>
      <c r="J41" s="543">
        <f t="shared" si="2"/>
        <v>4403770</v>
      </c>
      <c r="K41" s="543">
        <f t="shared" si="2"/>
        <v>4604366.9336642995</v>
      </c>
    </row>
    <row r="42" spans="1:11">
      <c r="B42" s="258"/>
      <c r="C42" s="228"/>
    </row>
  </sheetData>
  <conditionalFormatting sqref="H3:K40">
    <cfRule type="cellIs" dxfId="0" priority="1" operator="lessThan">
      <formula>0</formula>
    </cfRule>
  </conditionalFormatting>
  <pageMargins left="0.25" right="0.25" top="0.75" bottom="0.75" header="0.3" footer="0.3"/>
  <pageSetup scale="83"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B5515-A521-4ABA-A8CC-EBFD3E6BA9B6}">
  <sheetPr>
    <pageSetUpPr fitToPage="1"/>
  </sheetPr>
  <dimension ref="A1:L42"/>
  <sheetViews>
    <sheetView zoomScale="80" zoomScaleNormal="80" workbookViewId="0"/>
  </sheetViews>
  <sheetFormatPr defaultColWidth="9.28515625" defaultRowHeight="14.25"/>
  <cols>
    <col min="1" max="1" width="46.7109375" style="230" bestFit="1" customWidth="1"/>
    <col min="2" max="4" width="15.7109375" style="257" customWidth="1"/>
    <col min="5" max="5" width="14.5703125" style="230" customWidth="1"/>
    <col min="6" max="6" width="16.28515625" style="230" customWidth="1"/>
    <col min="7" max="7" width="10.7109375" style="230" customWidth="1"/>
    <col min="8" max="10" width="15.7109375" style="257" customWidth="1"/>
    <col min="11" max="11" width="14.5703125" style="230" customWidth="1"/>
    <col min="12" max="12" width="16.28515625" style="230" customWidth="1"/>
    <col min="13" max="16384" width="9.28515625" style="230"/>
  </cols>
  <sheetData>
    <row r="1" spans="1:12" ht="21" thickBot="1">
      <c r="A1" s="370" t="s">
        <v>442</v>
      </c>
      <c r="B1" s="210" t="s">
        <v>194</v>
      </c>
      <c r="C1" s="210" t="s">
        <v>195</v>
      </c>
      <c r="D1" s="210" t="s">
        <v>196</v>
      </c>
      <c r="E1" s="210" t="s">
        <v>197</v>
      </c>
      <c r="H1" s="210" t="s">
        <v>194</v>
      </c>
      <c r="I1" s="210" t="s">
        <v>195</v>
      </c>
      <c r="J1" s="210" t="s">
        <v>196</v>
      </c>
      <c r="K1" s="210" t="s">
        <v>197</v>
      </c>
    </row>
    <row r="2" spans="1:12">
      <c r="A2" s="356" t="s">
        <v>132</v>
      </c>
      <c r="B2" s="357" t="s">
        <v>137</v>
      </c>
      <c r="C2" s="357" t="s">
        <v>137</v>
      </c>
      <c r="D2" s="357" t="s">
        <v>137</v>
      </c>
      <c r="E2" s="560" t="s">
        <v>137</v>
      </c>
      <c r="F2" s="358"/>
      <c r="H2" s="561" t="s">
        <v>137</v>
      </c>
      <c r="I2" s="561" t="s">
        <v>137</v>
      </c>
      <c r="J2" s="561" t="s">
        <v>137</v>
      </c>
      <c r="K2" s="562" t="s">
        <v>137</v>
      </c>
      <c r="L2" s="563"/>
    </row>
    <row r="3" spans="1:12" s="209" customFormat="1">
      <c r="A3" s="313" t="s">
        <v>83</v>
      </c>
      <c r="B3" s="339">
        <v>598768</v>
      </c>
      <c r="C3" s="340">
        <v>634178</v>
      </c>
      <c r="D3" s="339">
        <v>692104</v>
      </c>
      <c r="E3" s="553">
        <v>650766</v>
      </c>
      <c r="F3" s="317" t="s">
        <v>82</v>
      </c>
      <c r="H3" s="339">
        <f>B3</f>
        <v>598768</v>
      </c>
      <c r="I3" s="339">
        <f t="shared" ref="I3:K40" si="0">C3</f>
        <v>634178</v>
      </c>
      <c r="J3" s="339">
        <f t="shared" si="0"/>
        <v>692104</v>
      </c>
      <c r="K3" s="339">
        <f t="shared" si="0"/>
        <v>650766</v>
      </c>
      <c r="L3" s="317" t="s">
        <v>82</v>
      </c>
    </row>
    <row r="4" spans="1:12" s="209" customFormat="1">
      <c r="A4" s="313" t="s">
        <v>84</v>
      </c>
      <c r="B4" s="342">
        <v>46763</v>
      </c>
      <c r="C4" s="341">
        <v>84107</v>
      </c>
      <c r="D4" s="342">
        <v>94333</v>
      </c>
      <c r="E4" s="554">
        <v>91473</v>
      </c>
      <c r="F4" s="317" t="s">
        <v>82</v>
      </c>
      <c r="H4" s="339">
        <f t="shared" ref="H4:H40" si="1">B4</f>
        <v>46763</v>
      </c>
      <c r="I4" s="339">
        <f t="shared" si="0"/>
        <v>84107</v>
      </c>
      <c r="J4" s="339">
        <f t="shared" si="0"/>
        <v>94333</v>
      </c>
      <c r="K4" s="339">
        <f t="shared" si="0"/>
        <v>91473</v>
      </c>
      <c r="L4" s="317" t="s">
        <v>82</v>
      </c>
    </row>
    <row r="5" spans="1:12" s="209" customFormat="1">
      <c r="A5" s="313" t="s">
        <v>85</v>
      </c>
      <c r="B5" s="343">
        <v>384307</v>
      </c>
      <c r="C5" s="338">
        <v>440288</v>
      </c>
      <c r="D5" s="343">
        <v>490148</v>
      </c>
      <c r="E5" s="555">
        <v>522054</v>
      </c>
      <c r="F5" s="317" t="s">
        <v>82</v>
      </c>
      <c r="H5" s="339">
        <f t="shared" si="1"/>
        <v>384307</v>
      </c>
      <c r="I5" s="339">
        <f t="shared" si="0"/>
        <v>440288</v>
      </c>
      <c r="J5" s="339">
        <f t="shared" si="0"/>
        <v>490148</v>
      </c>
      <c r="K5" s="339">
        <f t="shared" si="0"/>
        <v>522054</v>
      </c>
      <c r="L5" s="317" t="s">
        <v>82</v>
      </c>
    </row>
    <row r="6" spans="1:12" s="209" customFormat="1">
      <c r="A6" s="313" t="s">
        <v>86</v>
      </c>
      <c r="B6" s="343">
        <v>550975</v>
      </c>
      <c r="C6" s="338">
        <v>639628</v>
      </c>
      <c r="D6" s="343">
        <v>800372</v>
      </c>
      <c r="E6" s="555">
        <v>745438</v>
      </c>
      <c r="F6" s="317" t="s">
        <v>82</v>
      </c>
      <c r="H6" s="339">
        <f t="shared" si="1"/>
        <v>550975</v>
      </c>
      <c r="I6" s="339">
        <f t="shared" si="0"/>
        <v>639628</v>
      </c>
      <c r="J6" s="339">
        <f t="shared" si="0"/>
        <v>800372</v>
      </c>
      <c r="K6" s="339">
        <f t="shared" si="0"/>
        <v>745438</v>
      </c>
      <c r="L6" s="317" t="s">
        <v>82</v>
      </c>
    </row>
    <row r="7" spans="1:12" s="209" customFormat="1">
      <c r="A7" s="313" t="s">
        <v>87</v>
      </c>
      <c r="B7" s="343">
        <v>129731</v>
      </c>
      <c r="C7" s="338">
        <v>129480</v>
      </c>
      <c r="D7" s="343">
        <v>132943</v>
      </c>
      <c r="E7" s="555">
        <v>126970</v>
      </c>
      <c r="F7" s="317" t="s">
        <v>82</v>
      </c>
      <c r="H7" s="339">
        <f t="shared" si="1"/>
        <v>129731</v>
      </c>
      <c r="I7" s="339">
        <f t="shared" si="0"/>
        <v>129480</v>
      </c>
      <c r="J7" s="339">
        <f t="shared" si="0"/>
        <v>132943</v>
      </c>
      <c r="K7" s="339">
        <f t="shared" si="0"/>
        <v>126970</v>
      </c>
      <c r="L7" s="317" t="s">
        <v>82</v>
      </c>
    </row>
    <row r="8" spans="1:12" s="209" customFormat="1">
      <c r="A8" s="313" t="s">
        <v>89</v>
      </c>
      <c r="B8" s="343">
        <v>1043369</v>
      </c>
      <c r="C8" s="338">
        <v>1184761</v>
      </c>
      <c r="D8" s="343">
        <v>1242786</v>
      </c>
      <c r="E8" s="555">
        <v>1380275</v>
      </c>
      <c r="F8" s="317" t="s">
        <v>88</v>
      </c>
      <c r="H8" s="339">
        <f t="shared" si="1"/>
        <v>1043369</v>
      </c>
      <c r="I8" s="339">
        <f t="shared" si="0"/>
        <v>1184761</v>
      </c>
      <c r="J8" s="339">
        <f t="shared" si="0"/>
        <v>1242786</v>
      </c>
      <c r="K8" s="339">
        <f t="shared" si="0"/>
        <v>1380275</v>
      </c>
      <c r="L8" s="317" t="s">
        <v>88</v>
      </c>
    </row>
    <row r="9" spans="1:12" s="209" customFormat="1">
      <c r="A9" s="313" t="s">
        <v>91</v>
      </c>
      <c r="B9" s="343">
        <v>610784</v>
      </c>
      <c r="C9" s="338">
        <v>598250</v>
      </c>
      <c r="D9" s="343">
        <v>548622</v>
      </c>
      <c r="E9" s="555">
        <v>554895</v>
      </c>
      <c r="F9" s="317" t="s">
        <v>90</v>
      </c>
      <c r="H9" s="339">
        <f t="shared" si="1"/>
        <v>610784</v>
      </c>
      <c r="I9" s="339">
        <f t="shared" si="0"/>
        <v>598250</v>
      </c>
      <c r="J9" s="339">
        <f t="shared" si="0"/>
        <v>548622</v>
      </c>
      <c r="K9" s="339">
        <f t="shared" si="0"/>
        <v>554895</v>
      </c>
      <c r="L9" s="317" t="s">
        <v>90</v>
      </c>
    </row>
    <row r="10" spans="1:12" s="209" customFormat="1">
      <c r="A10" s="313" t="s">
        <v>93</v>
      </c>
      <c r="B10" s="342">
        <v>368836</v>
      </c>
      <c r="C10" s="341">
        <v>415022</v>
      </c>
      <c r="D10" s="342">
        <v>442128</v>
      </c>
      <c r="E10" s="554">
        <v>463883</v>
      </c>
      <c r="F10" s="317" t="s">
        <v>92</v>
      </c>
      <c r="H10" s="339">
        <f t="shared" si="1"/>
        <v>368836</v>
      </c>
      <c r="I10" s="339">
        <f t="shared" si="0"/>
        <v>415022</v>
      </c>
      <c r="J10" s="339">
        <f t="shared" si="0"/>
        <v>442128</v>
      </c>
      <c r="K10" s="339">
        <f t="shared" si="0"/>
        <v>463883</v>
      </c>
      <c r="L10" s="317" t="s">
        <v>92</v>
      </c>
    </row>
    <row r="11" spans="1:12" s="209" customFormat="1">
      <c r="A11" s="313" t="s">
        <v>94</v>
      </c>
      <c r="B11" s="343">
        <v>48608</v>
      </c>
      <c r="C11" s="338">
        <v>52366</v>
      </c>
      <c r="D11" s="343">
        <v>54991</v>
      </c>
      <c r="E11" s="555">
        <v>53914</v>
      </c>
      <c r="F11" s="317" t="s">
        <v>92</v>
      </c>
      <c r="H11" s="339">
        <f t="shared" si="1"/>
        <v>48608</v>
      </c>
      <c r="I11" s="339">
        <f t="shared" si="0"/>
        <v>52366</v>
      </c>
      <c r="J11" s="339">
        <f t="shared" si="0"/>
        <v>54991</v>
      </c>
      <c r="K11" s="339">
        <f t="shared" si="0"/>
        <v>53914</v>
      </c>
      <c r="L11" s="317" t="s">
        <v>92</v>
      </c>
    </row>
    <row r="12" spans="1:12" s="209" customFormat="1">
      <c r="A12" s="313" t="s">
        <v>95</v>
      </c>
      <c r="B12" s="343">
        <v>13836191</v>
      </c>
      <c r="C12" s="338">
        <v>12904187</v>
      </c>
      <c r="D12" s="343">
        <v>13757219</v>
      </c>
      <c r="E12" s="555">
        <v>13608118.7366</v>
      </c>
      <c r="F12" s="317" t="s">
        <v>92</v>
      </c>
      <c r="H12" s="339">
        <f t="shared" si="1"/>
        <v>13836191</v>
      </c>
      <c r="I12" s="339">
        <f t="shared" si="0"/>
        <v>12904187</v>
      </c>
      <c r="J12" s="339">
        <f t="shared" si="0"/>
        <v>13757219</v>
      </c>
      <c r="K12" s="339">
        <f t="shared" si="0"/>
        <v>13608118.7366</v>
      </c>
      <c r="L12" s="317" t="s">
        <v>92</v>
      </c>
    </row>
    <row r="13" spans="1:12" s="209" customFormat="1">
      <c r="A13" s="313" t="s">
        <v>96</v>
      </c>
      <c r="B13" s="343">
        <v>463549</v>
      </c>
      <c r="C13" s="338">
        <v>483018</v>
      </c>
      <c r="D13" s="343">
        <v>510877</v>
      </c>
      <c r="E13" s="555">
        <v>529269</v>
      </c>
      <c r="F13" s="317" t="s">
        <v>92</v>
      </c>
      <c r="H13" s="339">
        <f t="shared" si="1"/>
        <v>463549</v>
      </c>
      <c r="I13" s="339">
        <f t="shared" si="0"/>
        <v>483018</v>
      </c>
      <c r="J13" s="339">
        <f t="shared" si="0"/>
        <v>510877</v>
      </c>
      <c r="K13" s="339">
        <f t="shared" si="0"/>
        <v>529269</v>
      </c>
      <c r="L13" s="317" t="s">
        <v>92</v>
      </c>
    </row>
    <row r="14" spans="1:12" s="209" customFormat="1">
      <c r="A14" s="313" t="s">
        <v>97</v>
      </c>
      <c r="B14" s="343">
        <v>9510</v>
      </c>
      <c r="C14" s="338">
        <v>6777</v>
      </c>
      <c r="D14" s="343">
        <v>4641</v>
      </c>
      <c r="E14" s="555">
        <v>11686</v>
      </c>
      <c r="F14" s="317" t="s">
        <v>92</v>
      </c>
      <c r="H14" s="339">
        <f t="shared" si="1"/>
        <v>9510</v>
      </c>
      <c r="I14" s="339">
        <f t="shared" si="0"/>
        <v>6777</v>
      </c>
      <c r="J14" s="339">
        <f t="shared" si="0"/>
        <v>4641</v>
      </c>
      <c r="K14" s="339">
        <f t="shared" si="0"/>
        <v>11686</v>
      </c>
      <c r="L14" s="317" t="s">
        <v>92</v>
      </c>
    </row>
    <row r="15" spans="1:12" s="209" customFormat="1">
      <c r="A15" s="313" t="s">
        <v>98</v>
      </c>
      <c r="B15" s="343">
        <v>1072707</v>
      </c>
      <c r="C15" s="338">
        <v>1099092</v>
      </c>
      <c r="D15" s="343">
        <v>1099660</v>
      </c>
      <c r="E15" s="555">
        <v>1127856</v>
      </c>
      <c r="F15" s="317" t="s">
        <v>92</v>
      </c>
      <c r="H15" s="339">
        <f t="shared" si="1"/>
        <v>1072707</v>
      </c>
      <c r="I15" s="339">
        <f t="shared" si="0"/>
        <v>1099092</v>
      </c>
      <c r="J15" s="339">
        <f t="shared" si="0"/>
        <v>1099660</v>
      </c>
      <c r="K15" s="339">
        <f t="shared" si="0"/>
        <v>1127856</v>
      </c>
      <c r="L15" s="317" t="s">
        <v>92</v>
      </c>
    </row>
    <row r="16" spans="1:12" s="209" customFormat="1">
      <c r="A16" s="313" t="s">
        <v>100</v>
      </c>
      <c r="B16" s="343">
        <v>561833</v>
      </c>
      <c r="C16" s="338">
        <v>531990</v>
      </c>
      <c r="D16" s="343">
        <v>470807</v>
      </c>
      <c r="E16" s="555">
        <v>565576</v>
      </c>
      <c r="F16" s="317" t="s">
        <v>99</v>
      </c>
      <c r="H16" s="339">
        <f t="shared" si="1"/>
        <v>561833</v>
      </c>
      <c r="I16" s="339">
        <f t="shared" si="0"/>
        <v>531990</v>
      </c>
      <c r="J16" s="339">
        <f t="shared" si="0"/>
        <v>470807</v>
      </c>
      <c r="K16" s="339">
        <f t="shared" si="0"/>
        <v>565576</v>
      </c>
      <c r="L16" s="317" t="s">
        <v>99</v>
      </c>
    </row>
    <row r="17" spans="1:12" s="209" customFormat="1">
      <c r="A17" s="313" t="s">
        <v>101</v>
      </c>
      <c r="B17" s="343">
        <v>188179</v>
      </c>
      <c r="C17" s="338">
        <v>174059</v>
      </c>
      <c r="D17" s="343">
        <v>171222</v>
      </c>
      <c r="E17" s="555">
        <v>168612</v>
      </c>
      <c r="F17" s="317" t="s">
        <v>99</v>
      </c>
      <c r="H17" s="339">
        <f t="shared" si="1"/>
        <v>188179</v>
      </c>
      <c r="I17" s="339">
        <f t="shared" si="0"/>
        <v>174059</v>
      </c>
      <c r="J17" s="339">
        <f t="shared" si="0"/>
        <v>171222</v>
      </c>
      <c r="K17" s="339">
        <f t="shared" si="0"/>
        <v>168612</v>
      </c>
      <c r="L17" s="317" t="s">
        <v>99</v>
      </c>
    </row>
    <row r="18" spans="1:12" s="209" customFormat="1">
      <c r="A18" s="313" t="s">
        <v>102</v>
      </c>
      <c r="B18" s="343">
        <v>1070838</v>
      </c>
      <c r="C18" s="338">
        <v>1073547</v>
      </c>
      <c r="D18" s="343">
        <v>1150861</v>
      </c>
      <c r="E18" s="555">
        <v>1157573.97</v>
      </c>
      <c r="F18" s="317" t="s">
        <v>99</v>
      </c>
      <c r="H18" s="339">
        <f t="shared" si="1"/>
        <v>1070838</v>
      </c>
      <c r="I18" s="339">
        <f t="shared" si="0"/>
        <v>1073547</v>
      </c>
      <c r="J18" s="339">
        <f t="shared" si="0"/>
        <v>1150861</v>
      </c>
      <c r="K18" s="339">
        <f t="shared" si="0"/>
        <v>1157573.97</v>
      </c>
      <c r="L18" s="317" t="s">
        <v>99</v>
      </c>
    </row>
    <row r="19" spans="1:12" s="209" customFormat="1">
      <c r="A19" s="313" t="s">
        <v>103</v>
      </c>
      <c r="B19" s="343">
        <v>49158</v>
      </c>
      <c r="C19" s="338">
        <v>48696</v>
      </c>
      <c r="D19" s="343">
        <v>48742</v>
      </c>
      <c r="E19" s="555">
        <v>50699</v>
      </c>
      <c r="F19" s="317" t="s">
        <v>99</v>
      </c>
      <c r="H19" s="339">
        <f t="shared" si="1"/>
        <v>49158</v>
      </c>
      <c r="I19" s="339">
        <f t="shared" si="0"/>
        <v>48696</v>
      </c>
      <c r="J19" s="339">
        <f t="shared" si="0"/>
        <v>48742</v>
      </c>
      <c r="K19" s="339">
        <f t="shared" si="0"/>
        <v>50699</v>
      </c>
      <c r="L19" s="317" t="s">
        <v>99</v>
      </c>
    </row>
    <row r="20" spans="1:12" s="209" customFormat="1">
      <c r="A20" s="313" t="s">
        <v>105</v>
      </c>
      <c r="B20" s="347">
        <f>1735344+320678.5</f>
        <v>2056022.5</v>
      </c>
      <c r="C20" s="347">
        <f>1820398+427962.5</f>
        <v>2248360.5</v>
      </c>
      <c r="D20" s="347">
        <f>2090076+501367</f>
        <v>2591443</v>
      </c>
      <c r="E20" s="556">
        <f>3306565+587607</f>
        <v>3894172</v>
      </c>
      <c r="F20" s="317" t="s">
        <v>104</v>
      </c>
      <c r="H20" s="564">
        <v>1735344</v>
      </c>
      <c r="I20" s="564">
        <v>1820398</v>
      </c>
      <c r="J20" s="564">
        <v>2090076</v>
      </c>
      <c r="K20" s="564">
        <v>3306565</v>
      </c>
      <c r="L20" s="317" t="s">
        <v>104</v>
      </c>
    </row>
    <row r="21" spans="1:12" s="209" customFormat="1">
      <c r="A21" s="313" t="s">
        <v>106</v>
      </c>
      <c r="B21" s="343">
        <v>1815035</v>
      </c>
      <c r="C21" s="338">
        <v>2083544</v>
      </c>
      <c r="D21" s="343">
        <v>2205880</v>
      </c>
      <c r="E21" s="555">
        <v>2329537</v>
      </c>
      <c r="F21" s="317" t="s">
        <v>104</v>
      </c>
      <c r="H21" s="339">
        <f t="shared" si="1"/>
        <v>1815035</v>
      </c>
      <c r="I21" s="339">
        <f t="shared" si="0"/>
        <v>2083544</v>
      </c>
      <c r="J21" s="339">
        <f t="shared" si="0"/>
        <v>2205880</v>
      </c>
      <c r="K21" s="339">
        <f t="shared" si="0"/>
        <v>2329537</v>
      </c>
      <c r="L21" s="317" t="s">
        <v>104</v>
      </c>
    </row>
    <row r="22" spans="1:12" s="209" customFormat="1">
      <c r="A22" s="313" t="s">
        <v>107</v>
      </c>
      <c r="B22" s="343">
        <v>1902798</v>
      </c>
      <c r="C22" s="338">
        <v>2503129</v>
      </c>
      <c r="D22" s="343">
        <v>3036654</v>
      </c>
      <c r="E22" s="555">
        <v>2865159</v>
      </c>
      <c r="F22" s="317" t="s">
        <v>104</v>
      </c>
      <c r="H22" s="339">
        <f t="shared" si="1"/>
        <v>1902798</v>
      </c>
      <c r="I22" s="339">
        <f t="shared" si="0"/>
        <v>2503129</v>
      </c>
      <c r="J22" s="339">
        <f t="shared" si="0"/>
        <v>3036654</v>
      </c>
      <c r="K22" s="339">
        <f t="shared" si="0"/>
        <v>2865159</v>
      </c>
      <c r="L22" s="317" t="s">
        <v>104</v>
      </c>
    </row>
    <row r="23" spans="1:12" s="209" customFormat="1">
      <c r="A23" s="313" t="s">
        <v>108</v>
      </c>
      <c r="B23" s="343">
        <v>439054</v>
      </c>
      <c r="C23" s="338">
        <v>434291</v>
      </c>
      <c r="D23" s="343">
        <v>439291</v>
      </c>
      <c r="E23" s="555">
        <v>434414</v>
      </c>
      <c r="F23" s="317" t="s">
        <v>104</v>
      </c>
      <c r="H23" s="339">
        <f t="shared" si="1"/>
        <v>439054</v>
      </c>
      <c r="I23" s="339">
        <f t="shared" si="0"/>
        <v>434291</v>
      </c>
      <c r="J23" s="339">
        <f t="shared" si="0"/>
        <v>439291</v>
      </c>
      <c r="K23" s="339">
        <f t="shared" si="0"/>
        <v>434414</v>
      </c>
      <c r="L23" s="317" t="s">
        <v>104</v>
      </c>
    </row>
    <row r="24" spans="1:12" s="209" customFormat="1">
      <c r="A24" s="313" t="s">
        <v>109</v>
      </c>
      <c r="B24" s="347">
        <f>9967405+70604</f>
        <v>10038009</v>
      </c>
      <c r="C24" s="347">
        <f>10856360+85445</f>
        <v>10941805</v>
      </c>
      <c r="D24" s="343">
        <v>11068404</v>
      </c>
      <c r="E24" s="555">
        <v>10820543.213</v>
      </c>
      <c r="F24" s="317" t="s">
        <v>104</v>
      </c>
      <c r="H24" s="564">
        <v>9967405</v>
      </c>
      <c r="I24" s="564">
        <v>10856360</v>
      </c>
      <c r="J24" s="339">
        <f t="shared" si="0"/>
        <v>11068404</v>
      </c>
      <c r="K24" s="339">
        <f t="shared" si="0"/>
        <v>10820543.213</v>
      </c>
      <c r="L24" s="317" t="s">
        <v>104</v>
      </c>
    </row>
    <row r="25" spans="1:12" s="209" customFormat="1">
      <c r="A25" s="313" t="s">
        <v>111</v>
      </c>
      <c r="B25" s="347">
        <f>3198061+(3198061*0.58)</f>
        <v>5052936.38</v>
      </c>
      <c r="C25" s="347">
        <f>3292747+1905553</f>
        <v>5198300</v>
      </c>
      <c r="D25" s="347">
        <f>3127398+1784701</f>
        <v>4912099</v>
      </c>
      <c r="E25" s="556">
        <f>3747819.65+1922948</f>
        <v>5670767.6500000004</v>
      </c>
      <c r="F25" s="317" t="s">
        <v>104</v>
      </c>
      <c r="H25" s="564">
        <v>3198061</v>
      </c>
      <c r="I25" s="564">
        <v>3292747</v>
      </c>
      <c r="J25" s="564">
        <v>3127398</v>
      </c>
      <c r="K25" s="564">
        <v>3747819.65</v>
      </c>
      <c r="L25" s="317" t="s">
        <v>104</v>
      </c>
    </row>
    <row r="26" spans="1:12" s="209" customFormat="1">
      <c r="A26" s="313" t="s">
        <v>113</v>
      </c>
      <c r="B26" s="343">
        <v>549049</v>
      </c>
      <c r="C26" s="338">
        <v>554292</v>
      </c>
      <c r="D26" s="343">
        <v>553318</v>
      </c>
      <c r="E26" s="555">
        <v>539337</v>
      </c>
      <c r="F26" s="317" t="s">
        <v>112</v>
      </c>
      <c r="H26" s="339">
        <f t="shared" si="1"/>
        <v>549049</v>
      </c>
      <c r="I26" s="339">
        <f t="shared" si="0"/>
        <v>554292</v>
      </c>
      <c r="J26" s="339">
        <f t="shared" si="0"/>
        <v>553318</v>
      </c>
      <c r="K26" s="339">
        <f t="shared" si="0"/>
        <v>539337</v>
      </c>
      <c r="L26" s="317" t="s">
        <v>112</v>
      </c>
    </row>
    <row r="27" spans="1:12" s="209" customFormat="1">
      <c r="A27" s="313" t="s">
        <v>114</v>
      </c>
      <c r="B27" s="343">
        <v>7290100</v>
      </c>
      <c r="C27" s="338">
        <v>7359404</v>
      </c>
      <c r="D27" s="349">
        <f>6987882+34410</f>
        <v>7022292</v>
      </c>
      <c r="E27" s="556">
        <f>7664912+60554.06</f>
        <v>7725466.0599999996</v>
      </c>
      <c r="F27" s="317" t="s">
        <v>112</v>
      </c>
      <c r="H27" s="339">
        <f t="shared" si="1"/>
        <v>7290100</v>
      </c>
      <c r="I27" s="339">
        <f t="shared" si="0"/>
        <v>7359404</v>
      </c>
      <c r="J27" s="564">
        <v>6987882</v>
      </c>
      <c r="K27" s="564">
        <v>7664912</v>
      </c>
      <c r="L27" s="317" t="s">
        <v>112</v>
      </c>
    </row>
    <row r="28" spans="1:12" s="209" customFormat="1">
      <c r="A28" s="313" t="s">
        <v>116</v>
      </c>
      <c r="B28" s="343">
        <v>1082589</v>
      </c>
      <c r="C28" s="338">
        <v>1050017</v>
      </c>
      <c r="D28" s="343">
        <v>970481</v>
      </c>
      <c r="E28" s="555">
        <v>1022384</v>
      </c>
      <c r="F28" s="317" t="s">
        <v>115</v>
      </c>
      <c r="H28" s="339">
        <f t="shared" si="1"/>
        <v>1082589</v>
      </c>
      <c r="I28" s="339">
        <f t="shared" si="0"/>
        <v>1050017</v>
      </c>
      <c r="J28" s="339">
        <f t="shared" si="0"/>
        <v>970481</v>
      </c>
      <c r="K28" s="339">
        <f t="shared" si="0"/>
        <v>1022384</v>
      </c>
      <c r="L28" s="317" t="s">
        <v>115</v>
      </c>
    </row>
    <row r="29" spans="1:12" s="209" customFormat="1">
      <c r="A29" s="313" t="s">
        <v>117</v>
      </c>
      <c r="B29" s="343">
        <v>350787</v>
      </c>
      <c r="C29" s="338">
        <v>373643</v>
      </c>
      <c r="D29" s="343">
        <v>388317</v>
      </c>
      <c r="E29" s="555">
        <v>438033</v>
      </c>
      <c r="F29" s="317" t="s">
        <v>115</v>
      </c>
      <c r="H29" s="339">
        <f t="shared" si="1"/>
        <v>350787</v>
      </c>
      <c r="I29" s="339">
        <f t="shared" si="0"/>
        <v>373643</v>
      </c>
      <c r="J29" s="339">
        <f t="shared" si="0"/>
        <v>388317</v>
      </c>
      <c r="K29" s="339">
        <f t="shared" si="0"/>
        <v>438033</v>
      </c>
      <c r="L29" s="317" t="s">
        <v>115</v>
      </c>
    </row>
    <row r="30" spans="1:12" s="209" customFormat="1">
      <c r="A30" s="313" t="s">
        <v>118</v>
      </c>
      <c r="B30" s="343">
        <v>2537776</v>
      </c>
      <c r="C30" s="338">
        <v>2582667</v>
      </c>
      <c r="D30" s="343">
        <v>2266478</v>
      </c>
      <c r="E30" s="555">
        <v>2359994</v>
      </c>
      <c r="F30" s="317" t="s">
        <v>115</v>
      </c>
      <c r="H30" s="339">
        <f t="shared" si="1"/>
        <v>2537776</v>
      </c>
      <c r="I30" s="339">
        <f t="shared" si="0"/>
        <v>2582667</v>
      </c>
      <c r="J30" s="339">
        <f t="shared" si="0"/>
        <v>2266478</v>
      </c>
      <c r="K30" s="339">
        <f t="shared" si="0"/>
        <v>2359994</v>
      </c>
      <c r="L30" s="317" t="s">
        <v>115</v>
      </c>
    </row>
    <row r="31" spans="1:12" s="209" customFormat="1">
      <c r="A31" s="313" t="s">
        <v>119</v>
      </c>
      <c r="B31" s="343">
        <v>211357</v>
      </c>
      <c r="C31" s="338">
        <v>220116</v>
      </c>
      <c r="D31" s="343">
        <v>227896</v>
      </c>
      <c r="E31" s="555">
        <v>231250</v>
      </c>
      <c r="F31" s="317" t="s">
        <v>115</v>
      </c>
      <c r="H31" s="339">
        <f t="shared" si="1"/>
        <v>211357</v>
      </c>
      <c r="I31" s="339">
        <f t="shared" si="0"/>
        <v>220116</v>
      </c>
      <c r="J31" s="339">
        <f t="shared" si="0"/>
        <v>227896</v>
      </c>
      <c r="K31" s="339">
        <f t="shared" si="0"/>
        <v>231250</v>
      </c>
      <c r="L31" s="317" t="s">
        <v>115</v>
      </c>
    </row>
    <row r="32" spans="1:12" s="209" customFormat="1">
      <c r="A32" s="313" t="s">
        <v>121</v>
      </c>
      <c r="B32" s="343">
        <v>604900</v>
      </c>
      <c r="C32" s="338">
        <v>710177</v>
      </c>
      <c r="D32" s="343">
        <v>740596</v>
      </c>
      <c r="E32" s="555">
        <v>705618.94</v>
      </c>
      <c r="F32" s="317" t="s">
        <v>120</v>
      </c>
      <c r="H32" s="339">
        <f t="shared" si="1"/>
        <v>604900</v>
      </c>
      <c r="I32" s="339">
        <f t="shared" si="0"/>
        <v>710177</v>
      </c>
      <c r="J32" s="339">
        <f t="shared" si="0"/>
        <v>740596</v>
      </c>
      <c r="K32" s="339">
        <f t="shared" si="0"/>
        <v>705618.94</v>
      </c>
      <c r="L32" s="317" t="s">
        <v>120</v>
      </c>
    </row>
    <row r="33" spans="1:12" s="209" customFormat="1">
      <c r="A33" s="313" t="s">
        <v>122</v>
      </c>
      <c r="B33" s="343">
        <v>752668</v>
      </c>
      <c r="C33" s="338">
        <v>753636</v>
      </c>
      <c r="D33" s="343">
        <v>723645</v>
      </c>
      <c r="E33" s="555">
        <v>768657</v>
      </c>
      <c r="F33" s="317" t="s">
        <v>120</v>
      </c>
      <c r="H33" s="339">
        <f t="shared" si="1"/>
        <v>752668</v>
      </c>
      <c r="I33" s="339">
        <f t="shared" si="0"/>
        <v>753636</v>
      </c>
      <c r="J33" s="339">
        <f t="shared" si="0"/>
        <v>723645</v>
      </c>
      <c r="K33" s="339">
        <f t="shared" si="0"/>
        <v>768657</v>
      </c>
      <c r="L33" s="317" t="s">
        <v>120</v>
      </c>
    </row>
    <row r="34" spans="1:12" s="209" customFormat="1">
      <c r="A34" s="313" t="s">
        <v>123</v>
      </c>
      <c r="B34" s="343">
        <v>175322</v>
      </c>
      <c r="C34" s="338">
        <v>185237</v>
      </c>
      <c r="D34" s="343">
        <v>226791</v>
      </c>
      <c r="E34" s="555">
        <v>331246</v>
      </c>
      <c r="F34" s="317" t="s">
        <v>120</v>
      </c>
      <c r="H34" s="339">
        <f t="shared" si="1"/>
        <v>175322</v>
      </c>
      <c r="I34" s="339">
        <f t="shared" si="0"/>
        <v>185237</v>
      </c>
      <c r="J34" s="339">
        <f t="shared" si="0"/>
        <v>226791</v>
      </c>
      <c r="K34" s="339">
        <f t="shared" si="0"/>
        <v>331246</v>
      </c>
      <c r="L34" s="317" t="s">
        <v>120</v>
      </c>
    </row>
    <row r="35" spans="1:12" s="209" customFormat="1">
      <c r="A35" s="313" t="s">
        <v>125</v>
      </c>
      <c r="B35" s="343">
        <v>1280697</v>
      </c>
      <c r="C35" s="338">
        <v>1402170</v>
      </c>
      <c r="D35" s="343">
        <v>1393044</v>
      </c>
      <c r="E35" s="555">
        <v>1392527</v>
      </c>
      <c r="F35" s="317" t="s">
        <v>124</v>
      </c>
      <c r="H35" s="339">
        <f t="shared" si="1"/>
        <v>1280697</v>
      </c>
      <c r="I35" s="339">
        <f t="shared" si="0"/>
        <v>1402170</v>
      </c>
      <c r="J35" s="339">
        <f t="shared" si="0"/>
        <v>1393044</v>
      </c>
      <c r="K35" s="339">
        <f t="shared" si="0"/>
        <v>1392527</v>
      </c>
      <c r="L35" s="317" t="s">
        <v>124</v>
      </c>
    </row>
    <row r="36" spans="1:12" s="209" customFormat="1">
      <c r="A36" s="313" t="s">
        <v>126</v>
      </c>
      <c r="B36" s="343">
        <v>410050</v>
      </c>
      <c r="C36" s="338">
        <v>414537</v>
      </c>
      <c r="D36" s="343">
        <v>418259</v>
      </c>
      <c r="E36" s="555">
        <v>413556</v>
      </c>
      <c r="F36" s="317" t="s">
        <v>124</v>
      </c>
      <c r="H36" s="339">
        <f t="shared" si="1"/>
        <v>410050</v>
      </c>
      <c r="I36" s="339">
        <f t="shared" si="0"/>
        <v>414537</v>
      </c>
      <c r="J36" s="339">
        <f t="shared" si="0"/>
        <v>418259</v>
      </c>
      <c r="K36" s="339">
        <f t="shared" si="0"/>
        <v>413556</v>
      </c>
      <c r="L36" s="317" t="s">
        <v>124</v>
      </c>
    </row>
    <row r="37" spans="1:12" s="209" customFormat="1">
      <c r="A37" s="313" t="s">
        <v>127</v>
      </c>
      <c r="B37" s="343">
        <v>723952</v>
      </c>
      <c r="C37" s="338">
        <v>813639</v>
      </c>
      <c r="D37" s="343">
        <v>941674</v>
      </c>
      <c r="E37" s="555">
        <v>906466.02099999995</v>
      </c>
      <c r="F37" s="317" t="s">
        <v>124</v>
      </c>
      <c r="H37" s="339">
        <f t="shared" si="1"/>
        <v>723952</v>
      </c>
      <c r="I37" s="339">
        <f t="shared" si="0"/>
        <v>813639</v>
      </c>
      <c r="J37" s="339">
        <f t="shared" si="0"/>
        <v>941674</v>
      </c>
      <c r="K37" s="339">
        <f t="shared" si="0"/>
        <v>906466.02099999995</v>
      </c>
      <c r="L37" s="317" t="s">
        <v>124</v>
      </c>
    </row>
    <row r="38" spans="1:12" s="209" customFormat="1">
      <c r="A38" s="313" t="s">
        <v>128</v>
      </c>
      <c r="B38" s="343">
        <v>52022</v>
      </c>
      <c r="C38" s="338">
        <v>55690</v>
      </c>
      <c r="D38" s="343">
        <v>60529</v>
      </c>
      <c r="E38" s="555">
        <v>59926</v>
      </c>
      <c r="F38" s="317" t="s">
        <v>124</v>
      </c>
      <c r="H38" s="339">
        <f t="shared" si="1"/>
        <v>52022</v>
      </c>
      <c r="I38" s="339">
        <f t="shared" si="0"/>
        <v>55690</v>
      </c>
      <c r="J38" s="339">
        <f t="shared" si="0"/>
        <v>60529</v>
      </c>
      <c r="K38" s="339">
        <f t="shared" si="0"/>
        <v>59926</v>
      </c>
      <c r="L38" s="317" t="s">
        <v>124</v>
      </c>
    </row>
    <row r="39" spans="1:12" s="209" customFormat="1">
      <c r="A39" s="313" t="s">
        <v>129</v>
      </c>
      <c r="B39" s="343">
        <v>354203</v>
      </c>
      <c r="C39" s="338">
        <v>310870</v>
      </c>
      <c r="D39" s="343">
        <v>313578</v>
      </c>
      <c r="E39" s="555">
        <v>310461</v>
      </c>
      <c r="F39" s="317" t="s">
        <v>124</v>
      </c>
      <c r="H39" s="339">
        <f t="shared" si="1"/>
        <v>354203</v>
      </c>
      <c r="I39" s="339">
        <f t="shared" si="0"/>
        <v>310870</v>
      </c>
      <c r="J39" s="339">
        <f t="shared" si="0"/>
        <v>313578</v>
      </c>
      <c r="K39" s="339">
        <f t="shared" si="0"/>
        <v>310461</v>
      </c>
      <c r="L39" s="317" t="s">
        <v>124</v>
      </c>
    </row>
    <row r="40" spans="1:12" s="209" customFormat="1">
      <c r="A40" s="324" t="s">
        <v>130</v>
      </c>
      <c r="B40" s="352">
        <v>835707</v>
      </c>
      <c r="C40" s="353">
        <v>935668</v>
      </c>
      <c r="D40" s="352">
        <v>994681</v>
      </c>
      <c r="E40" s="558">
        <v>985112</v>
      </c>
      <c r="F40" s="328" t="s">
        <v>124</v>
      </c>
      <c r="H40" s="339">
        <f t="shared" si="1"/>
        <v>835707</v>
      </c>
      <c r="I40" s="339">
        <f t="shared" si="0"/>
        <v>935668</v>
      </c>
      <c r="J40" s="339">
        <f t="shared" si="0"/>
        <v>994681</v>
      </c>
      <c r="K40" s="339">
        <f t="shared" si="0"/>
        <v>985112</v>
      </c>
      <c r="L40" s="328" t="s">
        <v>124</v>
      </c>
    </row>
    <row r="41" spans="1:12" ht="15" thickBot="1">
      <c r="A41" s="354" t="s">
        <v>135</v>
      </c>
      <c r="B41" s="548">
        <f>SUM(B3:B40)</f>
        <v>59549139.880000003</v>
      </c>
      <c r="C41" s="330">
        <f>SUM(C3:C40)</f>
        <v>61630638.5</v>
      </c>
      <c r="D41" s="548">
        <f>SUM(D3:D40)</f>
        <v>63207806</v>
      </c>
      <c r="E41" s="330">
        <f>SUM(E3:E40)</f>
        <v>66013685.590599991</v>
      </c>
      <c r="F41" s="360"/>
      <c r="H41" s="548">
        <f>SUM(H3:H40)</f>
        <v>57302982</v>
      </c>
      <c r="I41" s="330">
        <f>SUM(I3:I40)</f>
        <v>59211678</v>
      </c>
      <c r="J41" s="548">
        <f>SUM(J3:J40)</f>
        <v>60887328</v>
      </c>
      <c r="K41" s="330">
        <f>SUM(K3:K40)</f>
        <v>63442576.530599989</v>
      </c>
      <c r="L41" s="360"/>
    </row>
    <row r="42" spans="1:12">
      <c r="B42" s="258"/>
      <c r="C42" s="228"/>
      <c r="H42" s="258"/>
      <c r="I42" s="228"/>
    </row>
  </sheetData>
  <pageMargins left="0.25" right="0.25" top="0.75" bottom="0.75" header="0.3" footer="0.3"/>
  <pageSetup scale="83"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8B9EA-C852-491A-B99D-2F7FFFFC6A3F}">
  <sheetPr>
    <pageSetUpPr fitToPage="1"/>
  </sheetPr>
  <dimension ref="A1:C41"/>
  <sheetViews>
    <sheetView zoomScale="80" zoomScaleNormal="80" workbookViewId="0"/>
  </sheetViews>
  <sheetFormatPr defaultColWidth="9.28515625" defaultRowHeight="14.25"/>
  <cols>
    <col min="1" max="1" width="46.7109375" style="230" bestFit="1" customWidth="1"/>
    <col min="2" max="2" width="17.42578125" style="230" customWidth="1"/>
    <col min="3" max="3" width="15.28515625" style="230" customWidth="1"/>
    <col min="4" max="16384" width="9.28515625" style="230"/>
  </cols>
  <sheetData>
    <row r="1" spans="1:3" ht="20.25">
      <c r="A1" s="370" t="s">
        <v>443</v>
      </c>
      <c r="B1" s="231" t="s">
        <v>197</v>
      </c>
    </row>
    <row r="2" spans="1:3">
      <c r="A2" s="236" t="s">
        <v>132</v>
      </c>
      <c r="B2" s="265" t="s">
        <v>139</v>
      </c>
    </row>
    <row r="3" spans="1:3" ht="15">
      <c r="A3" s="266" t="s">
        <v>83</v>
      </c>
      <c r="B3" s="361">
        <v>2553471</v>
      </c>
      <c r="C3" s="217" t="s">
        <v>82</v>
      </c>
    </row>
    <row r="4" spans="1:3" ht="15">
      <c r="A4" s="266" t="s">
        <v>84</v>
      </c>
      <c r="B4" s="565">
        <v>361548</v>
      </c>
      <c r="C4" s="217" t="s">
        <v>82</v>
      </c>
    </row>
    <row r="5" spans="1:3" ht="15">
      <c r="A5" s="266" t="s">
        <v>85</v>
      </c>
      <c r="B5" s="566">
        <v>2998198</v>
      </c>
      <c r="C5" s="217" t="s">
        <v>82</v>
      </c>
    </row>
    <row r="6" spans="1:3" ht="15">
      <c r="A6" s="266" t="s">
        <v>86</v>
      </c>
      <c r="B6" s="361">
        <v>2083701</v>
      </c>
      <c r="C6" s="217" t="s">
        <v>82</v>
      </c>
    </row>
    <row r="7" spans="1:3" ht="15">
      <c r="A7" s="266" t="s">
        <v>87</v>
      </c>
      <c r="B7" s="361">
        <v>447645</v>
      </c>
      <c r="C7" s="217" t="s">
        <v>82</v>
      </c>
    </row>
    <row r="8" spans="1:3" ht="15">
      <c r="A8" s="266" t="s">
        <v>89</v>
      </c>
      <c r="B8" s="361">
        <v>14466572</v>
      </c>
      <c r="C8" s="217" t="s">
        <v>88</v>
      </c>
    </row>
    <row r="9" spans="1:3" ht="15">
      <c r="A9" s="266" t="s">
        <v>91</v>
      </c>
      <c r="B9" s="361">
        <v>5072179</v>
      </c>
      <c r="C9" s="217" t="s">
        <v>90</v>
      </c>
    </row>
    <row r="10" spans="1:3" ht="15">
      <c r="A10" s="266" t="s">
        <v>93</v>
      </c>
      <c r="B10" s="361">
        <v>2126888</v>
      </c>
      <c r="C10" s="217" t="s">
        <v>92</v>
      </c>
    </row>
    <row r="11" spans="1:3" ht="15">
      <c r="A11" s="266" t="s">
        <v>94</v>
      </c>
      <c r="B11" s="361">
        <v>225862</v>
      </c>
      <c r="C11" s="217" t="s">
        <v>92</v>
      </c>
    </row>
    <row r="12" spans="1:3" ht="15">
      <c r="A12" s="266" t="s">
        <v>95</v>
      </c>
      <c r="B12" s="361">
        <v>129210017</v>
      </c>
      <c r="C12" s="217" t="s">
        <v>92</v>
      </c>
    </row>
    <row r="13" spans="1:3" ht="15">
      <c r="A13" s="266" t="s">
        <v>96</v>
      </c>
      <c r="B13" s="361">
        <v>1304126</v>
      </c>
      <c r="C13" s="217" t="s">
        <v>92</v>
      </c>
    </row>
    <row r="14" spans="1:3" ht="15">
      <c r="A14" s="266" t="s">
        <v>97</v>
      </c>
      <c r="B14" s="361">
        <v>69734</v>
      </c>
      <c r="C14" s="217" t="s">
        <v>92</v>
      </c>
    </row>
    <row r="15" spans="1:3" ht="15">
      <c r="A15" s="266" t="s">
        <v>98</v>
      </c>
      <c r="B15" s="361">
        <f>6690672+1079205</f>
        <v>7769877</v>
      </c>
      <c r="C15" s="217" t="s">
        <v>92</v>
      </c>
    </row>
    <row r="16" spans="1:3" ht="15">
      <c r="A16" s="266" t="s">
        <v>100</v>
      </c>
      <c r="B16" s="361">
        <v>4067447</v>
      </c>
      <c r="C16" s="217" t="s">
        <v>99</v>
      </c>
    </row>
    <row r="17" spans="1:3" ht="15">
      <c r="A17" s="266" t="s">
        <v>101</v>
      </c>
      <c r="B17" s="565">
        <v>698366</v>
      </c>
      <c r="C17" s="217" t="s">
        <v>99</v>
      </c>
    </row>
    <row r="18" spans="1:3" ht="15">
      <c r="A18" s="266" t="s">
        <v>102</v>
      </c>
      <c r="B18" s="361">
        <v>8378754</v>
      </c>
      <c r="C18" s="217" t="s">
        <v>99</v>
      </c>
    </row>
    <row r="19" spans="1:3" ht="15">
      <c r="A19" s="266" t="s">
        <v>103</v>
      </c>
      <c r="B19" s="565">
        <v>165710</v>
      </c>
      <c r="C19" s="217" t="s">
        <v>99</v>
      </c>
    </row>
    <row r="20" spans="1:3" ht="15">
      <c r="A20" s="266" t="s">
        <v>105</v>
      </c>
      <c r="B20" s="565">
        <v>25291520</v>
      </c>
      <c r="C20" s="217" t="s">
        <v>104</v>
      </c>
    </row>
    <row r="21" spans="1:3" ht="15">
      <c r="A21" s="266" t="s">
        <v>106</v>
      </c>
      <c r="B21" s="566">
        <v>28281032</v>
      </c>
      <c r="C21" s="217" t="s">
        <v>104</v>
      </c>
    </row>
    <row r="22" spans="1:3" ht="15">
      <c r="A22" s="266" t="s">
        <v>107</v>
      </c>
      <c r="B22" s="566">
        <v>35845053</v>
      </c>
      <c r="C22" s="217" t="s">
        <v>104</v>
      </c>
    </row>
    <row r="23" spans="1:3" ht="15">
      <c r="A23" s="266" t="s">
        <v>108</v>
      </c>
      <c r="B23" s="566">
        <v>5453602</v>
      </c>
      <c r="C23" s="217" t="s">
        <v>104</v>
      </c>
    </row>
    <row r="24" spans="1:3" ht="15">
      <c r="A24" s="266" t="s">
        <v>109</v>
      </c>
      <c r="B24" s="361">
        <v>110780790</v>
      </c>
      <c r="C24" s="217" t="s">
        <v>104</v>
      </c>
    </row>
    <row r="25" spans="1:3" ht="15">
      <c r="A25" s="266" t="s">
        <v>111</v>
      </c>
      <c r="B25" s="361">
        <v>43121644</v>
      </c>
      <c r="C25" s="217" t="s">
        <v>104</v>
      </c>
    </row>
    <row r="26" spans="1:3" ht="15">
      <c r="A26" s="266" t="s">
        <v>113</v>
      </c>
      <c r="B26" s="565">
        <v>3929042</v>
      </c>
      <c r="C26" s="217" t="s">
        <v>112</v>
      </c>
    </row>
    <row r="27" spans="1:3" ht="15">
      <c r="A27" s="266" t="s">
        <v>114</v>
      </c>
      <c r="B27" s="361">
        <v>74193463</v>
      </c>
      <c r="C27" s="217" t="s">
        <v>112</v>
      </c>
    </row>
    <row r="28" spans="1:3" ht="15">
      <c r="A28" s="266" t="s">
        <v>116</v>
      </c>
      <c r="B28" s="361">
        <v>12808994</v>
      </c>
      <c r="C28" s="217" t="s">
        <v>115</v>
      </c>
    </row>
    <row r="29" spans="1:3" ht="15">
      <c r="A29" s="266" t="s">
        <v>117</v>
      </c>
      <c r="B29" s="361">
        <v>2846110</v>
      </c>
      <c r="C29" s="217" t="s">
        <v>115</v>
      </c>
    </row>
    <row r="30" spans="1:3" ht="15">
      <c r="A30" s="266" t="s">
        <v>118</v>
      </c>
      <c r="B30" s="361">
        <f>12792202+1465494</f>
        <v>14257696</v>
      </c>
      <c r="C30" s="217" t="s">
        <v>115</v>
      </c>
    </row>
    <row r="31" spans="1:3" ht="15">
      <c r="A31" s="266" t="s">
        <v>119</v>
      </c>
      <c r="B31" s="565">
        <v>744369</v>
      </c>
      <c r="C31" s="217" t="s">
        <v>115</v>
      </c>
    </row>
    <row r="32" spans="1:3" ht="15">
      <c r="A32" s="266" t="s">
        <v>121</v>
      </c>
      <c r="B32" s="361">
        <f>1083752+1344717</f>
        <v>2428469</v>
      </c>
      <c r="C32" s="217" t="s">
        <v>120</v>
      </c>
    </row>
    <row r="33" spans="1:3" ht="15">
      <c r="A33" s="266" t="s">
        <v>122</v>
      </c>
      <c r="B33" s="361">
        <v>7144704</v>
      </c>
      <c r="C33" s="217" t="s">
        <v>120</v>
      </c>
    </row>
    <row r="34" spans="1:3" ht="15">
      <c r="A34" s="266" t="s">
        <v>123</v>
      </c>
      <c r="B34" s="361">
        <v>2376491</v>
      </c>
      <c r="C34" s="217" t="s">
        <v>120</v>
      </c>
    </row>
    <row r="35" spans="1:3" ht="15">
      <c r="A35" s="266" t="s">
        <v>125</v>
      </c>
      <c r="B35" s="361">
        <v>5173162</v>
      </c>
      <c r="C35" s="217" t="s">
        <v>124</v>
      </c>
    </row>
    <row r="36" spans="1:3" ht="15">
      <c r="A36" s="266" t="s">
        <v>126</v>
      </c>
      <c r="B36" s="565">
        <v>604843</v>
      </c>
      <c r="C36" s="217" t="s">
        <v>124</v>
      </c>
    </row>
    <row r="37" spans="1:3" ht="15">
      <c r="A37" s="266" t="s">
        <v>127</v>
      </c>
      <c r="B37" s="361">
        <v>4844103</v>
      </c>
      <c r="C37" s="217" t="s">
        <v>124</v>
      </c>
    </row>
    <row r="38" spans="1:3" ht="15">
      <c r="A38" s="266" t="s">
        <v>128</v>
      </c>
      <c r="B38" s="361">
        <v>457239</v>
      </c>
      <c r="C38" s="217" t="s">
        <v>124</v>
      </c>
    </row>
    <row r="39" spans="1:3" ht="15">
      <c r="A39" s="266" t="s">
        <v>129</v>
      </c>
      <c r="B39" s="565">
        <v>1214573</v>
      </c>
      <c r="C39" s="217" t="s">
        <v>124</v>
      </c>
    </row>
    <row r="40" spans="1:3" ht="15">
      <c r="A40" s="266" t="s">
        <v>130</v>
      </c>
      <c r="B40" s="361">
        <v>4861903</v>
      </c>
      <c r="C40" s="217" t="s">
        <v>124</v>
      </c>
    </row>
    <row r="41" spans="1:3">
      <c r="A41" s="270" t="s">
        <v>135</v>
      </c>
      <c r="B41" s="365">
        <f>SUM(B3:B40)</f>
        <v>568658897</v>
      </c>
      <c r="C41" s="272"/>
    </row>
  </sheetData>
  <pageMargins left="0.25" right="0.25" top="0.75" bottom="0.75" header="0.3" footer="0.3"/>
  <pageSetup scale="3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6A36C-C31C-43FB-A702-3D2587D05110}">
  <sheetPr>
    <pageSetUpPr fitToPage="1"/>
  </sheetPr>
  <dimension ref="A1:J42"/>
  <sheetViews>
    <sheetView zoomScale="80" zoomScaleNormal="80" workbookViewId="0"/>
  </sheetViews>
  <sheetFormatPr defaultColWidth="9.28515625" defaultRowHeight="14.25"/>
  <cols>
    <col min="1" max="1" width="46.7109375" style="230" bestFit="1" customWidth="1"/>
    <col min="2" max="4" width="16.7109375" style="257" customWidth="1"/>
    <col min="5" max="5" width="16.7109375" style="230" customWidth="1"/>
    <col min="6" max="6" width="16.28515625" style="230" customWidth="1"/>
    <col min="7" max="16384" width="9.28515625" style="230"/>
  </cols>
  <sheetData>
    <row r="1" spans="1:6" ht="20.25">
      <c r="A1" s="370" t="s">
        <v>444</v>
      </c>
      <c r="B1" s="210" t="s">
        <v>194</v>
      </c>
      <c r="C1" s="210" t="s">
        <v>195</v>
      </c>
      <c r="D1" s="210" t="s">
        <v>196</v>
      </c>
      <c r="E1" s="210" t="s">
        <v>197</v>
      </c>
    </row>
    <row r="2" spans="1:6" ht="30" customHeight="1">
      <c r="A2" s="252" t="s">
        <v>132</v>
      </c>
      <c r="B2" s="567" t="s">
        <v>141</v>
      </c>
      <c r="C2" s="567" t="s">
        <v>141</v>
      </c>
      <c r="D2" s="567" t="s">
        <v>141</v>
      </c>
      <c r="E2" s="567" t="s">
        <v>141</v>
      </c>
    </row>
    <row r="3" spans="1:6" ht="15">
      <c r="A3" s="236" t="s">
        <v>83</v>
      </c>
      <c r="B3" s="275">
        <v>1885201</v>
      </c>
      <c r="C3" s="276">
        <v>2305461</v>
      </c>
      <c r="D3" s="366">
        <v>2499963</v>
      </c>
      <c r="E3" s="367">
        <v>2553471</v>
      </c>
      <c r="F3" s="217" t="s">
        <v>82</v>
      </c>
    </row>
    <row r="4" spans="1:6" ht="15">
      <c r="A4" s="236" t="s">
        <v>84</v>
      </c>
      <c r="B4" s="275">
        <v>420143</v>
      </c>
      <c r="C4" s="276">
        <v>453078</v>
      </c>
      <c r="D4" s="366">
        <v>398814</v>
      </c>
      <c r="E4" s="568">
        <v>361548</v>
      </c>
      <c r="F4" s="217" t="s">
        <v>82</v>
      </c>
    </row>
    <row r="5" spans="1:6" ht="15">
      <c r="A5" s="236" t="s">
        <v>85</v>
      </c>
      <c r="B5" s="275">
        <v>2417284</v>
      </c>
      <c r="C5" s="276">
        <v>2625058</v>
      </c>
      <c r="D5" s="366">
        <v>2701881</v>
      </c>
      <c r="E5" s="569">
        <v>2998198</v>
      </c>
      <c r="F5" s="217" t="s">
        <v>82</v>
      </c>
    </row>
    <row r="6" spans="1:6" ht="15">
      <c r="A6" s="236" t="s">
        <v>86</v>
      </c>
      <c r="B6" s="275">
        <v>1490840</v>
      </c>
      <c r="C6" s="276">
        <v>2166873</v>
      </c>
      <c r="D6" s="366">
        <v>2152208</v>
      </c>
      <c r="E6" s="367">
        <v>2155919</v>
      </c>
      <c r="F6" s="217" t="s">
        <v>82</v>
      </c>
    </row>
    <row r="7" spans="1:6" ht="15">
      <c r="A7" s="236" t="s">
        <v>87</v>
      </c>
      <c r="B7" s="275">
        <v>362879</v>
      </c>
      <c r="C7" s="276">
        <v>476060</v>
      </c>
      <c r="D7" s="366">
        <v>456069</v>
      </c>
      <c r="E7" s="367">
        <v>447645</v>
      </c>
      <c r="F7" s="217" t="s">
        <v>82</v>
      </c>
    </row>
    <row r="8" spans="1:6" ht="15">
      <c r="A8" s="236" t="s">
        <v>89</v>
      </c>
      <c r="B8" s="275">
        <f>9097088+3778695</f>
        <v>12875783</v>
      </c>
      <c r="C8" s="276">
        <f>9197369+3756448</f>
        <v>12953817</v>
      </c>
      <c r="D8" s="366">
        <f>10488989+4264004</f>
        <v>14752993</v>
      </c>
      <c r="E8" s="367">
        <v>14481448</v>
      </c>
      <c r="F8" s="217" t="s">
        <v>88</v>
      </c>
    </row>
    <row r="9" spans="1:6" ht="15">
      <c r="A9" s="236" t="s">
        <v>91</v>
      </c>
      <c r="B9" s="275">
        <v>3992271</v>
      </c>
      <c r="C9" s="276">
        <v>4537045</v>
      </c>
      <c r="D9" s="366">
        <v>4568165</v>
      </c>
      <c r="E9" s="367">
        <v>5267046</v>
      </c>
      <c r="F9" s="217" t="s">
        <v>90</v>
      </c>
    </row>
    <row r="10" spans="1:6" ht="15">
      <c r="A10" s="236" t="s">
        <v>93</v>
      </c>
      <c r="B10" s="275">
        <v>1445143</v>
      </c>
      <c r="C10" s="276">
        <v>1726724</v>
      </c>
      <c r="D10" s="366">
        <v>1970225</v>
      </c>
      <c r="E10" s="367">
        <v>2126888</v>
      </c>
      <c r="F10" s="217" t="s">
        <v>92</v>
      </c>
    </row>
    <row r="11" spans="1:6" ht="15">
      <c r="A11" s="236" t="s">
        <v>94</v>
      </c>
      <c r="B11" s="275">
        <v>150877</v>
      </c>
      <c r="C11" s="276">
        <v>167538</v>
      </c>
      <c r="D11" s="366">
        <v>195234</v>
      </c>
      <c r="E11" s="367">
        <v>225862</v>
      </c>
      <c r="F11" s="217" t="s">
        <v>92</v>
      </c>
    </row>
    <row r="12" spans="1:6" ht="15">
      <c r="A12" s="236" t="s">
        <v>95</v>
      </c>
      <c r="B12" s="275">
        <v>104883123</v>
      </c>
      <c r="C12" s="279">
        <v>99766003</v>
      </c>
      <c r="D12" s="366">
        <v>120169392</v>
      </c>
      <c r="E12" s="367">
        <v>129442718</v>
      </c>
      <c r="F12" s="217" t="s">
        <v>92</v>
      </c>
    </row>
    <row r="13" spans="1:6" ht="15">
      <c r="A13" s="236" t="s">
        <v>96</v>
      </c>
      <c r="B13" s="275">
        <v>993897</v>
      </c>
      <c r="C13" s="276">
        <v>1200984</v>
      </c>
      <c r="D13" s="366">
        <v>1246809</v>
      </c>
      <c r="E13" s="367">
        <v>1347743</v>
      </c>
      <c r="F13" s="217" t="s">
        <v>92</v>
      </c>
    </row>
    <row r="14" spans="1:6" ht="15">
      <c r="A14" s="236" t="s">
        <v>97</v>
      </c>
      <c r="B14" s="275">
        <v>78491</v>
      </c>
      <c r="C14" s="276">
        <v>67079</v>
      </c>
      <c r="D14" s="366">
        <v>50424</v>
      </c>
      <c r="E14" s="367">
        <v>71294</v>
      </c>
      <c r="F14" s="217" t="s">
        <v>92</v>
      </c>
    </row>
    <row r="15" spans="1:6" ht="15">
      <c r="A15" s="236" t="s">
        <v>98</v>
      </c>
      <c r="B15" s="275">
        <v>7106671</v>
      </c>
      <c r="C15" s="279">
        <v>7464284</v>
      </c>
      <c r="D15" s="366">
        <v>7910674</v>
      </c>
      <c r="E15" s="367">
        <f>6690672+1079205</f>
        <v>7769877</v>
      </c>
      <c r="F15" s="217" t="s">
        <v>92</v>
      </c>
    </row>
    <row r="16" spans="1:6" ht="15">
      <c r="A16" s="236" t="s">
        <v>100</v>
      </c>
      <c r="B16" s="275">
        <v>2798006</v>
      </c>
      <c r="C16" s="276">
        <v>3169013</v>
      </c>
      <c r="D16" s="366">
        <v>3679008</v>
      </c>
      <c r="E16" s="367">
        <v>4067447</v>
      </c>
      <c r="F16" s="217" t="s">
        <v>99</v>
      </c>
    </row>
    <row r="17" spans="1:6" ht="15">
      <c r="A17" s="236" t="s">
        <v>101</v>
      </c>
      <c r="B17" s="275">
        <v>618607</v>
      </c>
      <c r="C17" s="276">
        <v>605988</v>
      </c>
      <c r="D17" s="366">
        <v>703038</v>
      </c>
      <c r="E17" s="568">
        <v>698366</v>
      </c>
      <c r="F17" s="217" t="s">
        <v>99</v>
      </c>
    </row>
    <row r="18" spans="1:6" ht="15">
      <c r="A18" s="236" t="s">
        <v>102</v>
      </c>
      <c r="B18" s="275">
        <v>6699359</v>
      </c>
      <c r="C18" s="276">
        <v>7696112</v>
      </c>
      <c r="D18" s="366">
        <v>8675119</v>
      </c>
      <c r="E18" s="367">
        <v>9003000</v>
      </c>
      <c r="F18" s="217" t="s">
        <v>99</v>
      </c>
    </row>
    <row r="19" spans="1:6" ht="15">
      <c r="A19" s="236" t="s">
        <v>103</v>
      </c>
      <c r="B19" s="275">
        <v>115693</v>
      </c>
      <c r="C19" s="276">
        <v>107836</v>
      </c>
      <c r="D19" s="366">
        <v>177251</v>
      </c>
      <c r="E19" s="568">
        <v>165710</v>
      </c>
      <c r="F19" s="217" t="s">
        <v>99</v>
      </c>
    </row>
    <row r="20" spans="1:6" ht="15">
      <c r="A20" s="236" t="s">
        <v>105</v>
      </c>
      <c r="B20" s="275">
        <v>17358937</v>
      </c>
      <c r="C20" s="276">
        <v>15647246</v>
      </c>
      <c r="D20" s="366">
        <v>18874570</v>
      </c>
      <c r="E20" s="568">
        <v>25291520</v>
      </c>
      <c r="F20" s="217" t="s">
        <v>104</v>
      </c>
    </row>
    <row r="21" spans="1:6" ht="15">
      <c r="A21" s="236" t="s">
        <v>106</v>
      </c>
      <c r="B21" s="275">
        <v>20953458</v>
      </c>
      <c r="C21" s="276">
        <v>26239078</v>
      </c>
      <c r="D21" s="366">
        <v>23750125</v>
      </c>
      <c r="E21" s="569">
        <v>28281032</v>
      </c>
      <c r="F21" s="217" t="s">
        <v>104</v>
      </c>
    </row>
    <row r="22" spans="1:6" ht="15">
      <c r="A22" s="236" t="s">
        <v>107</v>
      </c>
      <c r="B22" s="275">
        <v>24099554</v>
      </c>
      <c r="C22" s="276">
        <v>27269531</v>
      </c>
      <c r="D22" s="366">
        <v>32028446</v>
      </c>
      <c r="E22" s="569">
        <v>36047232</v>
      </c>
      <c r="F22" s="217" t="s">
        <v>104</v>
      </c>
    </row>
    <row r="23" spans="1:6" ht="15">
      <c r="A23" s="236" t="s">
        <v>108</v>
      </c>
      <c r="B23" s="275">
        <v>4566109</v>
      </c>
      <c r="C23" s="276">
        <v>5346157</v>
      </c>
      <c r="D23" s="366">
        <v>5328325</v>
      </c>
      <c r="E23" s="569">
        <v>5453602</v>
      </c>
      <c r="F23" s="217" t="s">
        <v>104</v>
      </c>
    </row>
    <row r="24" spans="1:6" ht="15">
      <c r="A24" s="236" t="s">
        <v>109</v>
      </c>
      <c r="B24" s="275">
        <v>96368493</v>
      </c>
      <c r="C24" s="276">
        <v>103826125</v>
      </c>
      <c r="D24" s="366">
        <v>108453691</v>
      </c>
      <c r="E24" s="367">
        <v>111168383</v>
      </c>
      <c r="F24" s="217" t="s">
        <v>104</v>
      </c>
    </row>
    <row r="25" spans="1:6" ht="15">
      <c r="A25" s="236" t="s">
        <v>111</v>
      </c>
      <c r="B25" s="275">
        <v>36961071</v>
      </c>
      <c r="C25" s="276">
        <v>39737337</v>
      </c>
      <c r="D25" s="366">
        <v>45655907</v>
      </c>
      <c r="E25" s="367">
        <v>49463221</v>
      </c>
      <c r="F25" s="217" t="s">
        <v>104</v>
      </c>
    </row>
    <row r="26" spans="1:6" ht="15">
      <c r="A26" s="236" t="s">
        <v>113</v>
      </c>
      <c r="B26" s="275">
        <v>4655649</v>
      </c>
      <c r="C26" s="276">
        <v>4080556</v>
      </c>
      <c r="D26" s="366">
        <v>4736557</v>
      </c>
      <c r="E26" s="568">
        <v>3929042</v>
      </c>
      <c r="F26" s="217" t="s">
        <v>112</v>
      </c>
    </row>
    <row r="27" spans="1:6" ht="15">
      <c r="A27" s="236" t="s">
        <v>114</v>
      </c>
      <c r="B27" s="275">
        <v>64863638</v>
      </c>
      <c r="C27" s="276">
        <v>58367488</v>
      </c>
      <c r="D27" s="366">
        <v>68802962</v>
      </c>
      <c r="E27" s="367">
        <v>76532753</v>
      </c>
      <c r="F27" s="217" t="s">
        <v>112</v>
      </c>
    </row>
    <row r="28" spans="1:6" ht="15">
      <c r="A28" s="236" t="s">
        <v>116</v>
      </c>
      <c r="B28" s="275">
        <v>9918427</v>
      </c>
      <c r="C28" s="276">
        <v>10001495</v>
      </c>
      <c r="D28" s="366">
        <v>12020724</v>
      </c>
      <c r="E28" s="367">
        <v>12808994</v>
      </c>
      <c r="F28" s="217" t="s">
        <v>115</v>
      </c>
    </row>
    <row r="29" spans="1:6" ht="15">
      <c r="A29" s="236" t="s">
        <v>117</v>
      </c>
      <c r="B29" s="275">
        <v>1675170</v>
      </c>
      <c r="C29" s="276">
        <v>1758084</v>
      </c>
      <c r="D29" s="366">
        <v>2609867</v>
      </c>
      <c r="E29" s="367">
        <v>2846110</v>
      </c>
      <c r="F29" s="217" t="s">
        <v>115</v>
      </c>
    </row>
    <row r="30" spans="1:6" ht="15">
      <c r="A30" s="236" t="s">
        <v>118</v>
      </c>
      <c r="B30" s="275">
        <v>10417569</v>
      </c>
      <c r="C30" s="276">
        <v>10624308</v>
      </c>
      <c r="D30" s="368">
        <v>12745096</v>
      </c>
      <c r="E30" s="367">
        <f>12857237+1465494</f>
        <v>14322731</v>
      </c>
      <c r="F30" s="217" t="s">
        <v>115</v>
      </c>
    </row>
    <row r="31" spans="1:6" ht="15">
      <c r="A31" s="236" t="s">
        <v>119</v>
      </c>
      <c r="B31" s="275">
        <v>798818</v>
      </c>
      <c r="C31" s="276">
        <v>788081</v>
      </c>
      <c r="D31" s="366">
        <v>736481</v>
      </c>
      <c r="E31" s="568">
        <v>744369</v>
      </c>
      <c r="F31" s="217" t="s">
        <v>115</v>
      </c>
    </row>
    <row r="32" spans="1:6" ht="15">
      <c r="A32" s="236" t="s">
        <v>121</v>
      </c>
      <c r="B32" s="275">
        <v>2288742</v>
      </c>
      <c r="C32" s="276">
        <v>2522688</v>
      </c>
      <c r="D32" s="366">
        <v>3047407</v>
      </c>
      <c r="E32" s="367">
        <f>2020842+1345880</f>
        <v>3366722</v>
      </c>
      <c r="F32" s="217" t="s">
        <v>120</v>
      </c>
    </row>
    <row r="33" spans="1:10" ht="15">
      <c r="A33" s="236" t="s">
        <v>122</v>
      </c>
      <c r="B33" s="275">
        <v>5921804</v>
      </c>
      <c r="C33" s="276">
        <v>5960670</v>
      </c>
      <c r="D33" s="366">
        <v>6578658</v>
      </c>
      <c r="E33" s="367">
        <v>7435602</v>
      </c>
      <c r="F33" s="217" t="s">
        <v>120</v>
      </c>
    </row>
    <row r="34" spans="1:10" ht="15">
      <c r="A34" s="236" t="s">
        <v>123</v>
      </c>
      <c r="B34" s="275">
        <v>1269764</v>
      </c>
      <c r="C34" s="276">
        <v>1423713</v>
      </c>
      <c r="D34" s="366">
        <v>1923269</v>
      </c>
      <c r="E34" s="367">
        <v>2380653</v>
      </c>
      <c r="F34" s="217" t="s">
        <v>120</v>
      </c>
    </row>
    <row r="35" spans="1:10" ht="15">
      <c r="A35" s="236" t="s">
        <v>125</v>
      </c>
      <c r="B35" s="275">
        <v>3904286</v>
      </c>
      <c r="C35" s="276">
        <v>4637640</v>
      </c>
      <c r="D35" s="366">
        <v>5000804</v>
      </c>
      <c r="E35" s="367">
        <v>5803873</v>
      </c>
      <c r="F35" s="217" t="s">
        <v>124</v>
      </c>
    </row>
    <row r="36" spans="1:10" ht="15">
      <c r="A36" s="236" t="s">
        <v>126</v>
      </c>
      <c r="B36" s="275">
        <v>578833</v>
      </c>
      <c r="C36" s="276">
        <v>573381</v>
      </c>
      <c r="D36" s="366">
        <v>716454</v>
      </c>
      <c r="E36" s="568">
        <v>604843</v>
      </c>
      <c r="F36" s="217" t="s">
        <v>124</v>
      </c>
    </row>
    <row r="37" spans="1:10" ht="15">
      <c r="A37" s="236" t="s">
        <v>127</v>
      </c>
      <c r="B37" s="275">
        <f>8461164-3778695</f>
        <v>4682469</v>
      </c>
      <c r="C37" s="276">
        <f>7674872-3756448</f>
        <v>3918424</v>
      </c>
      <c r="D37" s="366">
        <f>8616129-4264004</f>
        <v>4352125</v>
      </c>
      <c r="E37" s="367">
        <v>5022923</v>
      </c>
      <c r="F37" s="217" t="s">
        <v>124</v>
      </c>
      <c r="G37" s="570" t="s">
        <v>198</v>
      </c>
      <c r="H37" s="570"/>
      <c r="I37" s="570"/>
      <c r="J37" s="570"/>
    </row>
    <row r="38" spans="1:10" ht="15">
      <c r="A38" s="236" t="s">
        <v>128</v>
      </c>
      <c r="B38" s="275">
        <v>146394</v>
      </c>
      <c r="C38" s="276">
        <v>162010</v>
      </c>
      <c r="D38" s="366">
        <v>170603</v>
      </c>
      <c r="E38" s="367">
        <v>457239</v>
      </c>
      <c r="F38" s="217" t="s">
        <v>124</v>
      </c>
    </row>
    <row r="39" spans="1:10" ht="15">
      <c r="A39" s="236" t="s">
        <v>129</v>
      </c>
      <c r="B39" s="275">
        <v>1217295</v>
      </c>
      <c r="C39" s="276">
        <v>1442390</v>
      </c>
      <c r="D39" s="366">
        <v>1347958</v>
      </c>
      <c r="E39" s="568">
        <v>1220651</v>
      </c>
      <c r="F39" s="217" t="s">
        <v>124</v>
      </c>
    </row>
    <row r="40" spans="1:10" ht="15">
      <c r="A40" s="252" t="s">
        <v>130</v>
      </c>
      <c r="B40" s="275">
        <v>3325310</v>
      </c>
      <c r="C40" s="276">
        <v>4022350</v>
      </c>
      <c r="D40" s="366">
        <v>4658904</v>
      </c>
      <c r="E40" s="367">
        <v>4896193</v>
      </c>
      <c r="F40" s="217" t="s">
        <v>124</v>
      </c>
    </row>
    <row r="41" spans="1:10">
      <c r="A41" s="236" t="s">
        <v>135</v>
      </c>
      <c r="B41" s="271">
        <f>SUM(B3:B40)</f>
        <v>464306058</v>
      </c>
      <c r="C41" s="271">
        <f>SUM(C3:C40)</f>
        <v>475837705</v>
      </c>
      <c r="D41" s="281">
        <f>SUM(D3:D40)</f>
        <v>535846200</v>
      </c>
      <c r="E41" s="369">
        <f>SUM(E3:E40)</f>
        <v>581261868</v>
      </c>
    </row>
    <row r="42" spans="1:10">
      <c r="B42" s="258"/>
      <c r="C42" s="258"/>
    </row>
  </sheetData>
  <pageMargins left="0.25" right="0.25" top="0.75" bottom="0.75" header="0.3" footer="0.3"/>
  <pageSetup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BD870-9916-49AC-AFD5-8B9BCFA24BED}">
  <sheetPr>
    <tabColor rgb="FF7030A0"/>
  </sheetPr>
  <dimension ref="A1:AH128"/>
  <sheetViews>
    <sheetView showGridLines="0" zoomScale="80" zoomScaleNormal="80" workbookViewId="0"/>
  </sheetViews>
  <sheetFormatPr defaultColWidth="8.7109375" defaultRowHeight="12.75"/>
  <cols>
    <col min="1" max="1" width="20" style="572" customWidth="1"/>
    <col min="2" max="2" width="26.28515625" style="572" customWidth="1"/>
    <col min="3" max="3" width="32.85546875" style="572" hidden="1" customWidth="1"/>
    <col min="4" max="4" width="22.28515625" style="572" customWidth="1"/>
    <col min="5" max="5" width="19.7109375" style="572" hidden="1" customWidth="1"/>
    <col min="6" max="6" width="23.5703125" style="572" customWidth="1"/>
    <col min="7" max="7" width="15.42578125" style="572" customWidth="1"/>
    <col min="8" max="8" width="13.7109375" style="572" customWidth="1"/>
    <col min="9" max="9" width="8.7109375" style="572"/>
    <col min="10" max="10" width="0" style="572" hidden="1" customWidth="1"/>
    <col min="11" max="11" width="20.140625" style="572" customWidth="1"/>
    <col min="12" max="12" width="8.5703125" style="572" customWidth="1"/>
    <col min="13" max="15" width="16" style="572" customWidth="1"/>
    <col min="16" max="16" width="1.28515625" style="572" customWidth="1"/>
    <col min="17" max="18" width="16.85546875" style="572" customWidth="1"/>
    <col min="19" max="19" width="16.5703125" style="572" customWidth="1"/>
    <col min="20" max="20" width="14.7109375" style="572" customWidth="1"/>
    <col min="21" max="21" width="8.7109375" style="572"/>
    <col min="22" max="22" width="15.85546875" style="572" customWidth="1"/>
    <col min="23" max="23" width="8.7109375" style="572"/>
    <col min="24" max="24" width="11.85546875" style="572" customWidth="1"/>
    <col min="25" max="25" width="8.7109375" style="572"/>
    <col min="26" max="26" width="11.42578125" style="572" customWidth="1"/>
    <col min="27" max="31" width="8.7109375" style="572"/>
    <col min="32" max="32" width="16.28515625" style="572" customWidth="1"/>
    <col min="33" max="33" width="13.85546875" style="572" bestFit="1" customWidth="1"/>
    <col min="34" max="34" width="13.5703125" style="572" customWidth="1"/>
    <col min="35" max="16384" width="8.7109375" style="572"/>
  </cols>
  <sheetData>
    <row r="1" spans="1:6" ht="18.75" thickBot="1">
      <c r="A1" s="1138" t="s">
        <v>428</v>
      </c>
    </row>
    <row r="2" spans="1:6">
      <c r="B2" s="612" t="s">
        <v>222</v>
      </c>
      <c r="C2" s="613"/>
      <c r="D2" s="614" t="s">
        <v>223</v>
      </c>
      <c r="E2" s="615" t="s">
        <v>224</v>
      </c>
      <c r="F2" s="616" t="s">
        <v>225</v>
      </c>
    </row>
    <row r="3" spans="1:6">
      <c r="B3" s="617"/>
      <c r="C3" s="618"/>
      <c r="D3" s="619"/>
      <c r="E3" s="620" t="s">
        <v>226</v>
      </c>
      <c r="F3" s="621"/>
    </row>
    <row r="4" spans="1:6">
      <c r="B4" s="622"/>
      <c r="C4" s="623"/>
      <c r="D4" s="623"/>
      <c r="E4" s="624" t="s">
        <v>227</v>
      </c>
      <c r="F4" s="625" t="s">
        <v>228</v>
      </c>
    </row>
    <row r="5" spans="1:6">
      <c r="B5" s="622"/>
      <c r="C5" s="623"/>
      <c r="D5" s="623"/>
      <c r="E5" s="624" t="s">
        <v>229</v>
      </c>
      <c r="F5" s="625" t="s">
        <v>230</v>
      </c>
    </row>
    <row r="6" spans="1:6">
      <c r="B6" s="626"/>
      <c r="C6" s="627"/>
      <c r="D6" s="627"/>
      <c r="E6" s="628" t="s">
        <v>231</v>
      </c>
      <c r="F6" s="629" t="s">
        <v>232</v>
      </c>
    </row>
    <row r="7" spans="1:6">
      <c r="B7" s="622"/>
      <c r="C7" s="630"/>
      <c r="D7" s="630"/>
      <c r="E7" s="628" t="s">
        <v>233</v>
      </c>
      <c r="F7" s="629" t="s">
        <v>232</v>
      </c>
    </row>
    <row r="8" spans="1:6">
      <c r="B8" s="631" t="s">
        <v>234</v>
      </c>
      <c r="C8" s="632" t="s">
        <v>235</v>
      </c>
      <c r="D8" s="633">
        <v>0.5</v>
      </c>
      <c r="E8" s="634" t="s">
        <v>236</v>
      </c>
      <c r="F8" s="635">
        <v>0.35</v>
      </c>
    </row>
    <row r="9" spans="1:6">
      <c r="B9" s="636"/>
      <c r="C9" s="637" t="s">
        <v>133</v>
      </c>
      <c r="D9" s="638">
        <v>0.3</v>
      </c>
      <c r="E9" s="634" t="s">
        <v>236</v>
      </c>
      <c r="F9" s="639">
        <v>0.35</v>
      </c>
    </row>
    <row r="10" spans="1:6">
      <c r="B10" s="636"/>
      <c r="C10" s="640" t="s">
        <v>136</v>
      </c>
      <c r="D10" s="638">
        <v>0.1</v>
      </c>
      <c r="E10" s="634" t="s">
        <v>236</v>
      </c>
      <c r="F10" s="639">
        <v>0.15</v>
      </c>
    </row>
    <row r="11" spans="1:6" ht="13.5" thickBot="1">
      <c r="B11" s="641"/>
      <c r="C11" s="642" t="s">
        <v>137</v>
      </c>
      <c r="D11" s="643">
        <v>0.1</v>
      </c>
      <c r="E11" s="634" t="s">
        <v>236</v>
      </c>
      <c r="F11" s="644">
        <v>0.15</v>
      </c>
    </row>
    <row r="12" spans="1:6">
      <c r="B12" s="645" t="s">
        <v>237</v>
      </c>
      <c r="C12" s="646" t="s">
        <v>238</v>
      </c>
      <c r="D12" s="647">
        <v>0.2</v>
      </c>
      <c r="E12" s="634" t="s">
        <v>236</v>
      </c>
      <c r="F12" s="648">
        <v>0</v>
      </c>
    </row>
    <row r="13" spans="1:6">
      <c r="B13" s="631" t="s">
        <v>239</v>
      </c>
      <c r="C13" s="649" t="s">
        <v>240</v>
      </c>
      <c r="D13" s="650">
        <v>0.2</v>
      </c>
      <c r="E13" s="634" t="s">
        <v>236</v>
      </c>
      <c r="F13" s="639">
        <v>0</v>
      </c>
    </row>
    <row r="14" spans="1:6">
      <c r="B14" s="631" t="s">
        <v>241</v>
      </c>
      <c r="C14" s="649" t="s">
        <v>242</v>
      </c>
      <c r="D14" s="650">
        <v>0.2</v>
      </c>
      <c r="E14" s="634" t="s">
        <v>236</v>
      </c>
      <c r="F14" s="639">
        <v>0</v>
      </c>
    </row>
    <row r="15" spans="1:6">
      <c r="B15" s="636"/>
      <c r="C15" s="649" t="s">
        <v>243</v>
      </c>
      <c r="D15" s="650">
        <v>0.2</v>
      </c>
      <c r="E15" s="634" t="s">
        <v>236</v>
      </c>
      <c r="F15" s="639">
        <v>0</v>
      </c>
    </row>
    <row r="16" spans="1:6" ht="13.5" thickBot="1">
      <c r="B16" s="641"/>
      <c r="C16" s="651" t="s">
        <v>244</v>
      </c>
      <c r="D16" s="652">
        <v>0.2</v>
      </c>
      <c r="E16" s="634" t="s">
        <v>236</v>
      </c>
      <c r="F16" s="644">
        <v>0</v>
      </c>
    </row>
    <row r="17" spans="2:19" ht="24.75" thickBot="1">
      <c r="B17" s="653" t="s">
        <v>245</v>
      </c>
      <c r="C17" s="654"/>
      <c r="D17" s="655" t="s">
        <v>246</v>
      </c>
      <c r="E17" s="634" t="s">
        <v>236</v>
      </c>
      <c r="F17" s="656" t="s">
        <v>247</v>
      </c>
    </row>
    <row r="18" spans="2:19">
      <c r="B18" s="657" t="s">
        <v>248</v>
      </c>
      <c r="C18" s="646" t="s">
        <v>249</v>
      </c>
      <c r="D18" s="658" t="s">
        <v>155</v>
      </c>
      <c r="E18" s="634" t="s">
        <v>236</v>
      </c>
      <c r="F18" s="659" t="s">
        <v>250</v>
      </c>
    </row>
    <row r="19" spans="2:19">
      <c r="B19" s="660" t="s">
        <v>251</v>
      </c>
      <c r="C19" s="649" t="s">
        <v>252</v>
      </c>
      <c r="D19" s="661" t="s">
        <v>155</v>
      </c>
      <c r="E19" s="634" t="s">
        <v>236</v>
      </c>
      <c r="F19" s="662" t="s">
        <v>253</v>
      </c>
    </row>
    <row r="20" spans="2:19">
      <c r="B20" s="660" t="s">
        <v>254</v>
      </c>
      <c r="C20" s="649" t="s">
        <v>240</v>
      </c>
      <c r="D20" s="663" t="s">
        <v>155</v>
      </c>
      <c r="E20" s="634" t="s">
        <v>236</v>
      </c>
      <c r="F20" s="662">
        <v>0.25</v>
      </c>
    </row>
    <row r="21" spans="2:19">
      <c r="B21" s="660"/>
      <c r="C21" s="649" t="s">
        <v>238</v>
      </c>
      <c r="D21" s="663" t="s">
        <v>155</v>
      </c>
      <c r="E21" s="634" t="s">
        <v>236</v>
      </c>
      <c r="F21" s="662">
        <v>0.25</v>
      </c>
    </row>
    <row r="22" spans="2:19" ht="13.5" thickBot="1">
      <c r="B22" s="664"/>
      <c r="C22" s="665" t="s">
        <v>166</v>
      </c>
      <c r="D22" s="663" t="s">
        <v>155</v>
      </c>
      <c r="E22" s="634" t="s">
        <v>236</v>
      </c>
      <c r="F22" s="666">
        <v>0.5</v>
      </c>
    </row>
    <row r="23" spans="2:19">
      <c r="B23" s="657" t="s">
        <v>255</v>
      </c>
      <c r="C23" s="646" t="s">
        <v>256</v>
      </c>
      <c r="D23" s="647">
        <v>0.3</v>
      </c>
      <c r="E23" s="634" t="s">
        <v>236</v>
      </c>
      <c r="F23" s="667">
        <v>0.3</v>
      </c>
    </row>
    <row r="24" spans="2:19" ht="13.5" thickBot="1">
      <c r="B24" s="668"/>
      <c r="C24" s="651" t="s">
        <v>257</v>
      </c>
      <c r="D24" s="652">
        <v>0.3</v>
      </c>
      <c r="E24" s="634" t="s">
        <v>236</v>
      </c>
      <c r="F24" s="669">
        <v>0.3</v>
      </c>
    </row>
    <row r="26" spans="2:19" ht="37.5" customHeight="1">
      <c r="B26" s="670" t="s">
        <v>29</v>
      </c>
      <c r="C26" s="671"/>
      <c r="D26" s="672" t="s">
        <v>258</v>
      </c>
      <c r="E26" s="673"/>
      <c r="F26" s="672" t="s">
        <v>259</v>
      </c>
      <c r="G26" s="673" t="s">
        <v>260</v>
      </c>
      <c r="H26" s="673" t="s">
        <v>204</v>
      </c>
      <c r="M26" s="674" t="s">
        <v>261</v>
      </c>
      <c r="N26" s="674"/>
      <c r="O26" s="674"/>
      <c r="Q26" s="674" t="s">
        <v>262</v>
      </c>
      <c r="R26" s="674"/>
      <c r="S26" s="674"/>
    </row>
    <row r="27" spans="2:19" ht="15" thickBot="1">
      <c r="B27" s="605" t="s">
        <v>207</v>
      </c>
      <c r="C27" s="675"/>
      <c r="D27" s="588"/>
      <c r="E27" s="588"/>
      <c r="M27" s="572">
        <v>2024</v>
      </c>
      <c r="N27" s="572">
        <v>2025</v>
      </c>
      <c r="O27" s="572">
        <v>2026</v>
      </c>
      <c r="Q27" s="572">
        <v>2024</v>
      </c>
      <c r="R27" s="572">
        <v>2025</v>
      </c>
      <c r="S27" s="572">
        <v>2026</v>
      </c>
    </row>
    <row r="28" spans="2:19" ht="15">
      <c r="B28" s="676" t="s">
        <v>82</v>
      </c>
      <c r="C28" s="677"/>
      <c r="D28" s="678">
        <f>AVERAGE(M28:O28)</f>
        <v>2257448.1399023193</v>
      </c>
      <c r="E28" s="679" t="s">
        <v>236</v>
      </c>
      <c r="F28" s="680">
        <f>AVERAGE(Q28:S28)</f>
        <v>2300213.4405471212</v>
      </c>
      <c r="G28" s="681">
        <f t="shared" ref="G28:G37" si="0">F28-D28</f>
        <v>42765.30064480193</v>
      </c>
      <c r="H28" s="682">
        <f t="shared" ref="H28:H37" si="1">G28/D28</f>
        <v>1.894408996108872E-2</v>
      </c>
      <c r="M28" s="683">
        <f>SUMIF($A$42:$A$80, $B28,  M$42:M$80)</f>
        <v>2393545</v>
      </c>
      <c r="N28" s="683">
        <f t="shared" ref="N28:O28" si="2">SUMIF($A$42:$A$80, $B28,  N$42:N$80)</f>
        <v>2293801</v>
      </c>
      <c r="O28" s="683">
        <f t="shared" si="2"/>
        <v>2084998.4197069572</v>
      </c>
      <c r="Q28" s="683">
        <f>SUMIF($A$42:$A$80, $B28,  Q$42:Q$80)</f>
        <v>2378241.8717105282</v>
      </c>
      <c r="R28" s="683">
        <f t="shared" ref="R28:S28" si="3">SUMIF($A$42:$A$80, $B28,  R$42:R$80)</f>
        <v>2314994.1748549719</v>
      </c>
      <c r="S28" s="683">
        <f t="shared" si="3"/>
        <v>2207404.275075864</v>
      </c>
    </row>
    <row r="29" spans="2:19" ht="15">
      <c r="B29" s="685" t="s">
        <v>88</v>
      </c>
      <c r="C29" s="686"/>
      <c r="D29" s="687">
        <f t="shared" ref="D29:D37" si="4">AVERAGE(M29:O29)</f>
        <v>2971811.8341092449</v>
      </c>
      <c r="E29" s="679" t="s">
        <v>236</v>
      </c>
      <c r="F29" s="688">
        <f t="shared" ref="F29:F37" si="5">AVERAGE(Q29:S29)</f>
        <v>2961002.1015986931</v>
      </c>
      <c r="G29" s="689">
        <f t="shared" si="0"/>
        <v>-10809.73251055181</v>
      </c>
      <c r="H29" s="690">
        <f t="shared" si="1"/>
        <v>-3.6374215845303886E-3</v>
      </c>
      <c r="M29" s="683">
        <f t="shared" ref="M29:S37" si="6">SUMIF($A$42:$A$80, $B29,  M$42:M$80)</f>
        <v>2759211</v>
      </c>
      <c r="N29" s="683">
        <f t="shared" si="6"/>
        <v>2600883</v>
      </c>
      <c r="O29" s="683">
        <f t="shared" si="6"/>
        <v>3555341.5023277341</v>
      </c>
      <c r="Q29" s="683">
        <f t="shared" si="6"/>
        <v>2759210.6999999997</v>
      </c>
      <c r="R29" s="683">
        <f t="shared" si="6"/>
        <v>2753896.7051530592</v>
      </c>
      <c r="S29" s="683">
        <f t="shared" si="6"/>
        <v>3369898.8996430207</v>
      </c>
    </row>
    <row r="30" spans="2:19" ht="15">
      <c r="B30" s="685" t="s">
        <v>90</v>
      </c>
      <c r="C30" s="686"/>
      <c r="D30" s="687">
        <f t="shared" si="4"/>
        <v>1071485.0448851464</v>
      </c>
      <c r="E30" s="679" t="s">
        <v>236</v>
      </c>
      <c r="F30" s="688">
        <f t="shared" si="5"/>
        <v>981375.03751620231</v>
      </c>
      <c r="G30" s="689">
        <f t="shared" si="0"/>
        <v>-90110.00736894412</v>
      </c>
      <c r="H30" s="690">
        <f t="shared" si="1"/>
        <v>-8.4098240847218828E-2</v>
      </c>
      <c r="M30" s="683">
        <f t="shared" si="6"/>
        <v>1083494</v>
      </c>
      <c r="N30" s="683">
        <f t="shared" si="6"/>
        <v>1053666</v>
      </c>
      <c r="O30" s="683">
        <f t="shared" si="6"/>
        <v>1077295.1346554393</v>
      </c>
      <c r="Q30" s="683">
        <f t="shared" si="6"/>
        <v>1008347.81366619</v>
      </c>
      <c r="R30" s="683">
        <f t="shared" si="6"/>
        <v>956506.27257589577</v>
      </c>
      <c r="S30" s="683">
        <f t="shared" si="6"/>
        <v>979271.02630652103</v>
      </c>
    </row>
    <row r="31" spans="2:19" ht="15">
      <c r="B31" s="685" t="s">
        <v>263</v>
      </c>
      <c r="C31" s="686"/>
      <c r="D31" s="687">
        <f t="shared" si="4"/>
        <v>28692230.700066816</v>
      </c>
      <c r="E31" s="679" t="s">
        <v>236</v>
      </c>
      <c r="F31" s="688">
        <f t="shared" si="5"/>
        <v>29332007.228416752</v>
      </c>
      <c r="G31" s="689">
        <f t="shared" si="0"/>
        <v>639776.52834993601</v>
      </c>
      <c r="H31" s="690">
        <f t="shared" si="1"/>
        <v>2.2297901304287441E-2</v>
      </c>
      <c r="M31" s="683">
        <f t="shared" si="6"/>
        <v>29989399</v>
      </c>
      <c r="N31" s="683">
        <f t="shared" si="6"/>
        <v>28188865</v>
      </c>
      <c r="O31" s="683">
        <f t="shared" si="6"/>
        <v>27898428.100200444</v>
      </c>
      <c r="Q31" s="683">
        <f t="shared" si="6"/>
        <v>30390362.678802624</v>
      </c>
      <c r="R31" s="683">
        <f t="shared" si="6"/>
        <v>29160644.906832527</v>
      </c>
      <c r="S31" s="683">
        <f t="shared" si="6"/>
        <v>28445014.09961509</v>
      </c>
    </row>
    <row r="32" spans="2:19" ht="15">
      <c r="B32" s="685" t="s">
        <v>99</v>
      </c>
      <c r="C32" s="686"/>
      <c r="D32" s="687">
        <f t="shared" si="4"/>
        <v>2772386.367524276</v>
      </c>
      <c r="E32" s="679" t="s">
        <v>236</v>
      </c>
      <c r="F32" s="688">
        <f t="shared" si="5"/>
        <v>3081802.8678428181</v>
      </c>
      <c r="G32" s="689">
        <f t="shared" si="0"/>
        <v>309416.50031854212</v>
      </c>
      <c r="H32" s="690">
        <f t="shared" si="1"/>
        <v>0.11160655814176765</v>
      </c>
      <c r="M32" s="683">
        <f t="shared" si="6"/>
        <v>2955096</v>
      </c>
      <c r="N32" s="683">
        <f t="shared" si="6"/>
        <v>2698977</v>
      </c>
      <c r="O32" s="683">
        <f t="shared" si="6"/>
        <v>2663086.1025728276</v>
      </c>
      <c r="Q32" s="683">
        <f t="shared" si="6"/>
        <v>3356430.7035243488</v>
      </c>
      <c r="R32" s="683">
        <f t="shared" si="6"/>
        <v>3004882.8787035258</v>
      </c>
      <c r="S32" s="683">
        <f t="shared" si="6"/>
        <v>2884095.0213005813</v>
      </c>
    </row>
    <row r="33" spans="1:34" ht="15">
      <c r="B33" s="685" t="s">
        <v>206</v>
      </c>
      <c r="C33" s="686"/>
      <c r="D33" s="687">
        <f t="shared" si="4"/>
        <v>56728251.939407773</v>
      </c>
      <c r="E33" s="679" t="s">
        <v>236</v>
      </c>
      <c r="F33" s="688" t="e">
        <f t="shared" si="5"/>
        <v>#N/A</v>
      </c>
      <c r="G33" s="689" t="e">
        <f t="shared" si="0"/>
        <v>#N/A</v>
      </c>
      <c r="H33" s="690" t="e">
        <f t="shared" si="1"/>
        <v>#N/A</v>
      </c>
      <c r="M33" s="683">
        <f t="shared" si="6"/>
        <v>60497894</v>
      </c>
      <c r="N33" s="683">
        <f t="shared" si="6"/>
        <v>54594353</v>
      </c>
      <c r="O33" s="683">
        <f t="shared" si="6"/>
        <v>55092508.818223327</v>
      </c>
      <c r="Q33" s="683">
        <f t="shared" si="6"/>
        <v>60125604.820383787</v>
      </c>
      <c r="R33" s="683">
        <f t="shared" si="6"/>
        <v>52534140.167251512</v>
      </c>
      <c r="S33" s="683" t="e">
        <f t="shared" si="6"/>
        <v>#N/A</v>
      </c>
    </row>
    <row r="34" spans="1:34" ht="15">
      <c r="B34" s="685" t="s">
        <v>112</v>
      </c>
      <c r="C34" s="686"/>
      <c r="D34" s="687">
        <f t="shared" si="4"/>
        <v>20052090.808745552</v>
      </c>
      <c r="E34" s="679" t="s">
        <v>236</v>
      </c>
      <c r="F34" s="688">
        <f t="shared" si="5"/>
        <v>20827302.065887939</v>
      </c>
      <c r="G34" s="689">
        <f t="shared" si="0"/>
        <v>775211.25714238733</v>
      </c>
      <c r="H34" s="690">
        <f t="shared" si="1"/>
        <v>3.8659871658085918E-2</v>
      </c>
      <c r="M34" s="683">
        <f t="shared" si="6"/>
        <v>18734413</v>
      </c>
      <c r="N34" s="683">
        <f t="shared" si="6"/>
        <v>21605869</v>
      </c>
      <c r="O34" s="683">
        <f t="shared" si="6"/>
        <v>19815990.426236656</v>
      </c>
      <c r="Q34" s="683">
        <f t="shared" si="6"/>
        <v>18734413.199999999</v>
      </c>
      <c r="R34" s="683">
        <f t="shared" si="6"/>
        <v>21907001.905127473</v>
      </c>
      <c r="S34" s="683">
        <f t="shared" si="6"/>
        <v>21840491.092536345</v>
      </c>
    </row>
    <row r="35" spans="1:34" ht="15">
      <c r="B35" s="685" t="s">
        <v>115</v>
      </c>
      <c r="C35" s="686"/>
      <c r="D35" s="687">
        <f t="shared" si="4"/>
        <v>7455196.5558467098</v>
      </c>
      <c r="E35" s="679" t="s">
        <v>236</v>
      </c>
      <c r="F35" s="688">
        <f t="shared" si="5"/>
        <v>7790549.752276212</v>
      </c>
      <c r="G35" s="689">
        <f t="shared" si="0"/>
        <v>335353.19642950222</v>
      </c>
      <c r="H35" s="690">
        <f t="shared" si="1"/>
        <v>4.4982475501132525E-2</v>
      </c>
      <c r="M35" s="683">
        <f t="shared" si="6"/>
        <v>6925251</v>
      </c>
      <c r="N35" s="683">
        <f t="shared" si="6"/>
        <v>7750547</v>
      </c>
      <c r="O35" s="683">
        <f t="shared" si="6"/>
        <v>7689791.6675401302</v>
      </c>
      <c r="Q35" s="683">
        <f t="shared" si="6"/>
        <v>6951590.3999999994</v>
      </c>
      <c r="R35" s="683">
        <f t="shared" si="6"/>
        <v>8210489.7840723647</v>
      </c>
      <c r="S35" s="683">
        <f t="shared" si="6"/>
        <v>8209569.0727562737</v>
      </c>
    </row>
    <row r="36" spans="1:34" ht="15">
      <c r="B36" s="685" t="s">
        <v>120</v>
      </c>
      <c r="C36" s="686"/>
      <c r="D36" s="687">
        <f t="shared" si="4"/>
        <v>3142870.4044961301</v>
      </c>
      <c r="E36" s="679" t="s">
        <v>236</v>
      </c>
      <c r="F36" s="688">
        <f t="shared" si="5"/>
        <v>3231821.6491960213</v>
      </c>
      <c r="G36" s="689">
        <f t="shared" si="0"/>
        <v>88951.244699891191</v>
      </c>
      <c r="H36" s="690">
        <f t="shared" si="1"/>
        <v>2.8302549342358898E-2</v>
      </c>
      <c r="M36" s="683">
        <f t="shared" si="6"/>
        <v>2909109</v>
      </c>
      <c r="N36" s="683">
        <f t="shared" si="6"/>
        <v>3156958</v>
      </c>
      <c r="O36" s="683">
        <f t="shared" si="6"/>
        <v>3362544.2134883902</v>
      </c>
      <c r="Q36" s="683">
        <f t="shared" si="6"/>
        <v>2972121.3</v>
      </c>
      <c r="R36" s="683">
        <f t="shared" si="6"/>
        <v>3241922.4940257622</v>
      </c>
      <c r="S36" s="683">
        <f t="shared" si="6"/>
        <v>3481421.1535623022</v>
      </c>
    </row>
    <row r="37" spans="1:34" ht="15.75" thickBot="1">
      <c r="B37" s="691" t="s">
        <v>124</v>
      </c>
      <c r="C37" s="692"/>
      <c r="D37" s="693">
        <f t="shared" si="4"/>
        <v>4404643.8716827054</v>
      </c>
      <c r="E37" s="679" t="s">
        <v>236</v>
      </c>
      <c r="F37" s="694">
        <f t="shared" si="5"/>
        <v>4273679.5271427203</v>
      </c>
      <c r="G37" s="695">
        <f t="shared" si="0"/>
        <v>-130964.34453998506</v>
      </c>
      <c r="H37" s="696">
        <f t="shared" si="1"/>
        <v>-2.9733242540208541E-2</v>
      </c>
      <c r="M37" s="683">
        <f t="shared" si="6"/>
        <v>5018756</v>
      </c>
      <c r="N37" s="683">
        <f t="shared" si="6"/>
        <v>4730291</v>
      </c>
      <c r="O37" s="683">
        <f t="shared" si="6"/>
        <v>3464884.6150481161</v>
      </c>
      <c r="Q37" s="683">
        <f t="shared" si="6"/>
        <v>4589844.5119124502</v>
      </c>
      <c r="R37" s="683">
        <f t="shared" si="6"/>
        <v>4589731.7114029042</v>
      </c>
      <c r="S37" s="683">
        <f t="shared" si="6"/>
        <v>3641462.3581128065</v>
      </c>
    </row>
    <row r="38" spans="1:34" ht="15">
      <c r="D38" s="588">
        <f>SUM(D28:D37)</f>
        <v>129548415.66666666</v>
      </c>
      <c r="F38" s="683" t="e">
        <f>SUM(F28:F37)</f>
        <v>#N/A</v>
      </c>
      <c r="M38" s="697">
        <f>SUM(M28:M37)</f>
        <v>133266168</v>
      </c>
      <c r="N38" s="697">
        <f>SUM(N28:N37)</f>
        <v>128674210</v>
      </c>
      <c r="O38" s="697">
        <f>SUM(O28:O37)</f>
        <v>126704869.00000001</v>
      </c>
      <c r="Q38" s="698">
        <f>SUM(Q28:Q37)</f>
        <v>133266167.99999994</v>
      </c>
      <c r="R38" s="698">
        <f t="shared" ref="R38:S38" si="7">SUM(R28:R37)</f>
        <v>128674211.00000001</v>
      </c>
      <c r="S38" s="698" t="e">
        <f t="shared" si="7"/>
        <v>#N/A</v>
      </c>
    </row>
    <row r="39" spans="1:34">
      <c r="T39" s="699" t="s">
        <v>264</v>
      </c>
      <c r="U39" s="700"/>
      <c r="V39" s="700"/>
      <c r="W39" s="700"/>
      <c r="X39" s="700"/>
      <c r="Y39" s="700"/>
      <c r="Z39" s="604" t="s">
        <v>265</v>
      </c>
    </row>
    <row r="40" spans="1:34" ht="50.45" customHeight="1">
      <c r="A40" s="701" t="s">
        <v>29</v>
      </c>
      <c r="B40" s="702" t="s">
        <v>171</v>
      </c>
      <c r="C40" s="671" t="s">
        <v>171</v>
      </c>
      <c r="D40" s="672" t="s">
        <v>258</v>
      </c>
      <c r="E40" s="673"/>
      <c r="F40" s="672" t="s">
        <v>259</v>
      </c>
      <c r="G40" s="673" t="s">
        <v>260</v>
      </c>
      <c r="H40" s="672" t="s">
        <v>204</v>
      </c>
      <c r="M40" s="674" t="s">
        <v>261</v>
      </c>
      <c r="N40" s="674"/>
      <c r="O40" s="674"/>
      <c r="Q40" s="674" t="s">
        <v>262</v>
      </c>
      <c r="R40" s="674"/>
      <c r="S40" s="674"/>
      <c r="T40" s="703">
        <v>2024</v>
      </c>
      <c r="U40" s="703"/>
      <c r="V40" s="703">
        <v>2025</v>
      </c>
      <c r="W40" s="703"/>
      <c r="X40" s="703">
        <v>2026</v>
      </c>
      <c r="Y40" s="703"/>
      <c r="Z40" s="703">
        <v>2024</v>
      </c>
      <c r="AA40" s="703"/>
      <c r="AB40" s="703">
        <v>2025</v>
      </c>
      <c r="AC40" s="703"/>
      <c r="AD40" s="703">
        <v>2026</v>
      </c>
      <c r="AE40" s="703"/>
    </row>
    <row r="41" spans="1:34" ht="0.6" customHeight="1">
      <c r="A41" s="704"/>
      <c r="B41" s="705"/>
      <c r="M41" s="584">
        <v>2024</v>
      </c>
      <c r="N41" s="584">
        <v>2025</v>
      </c>
      <c r="O41" s="584">
        <v>2026</v>
      </c>
      <c r="Q41" s="584">
        <v>2024</v>
      </c>
      <c r="R41" s="584">
        <v>2025</v>
      </c>
      <c r="S41" s="584">
        <v>2026</v>
      </c>
    </row>
    <row r="42" spans="1:34" ht="15">
      <c r="A42" s="584" t="s">
        <v>82</v>
      </c>
      <c r="B42" s="585" t="s">
        <v>83</v>
      </c>
      <c r="C42" s="584"/>
      <c r="D42" s="609">
        <f>AVERAGE(M42:O42)</f>
        <v>625122.73690211866</v>
      </c>
      <c r="E42" s="706" t="s">
        <v>236</v>
      </c>
      <c r="F42" s="609">
        <f>AVERAGE(Q42:S42)</f>
        <v>654088.21210374485</v>
      </c>
      <c r="G42" s="689">
        <f t="shared" ref="G42:G80" si="8">F42-D42</f>
        <v>28965.475201626192</v>
      </c>
      <c r="H42" s="707">
        <f t="shared" ref="H42:H80" si="9">G42/D42</f>
        <v>4.6335660969825818E-2</v>
      </c>
      <c r="K42" s="572" t="s">
        <v>396</v>
      </c>
      <c r="M42" s="683">
        <f>VLOOKUP($B42,'Comparisons-24'!$B$35:$P$74, 2, FALSE)</f>
        <v>679385</v>
      </c>
      <c r="N42" s="683">
        <f>VLOOKUP($B42,'Comparisons-25'!$B$35:$AB$74, 2, FALSE)</f>
        <v>641176</v>
      </c>
      <c r="O42" s="683">
        <f>VLOOKUP($B42,'Comparisons-26'!$B$35:$BR$72, 2, FALSE)</f>
        <v>554807.21070635587</v>
      </c>
      <c r="Q42" s="729">
        <f>VLOOKUP(B42,'S6C-Avg-24'!$B$11:$BY$50, 76, FALSE)</f>
        <v>681896.98912629881</v>
      </c>
      <c r="R42" s="729">
        <f>VLOOKUP(B42, 'S6C-Avg-25'!$B$11:$BZ$50, 77, FALSE)</f>
        <v>675755.96796433732</v>
      </c>
      <c r="S42" s="729">
        <f>VLOOKUP(B42, 'S6C-Avg-26'!$B$12:$BZ$49, 77, FALSE)</f>
        <v>604611.67922059842</v>
      </c>
      <c r="T42" s="689">
        <f t="shared" ref="T42" si="10">Q42-M42</f>
        <v>2511.9891262988094</v>
      </c>
      <c r="U42" s="708">
        <f t="shared" ref="U42" si="11">T42/M42</f>
        <v>3.6974456696848021E-3</v>
      </c>
      <c r="V42" s="689">
        <f t="shared" ref="V42" si="12">R42-N42</f>
        <v>34579.967964337324</v>
      </c>
      <c r="W42" s="708">
        <f t="shared" ref="W42" si="13">V42/N42</f>
        <v>5.3932099711058001E-2</v>
      </c>
      <c r="X42" s="689">
        <f t="shared" ref="X42" si="14">S42-O42</f>
        <v>49804.468514242559</v>
      </c>
      <c r="Y42" s="708">
        <f t="shared" ref="Y42" si="15">X42/O42</f>
        <v>8.9768963980900188E-2</v>
      </c>
      <c r="AF42" s="588">
        <f>SUM(Q42:S42)</f>
        <v>1962264.6363112347</v>
      </c>
      <c r="AG42" s="588">
        <f t="shared" ref="AG42:AG80" si="16">AF42/3</f>
        <v>654088.21210374485</v>
      </c>
      <c r="AH42" s="588">
        <f>F42-AG42</f>
        <v>0</v>
      </c>
    </row>
    <row r="43" spans="1:34" ht="15">
      <c r="A43" s="584" t="s">
        <v>82</v>
      </c>
      <c r="B43" s="585" t="s">
        <v>84</v>
      </c>
      <c r="C43" s="584"/>
      <c r="D43" s="609">
        <f t="shared" ref="D43:D80" si="17">AVERAGE(M43:O43)</f>
        <v>121343.8</v>
      </c>
      <c r="E43" s="706" t="s">
        <v>236</v>
      </c>
      <c r="F43" s="609">
        <f t="shared" ref="F43:F80" si="18">AVERAGE(Q43:S43)</f>
        <v>121413.25932109046</v>
      </c>
      <c r="G43" s="689">
        <f t="shared" si="8"/>
        <v>69.459321090456797</v>
      </c>
      <c r="H43" s="707">
        <f t="shared" si="9"/>
        <v>5.7241755318736352E-4</v>
      </c>
      <c r="I43" s="709"/>
      <c r="K43" s="572" t="s">
        <v>84</v>
      </c>
      <c r="M43" s="683">
        <f>VLOOKUP($B43,'Comparisons-24'!$B$35:$P$74, 2, FALSE)</f>
        <v>135923</v>
      </c>
      <c r="N43" s="683">
        <f>VLOOKUP($B43,'Comparisons-25'!$B$35:$AB$74, 2, FALSE)</f>
        <v>119644</v>
      </c>
      <c r="O43" s="683">
        <f>VLOOKUP($B43,'Comparisons-26'!$B$35:$BR$72, 2, FALSE)</f>
        <v>108464.4</v>
      </c>
      <c r="Q43" s="729">
        <f>VLOOKUP(B43,'S6C-Avg-24'!$B$11:$BY$50, 76, FALSE)</f>
        <v>136131.17796327139</v>
      </c>
      <c r="R43" s="729">
        <f>VLOOKUP(B43, 'S6C-Avg-25'!$B$11:$BZ$50, 77, FALSE)</f>
        <v>119644.2</v>
      </c>
      <c r="S43" s="729">
        <f>VLOOKUP(B43, 'S6C-Avg-26'!$B$12:$BZ$49, 77, FALSE)</f>
        <v>108464.4</v>
      </c>
      <c r="AF43" s="588">
        <f t="shared" ref="AF43:AF80" si="19">SUM(Q43:S43)</f>
        <v>364239.77796327136</v>
      </c>
      <c r="AG43" s="588">
        <f t="shared" si="16"/>
        <v>121413.25932109046</v>
      </c>
      <c r="AH43" s="588">
        <f t="shared" ref="AH43:AH80" si="20">F43-AG43</f>
        <v>0</v>
      </c>
    </row>
    <row r="44" spans="1:34" ht="15">
      <c r="A44" s="584" t="s">
        <v>82</v>
      </c>
      <c r="B44" s="585" t="s">
        <v>85</v>
      </c>
      <c r="C44" s="584"/>
      <c r="D44" s="609">
        <f t="shared" si="17"/>
        <v>742893.1932213885</v>
      </c>
      <c r="E44" s="706" t="s">
        <v>236</v>
      </c>
      <c r="F44" s="609">
        <f t="shared" si="18"/>
        <v>740034.56536466628</v>
      </c>
      <c r="G44" s="689">
        <f t="shared" si="8"/>
        <v>-2858.627856722218</v>
      </c>
      <c r="H44" s="707">
        <f t="shared" si="9"/>
        <v>-3.8479661448053174E-3</v>
      </c>
      <c r="I44" s="709"/>
      <c r="K44" s="572" t="s">
        <v>397</v>
      </c>
      <c r="M44" s="683">
        <f>VLOOKUP($B44,'Comparisons-24'!$B$35:$P$74, 2, FALSE)</f>
        <v>787517</v>
      </c>
      <c r="N44" s="683">
        <f>VLOOKUP($B44,'Comparisons-25'!$B$35:$AB$74, 2, FALSE)</f>
        <v>760150</v>
      </c>
      <c r="O44" s="683">
        <f>VLOOKUP($B44,'Comparisons-26'!$B$35:$BR$72, 2, FALSE)</f>
        <v>681012.57966416562</v>
      </c>
      <c r="Q44" s="729">
        <f>VLOOKUP(B44,'S6C-Avg-24'!$B$11:$BY$50, 76, FALSE)</f>
        <v>767333.80462095793</v>
      </c>
      <c r="R44" s="729">
        <f>VLOOKUP(B44, 'S6C-Avg-25'!$B$11:$BZ$50, 77, FALSE)</f>
        <v>735858.11352950241</v>
      </c>
      <c r="S44" s="729">
        <f>VLOOKUP(B44, 'S6C-Avg-26'!$B$12:$BZ$49, 77, FALSE)</f>
        <v>716911.77794353862</v>
      </c>
      <c r="AF44" s="588">
        <f t="shared" si="19"/>
        <v>2220103.6960939988</v>
      </c>
      <c r="AG44" s="588">
        <f t="shared" si="16"/>
        <v>740034.56536466628</v>
      </c>
      <c r="AH44" s="588">
        <f t="shared" si="20"/>
        <v>0</v>
      </c>
    </row>
    <row r="45" spans="1:34" ht="15">
      <c r="A45" s="584" t="s">
        <v>82</v>
      </c>
      <c r="B45" s="585" t="s">
        <v>86</v>
      </c>
      <c r="C45" s="584"/>
      <c r="D45" s="609">
        <f t="shared" si="17"/>
        <v>642599.53505679057</v>
      </c>
      <c r="E45" s="706" t="s">
        <v>236</v>
      </c>
      <c r="F45" s="609">
        <f t="shared" si="18"/>
        <v>647500</v>
      </c>
      <c r="G45" s="689">
        <f t="shared" si="8"/>
        <v>4900.4649432094302</v>
      </c>
      <c r="H45" s="707">
        <f t="shared" si="9"/>
        <v>7.6260013832352763E-3</v>
      </c>
      <c r="K45" s="572" t="s">
        <v>398</v>
      </c>
      <c r="M45" s="683">
        <f>VLOOKUP($B45,'Comparisons-24'!$B$35:$P$74, 2, FALSE)</f>
        <v>650062</v>
      </c>
      <c r="N45" s="683">
        <f>VLOOKUP($B45,'Comparisons-25'!$B$35:$AB$74, 2, FALSE)</f>
        <v>645662</v>
      </c>
      <c r="O45" s="683">
        <f>VLOOKUP($B45,'Comparisons-26'!$B$35:$BR$72, 2, FALSE)</f>
        <v>632074.60517037171</v>
      </c>
      <c r="Q45" s="729">
        <f>VLOOKUP(B45,'S6C-Avg-24'!$B$11:$BY$50, 76, FALSE)</f>
        <v>650061.9</v>
      </c>
      <c r="R45" s="729">
        <f>VLOOKUP(B45, 'S6C-Avg-25'!$B$11:$BZ$50, 77, FALSE)</f>
        <v>645662.4</v>
      </c>
      <c r="S45" s="729">
        <f>VLOOKUP(B45, 'S6C-Avg-26'!$B$12:$BZ$49, 77, FALSE)</f>
        <v>646775.69999999995</v>
      </c>
      <c r="T45" s="689">
        <f t="shared" ref="T45:T46" si="21">Q45-M45</f>
        <v>-9.9999999976716936E-2</v>
      </c>
      <c r="U45" s="708">
        <f t="shared" ref="U45:U46" si="22">T45/M45</f>
        <v>-1.5383148065371755E-7</v>
      </c>
      <c r="V45" s="689">
        <f t="shared" ref="V45:V46" si="23">R45-N45</f>
        <v>0.40000000002328306</v>
      </c>
      <c r="W45" s="708">
        <f t="shared" ref="W45:W46" si="24">V45/N45</f>
        <v>6.195191911918048E-7</v>
      </c>
      <c r="X45" s="689">
        <f t="shared" ref="X45:X46" si="25">S45-O45</f>
        <v>14701.094829628244</v>
      </c>
      <c r="Y45" s="708">
        <f t="shared" ref="Y45:Y46" si="26">X45/O45</f>
        <v>2.3258480422047104E-2</v>
      </c>
      <c r="AF45" s="588">
        <f t="shared" si="19"/>
        <v>1942500</v>
      </c>
      <c r="AG45" s="588">
        <f t="shared" si="16"/>
        <v>647500</v>
      </c>
      <c r="AH45" s="588">
        <f t="shared" si="20"/>
        <v>0</v>
      </c>
    </row>
    <row r="46" spans="1:34" ht="15">
      <c r="A46" s="584" t="s">
        <v>82</v>
      </c>
      <c r="B46" s="585" t="s">
        <v>87</v>
      </c>
      <c r="C46" s="584"/>
      <c r="D46" s="609">
        <f t="shared" si="17"/>
        <v>125488.87472202133</v>
      </c>
      <c r="E46" s="706" t="s">
        <v>236</v>
      </c>
      <c r="F46" s="609">
        <f t="shared" si="18"/>
        <v>137177.4037576197</v>
      </c>
      <c r="G46" s="689">
        <f t="shared" si="8"/>
        <v>11688.529035598374</v>
      </c>
      <c r="H46" s="707">
        <f t="shared" si="9"/>
        <v>9.3143946517094886E-2</v>
      </c>
      <c r="K46" s="572" t="s">
        <v>399</v>
      </c>
      <c r="M46" s="683">
        <f>VLOOKUP($B46,'Comparisons-24'!$B$35:$P$74, 2, FALSE)</f>
        <v>140658</v>
      </c>
      <c r="N46" s="683">
        <f>VLOOKUP($B46,'Comparisons-25'!$B$35:$AB$74, 2, FALSE)</f>
        <v>127169</v>
      </c>
      <c r="O46" s="683">
        <f>VLOOKUP($B46,'Comparisons-26'!$B$35:$BR$72, 2, FALSE)</f>
        <v>108639.62416606396</v>
      </c>
      <c r="Q46" s="729">
        <f>VLOOKUP(B46,'S6C-Avg-24'!$B$11:$BY$50, 76, FALSE)</f>
        <v>142818</v>
      </c>
      <c r="R46" s="729">
        <f>VLOOKUP(B46, 'S6C-Avg-25'!$B$11:$BZ$50, 77, FALSE)</f>
        <v>138073.4933611321</v>
      </c>
      <c r="S46" s="729">
        <f>VLOOKUP(B46, 'S6C-Avg-26'!$B$12:$BZ$49, 77, FALSE)</f>
        <v>130640.71791172706</v>
      </c>
      <c r="T46" s="689">
        <f t="shared" si="21"/>
        <v>2160</v>
      </c>
      <c r="U46" s="708">
        <f t="shared" si="22"/>
        <v>1.535639636565286E-2</v>
      </c>
      <c r="V46" s="689">
        <f t="shared" si="23"/>
        <v>10904.493361132103</v>
      </c>
      <c r="W46" s="708">
        <f t="shared" si="24"/>
        <v>8.5748046781307569E-2</v>
      </c>
      <c r="X46" s="689">
        <f t="shared" si="25"/>
        <v>22001.093745663093</v>
      </c>
      <c r="Y46" s="708">
        <f t="shared" si="26"/>
        <v>0.20251445008713156</v>
      </c>
      <c r="AF46" s="588">
        <f t="shared" si="19"/>
        <v>411532.21127285913</v>
      </c>
      <c r="AG46" s="588">
        <f t="shared" si="16"/>
        <v>137177.4037576197</v>
      </c>
      <c r="AH46" s="588">
        <f t="shared" si="20"/>
        <v>0</v>
      </c>
    </row>
    <row r="47" spans="1:34" ht="15">
      <c r="A47" s="584" t="s">
        <v>88</v>
      </c>
      <c r="B47" s="585" t="s">
        <v>89</v>
      </c>
      <c r="C47" s="584"/>
      <c r="D47" s="609">
        <f t="shared" si="17"/>
        <v>2971811.8341092449</v>
      </c>
      <c r="E47" s="706" t="s">
        <v>236</v>
      </c>
      <c r="F47" s="609">
        <f t="shared" si="18"/>
        <v>2961002.1015986931</v>
      </c>
      <c r="G47" s="689">
        <f t="shared" si="8"/>
        <v>-10809.73251055181</v>
      </c>
      <c r="H47" s="707">
        <f t="shared" si="9"/>
        <v>-3.6374215845303886E-3</v>
      </c>
      <c r="I47" s="572" t="s">
        <v>266</v>
      </c>
      <c r="K47" s="572" t="s">
        <v>400</v>
      </c>
      <c r="M47" s="683">
        <f>VLOOKUP($B47,'Comparisons-24'!$B$35:$P$74, 2, FALSE)</f>
        <v>2759211</v>
      </c>
      <c r="N47" s="683">
        <f>VLOOKUP($B47,'Comparisons-25'!$B$35:$AB$74, 2, FALSE)</f>
        <v>2600883</v>
      </c>
      <c r="O47" s="683">
        <f>VLOOKUP($B47,'Comparisons-26'!$B$35:$BR$72, 2, FALSE)</f>
        <v>3555341.5023277341</v>
      </c>
      <c r="Q47" s="729">
        <f>VLOOKUP(B47,'S6C-Avg-24'!$B$11:$BY$50, 76, FALSE)</f>
        <v>2759210.6999999997</v>
      </c>
      <c r="R47" s="729">
        <f>VLOOKUP(B47, 'S6C-Avg-25'!$B$11:$BZ$50, 77, FALSE)</f>
        <v>2753896.7051530592</v>
      </c>
      <c r="S47" s="729">
        <f>VLOOKUP(B47, 'S6C-Avg-26'!$B$12:$BZ$49, 77, FALSE)</f>
        <v>3369898.8996430207</v>
      </c>
      <c r="AF47" s="588">
        <f t="shared" si="19"/>
        <v>8883006.3047960792</v>
      </c>
      <c r="AG47" s="588">
        <f t="shared" si="16"/>
        <v>2961002.1015986931</v>
      </c>
      <c r="AH47" s="588">
        <f t="shared" si="20"/>
        <v>0</v>
      </c>
    </row>
    <row r="48" spans="1:34" ht="15">
      <c r="A48" s="584" t="s">
        <v>90</v>
      </c>
      <c r="B48" s="585" t="s">
        <v>91</v>
      </c>
      <c r="C48" s="584"/>
      <c r="D48" s="609">
        <f t="shared" si="17"/>
        <v>1071485.0448851464</v>
      </c>
      <c r="E48" s="706" t="s">
        <v>236</v>
      </c>
      <c r="F48" s="609">
        <f t="shared" si="18"/>
        <v>981375.03751620231</v>
      </c>
      <c r="G48" s="689">
        <f t="shared" si="8"/>
        <v>-90110.00736894412</v>
      </c>
      <c r="H48" s="707">
        <f t="shared" si="9"/>
        <v>-8.4098240847218828E-2</v>
      </c>
      <c r="I48" s="709"/>
      <c r="K48" s="572" t="s">
        <v>401</v>
      </c>
      <c r="M48" s="683">
        <f>VLOOKUP($B48,'Comparisons-24'!$B$35:$P$74, 2, FALSE)</f>
        <v>1083494</v>
      </c>
      <c r="N48" s="683">
        <f>VLOOKUP($B48,'Comparisons-25'!$B$35:$AB$74, 2, FALSE)</f>
        <v>1053666</v>
      </c>
      <c r="O48" s="683">
        <f>VLOOKUP($B48,'Comparisons-26'!$B$35:$BR$72, 2, FALSE)</f>
        <v>1077295.1346554393</v>
      </c>
      <c r="Q48" s="729">
        <f>VLOOKUP(B48,'S6C-Avg-24'!$B$11:$BY$50, 76, FALSE)</f>
        <v>1008347.81366619</v>
      </c>
      <c r="R48" s="729">
        <f>VLOOKUP(B48, 'S6C-Avg-25'!$B$11:$BZ$50, 77, FALSE)</f>
        <v>956506.27257589577</v>
      </c>
      <c r="S48" s="729">
        <f>VLOOKUP(B48, 'S6C-Avg-26'!$B$12:$BZ$49, 77, FALSE)</f>
        <v>979271.02630652103</v>
      </c>
      <c r="AF48" s="588">
        <f t="shared" si="19"/>
        <v>2944125.1125486069</v>
      </c>
      <c r="AG48" s="588">
        <f t="shared" si="16"/>
        <v>981375.03751620231</v>
      </c>
      <c r="AH48" s="588">
        <f t="shared" si="20"/>
        <v>0</v>
      </c>
    </row>
    <row r="49" spans="1:34" ht="15">
      <c r="A49" s="685" t="s">
        <v>263</v>
      </c>
      <c r="B49" s="585" t="s">
        <v>93</v>
      </c>
      <c r="C49" s="584"/>
      <c r="D49" s="609">
        <f t="shared" si="17"/>
        <v>430650.67377976741</v>
      </c>
      <c r="E49" s="706" t="s">
        <v>236</v>
      </c>
      <c r="F49" s="609">
        <f t="shared" si="18"/>
        <v>475664.490380592</v>
      </c>
      <c r="G49" s="689">
        <f t="shared" si="8"/>
        <v>45013.81660082459</v>
      </c>
      <c r="H49" s="707">
        <f t="shared" si="9"/>
        <v>0.10452512753723085</v>
      </c>
      <c r="I49" s="709"/>
      <c r="K49" s="572" t="s">
        <v>93</v>
      </c>
      <c r="M49" s="683">
        <f>VLOOKUP($B49,'Comparisons-24'!$B$35:$P$74, 2, FALSE)</f>
        <v>484752</v>
      </c>
      <c r="N49" s="683">
        <f>VLOOKUP($B49,'Comparisons-25'!$B$35:$AB$74, 2, FALSE)</f>
        <v>434023</v>
      </c>
      <c r="O49" s="683">
        <f>VLOOKUP($B49,'Comparisons-26'!$B$35:$BR$72, 2, FALSE)</f>
        <v>373177.02133930218</v>
      </c>
      <c r="Q49" s="729">
        <f>VLOOKUP(B49,'S6C-Avg-24'!$B$11:$BY$50, 76, FALSE)</f>
        <v>502473.36489630752</v>
      </c>
      <c r="R49" s="729">
        <f>VLOOKUP(B49, 'S6C-Avg-25'!$B$11:$BZ$50, 77, FALSE)</f>
        <v>471722.90897936048</v>
      </c>
      <c r="S49" s="729">
        <f>VLOOKUP(B49, 'S6C-Avg-26'!$B$12:$BZ$49, 77, FALSE)</f>
        <v>452797.19726610801</v>
      </c>
      <c r="AF49" s="588">
        <f t="shared" si="19"/>
        <v>1426993.4711417761</v>
      </c>
      <c r="AG49" s="588">
        <f t="shared" si="16"/>
        <v>475664.490380592</v>
      </c>
      <c r="AH49" s="588">
        <f t="shared" si="20"/>
        <v>0</v>
      </c>
    </row>
    <row r="50" spans="1:34" ht="15">
      <c r="A50" s="685" t="s">
        <v>263</v>
      </c>
      <c r="B50" s="585" t="s">
        <v>94</v>
      </c>
      <c r="C50" s="584"/>
      <c r="D50" s="609">
        <f t="shared" si="17"/>
        <v>54768.189319748861</v>
      </c>
      <c r="E50" s="706" t="s">
        <v>236</v>
      </c>
      <c r="F50" s="609">
        <f t="shared" si="18"/>
        <v>53095.669813017332</v>
      </c>
      <c r="G50" s="689">
        <f t="shared" si="8"/>
        <v>-1672.519506731529</v>
      </c>
      <c r="H50" s="707">
        <f t="shared" si="9"/>
        <v>-3.0538155953394559E-2</v>
      </c>
      <c r="K50" s="572" t="s">
        <v>402</v>
      </c>
      <c r="M50" s="683">
        <f>VLOOKUP($B50,'Comparisons-24'!$B$35:$P$74, 2, FALSE)</f>
        <v>50261</v>
      </c>
      <c r="N50" s="683">
        <f>VLOOKUP($B50,'Comparisons-25'!$B$35:$AB$74, 2, FALSE)</f>
        <v>57885</v>
      </c>
      <c r="O50" s="683">
        <f>VLOOKUP($B50,'Comparisons-26'!$B$35:$BR$72, 2, FALSE)</f>
        <v>56158.567959246582</v>
      </c>
      <c r="Q50" s="729">
        <f>VLOOKUP(B50,'S6C-Avg-24'!$B$11:$BY$50, 76, FALSE)</f>
        <v>50261.4</v>
      </c>
      <c r="R50" s="729">
        <f>VLOOKUP(B50, 'S6C-Avg-25'!$B$11:$BZ$50, 77, FALSE)</f>
        <v>55851.40709841581</v>
      </c>
      <c r="S50" s="729">
        <f>VLOOKUP(B50, 'S6C-Avg-26'!$B$12:$BZ$49, 77, FALSE)</f>
        <v>53174.202340636191</v>
      </c>
      <c r="T50" s="689">
        <f t="shared" ref="T50" si="27">Q50-M50</f>
        <v>0.40000000000145519</v>
      </c>
      <c r="U50" s="708">
        <f t="shared" ref="U50" si="28">T50/M50</f>
        <v>7.9584568552447264E-6</v>
      </c>
      <c r="V50" s="689">
        <f t="shared" ref="V50" si="29">R50-N50</f>
        <v>-2033.5929015841903</v>
      </c>
      <c r="W50" s="708">
        <f t="shared" ref="W50" si="30">V50/N50</f>
        <v>-3.5131604069865943E-2</v>
      </c>
      <c r="X50" s="689">
        <f t="shared" ref="X50" si="31">S50-O50</f>
        <v>-2984.3656186103908</v>
      </c>
      <c r="Y50" s="708">
        <f t="shared" ref="Y50" si="32">X50/O50</f>
        <v>-5.3141768514754502E-2</v>
      </c>
      <c r="AF50" s="588">
        <f t="shared" si="19"/>
        <v>159287.009439052</v>
      </c>
      <c r="AG50" s="588">
        <f t="shared" si="16"/>
        <v>53095.669813017332</v>
      </c>
      <c r="AH50" s="588">
        <f t="shared" si="20"/>
        <v>0</v>
      </c>
    </row>
    <row r="51" spans="1:34" ht="15">
      <c r="A51" s="685" t="s">
        <v>263</v>
      </c>
      <c r="B51" s="585" t="s">
        <v>95</v>
      </c>
      <c r="C51" s="584"/>
      <c r="D51" s="609">
        <f t="shared" si="17"/>
        <v>25537379.304951597</v>
      </c>
      <c r="E51" s="706" t="s">
        <v>236</v>
      </c>
      <c r="F51" s="609">
        <f t="shared" si="18"/>
        <v>26093007.105386794</v>
      </c>
      <c r="G51" s="689">
        <f t="shared" si="8"/>
        <v>555627.80043519661</v>
      </c>
      <c r="H51" s="707">
        <f t="shared" si="9"/>
        <v>2.1757432264299045E-2</v>
      </c>
      <c r="I51" s="572" t="s">
        <v>266</v>
      </c>
      <c r="K51" s="572" t="s">
        <v>403</v>
      </c>
      <c r="M51" s="683">
        <f>VLOOKUP($B51,'Comparisons-24'!$B$35:$P$74, 2, FALSE)</f>
        <v>26837084</v>
      </c>
      <c r="N51" s="683">
        <f>VLOOKUP($B51,'Comparisons-25'!$B$35:$AB$74, 2, FALSE)</f>
        <v>24937766</v>
      </c>
      <c r="O51" s="683">
        <f>VLOOKUP($B51,'Comparisons-26'!$B$35:$BR$72, 2, FALSE)</f>
        <v>24837287.914854791</v>
      </c>
      <c r="Q51" s="729">
        <f>VLOOKUP(B51,'S6C-Avg-24'!$B$11:$BY$50, 76, FALSE)</f>
        <v>27221640.531041134</v>
      </c>
      <c r="R51" s="729">
        <f>VLOOKUP(B51, 'S6C-Avg-25'!$B$11:$BZ$50, 77, FALSE)</f>
        <v>25875012.285110895</v>
      </c>
      <c r="S51" s="729">
        <f>VLOOKUP(B51, 'S6C-Avg-26'!$B$12:$BZ$49, 77, FALSE)</f>
        <v>25182368.500008345</v>
      </c>
      <c r="AF51" s="588">
        <f t="shared" si="19"/>
        <v>78279021.316160381</v>
      </c>
      <c r="AG51" s="588">
        <f t="shared" si="16"/>
        <v>26093007.105386794</v>
      </c>
      <c r="AH51" s="588">
        <f t="shared" si="20"/>
        <v>0</v>
      </c>
    </row>
    <row r="52" spans="1:34" ht="15">
      <c r="A52" s="685" t="s">
        <v>263</v>
      </c>
      <c r="B52" s="585" t="s">
        <v>96</v>
      </c>
      <c r="C52" s="584"/>
      <c r="D52" s="609">
        <f t="shared" si="17"/>
        <v>371186.63436863339</v>
      </c>
      <c r="E52" s="706" t="s">
        <v>236</v>
      </c>
      <c r="F52" s="609">
        <f t="shared" si="18"/>
        <v>379553.60000000003</v>
      </c>
      <c r="G52" s="689">
        <f t="shared" si="8"/>
        <v>8366.9656313666492</v>
      </c>
      <c r="H52" s="707">
        <f t="shared" si="9"/>
        <v>2.2541128523117123E-2</v>
      </c>
      <c r="K52" s="572" t="s">
        <v>96</v>
      </c>
      <c r="M52" s="683">
        <f>VLOOKUP($B52,'Comparisons-24'!$B$35:$P$74, 2, FALSE)</f>
        <v>360295</v>
      </c>
      <c r="N52" s="683">
        <f>VLOOKUP($B52,'Comparisons-25'!$B$35:$AB$74, 2, FALSE)</f>
        <v>374043</v>
      </c>
      <c r="O52" s="683">
        <f>VLOOKUP($B52,'Comparisons-26'!$B$35:$BR$72, 2, FALSE)</f>
        <v>379221.9031059001</v>
      </c>
      <c r="Q52" s="729">
        <f>VLOOKUP(B52,'S6C-Avg-24'!$B$11:$BY$50, 76, FALSE)</f>
        <v>360295.2</v>
      </c>
      <c r="R52" s="729">
        <f>VLOOKUP(B52, 'S6C-Avg-25'!$B$11:$BZ$50, 77, FALSE)</f>
        <v>374042.7</v>
      </c>
      <c r="S52" s="729">
        <f>VLOOKUP(B52, 'S6C-Avg-26'!$B$12:$BZ$49, 77, FALSE)</f>
        <v>404322.89999999997</v>
      </c>
      <c r="T52" s="689">
        <f t="shared" ref="T52:T53" si="33">Q52-M52</f>
        <v>0.20000000001164153</v>
      </c>
      <c r="U52" s="708">
        <f t="shared" ref="U52:U53" si="34">T52/M52</f>
        <v>5.5510068141839756E-7</v>
      </c>
      <c r="V52" s="689">
        <f t="shared" ref="V52:V53" si="35">R52-N52</f>
        <v>-0.29999999998835847</v>
      </c>
      <c r="W52" s="708">
        <f t="shared" ref="W52:W53" si="36">V52/N52</f>
        <v>-8.0204682346243205E-7</v>
      </c>
      <c r="X52" s="689">
        <f t="shared" ref="X52:X53" si="37">S52-O52</f>
        <v>25100.996894099866</v>
      </c>
      <c r="Y52" s="708">
        <f t="shared" ref="Y52:Y53" si="38">X52/O52</f>
        <v>6.619078879283577E-2</v>
      </c>
      <c r="AF52" s="588">
        <f t="shared" si="19"/>
        <v>1138660.8</v>
      </c>
      <c r="AG52" s="588">
        <f t="shared" si="16"/>
        <v>379553.60000000003</v>
      </c>
      <c r="AH52" s="588">
        <f t="shared" si="20"/>
        <v>0</v>
      </c>
    </row>
    <row r="53" spans="1:34" ht="15">
      <c r="A53" s="685" t="s">
        <v>263</v>
      </c>
      <c r="B53" s="585" t="s">
        <v>97</v>
      </c>
      <c r="C53" s="584"/>
      <c r="D53" s="609">
        <f t="shared" si="17"/>
        <v>17018.733333333334</v>
      </c>
      <c r="E53" s="706" t="s">
        <v>236</v>
      </c>
      <c r="F53" s="609">
        <f t="shared" si="18"/>
        <v>16202.862836346592</v>
      </c>
      <c r="G53" s="689">
        <f t="shared" si="8"/>
        <v>-815.87049698674127</v>
      </c>
      <c r="H53" s="707">
        <f t="shared" si="9"/>
        <v>-4.7939554666430795E-2</v>
      </c>
      <c r="K53" s="572" t="s">
        <v>404</v>
      </c>
      <c r="M53" s="683">
        <f>VLOOKUP($B53,'Comparisons-24'!$B$35:$P$74, 2, FALSE)</f>
        <v>17722</v>
      </c>
      <c r="N53" s="683">
        <f>VLOOKUP($B53,'Comparisons-25'!$B$35:$AB$74, 2, FALSE)</f>
        <v>11946</v>
      </c>
      <c r="O53" s="683">
        <f>VLOOKUP($B53,'Comparisons-26'!$B$35:$BR$72, 2, FALSE)</f>
        <v>21388.2</v>
      </c>
      <c r="Q53" s="729">
        <f>VLOOKUP(B53,'S6C-Avg-24'!$B$11:$BY$50, 76, FALSE)</f>
        <v>16406.982865183094</v>
      </c>
      <c r="R53" s="729">
        <f>VLOOKUP(B53, 'S6C-Avg-25'!$B$11:$BZ$50, 77, FALSE)</f>
        <v>10813.405643856689</v>
      </c>
      <c r="S53" s="729">
        <f>VLOOKUP(B53, 'S6C-Avg-26'!$B$12:$BZ$49, 77, FALSE)</f>
        <v>21388.2</v>
      </c>
      <c r="T53" s="689">
        <f t="shared" si="33"/>
        <v>-1315.017134816906</v>
      </c>
      <c r="U53" s="708">
        <f t="shared" si="34"/>
        <v>-7.4202524253295682E-2</v>
      </c>
      <c r="V53" s="689">
        <f t="shared" si="35"/>
        <v>-1132.5943561433105</v>
      </c>
      <c r="W53" s="708">
        <f t="shared" si="36"/>
        <v>-9.4809505787988496E-2</v>
      </c>
      <c r="X53" s="689">
        <f t="shared" si="37"/>
        <v>0</v>
      </c>
      <c r="Y53" s="708">
        <f t="shared" si="38"/>
        <v>0</v>
      </c>
      <c r="AF53" s="588">
        <f t="shared" si="19"/>
        <v>48608.588509039779</v>
      </c>
      <c r="AG53" s="588">
        <f t="shared" si="16"/>
        <v>16202.862836346592</v>
      </c>
      <c r="AH53" s="588">
        <f t="shared" si="20"/>
        <v>0</v>
      </c>
    </row>
    <row r="54" spans="1:34" ht="15">
      <c r="A54" s="685" t="s">
        <v>263</v>
      </c>
      <c r="B54" s="585" t="s">
        <v>98</v>
      </c>
      <c r="C54" s="584"/>
      <c r="D54" s="609">
        <f t="shared" si="17"/>
        <v>2281227.164313735</v>
      </c>
      <c r="E54" s="706" t="s">
        <v>236</v>
      </c>
      <c r="F54" s="609">
        <f t="shared" si="18"/>
        <v>2314483.5</v>
      </c>
      <c r="G54" s="689">
        <f t="shared" si="8"/>
        <v>33256.335686265025</v>
      </c>
      <c r="H54" s="707">
        <f t="shared" si="9"/>
        <v>1.4578265683711327E-2</v>
      </c>
      <c r="I54" s="572" t="s">
        <v>266</v>
      </c>
      <c r="K54" s="572" t="s">
        <v>405</v>
      </c>
      <c r="M54" s="683">
        <f>VLOOKUP($B54,'Comparisons-24'!$B$35:$P$74, 2, FALSE)</f>
        <v>2239285</v>
      </c>
      <c r="N54" s="683">
        <f>VLOOKUP($B54,'Comparisons-25'!$B$35:$AB$74, 2, FALSE)</f>
        <v>2373202</v>
      </c>
      <c r="O54" s="683">
        <f>VLOOKUP($B54,'Comparisons-26'!$B$35:$BR$72, 2, FALSE)</f>
        <v>2231194.4929412054</v>
      </c>
      <c r="Q54" s="729">
        <f>VLOOKUP(B54,'S6C-Avg-24'!$B$11:$BY$50, 76, FALSE)</f>
        <v>2239285.1999999997</v>
      </c>
      <c r="R54" s="729">
        <f>VLOOKUP(B54, 'S6C-Avg-25'!$B$11:$BZ$50, 77, FALSE)</f>
        <v>2373202.1999999997</v>
      </c>
      <c r="S54" s="729">
        <f>VLOOKUP(B54, 'S6C-Avg-26'!$B$12:$BZ$49, 77, FALSE)</f>
        <v>2330963.1</v>
      </c>
      <c r="AF54" s="588">
        <f t="shared" si="19"/>
        <v>6943450.5</v>
      </c>
      <c r="AG54" s="588">
        <f t="shared" si="16"/>
        <v>2314483.5</v>
      </c>
      <c r="AH54" s="588">
        <f t="shared" si="20"/>
        <v>0</v>
      </c>
    </row>
    <row r="55" spans="1:34" ht="15">
      <c r="A55" s="584" t="s">
        <v>99</v>
      </c>
      <c r="B55" s="585" t="s">
        <v>100</v>
      </c>
      <c r="C55" s="584"/>
      <c r="D55" s="609">
        <f t="shared" si="17"/>
        <v>832018.76885929203</v>
      </c>
      <c r="E55" s="706" t="s">
        <v>236</v>
      </c>
      <c r="F55" s="609">
        <f t="shared" si="18"/>
        <v>870733.3458347976</v>
      </c>
      <c r="G55" s="689">
        <f t="shared" si="8"/>
        <v>38714.576975505566</v>
      </c>
      <c r="H55" s="707">
        <f t="shared" si="9"/>
        <v>4.6530893802532516E-2</v>
      </c>
      <c r="K55" s="572" t="s">
        <v>406</v>
      </c>
      <c r="M55" s="683">
        <f>VLOOKUP($B55,'Comparisons-24'!$B$35:$P$74, 2, FALSE)</f>
        <v>950704</v>
      </c>
      <c r="N55" s="683">
        <f>VLOOKUP($B55,'Comparisons-25'!$B$35:$AB$74, 2, FALSE)</f>
        <v>786477</v>
      </c>
      <c r="O55" s="683">
        <f>VLOOKUP($B55,'Comparisons-26'!$B$35:$BR$72, 2, FALSE)</f>
        <v>758875.30657787633</v>
      </c>
      <c r="Q55" s="729">
        <f>VLOOKUP(B55,'S6C-Avg-24'!$B$11:$BY$50, 76, FALSE)</f>
        <v>968083.5564262243</v>
      </c>
      <c r="R55" s="729">
        <f>VLOOKUP(B55, 'S6C-Avg-25'!$B$11:$BZ$50, 77, FALSE)</f>
        <v>808191.8374945668</v>
      </c>
      <c r="S55" s="729">
        <f>VLOOKUP(B55, 'S6C-Avg-26'!$B$12:$BZ$49, 77, FALSE)</f>
        <v>835924.64358360134</v>
      </c>
      <c r="T55" s="689">
        <f t="shared" ref="T55:T56" si="39">Q55-M55</f>
        <v>17379.556426224299</v>
      </c>
      <c r="U55" s="708">
        <f t="shared" ref="U55:U56" si="40">T55/M55</f>
        <v>1.8280722944496182E-2</v>
      </c>
      <c r="V55" s="689">
        <f t="shared" ref="V55:V56" si="41">R55-N55</f>
        <v>21714.837494566804</v>
      </c>
      <c r="W55" s="708">
        <f t="shared" ref="W55:W56" si="42">V55/N55</f>
        <v>2.7610263866033977E-2</v>
      </c>
      <c r="X55" s="689">
        <f t="shared" ref="X55:X56" si="43">S55-O55</f>
        <v>77049.337005725014</v>
      </c>
      <c r="Y55" s="708">
        <f t="shared" ref="Y55:Y56" si="44">X55/O55</f>
        <v>0.10153095816646941</v>
      </c>
      <c r="AF55" s="588">
        <f t="shared" si="19"/>
        <v>2612200.0375043927</v>
      </c>
      <c r="AG55" s="588">
        <f t="shared" si="16"/>
        <v>870733.3458347976</v>
      </c>
      <c r="AH55" s="588">
        <f t="shared" si="20"/>
        <v>0</v>
      </c>
    </row>
    <row r="56" spans="1:34" ht="15">
      <c r="A56" s="584" t="s">
        <v>99</v>
      </c>
      <c r="B56" s="585" t="s">
        <v>101</v>
      </c>
      <c r="C56" s="584"/>
      <c r="D56" s="609">
        <f t="shared" si="17"/>
        <v>196263.86435138655</v>
      </c>
      <c r="E56" s="706" t="s">
        <v>236</v>
      </c>
      <c r="F56" s="609">
        <f t="shared" si="18"/>
        <v>200739.19999999998</v>
      </c>
      <c r="G56" s="689">
        <f t="shared" si="8"/>
        <v>4475.3356486134289</v>
      </c>
      <c r="H56" s="707">
        <f t="shared" si="9"/>
        <v>2.2802647157710527E-2</v>
      </c>
      <c r="K56" s="572" t="s">
        <v>101</v>
      </c>
      <c r="M56" s="683">
        <f>VLOOKUP($B56,'Comparisons-24'!$B$35:$P$74, 2, FALSE)</f>
        <v>181796</v>
      </c>
      <c r="N56" s="683">
        <f>VLOOKUP($B56,'Comparisons-25'!$B$35:$AB$74, 2, FALSE)</f>
        <v>210911</v>
      </c>
      <c r="O56" s="683">
        <f>VLOOKUP($B56,'Comparisons-26'!$B$35:$BR$72, 2, FALSE)</f>
        <v>196084.59305415963</v>
      </c>
      <c r="Q56" s="729">
        <f>VLOOKUP(B56,'S6C-Avg-24'!$B$11:$BY$50, 76, FALSE)</f>
        <v>181796.4</v>
      </c>
      <c r="R56" s="729">
        <f>VLOOKUP(B56, 'S6C-Avg-25'!$B$11:$BZ$50, 77, FALSE)</f>
        <v>210911.4</v>
      </c>
      <c r="S56" s="729">
        <f>VLOOKUP(B56, 'S6C-Avg-26'!$B$12:$BZ$49, 77, FALSE)</f>
        <v>209509.8</v>
      </c>
      <c r="T56" s="689">
        <f t="shared" si="39"/>
        <v>0.39999999999417923</v>
      </c>
      <c r="U56" s="708">
        <f t="shared" si="40"/>
        <v>2.2002684327167773E-6</v>
      </c>
      <c r="V56" s="689">
        <f t="shared" si="41"/>
        <v>0.39999999999417923</v>
      </c>
      <c r="W56" s="708">
        <f t="shared" si="42"/>
        <v>1.8965345572027027E-6</v>
      </c>
      <c r="X56" s="689">
        <f t="shared" si="43"/>
        <v>13425.206945840357</v>
      </c>
      <c r="Y56" s="708">
        <f t="shared" si="44"/>
        <v>6.8466403896058486E-2</v>
      </c>
      <c r="AF56" s="588">
        <f t="shared" si="19"/>
        <v>602217.6</v>
      </c>
      <c r="AG56" s="588">
        <f t="shared" si="16"/>
        <v>200739.19999999998</v>
      </c>
      <c r="AH56" s="588">
        <f t="shared" si="20"/>
        <v>0</v>
      </c>
    </row>
    <row r="57" spans="1:34" ht="15">
      <c r="A57" s="584" t="s">
        <v>99</v>
      </c>
      <c r="B57" s="585" t="s">
        <v>102</v>
      </c>
      <c r="C57" s="584"/>
      <c r="D57" s="609">
        <f t="shared" si="17"/>
        <v>1703062.0409783174</v>
      </c>
      <c r="E57" s="706" t="s">
        <v>236</v>
      </c>
      <c r="F57" s="609">
        <f t="shared" si="18"/>
        <v>1965250.6220080212</v>
      </c>
      <c r="G57" s="689">
        <f t="shared" si="8"/>
        <v>262188.58102970384</v>
      </c>
      <c r="H57" s="707">
        <f t="shared" si="9"/>
        <v>0.15395127994226834</v>
      </c>
      <c r="I57" s="709"/>
      <c r="K57" s="572" t="s">
        <v>407</v>
      </c>
      <c r="M57" s="683">
        <f>VLOOKUP($B57,'Comparisons-24'!$B$35:$P$74, 2, FALSE)</f>
        <v>1790245</v>
      </c>
      <c r="N57" s="683">
        <f>VLOOKUP($B57,'Comparisons-25'!$B$35:$AB$74, 2, FALSE)</f>
        <v>1652305</v>
      </c>
      <c r="O57" s="683">
        <f>VLOOKUP($B57,'Comparisons-26'!$B$35:$BR$72, 2, FALSE)</f>
        <v>1666636.1229349524</v>
      </c>
      <c r="Q57" s="729">
        <f>VLOOKUP(B57,'S6C-Avg-24'!$B$11:$BY$50, 76, FALSE)</f>
        <v>2174199.9470981248</v>
      </c>
      <c r="R57" s="729">
        <f>VLOOKUP(B57, 'S6C-Avg-25'!$B$11:$BZ$50, 77, FALSE)</f>
        <v>1932604.3412089592</v>
      </c>
      <c r="S57" s="729">
        <f>VLOOKUP(B57, 'S6C-Avg-26'!$B$12:$BZ$49, 77, FALSE)</f>
        <v>1788947.5777169799</v>
      </c>
      <c r="AF57" s="588">
        <f t="shared" si="19"/>
        <v>5895751.8660240639</v>
      </c>
      <c r="AG57" s="588">
        <f t="shared" si="16"/>
        <v>1965250.6220080212</v>
      </c>
      <c r="AH57" s="588">
        <f t="shared" si="20"/>
        <v>0</v>
      </c>
    </row>
    <row r="58" spans="1:34" ht="15">
      <c r="A58" s="584" t="s">
        <v>99</v>
      </c>
      <c r="B58" s="585" t="s">
        <v>103</v>
      </c>
      <c r="C58" s="584"/>
      <c r="D58" s="609">
        <f t="shared" si="17"/>
        <v>41041.693335279859</v>
      </c>
      <c r="E58" s="706" t="s">
        <v>236</v>
      </c>
      <c r="F58" s="609">
        <f t="shared" si="18"/>
        <v>45079.69999999999</v>
      </c>
      <c r="G58" s="689">
        <f t="shared" si="8"/>
        <v>4038.0066647201311</v>
      </c>
      <c r="H58" s="707">
        <f t="shared" si="9"/>
        <v>9.8387915716163191E-2</v>
      </c>
      <c r="K58" s="572" t="s">
        <v>103</v>
      </c>
      <c r="M58" s="683">
        <f>VLOOKUP($B58,'Comparisons-24'!$B$35:$P$74, 2, FALSE)</f>
        <v>32351</v>
      </c>
      <c r="N58" s="683">
        <f>VLOOKUP($B58,'Comparisons-25'!$B$35:$AB$74, 2, FALSE)</f>
        <v>49284</v>
      </c>
      <c r="O58" s="683">
        <f>VLOOKUP($B58,'Comparisons-26'!$B$35:$BR$72, 2, FALSE)</f>
        <v>41490.080005839591</v>
      </c>
      <c r="Q58" s="729">
        <f>VLOOKUP(B58,'S6C-Avg-24'!$B$11:$BY$50, 76, FALSE)</f>
        <v>32350.799999999999</v>
      </c>
      <c r="R58" s="729">
        <f>VLOOKUP(B58, 'S6C-Avg-25'!$B$11:$BZ$50, 77, FALSE)</f>
        <v>53175.299999999996</v>
      </c>
      <c r="S58" s="729">
        <f>VLOOKUP(B58, 'S6C-Avg-26'!$B$12:$BZ$49, 77, FALSE)</f>
        <v>49713</v>
      </c>
      <c r="T58" s="689">
        <f>Q58-M58</f>
        <v>-0.2000000000007276</v>
      </c>
      <c r="U58" s="708">
        <f>T58/M58</f>
        <v>-6.1821891131874624E-6</v>
      </c>
      <c r="V58" s="689">
        <f>R58-N58</f>
        <v>3891.2999999999956</v>
      </c>
      <c r="W58" s="708">
        <f>V58/N58</f>
        <v>7.8956659362064682E-2</v>
      </c>
      <c r="X58" s="689">
        <f>S58-O58</f>
        <v>8222.9199941604093</v>
      </c>
      <c r="Y58" s="708">
        <f>X58/O58</f>
        <v>0.19819002501328176</v>
      </c>
      <c r="AF58" s="588">
        <f t="shared" si="19"/>
        <v>135239.09999999998</v>
      </c>
      <c r="AG58" s="588">
        <f t="shared" si="16"/>
        <v>45079.69999999999</v>
      </c>
      <c r="AH58" s="588">
        <f t="shared" si="20"/>
        <v>0</v>
      </c>
    </row>
    <row r="59" spans="1:34" ht="15">
      <c r="A59" s="584" t="s">
        <v>206</v>
      </c>
      <c r="B59" s="585" t="s">
        <v>105</v>
      </c>
      <c r="C59" s="584"/>
      <c r="D59" s="609">
        <f t="shared" si="17"/>
        <v>3666511.5935658314</v>
      </c>
      <c r="E59" s="706" t="s">
        <v>236</v>
      </c>
      <c r="F59" s="609">
        <f t="shared" si="18"/>
        <v>3587582.9305635407</v>
      </c>
      <c r="G59" s="689">
        <f t="shared" si="8"/>
        <v>-78928.663002290763</v>
      </c>
      <c r="H59" s="707">
        <f t="shared" si="9"/>
        <v>-2.1526909430969351E-2</v>
      </c>
      <c r="I59" s="572" t="s">
        <v>266</v>
      </c>
      <c r="K59" s="572" t="s">
        <v>408</v>
      </c>
      <c r="M59" s="683">
        <f>VLOOKUP($B59,'Comparisons-24'!$B$35:$P$74, 2, FALSE)</f>
        <v>3156033</v>
      </c>
      <c r="N59" s="683">
        <f>VLOOKUP($B59,'Comparisons-25'!$B$35:$AB$74, 2, FALSE)</f>
        <v>3226579</v>
      </c>
      <c r="O59" s="683">
        <f>VLOOKUP($B59,'Comparisons-26'!$B$35:$BR$72, 2, FALSE)</f>
        <v>4616922.7806974938</v>
      </c>
      <c r="Q59" s="729">
        <f>VLOOKUP(B59,'S6C-Avg-24'!$B$11:$BY$50, 76, FALSE)</f>
        <v>3164933.6899425881</v>
      </c>
      <c r="R59" s="729">
        <f>VLOOKUP(B59, 'S6C-Avg-25'!$B$11:$BZ$50, 77, FALSE)</f>
        <v>3350452.1001753821</v>
      </c>
      <c r="S59" s="729">
        <f>VLOOKUP(B59, 'S6C-Avg-26'!$B$12:$BZ$49, 77, FALSE)</f>
        <v>4247363.0015726518</v>
      </c>
      <c r="AF59" s="588">
        <f t="shared" si="19"/>
        <v>10762748.791690622</v>
      </c>
      <c r="AG59" s="588">
        <f t="shared" si="16"/>
        <v>3587582.9305635407</v>
      </c>
      <c r="AH59" s="588">
        <f t="shared" si="20"/>
        <v>0</v>
      </c>
    </row>
    <row r="60" spans="1:34" ht="15">
      <c r="A60" s="584" t="s">
        <v>206</v>
      </c>
      <c r="B60" s="585" t="s">
        <v>106</v>
      </c>
      <c r="C60" s="584"/>
      <c r="D60" s="609">
        <f t="shared" si="17"/>
        <v>6007985.0073328475</v>
      </c>
      <c r="E60" s="706" t="s">
        <v>236</v>
      </c>
      <c r="F60" s="609">
        <f t="shared" si="18"/>
        <v>6297870.9830061262</v>
      </c>
      <c r="G60" s="689">
        <f t="shared" si="8"/>
        <v>289885.97567327879</v>
      </c>
      <c r="H60" s="707">
        <f t="shared" si="9"/>
        <v>4.8250116356726595E-2</v>
      </c>
      <c r="I60" s="572" t="s">
        <v>266</v>
      </c>
      <c r="K60" s="572" t="s">
        <v>409</v>
      </c>
      <c r="M60" s="683">
        <f>VLOOKUP($B60,'Comparisons-24'!$B$35:$P$74, 2, FALSE)</f>
        <v>6545690</v>
      </c>
      <c r="N60" s="683">
        <f>VLOOKUP($B60,'Comparisons-25'!$B$35:$AB$74, 2, FALSE)</f>
        <v>5574618</v>
      </c>
      <c r="O60" s="683">
        <f>VLOOKUP($B60,'Comparisons-26'!$B$35:$BR$72, 2, FALSE)</f>
        <v>5903647.0219985424</v>
      </c>
      <c r="Q60" s="729">
        <f>VLOOKUP(B60,'S6C-Avg-24'!$B$11:$BY$50, 76, FALSE)</f>
        <v>7035890.0432226006</v>
      </c>
      <c r="R60" s="729">
        <f>VLOOKUP(B60, 'S6C-Avg-25'!$B$11:$BZ$50, 77, FALSE)</f>
        <v>5888505.0029793372</v>
      </c>
      <c r="S60" s="729">
        <f>VLOOKUP(B60, 'S6C-Avg-26'!$B$12:$BZ$49, 77, FALSE)</f>
        <v>5969217.9028164409</v>
      </c>
      <c r="AF60" s="588">
        <f t="shared" si="19"/>
        <v>18893612.949018378</v>
      </c>
      <c r="AG60" s="588">
        <f t="shared" si="16"/>
        <v>6297870.9830061262</v>
      </c>
      <c r="AH60" s="588">
        <f t="shared" si="20"/>
        <v>0</v>
      </c>
    </row>
    <row r="61" spans="1:34" ht="15">
      <c r="A61" s="584" t="s">
        <v>206</v>
      </c>
      <c r="B61" s="585" t="s">
        <v>107</v>
      </c>
      <c r="C61" s="584"/>
      <c r="D61" s="609">
        <f t="shared" si="17"/>
        <v>9299604.085831793</v>
      </c>
      <c r="E61" s="706" t="s">
        <v>236</v>
      </c>
      <c r="F61" s="609">
        <f t="shared" si="18"/>
        <v>9220635.8266544472</v>
      </c>
      <c r="G61" s="689">
        <f t="shared" si="8"/>
        <v>-78968.259177345783</v>
      </c>
      <c r="H61" s="707">
        <f t="shared" si="9"/>
        <v>-8.4915721624812101E-3</v>
      </c>
      <c r="I61" s="572" t="s">
        <v>266</v>
      </c>
      <c r="K61" s="572" t="s">
        <v>410</v>
      </c>
      <c r="M61" s="683">
        <f>VLOOKUP($B61,'Comparisons-24'!$B$35:$P$74, 2, FALSE)</f>
        <v>8180859</v>
      </c>
      <c r="N61" s="683">
        <f>VLOOKUP($B61,'Comparisons-25'!$B$35:$AB$74, 2, FALSE)</f>
        <v>9437848</v>
      </c>
      <c r="O61" s="683">
        <f>VLOOKUP($B61,'Comparisons-26'!$B$35:$BR$72, 2, FALSE)</f>
        <v>10280105.257495381</v>
      </c>
      <c r="Q61" s="729">
        <f>VLOOKUP(B61,'S6C-Avg-24'!$B$11:$BY$50, 76, FALSE)</f>
        <v>8180859.2999999998</v>
      </c>
      <c r="R61" s="729">
        <f>VLOOKUP(B61, 'S6C-Avg-25'!$B$11:$BZ$50, 77, FALSE)</f>
        <v>9608533.7999999989</v>
      </c>
      <c r="S61" s="729">
        <f>VLOOKUP(B61, 'S6C-Avg-26'!$B$12:$BZ$49, 77, FALSE)</f>
        <v>9872514.3799633421</v>
      </c>
      <c r="AF61" s="588">
        <f t="shared" si="19"/>
        <v>27661907.47996334</v>
      </c>
      <c r="AG61" s="588">
        <f t="shared" si="16"/>
        <v>9220635.8266544472</v>
      </c>
      <c r="AH61" s="588">
        <f t="shared" si="20"/>
        <v>0</v>
      </c>
    </row>
    <row r="62" spans="1:34" ht="15">
      <c r="A62" s="584" t="s">
        <v>206</v>
      </c>
      <c r="B62" s="585" t="s">
        <v>108</v>
      </c>
      <c r="C62" s="584"/>
      <c r="D62" s="609">
        <f t="shared" si="17"/>
        <v>1591498.2</v>
      </c>
      <c r="E62" s="706" t="s">
        <v>236</v>
      </c>
      <c r="F62" s="609">
        <f t="shared" si="18"/>
        <v>1597733.2856046746</v>
      </c>
      <c r="G62" s="689">
        <f t="shared" si="8"/>
        <v>6235.0856046746485</v>
      </c>
      <c r="H62" s="707">
        <f t="shared" si="9"/>
        <v>3.9177459356690746E-3</v>
      </c>
      <c r="I62" s="572" t="s">
        <v>266</v>
      </c>
      <c r="K62" s="572" t="s">
        <v>411</v>
      </c>
      <c r="M62" s="683">
        <f>VLOOKUP($B62,'Comparisons-24'!$B$35:$P$74, 2, FALSE)</f>
        <v>1539916</v>
      </c>
      <c r="N62" s="683">
        <f>VLOOKUP($B62,'Comparisons-25'!$B$35:$AB$74, 2, FALSE)</f>
        <v>1598498</v>
      </c>
      <c r="O62" s="683">
        <f>VLOOKUP($B62,'Comparisons-26'!$B$35:$BR$72, 2, FALSE)</f>
        <v>1636080.5999999999</v>
      </c>
      <c r="Q62" s="729">
        <f>VLOOKUP(B62,'S6C-Avg-24'!$B$11:$BY$50, 76, FALSE)</f>
        <v>1558621.7568140244</v>
      </c>
      <c r="R62" s="729">
        <f>VLOOKUP(B62, 'S6C-Avg-25'!$B$11:$BZ$50, 77, FALSE)</f>
        <v>1598497.5</v>
      </c>
      <c r="S62" s="729">
        <f>VLOOKUP(B62, 'S6C-Avg-26'!$B$12:$BZ$49, 77, FALSE)</f>
        <v>1636080.5999999999</v>
      </c>
      <c r="AF62" s="588">
        <f t="shared" si="19"/>
        <v>4793199.856814024</v>
      </c>
      <c r="AG62" s="588">
        <f t="shared" si="16"/>
        <v>1597733.2856046746</v>
      </c>
      <c r="AH62" s="588">
        <f t="shared" si="20"/>
        <v>0</v>
      </c>
    </row>
    <row r="63" spans="1:34" ht="15">
      <c r="A63" s="584" t="s">
        <v>206</v>
      </c>
      <c r="B63" s="585" t="s">
        <v>109</v>
      </c>
      <c r="C63" s="584"/>
      <c r="D63" s="609">
        <f t="shared" si="17"/>
        <v>25729693.491986766</v>
      </c>
      <c r="E63" s="706" t="s">
        <v>236</v>
      </c>
      <c r="F63" s="609">
        <f t="shared" si="18"/>
        <v>23933565.857229989</v>
      </c>
      <c r="G63" s="689">
        <f t="shared" si="8"/>
        <v>-1796127.6347567774</v>
      </c>
      <c r="H63" s="707">
        <f t="shared" si="9"/>
        <v>-6.9807579919914778E-2</v>
      </c>
      <c r="I63" s="572" t="s">
        <v>266</v>
      </c>
      <c r="K63" s="572" t="s">
        <v>412</v>
      </c>
      <c r="M63" s="683">
        <f>VLOOKUP($B63,'Comparisons-24'!$B$35:$P$74, 2, FALSE)</f>
        <v>26403560</v>
      </c>
      <c r="N63" s="683">
        <f>VLOOKUP($B63,'Comparisons-25'!$B$35:$AB$74, 2, FALSE)</f>
        <v>26810560</v>
      </c>
      <c r="O63" s="683">
        <f>VLOOKUP($B63,'Comparisons-26'!$B$35:$BR$72, 2, FALSE)</f>
        <v>23974960.475960296</v>
      </c>
      <c r="Q63" s="729">
        <f>VLOOKUP(B63,'S6C-Avg-24'!$B$11:$BY$50, 76, FALSE)</f>
        <v>24648401.857312903</v>
      </c>
      <c r="R63" s="729">
        <f>VLOOKUP(B63, 'S6C-Avg-25'!$B$11:$BZ$50, 77, FALSE)</f>
        <v>24691912.991172411</v>
      </c>
      <c r="S63" s="729">
        <f>VLOOKUP(B63, 'S6C-Avg-26'!$B$12:$BZ$49, 77, FALSE)</f>
        <v>22460382.723204643</v>
      </c>
      <c r="AF63" s="588">
        <f t="shared" si="19"/>
        <v>71800697.571689963</v>
      </c>
      <c r="AG63" s="588">
        <f t="shared" si="16"/>
        <v>23933565.857229989</v>
      </c>
      <c r="AH63" s="588">
        <f t="shared" si="20"/>
        <v>0</v>
      </c>
    </row>
    <row r="64" spans="1:34" ht="15">
      <c r="A64" s="584" t="s">
        <v>206</v>
      </c>
      <c r="B64" s="585" t="s">
        <v>110</v>
      </c>
      <c r="C64" s="584"/>
      <c r="D64" s="609">
        <f t="shared" si="17"/>
        <v>2245850</v>
      </c>
      <c r="E64" s="706" t="s">
        <v>236</v>
      </c>
      <c r="F64" s="609">
        <f>Q64/3</f>
        <v>2736218.7866948112</v>
      </c>
      <c r="G64" s="689">
        <f t="shared" si="8"/>
        <v>490368.78669481119</v>
      </c>
      <c r="H64" s="707">
        <f t="shared" si="9"/>
        <v>0.21834440710413036</v>
      </c>
      <c r="K64" s="572" t="e">
        <v>#N/A</v>
      </c>
      <c r="M64" s="683">
        <f>VLOOKUP($B64,'Comparisons-24'!$B$35:$P$74, 2, FALSE)</f>
        <v>6737550</v>
      </c>
      <c r="N64" s="683">
        <v>0</v>
      </c>
      <c r="O64" s="683">
        <v>0</v>
      </c>
      <c r="Q64" s="729">
        <f>VLOOKUP(B64,'S6C-Avg-24'!$B$11:$BY$50, 76, FALSE)</f>
        <v>8208656.3600844331</v>
      </c>
      <c r="R64" s="729">
        <f>VLOOKUP(B64, 'S6C-Avg-25'!$B$11:$BZ$50, 77, FALSE)</f>
        <v>0</v>
      </c>
      <c r="S64" s="729" t="e">
        <f>VLOOKUP(B64, 'S6C-Avg-26'!$B$12:$BZ$49, 77, FALSE)</f>
        <v>#N/A</v>
      </c>
      <c r="AF64" s="588" t="e">
        <f t="shared" si="19"/>
        <v>#N/A</v>
      </c>
      <c r="AG64" s="588" t="e">
        <f t="shared" si="16"/>
        <v>#N/A</v>
      </c>
      <c r="AH64" s="588" t="e">
        <f t="shared" si="20"/>
        <v>#N/A</v>
      </c>
    </row>
    <row r="65" spans="1:34" ht="15">
      <c r="A65" s="584" t="s">
        <v>206</v>
      </c>
      <c r="B65" s="585" t="s">
        <v>111</v>
      </c>
      <c r="C65" s="584"/>
      <c r="D65" s="609">
        <f t="shared" si="17"/>
        <v>8187109.5606905362</v>
      </c>
      <c r="E65" s="706" t="s">
        <v>236</v>
      </c>
      <c r="F65" s="609">
        <f t="shared" si="18"/>
        <v>7395054.6598219089</v>
      </c>
      <c r="G65" s="689">
        <f t="shared" si="8"/>
        <v>-792054.90086862724</v>
      </c>
      <c r="H65" s="707">
        <f t="shared" si="9"/>
        <v>-9.6744143338643909E-2</v>
      </c>
      <c r="I65" s="572" t="s">
        <v>266</v>
      </c>
      <c r="K65" s="572" t="s">
        <v>111</v>
      </c>
      <c r="M65" s="683">
        <f>VLOOKUP($B65,'Comparisons-24'!$B$35:$P$74, 2, FALSE)</f>
        <v>7934286</v>
      </c>
      <c r="N65" s="683">
        <f>VLOOKUP($B65,'Comparisons-25'!$B$35:$AB$74, 2, FALSE)</f>
        <v>7946250</v>
      </c>
      <c r="O65" s="683">
        <f>VLOOKUP($B65,'Comparisons-26'!$B$35:$BR$72, 2, FALSE)</f>
        <v>8680792.6820716076</v>
      </c>
      <c r="Q65" s="729">
        <f>VLOOKUP(B65,'S6C-Avg-24'!$B$11:$BY$50, 76, FALSE)</f>
        <v>7328241.8130072383</v>
      </c>
      <c r="R65" s="729">
        <f>VLOOKUP(B65, 'S6C-Avg-25'!$B$11:$BZ$50, 77, FALSE)</f>
        <v>7396238.7729243841</v>
      </c>
      <c r="S65" s="729">
        <f>VLOOKUP(B65, 'S6C-Avg-26'!$B$12:$BZ$49, 77, FALSE)</f>
        <v>7460683.3935341053</v>
      </c>
      <c r="AF65" s="588">
        <f t="shared" si="19"/>
        <v>22185163.979465727</v>
      </c>
      <c r="AG65" s="588">
        <f t="shared" si="16"/>
        <v>7395054.6598219089</v>
      </c>
      <c r="AH65" s="588">
        <f t="shared" si="20"/>
        <v>0</v>
      </c>
    </row>
    <row r="66" spans="1:34" ht="15">
      <c r="A66" s="584" t="s">
        <v>112</v>
      </c>
      <c r="B66" s="585" t="s">
        <v>113</v>
      </c>
      <c r="C66" s="584"/>
      <c r="D66" s="609">
        <f t="shared" si="17"/>
        <v>1198958.8926709832</v>
      </c>
      <c r="E66" s="706" t="s">
        <v>236</v>
      </c>
      <c r="F66" s="609">
        <f t="shared" si="18"/>
        <v>1179807.8029546009</v>
      </c>
      <c r="G66" s="689">
        <f t="shared" si="8"/>
        <v>-19151.089716382325</v>
      </c>
      <c r="H66" s="707">
        <f t="shared" si="9"/>
        <v>-1.5973099522802191E-2</v>
      </c>
      <c r="I66" s="709"/>
      <c r="K66" s="572" t="s">
        <v>413</v>
      </c>
      <c r="M66" s="683">
        <f>VLOOKUP($B66,'Comparisons-24'!$B$35:$P$74, 2, FALSE)</f>
        <v>1224167</v>
      </c>
      <c r="N66" s="683">
        <f>VLOOKUP($B66,'Comparisons-25'!$B$35:$AB$74, 2, FALSE)</f>
        <v>1335726</v>
      </c>
      <c r="O66" s="683">
        <f>VLOOKUP($B66,'Comparisons-26'!$B$35:$BR$72, 2, FALSE)</f>
        <v>1036983.6780129499</v>
      </c>
      <c r="Q66" s="729">
        <f>VLOOKUP(B66,'S6C-Avg-24'!$B$11:$BY$50, 76, FALSE)</f>
        <v>1224166.8</v>
      </c>
      <c r="R66" s="729">
        <f>VLOOKUP(B66, 'S6C-Avg-25'!$B$11:$BZ$50, 77, FALSE)</f>
        <v>1266113.3051274763</v>
      </c>
      <c r="S66" s="729">
        <f>VLOOKUP(B66, 'S6C-Avg-26'!$B$12:$BZ$49, 77, FALSE)</f>
        <v>1049143.3037363261</v>
      </c>
      <c r="Z66" s="689">
        <f>Q66-M66</f>
        <v>-0.19999999995343387</v>
      </c>
      <c r="AA66" s="708">
        <f>Z66/M66</f>
        <v>-1.6337640203782153E-7</v>
      </c>
      <c r="AB66" s="689">
        <f>R66-N66</f>
        <v>-69612.694872523658</v>
      </c>
      <c r="AC66" s="708">
        <f>AB66/N66</f>
        <v>-5.2115998994197658E-2</v>
      </c>
      <c r="AD66" s="689">
        <f>S66-O66</f>
        <v>12159.625723376172</v>
      </c>
      <c r="AE66" s="708">
        <f>AD66/O66</f>
        <v>1.172595671580505E-2</v>
      </c>
      <c r="AF66" s="588">
        <f t="shared" si="19"/>
        <v>3539423.4088638024</v>
      </c>
      <c r="AG66" s="588">
        <f t="shared" si="16"/>
        <v>1179807.8029546009</v>
      </c>
      <c r="AH66" s="588">
        <f t="shared" si="20"/>
        <v>0</v>
      </c>
    </row>
    <row r="67" spans="1:34" ht="15">
      <c r="A67" s="584" t="s">
        <v>112</v>
      </c>
      <c r="B67" s="585" t="s">
        <v>114</v>
      </c>
      <c r="C67" s="584"/>
      <c r="D67" s="609">
        <f t="shared" si="17"/>
        <v>18853131.91607457</v>
      </c>
      <c r="E67" s="706" t="s">
        <v>236</v>
      </c>
      <c r="F67" s="609">
        <f t="shared" si="18"/>
        <v>19647494.26293334</v>
      </c>
      <c r="G67" s="689">
        <f t="shared" si="8"/>
        <v>794362.34685876966</v>
      </c>
      <c r="H67" s="707">
        <f t="shared" si="9"/>
        <v>4.213423798204477E-2</v>
      </c>
      <c r="I67" s="572" t="s">
        <v>266</v>
      </c>
      <c r="K67" s="572" t="s">
        <v>414</v>
      </c>
      <c r="M67" s="683">
        <f>VLOOKUP($B67,'Comparisons-24'!$B$35:$P$74, 2, FALSE)</f>
        <v>17510246</v>
      </c>
      <c r="N67" s="683">
        <f>VLOOKUP($B67,'Comparisons-25'!$B$35:$AB$74, 2, FALSE)</f>
        <v>20270143</v>
      </c>
      <c r="O67" s="683">
        <f>VLOOKUP($B67,'Comparisons-26'!$B$35:$BR$72, 2, FALSE)</f>
        <v>18779006.748223707</v>
      </c>
      <c r="Q67" s="729">
        <f>VLOOKUP(B67,'S6C-Avg-24'!$B$11:$BY$50, 76, FALSE)</f>
        <v>17510246.399999999</v>
      </c>
      <c r="R67" s="729">
        <f>VLOOKUP(B67, 'S6C-Avg-25'!$B$11:$BZ$50, 77, FALSE)</f>
        <v>20640888.599999998</v>
      </c>
      <c r="S67" s="729">
        <f>VLOOKUP(B67, 'S6C-Avg-26'!$B$12:$BZ$49, 77, FALSE)</f>
        <v>20791347.78880002</v>
      </c>
      <c r="AF67" s="588">
        <f t="shared" si="19"/>
        <v>58942482.788800016</v>
      </c>
      <c r="AG67" s="588">
        <f t="shared" si="16"/>
        <v>19647494.26293334</v>
      </c>
      <c r="AH67" s="588">
        <f t="shared" si="20"/>
        <v>0</v>
      </c>
    </row>
    <row r="68" spans="1:34" ht="15">
      <c r="A68" s="584" t="s">
        <v>115</v>
      </c>
      <c r="B68" s="585" t="s">
        <v>116</v>
      </c>
      <c r="C68" s="584"/>
      <c r="D68" s="609">
        <f t="shared" si="17"/>
        <v>3483121.4</v>
      </c>
      <c r="E68" s="706" t="s">
        <v>236</v>
      </c>
      <c r="F68" s="609">
        <f t="shared" si="18"/>
        <v>3483121.2999999993</v>
      </c>
      <c r="G68" s="689">
        <f t="shared" si="8"/>
        <v>-0.10000000055879354</v>
      </c>
      <c r="H68" s="707">
        <f t="shared" si="9"/>
        <v>-2.8709880901306956E-8</v>
      </c>
      <c r="I68" s="572" t="s">
        <v>266</v>
      </c>
      <c r="K68" s="572" t="s">
        <v>116</v>
      </c>
      <c r="M68" s="683">
        <f>VLOOKUP($B68,'Comparisons-24'!$B$35:$P$74, 2, FALSE)</f>
        <v>3000449</v>
      </c>
      <c r="N68" s="683">
        <f>VLOOKUP($B68,'Comparisons-25'!$B$35:$AB$74, 2, FALSE)</f>
        <v>3606217</v>
      </c>
      <c r="O68" s="683">
        <f>VLOOKUP($B68,'Comparisons-26'!$B$35:$BR$72, 2, FALSE)</f>
        <v>3842698.1999999997</v>
      </c>
      <c r="Q68" s="729">
        <f>VLOOKUP(B68,'S6C-Avg-24'!$B$11:$BY$50, 76, FALSE)</f>
        <v>3000448.5</v>
      </c>
      <c r="R68" s="729">
        <f>VLOOKUP(B68, 'S6C-Avg-25'!$B$11:$BZ$50, 77, FALSE)</f>
        <v>3606217.1999999997</v>
      </c>
      <c r="S68" s="729">
        <f>VLOOKUP(B68, 'S6C-Avg-26'!$B$12:$BZ$49, 77, FALSE)</f>
        <v>3842698.1999999997</v>
      </c>
      <c r="AF68" s="588">
        <f t="shared" si="19"/>
        <v>10449363.899999999</v>
      </c>
      <c r="AG68" s="588">
        <f t="shared" si="16"/>
        <v>3483121.2999999993</v>
      </c>
      <c r="AH68" s="588">
        <f t="shared" si="20"/>
        <v>0</v>
      </c>
    </row>
    <row r="69" spans="1:34" ht="15">
      <c r="A69" s="584" t="s">
        <v>115</v>
      </c>
      <c r="B69" s="585" t="s">
        <v>117</v>
      </c>
      <c r="C69" s="584"/>
      <c r="D69" s="609">
        <f t="shared" si="17"/>
        <v>501123.76901444077</v>
      </c>
      <c r="E69" s="706" t="s">
        <v>236</v>
      </c>
      <c r="F69" s="609">
        <f t="shared" si="18"/>
        <v>562208.86523780937</v>
      </c>
      <c r="G69" s="689">
        <f t="shared" si="8"/>
        <v>61085.0962233686</v>
      </c>
      <c r="H69" s="707">
        <f t="shared" si="9"/>
        <v>0.12189622604312814</v>
      </c>
      <c r="I69" s="709"/>
      <c r="K69" s="572" t="s">
        <v>117</v>
      </c>
      <c r="M69" s="683">
        <f>VLOOKUP($B69,'Comparisons-24'!$B$35:$P$74, 2, FALSE)</f>
        <v>526130</v>
      </c>
      <c r="N69" s="683">
        <f>VLOOKUP($B69,'Comparisons-25'!$B$35:$AB$74, 2, FALSE)</f>
        <v>506115</v>
      </c>
      <c r="O69" s="683">
        <f>VLOOKUP($B69,'Comparisons-26'!$B$35:$BR$72, 2, FALSE)</f>
        <v>471126.30704332248</v>
      </c>
      <c r="Q69" s="729">
        <f>VLOOKUP(B69,'S6C-Avg-24'!$B$11:$BY$50, 76, FALSE)</f>
        <v>527425.19999999995</v>
      </c>
      <c r="R69" s="729">
        <f>VLOOKUP(B69, 'S6C-Avg-25'!$B$11:$BZ$50, 77, FALSE)</f>
        <v>597264.74012043676</v>
      </c>
      <c r="S69" s="729">
        <f>VLOOKUP(B69, 'S6C-Avg-26'!$B$12:$BZ$49, 77, FALSE)</f>
        <v>561936.65559299162</v>
      </c>
      <c r="AF69" s="588">
        <f t="shared" si="19"/>
        <v>1686626.5957134282</v>
      </c>
      <c r="AG69" s="588">
        <f t="shared" si="16"/>
        <v>562208.86523780937</v>
      </c>
      <c r="AH69" s="588">
        <f t="shared" si="20"/>
        <v>0</v>
      </c>
    </row>
    <row r="70" spans="1:34" ht="15">
      <c r="A70" s="584" t="s">
        <v>115</v>
      </c>
      <c r="B70" s="585" t="s">
        <v>118</v>
      </c>
      <c r="C70" s="584"/>
      <c r="D70" s="609">
        <f t="shared" si="17"/>
        <v>3271539.9085863479</v>
      </c>
      <c r="E70" s="706" t="s">
        <v>236</v>
      </c>
      <c r="F70" s="609">
        <f t="shared" si="18"/>
        <v>3520276.2838918851</v>
      </c>
      <c r="G70" s="689">
        <f t="shared" si="8"/>
        <v>248736.37530553713</v>
      </c>
      <c r="H70" s="707">
        <f t="shared" si="9"/>
        <v>7.6030365594108751E-2</v>
      </c>
      <c r="I70" s="572" t="s">
        <v>266</v>
      </c>
      <c r="K70" s="572" t="s">
        <v>415</v>
      </c>
      <c r="M70" s="683">
        <f>VLOOKUP($B70,'Comparisons-24'!$B$35:$P$74, 2, FALSE)</f>
        <v>3187292</v>
      </c>
      <c r="N70" s="683">
        <f>VLOOKUP($B70,'Comparisons-25'!$B$35:$AB$74, 2, FALSE)</f>
        <v>3433985</v>
      </c>
      <c r="O70" s="683">
        <f>VLOOKUP($B70,'Comparisons-26'!$B$35:$BR$72, 2, FALSE)</f>
        <v>3193342.7257590448</v>
      </c>
      <c r="Q70" s="729">
        <f>VLOOKUP(B70,'S6C-Avg-24'!$B$11:$BY$50, 76, FALSE)</f>
        <v>3187292.4</v>
      </c>
      <c r="R70" s="729">
        <f>VLOOKUP(B70, 'S6C-Avg-25'!$B$11:$BZ$50, 77, FALSE)</f>
        <v>3786063.5439519291</v>
      </c>
      <c r="S70" s="729">
        <f>VLOOKUP(B70, 'S6C-Avg-26'!$B$12:$BZ$49, 77, FALSE)</f>
        <v>3587472.9077237258</v>
      </c>
      <c r="AF70" s="588">
        <f t="shared" si="19"/>
        <v>10560828.851675656</v>
      </c>
      <c r="AG70" s="588">
        <f t="shared" si="16"/>
        <v>3520276.2838918851</v>
      </c>
      <c r="AH70" s="588">
        <f t="shared" si="20"/>
        <v>0</v>
      </c>
    </row>
    <row r="71" spans="1:34" ht="15">
      <c r="A71" s="584" t="s">
        <v>115</v>
      </c>
      <c r="B71" s="585" t="s">
        <v>119</v>
      </c>
      <c r="C71" s="584"/>
      <c r="D71" s="609">
        <f t="shared" si="17"/>
        <v>199411.47824592108</v>
      </c>
      <c r="E71" s="706" t="s">
        <v>236</v>
      </c>
      <c r="F71" s="609">
        <f t="shared" si="18"/>
        <v>224943.30314651885</v>
      </c>
      <c r="G71" s="689">
        <f t="shared" si="8"/>
        <v>25531.82490059777</v>
      </c>
      <c r="H71" s="707">
        <f t="shared" si="9"/>
        <v>0.1280358840182261</v>
      </c>
      <c r="K71" s="572" t="s">
        <v>119</v>
      </c>
      <c r="M71" s="683">
        <f>VLOOKUP($B71,'Comparisons-24'!$B$35:$P$74, 2, FALSE)</f>
        <v>211380</v>
      </c>
      <c r="N71" s="683">
        <f>VLOOKUP($B71,'Comparisons-25'!$B$35:$AB$74, 2, FALSE)</f>
        <v>204230</v>
      </c>
      <c r="O71" s="683">
        <f>VLOOKUP($B71,'Comparisons-26'!$B$35:$BR$72, 2, FALSE)</f>
        <v>182624.43473776325</v>
      </c>
      <c r="Q71" s="729">
        <f>VLOOKUP(B71,'S6C-Avg-24'!$B$11:$BY$50, 76, FALSE)</f>
        <v>236424.3</v>
      </c>
      <c r="R71" s="729">
        <f>VLOOKUP(B71, 'S6C-Avg-25'!$B$11:$BZ$50, 77, FALSE)</f>
        <v>220944.3</v>
      </c>
      <c r="S71" s="729">
        <f>VLOOKUP(B71, 'S6C-Avg-26'!$B$12:$BZ$49, 77, FALSE)</f>
        <v>217461.30943955653</v>
      </c>
      <c r="AF71" s="588">
        <f t="shared" si="19"/>
        <v>674829.90943955653</v>
      </c>
      <c r="AG71" s="588">
        <f t="shared" si="16"/>
        <v>224943.30314651885</v>
      </c>
      <c r="AH71" s="588">
        <f t="shared" si="20"/>
        <v>0</v>
      </c>
    </row>
    <row r="72" spans="1:34" ht="15">
      <c r="A72" s="584" t="s">
        <v>120</v>
      </c>
      <c r="B72" s="585" t="s">
        <v>121</v>
      </c>
      <c r="C72" s="584"/>
      <c r="D72" s="609">
        <f t="shared" si="17"/>
        <v>657710.18017678906</v>
      </c>
      <c r="E72" s="706" t="s">
        <v>236</v>
      </c>
      <c r="F72" s="609">
        <f t="shared" si="18"/>
        <v>741870.81526439602</v>
      </c>
      <c r="G72" s="689">
        <f t="shared" si="8"/>
        <v>84160.635087606963</v>
      </c>
      <c r="H72" s="707">
        <f t="shared" si="9"/>
        <v>0.12796006147416636</v>
      </c>
      <c r="I72" s="709"/>
      <c r="K72" s="572" t="s">
        <v>416</v>
      </c>
      <c r="M72" s="683">
        <f>VLOOKUP($B72,'Comparisons-24'!$B$35:$P$74, 2, FALSE)</f>
        <v>693794</v>
      </c>
      <c r="N72" s="683">
        <f>VLOOKUP($B72,'Comparisons-25'!$B$35:$AB$74, 2, FALSE)</f>
        <v>661136</v>
      </c>
      <c r="O72" s="683">
        <f>VLOOKUP($B72,'Comparisons-26'!$B$35:$BR$72, 2, FALSE)</f>
        <v>618200.54053036741</v>
      </c>
      <c r="Q72" s="729">
        <f>VLOOKUP(B72,'S6C-Avg-24'!$B$11:$BY$50, 76, FALSE)</f>
        <v>756806.4</v>
      </c>
      <c r="R72" s="729">
        <f>VLOOKUP(B72, 'S6C-Avg-25'!$B$11:$BZ$50, 77, FALSE)</f>
        <v>758928.64277760021</v>
      </c>
      <c r="S72" s="729">
        <f>VLOOKUP(B72, 'S6C-Avg-26'!$B$12:$BZ$49, 77, FALSE)</f>
        <v>709877.40301558818</v>
      </c>
      <c r="AF72" s="588">
        <f t="shared" si="19"/>
        <v>2225612.4457931882</v>
      </c>
      <c r="AG72" s="588">
        <f t="shared" si="16"/>
        <v>741870.81526439602</v>
      </c>
      <c r="AH72" s="588">
        <f t="shared" si="20"/>
        <v>0</v>
      </c>
    </row>
    <row r="73" spans="1:34" ht="15">
      <c r="A73" s="584" t="s">
        <v>120</v>
      </c>
      <c r="B73" s="585" t="s">
        <v>122</v>
      </c>
      <c r="C73" s="584"/>
      <c r="D73" s="609">
        <f t="shared" si="17"/>
        <v>1997492.8666666665</v>
      </c>
      <c r="E73" s="706" t="s">
        <v>236</v>
      </c>
      <c r="F73" s="609">
        <f t="shared" si="18"/>
        <v>1997493</v>
      </c>
      <c r="G73" s="689">
        <f t="shared" si="8"/>
        <v>0.13333333353511989</v>
      </c>
      <c r="H73" s="707">
        <f t="shared" si="9"/>
        <v>6.6750342772247821E-8</v>
      </c>
      <c r="I73" s="709"/>
      <c r="K73" s="572" t="s">
        <v>267</v>
      </c>
      <c r="M73" s="683">
        <f>VLOOKUP($B73,'Comparisons-24'!$B$35:$P$74, 2, FALSE)</f>
        <v>1788201</v>
      </c>
      <c r="N73" s="683">
        <f>VLOOKUP($B73,'Comparisons-25'!$B$35:$AB$74, 2, FALSE)</f>
        <v>1973597</v>
      </c>
      <c r="O73" s="683">
        <f>VLOOKUP($B73,'Comparisons-26'!$B$35:$BR$72, 2, FALSE)</f>
        <v>2230680.6</v>
      </c>
      <c r="Q73" s="729">
        <f>VLOOKUP(B73,'S6C-Avg-24'!$B$11:$BY$50, 76, FALSE)</f>
        <v>1788201</v>
      </c>
      <c r="R73" s="729">
        <f>VLOOKUP(B73, 'S6C-Avg-25'!$B$11:$BZ$50, 77, FALSE)</f>
        <v>1973597.4</v>
      </c>
      <c r="S73" s="729">
        <f>VLOOKUP(B73, 'S6C-Avg-26'!$B$12:$BZ$49, 77, FALSE)</f>
        <v>2230680.6</v>
      </c>
      <c r="AF73" s="588">
        <f t="shared" si="19"/>
        <v>5992479</v>
      </c>
      <c r="AG73" s="588">
        <f t="shared" si="16"/>
        <v>1997493</v>
      </c>
      <c r="AH73" s="588">
        <f t="shared" si="20"/>
        <v>0</v>
      </c>
    </row>
    <row r="74" spans="1:34" ht="15">
      <c r="A74" s="584" t="s">
        <v>120</v>
      </c>
      <c r="B74" s="585" t="s">
        <v>123</v>
      </c>
      <c r="C74" s="584"/>
      <c r="D74" s="609">
        <f t="shared" si="17"/>
        <v>487667.35765267425</v>
      </c>
      <c r="E74" s="706" t="s">
        <v>236</v>
      </c>
      <c r="F74" s="609">
        <f t="shared" si="18"/>
        <v>492457.83393162536</v>
      </c>
      <c r="G74" s="689">
        <f t="shared" si="8"/>
        <v>4790.4762789511005</v>
      </c>
      <c r="H74" s="707">
        <f t="shared" si="9"/>
        <v>9.823245709963976E-3</v>
      </c>
      <c r="I74" s="709"/>
      <c r="K74" s="572" t="s">
        <v>123</v>
      </c>
      <c r="M74" s="683">
        <f>VLOOKUP($B74,'Comparisons-24'!$B$35:$P$74, 2, FALSE)</f>
        <v>427114</v>
      </c>
      <c r="N74" s="683">
        <f>VLOOKUP($B74,'Comparisons-25'!$B$35:$AB$74, 2, FALSE)</f>
        <v>522225</v>
      </c>
      <c r="O74" s="683">
        <f>VLOOKUP($B74,'Comparisons-26'!$B$35:$BR$72, 2, FALSE)</f>
        <v>513663.07295802294</v>
      </c>
      <c r="Q74" s="729">
        <f>VLOOKUP(B74,'S6C-Avg-24'!$B$11:$BY$50, 76, FALSE)</f>
        <v>427113.89999999997</v>
      </c>
      <c r="R74" s="729">
        <f>VLOOKUP(B74, 'S6C-Avg-25'!$B$11:$BZ$50, 77, FALSE)</f>
        <v>509396.45124816196</v>
      </c>
      <c r="S74" s="729">
        <f>VLOOKUP(B74, 'S6C-Avg-26'!$B$12:$BZ$49, 77, FALSE)</f>
        <v>540863.15054671408</v>
      </c>
      <c r="AF74" s="588">
        <f t="shared" si="19"/>
        <v>1477373.5017948761</v>
      </c>
      <c r="AG74" s="588">
        <f t="shared" si="16"/>
        <v>492457.83393162536</v>
      </c>
      <c r="AH74" s="588">
        <f t="shared" si="20"/>
        <v>0</v>
      </c>
    </row>
    <row r="75" spans="1:34" ht="15">
      <c r="A75" s="584" t="s">
        <v>124</v>
      </c>
      <c r="B75" s="585" t="s">
        <v>125</v>
      </c>
      <c r="C75" s="584"/>
      <c r="D75" s="609">
        <f t="shared" si="17"/>
        <v>1190937.3236635181</v>
      </c>
      <c r="E75" s="706" t="s">
        <v>236</v>
      </c>
      <c r="F75" s="609">
        <f t="shared" si="18"/>
        <v>1185711.7233186872</v>
      </c>
      <c r="G75" s="689">
        <f t="shared" si="8"/>
        <v>-5225.6003448308911</v>
      </c>
      <c r="H75" s="707">
        <f t="shared" si="9"/>
        <v>-4.3878046652833834E-3</v>
      </c>
      <c r="K75" s="572" t="s">
        <v>125</v>
      </c>
      <c r="M75" s="683">
        <f>VLOOKUP($B75,'Comparisons-24'!$B$35:$P$74, 2, FALSE)</f>
        <v>1391292</v>
      </c>
      <c r="N75" s="683">
        <f>VLOOKUP($B75,'Comparisons-25'!$B$35:$AB$74, 2, FALSE)</f>
        <v>1179698</v>
      </c>
      <c r="O75" s="683">
        <f>VLOOKUP($B75,'Comparisons-26'!$B$35:$BR$72, 2, FALSE)</f>
        <v>1001821.9709905545</v>
      </c>
      <c r="Q75" s="729">
        <f>VLOOKUP(B75,'S6C-Avg-24'!$B$11:$BY$50, 76, FALSE)</f>
        <v>1261421.2547085711</v>
      </c>
      <c r="R75" s="729">
        <f>VLOOKUP(B75, 'S6C-Avg-25'!$B$11:$BZ$50, 77, FALSE)</f>
        <v>1171996.8832129722</v>
      </c>
      <c r="S75" s="729">
        <f>VLOOKUP(B75, 'S6C-Avg-26'!$B$12:$BZ$49, 77, FALSE)</f>
        <v>1123717.0320345182</v>
      </c>
      <c r="T75" s="689">
        <f>Q75-M75</f>
        <v>-129870.74529142887</v>
      </c>
      <c r="U75" s="708">
        <f>T75/M75</f>
        <v>-9.3345426618875751E-2</v>
      </c>
      <c r="V75" s="689">
        <f>R75-N75</f>
        <v>-7701.1167870278005</v>
      </c>
      <c r="W75" s="708">
        <f>V75/N75</f>
        <v>-6.5280408943880555E-3</v>
      </c>
      <c r="X75" s="689">
        <f>S75-O75</f>
        <v>121895.06104396365</v>
      </c>
      <c r="Y75" s="708">
        <f>X75/O75</f>
        <v>0.12167337568314611</v>
      </c>
      <c r="AF75" s="588">
        <f t="shared" si="19"/>
        <v>3557135.1699560615</v>
      </c>
      <c r="AG75" s="588">
        <f t="shared" si="16"/>
        <v>1185711.7233186872</v>
      </c>
      <c r="AH75" s="588">
        <f t="shared" si="20"/>
        <v>0</v>
      </c>
    </row>
    <row r="76" spans="1:34" ht="15">
      <c r="A76" s="584" t="s">
        <v>124</v>
      </c>
      <c r="B76" s="585" t="s">
        <v>126</v>
      </c>
      <c r="C76" s="584"/>
      <c r="D76" s="609">
        <f t="shared" si="17"/>
        <v>189467.63333333333</v>
      </c>
      <c r="E76" s="706" t="s">
        <v>236</v>
      </c>
      <c r="F76" s="609">
        <f t="shared" si="18"/>
        <v>189467.80000000002</v>
      </c>
      <c r="G76" s="689">
        <f t="shared" si="8"/>
        <v>0.16666666668606922</v>
      </c>
      <c r="H76" s="707">
        <f t="shared" si="9"/>
        <v>8.796577217642761E-7</v>
      </c>
      <c r="K76" s="572" t="s">
        <v>126</v>
      </c>
      <c r="M76" s="683">
        <f>VLOOKUP($B76,'Comparisons-24'!$B$35:$P$74, 2, FALSE)</f>
        <v>172014</v>
      </c>
      <c r="N76" s="683">
        <f>VLOOKUP($B76,'Comparisons-25'!$B$35:$AB$74, 2, FALSE)</f>
        <v>214936</v>
      </c>
      <c r="O76" s="683">
        <f>VLOOKUP($B76,'Comparisons-26'!$B$35:$BR$72, 2, FALSE)</f>
        <v>181452.9</v>
      </c>
      <c r="Q76" s="729">
        <f>VLOOKUP(B76,'S6C-Avg-24'!$B$11:$BY$50, 76, FALSE)</f>
        <v>172014.3</v>
      </c>
      <c r="R76" s="729">
        <f>VLOOKUP(B76, 'S6C-Avg-25'!$B$11:$BZ$50, 77, FALSE)</f>
        <v>214936.19999999998</v>
      </c>
      <c r="S76" s="729">
        <f>VLOOKUP(B76, 'S6C-Avg-26'!$B$12:$BZ$49, 77, FALSE)</f>
        <v>181452.9</v>
      </c>
      <c r="T76" s="689">
        <f>Q76-M76</f>
        <v>0.29999999998835847</v>
      </c>
      <c r="U76" s="708">
        <f>T76/M76</f>
        <v>1.744044089366903E-6</v>
      </c>
      <c r="V76" s="689">
        <f>R76-N76</f>
        <v>0.1999999999825377</v>
      </c>
      <c r="W76" s="708">
        <f>V76/N76</f>
        <v>9.3050954694670832E-7</v>
      </c>
      <c r="X76" s="689">
        <f>S76-O76</f>
        <v>0</v>
      </c>
      <c r="Y76" s="708">
        <f>X76/O76</f>
        <v>0</v>
      </c>
      <c r="AF76" s="588">
        <f t="shared" si="19"/>
        <v>568403.4</v>
      </c>
      <c r="AG76" s="588">
        <f t="shared" si="16"/>
        <v>189467.80000000002</v>
      </c>
      <c r="AH76" s="588">
        <f t="shared" si="20"/>
        <v>0</v>
      </c>
    </row>
    <row r="77" spans="1:34" ht="15">
      <c r="A77" s="584" t="s">
        <v>124</v>
      </c>
      <c r="B77" s="585" t="s">
        <v>127</v>
      </c>
      <c r="C77" s="584"/>
      <c r="D77" s="609">
        <f t="shared" si="17"/>
        <v>1563531.1897689884</v>
      </c>
      <c r="E77" s="706" t="s">
        <v>236</v>
      </c>
      <c r="F77" s="609">
        <f t="shared" si="18"/>
        <v>1395960.2252711218</v>
      </c>
      <c r="G77" s="689">
        <f t="shared" si="8"/>
        <v>-167570.96449786657</v>
      </c>
      <c r="H77" s="707">
        <f t="shared" si="9"/>
        <v>-0.10717468611715074</v>
      </c>
      <c r="I77" s="709"/>
      <c r="K77" s="572" t="s">
        <v>127</v>
      </c>
      <c r="M77" s="683">
        <f>VLOOKUP($B77,'Comparisons-24'!$B$35:$P$74, 2, FALSE)</f>
        <v>1854386</v>
      </c>
      <c r="N77" s="683">
        <f>VLOOKUP($B77,'Comparisons-25'!$B$35:$AB$74, 2, FALSE)</f>
        <v>1873883</v>
      </c>
      <c r="O77" s="683">
        <f>VLOOKUP($B77,'Comparisons-26'!$B$35:$BR$72, 2, FALSE)</f>
        <v>962324.56930696522</v>
      </c>
      <c r="Q77" s="729">
        <f>VLOOKUP(B77,'S6C-Avg-24'!$B$11:$BY$50, 76, FALSE)</f>
        <v>1597222.8201522704</v>
      </c>
      <c r="R77" s="729">
        <f>VLOOKUP(B77, 'S6C-Avg-25'!$B$11:$BZ$50, 77, FALSE)</f>
        <v>1690887.2546571917</v>
      </c>
      <c r="S77" s="729">
        <f>VLOOKUP(B77, 'S6C-Avg-26'!$B$12:$BZ$49, 77, FALSE)</f>
        <v>899770.60100390413</v>
      </c>
      <c r="AF77" s="588">
        <f t="shared" si="19"/>
        <v>4187880.6758133657</v>
      </c>
      <c r="AG77" s="588">
        <f t="shared" si="16"/>
        <v>1395960.2252711218</v>
      </c>
      <c r="AH77" s="588">
        <f t="shared" si="20"/>
        <v>0</v>
      </c>
    </row>
    <row r="78" spans="1:34" ht="15">
      <c r="A78" s="584" t="s">
        <v>124</v>
      </c>
      <c r="B78" s="585" t="s">
        <v>128</v>
      </c>
      <c r="C78" s="584"/>
      <c r="D78" s="609">
        <f t="shared" si="17"/>
        <v>53872.552240582278</v>
      </c>
      <c r="E78" s="706" t="s">
        <v>236</v>
      </c>
      <c r="F78" s="609">
        <f t="shared" si="18"/>
        <v>60543.893655531341</v>
      </c>
      <c r="G78" s="689">
        <f t="shared" si="8"/>
        <v>6671.3414149490636</v>
      </c>
      <c r="H78" s="707">
        <f t="shared" si="9"/>
        <v>0.1238356294158184</v>
      </c>
      <c r="K78" s="572" t="s">
        <v>128</v>
      </c>
      <c r="M78" s="683">
        <f>VLOOKUP($B78,'Comparisons-24'!$B$35:$P$74, 2, FALSE)</f>
        <v>48603</v>
      </c>
      <c r="N78" s="683">
        <f>VLOOKUP($B78,'Comparisons-25'!$B$35:$AB$74, 2, FALSE)</f>
        <v>51181</v>
      </c>
      <c r="O78" s="683">
        <f>VLOOKUP($B78,'Comparisons-26'!$B$35:$BR$72, 2, FALSE)</f>
        <v>61833.656721746825</v>
      </c>
      <c r="Q78" s="729">
        <f>VLOOKUP(B78,'S6C-Avg-24'!$B$11:$BY$50, 76, FALSE)</f>
        <v>48603</v>
      </c>
      <c r="R78" s="729">
        <f>VLOOKUP(B78, 'S6C-Avg-25'!$B$11:$BZ$50, 77, FALSE)</f>
        <v>51180.9</v>
      </c>
      <c r="S78" s="729">
        <f>VLOOKUP(B78, 'S6C-Avg-26'!$B$12:$BZ$49, 77, FALSE)</f>
        <v>81847.780966594029</v>
      </c>
      <c r="T78" s="689">
        <f>Q78-M78</f>
        <v>0</v>
      </c>
      <c r="U78" s="708">
        <f>T78/M78</f>
        <v>0</v>
      </c>
      <c r="V78" s="689">
        <f>R78-N78</f>
        <v>-9.9999999998544808E-2</v>
      </c>
      <c r="W78" s="708">
        <f>V78/N78</f>
        <v>-1.9538500615178447E-6</v>
      </c>
      <c r="X78" s="689">
        <f>S78-O78</f>
        <v>20014.124244847204</v>
      </c>
      <c r="Y78" s="708">
        <f>X78/O78</f>
        <v>0.32367686638542692</v>
      </c>
      <c r="AF78" s="588">
        <f t="shared" si="19"/>
        <v>181631.68096659402</v>
      </c>
      <c r="AG78" s="588">
        <f t="shared" si="16"/>
        <v>60543.893655531341</v>
      </c>
      <c r="AH78" s="588">
        <f t="shared" si="20"/>
        <v>0</v>
      </c>
    </row>
    <row r="79" spans="1:34" ht="15">
      <c r="A79" s="584" t="s">
        <v>124</v>
      </c>
      <c r="B79" s="585" t="s">
        <v>129</v>
      </c>
      <c r="C79" s="584"/>
      <c r="D79" s="609">
        <f t="shared" si="17"/>
        <v>324336.18210457283</v>
      </c>
      <c r="E79" s="706" t="s">
        <v>236</v>
      </c>
      <c r="F79" s="609">
        <f t="shared" si="18"/>
        <v>328020.71306301787</v>
      </c>
      <c r="G79" s="689">
        <f t="shared" si="8"/>
        <v>3684.5309584450442</v>
      </c>
      <c r="H79" s="707">
        <f t="shared" si="9"/>
        <v>1.1360221775247616E-2</v>
      </c>
      <c r="K79" s="572" t="s">
        <v>129</v>
      </c>
      <c r="M79" s="683">
        <f>VLOOKUP($B79,'Comparisons-24'!$B$35:$P$74, 2, FALSE)</f>
        <v>358161</v>
      </c>
      <c r="N79" s="683">
        <f>VLOOKUP($B79,'Comparisons-25'!$B$35:$AB$74, 2, FALSE)</f>
        <v>324509</v>
      </c>
      <c r="O79" s="683">
        <f>VLOOKUP($B79,'Comparisons-26'!$B$35:$BR$72, 2, FALSE)</f>
        <v>290338.54631371854</v>
      </c>
      <c r="Q79" s="729">
        <f>VLOOKUP(B79,'S6C-Avg-24'!$B$11:$BY$50, 76, FALSE)</f>
        <v>350634.99715545715</v>
      </c>
      <c r="R79" s="729">
        <f>VLOOKUP(B79, 'S6C-Avg-25'!$B$11:$BZ$50, 77, FALSE)</f>
        <v>330058.49597450497</v>
      </c>
      <c r="S79" s="729">
        <f>VLOOKUP(B79, 'S6C-Avg-26'!$B$12:$BZ$49, 77, FALSE)</f>
        <v>303368.64605909149</v>
      </c>
      <c r="T79" s="689">
        <f>Q79-M79</f>
        <v>-7526.002844542847</v>
      </c>
      <c r="U79" s="708">
        <f>T79/M79</f>
        <v>-2.1012904376922242E-2</v>
      </c>
      <c r="V79" s="689">
        <f>R79-N79</f>
        <v>5549.4959745049709</v>
      </c>
      <c r="W79" s="708">
        <f>V79/N79</f>
        <v>1.7101208208416319E-2</v>
      </c>
      <c r="X79" s="689">
        <f>S79-O79</f>
        <v>13030.099745372951</v>
      </c>
      <c r="Y79" s="708">
        <f>X79/O79</f>
        <v>4.4878986654750208E-2</v>
      </c>
      <c r="AF79" s="588">
        <f t="shared" si="19"/>
        <v>984062.13918905356</v>
      </c>
      <c r="AG79" s="588">
        <f t="shared" si="16"/>
        <v>328020.71306301787</v>
      </c>
      <c r="AH79" s="588">
        <f t="shared" si="20"/>
        <v>0</v>
      </c>
    </row>
    <row r="80" spans="1:34" ht="15.75" thickBot="1">
      <c r="A80" s="597" t="s">
        <v>124</v>
      </c>
      <c r="B80" s="598" t="s">
        <v>130</v>
      </c>
      <c r="C80" s="597"/>
      <c r="D80" s="710">
        <f t="shared" si="17"/>
        <v>1082498.9905717103</v>
      </c>
      <c r="E80" s="711" t="s">
        <v>236</v>
      </c>
      <c r="F80" s="710">
        <f t="shared" si="18"/>
        <v>1113975.1718343617</v>
      </c>
      <c r="G80" s="712">
        <f t="shared" si="8"/>
        <v>31476.181262651458</v>
      </c>
      <c r="H80" s="713">
        <f t="shared" si="9"/>
        <v>2.907733082136885E-2</v>
      </c>
      <c r="K80" s="572" t="s">
        <v>130</v>
      </c>
      <c r="M80" s="683">
        <f>VLOOKUP($B80,'Comparisons-24'!$B$35:$P$74, 2, FALSE)</f>
        <v>1194300</v>
      </c>
      <c r="N80" s="683">
        <f>VLOOKUP($B80,'Comparisons-25'!$B$35:$AB$74, 2, FALSE)</f>
        <v>1086084</v>
      </c>
      <c r="O80" s="683">
        <f>VLOOKUP($B80,'Comparisons-26'!$B$35:$BR$72, 2, FALSE)</f>
        <v>967112.97171513084</v>
      </c>
      <c r="Q80" s="729">
        <f>VLOOKUP(B80,'S6C-Avg-24'!$B$11:$BY$50, 76, FALSE)</f>
        <v>1159948.1398961514</v>
      </c>
      <c r="R80" s="729">
        <f>VLOOKUP(B80, 'S6C-Avg-25'!$B$11:$BZ$50, 77, FALSE)</f>
        <v>1130671.9775582354</v>
      </c>
      <c r="S80" s="729">
        <f>VLOOKUP(B80, 'S6C-Avg-26'!$B$12:$BZ$49, 77, FALSE)</f>
        <v>1051305.3980486984</v>
      </c>
      <c r="T80" s="689">
        <f>Q80-M80</f>
        <v>-34351.860103848623</v>
      </c>
      <c r="U80" s="708">
        <f>T80/M80</f>
        <v>-2.8763175168591327E-2</v>
      </c>
      <c r="V80" s="689">
        <f>R80-N80</f>
        <v>44587.977558235405</v>
      </c>
      <c r="W80" s="708">
        <f>V80/N80</f>
        <v>4.1053894135477005E-2</v>
      </c>
      <c r="X80" s="689">
        <f>S80-O80</f>
        <v>84192.426333567593</v>
      </c>
      <c r="Y80" s="708">
        <f>X80/O80</f>
        <v>8.705542040683846E-2</v>
      </c>
      <c r="AF80" s="588">
        <f t="shared" si="19"/>
        <v>3341925.5155030852</v>
      </c>
      <c r="AG80" s="588">
        <f t="shared" si="16"/>
        <v>1113975.1718343617</v>
      </c>
      <c r="AH80" s="588">
        <f t="shared" si="20"/>
        <v>0</v>
      </c>
    </row>
    <row r="81" spans="1:33" ht="15.75" thickTop="1">
      <c r="A81" s="714"/>
      <c r="B81" s="714"/>
      <c r="C81" s="714"/>
      <c r="D81" s="715">
        <f>SUM(D42:D80)</f>
        <v>129548415.6666667</v>
      </c>
      <c r="E81" s="714"/>
      <c r="F81" s="715">
        <f>SUM(F42:F80)</f>
        <v>129548415.99999999</v>
      </c>
      <c r="G81" s="716">
        <f>MIN(G42:G80)</f>
        <v>-1796127.6347567774</v>
      </c>
      <c r="H81" s="717">
        <f>MIN(H42:H80)</f>
        <v>-0.10717468611715074</v>
      </c>
      <c r="M81" s="697">
        <f>SUM(M42:M80)</f>
        <v>133266168</v>
      </c>
      <c r="N81" s="697">
        <f>SUM(N42:N80)</f>
        <v>128674210</v>
      </c>
      <c r="O81" s="697">
        <f>SUM(O42:O80)</f>
        <v>126704869.00000003</v>
      </c>
      <c r="Q81" s="697">
        <f>SUM(Q42:Q80)</f>
        <v>133266167.99999996</v>
      </c>
      <c r="R81" s="697">
        <f>SUM(R42:R80)</f>
        <v>128674211.00000003</v>
      </c>
      <c r="S81" s="697" t="e">
        <f>SUM(S42:S80)</f>
        <v>#N/A</v>
      </c>
      <c r="AF81" s="588" t="e">
        <f>SUM(AF42:AF80)</f>
        <v>#N/A</v>
      </c>
      <c r="AG81" s="588" t="e">
        <f>AF81/3</f>
        <v>#N/A</v>
      </c>
    </row>
    <row r="83" spans="1:33" ht="15">
      <c r="B83" s="718" t="s">
        <v>268</v>
      </c>
      <c r="D83" s="588">
        <f>SUMIF($I$42:$I$80, "Urban", D42:D80)</f>
        <v>110880613.46744327</v>
      </c>
      <c r="F83" s="588">
        <f>SUMIF($I$42:$I$80, "Urban", F42:F80)</f>
        <v>110051828.09669141</v>
      </c>
      <c r="G83" s="689">
        <f t="shared" ref="G83:G84" si="45">F83-D83</f>
        <v>-828785.37075185776</v>
      </c>
      <c r="H83" s="708">
        <f>G83/D83</f>
        <v>-7.4745741823948825E-3</v>
      </c>
      <c r="M83" s="588">
        <f>SUMIF($I$42:$I$80, "Urban", M42:M80)</f>
        <v>109293911</v>
      </c>
      <c r="N83" s="588">
        <f>SUMIF($I$42:$I$80, "Urban", N42:N80)</f>
        <v>111816549</v>
      </c>
      <c r="O83" s="588">
        <f>SUMIF($I$42:$I$80, "Urban", O42:O80)</f>
        <v>111531380.4023298</v>
      </c>
      <c r="Q83" s="588">
        <f>SUMIF($I$42:$I$80, "Urban", Q42:Q80)</f>
        <v>107835072.19134048</v>
      </c>
      <c r="R83" s="588">
        <f>SUMIF($I$42:$I$80, "Urban", R42:R80)</f>
        <v>111569420.70146739</v>
      </c>
      <c r="S83" s="588">
        <f>SUMIF($I$42:$I$80, "Urban", S42:S80)</f>
        <v>110750991.39726628</v>
      </c>
      <c r="T83" s="689">
        <f>Q83-M83</f>
        <v>-1458838.8086595237</v>
      </c>
      <c r="U83" s="708">
        <f>T83/M83</f>
        <v>-1.3347850720242995E-2</v>
      </c>
      <c r="V83" s="689">
        <f>R83-N83</f>
        <v>-247128.29853260517</v>
      </c>
      <c r="W83" s="708">
        <f>V83/N83</f>
        <v>-2.210122747864497E-3</v>
      </c>
      <c r="X83" s="689">
        <f>S83-O83</f>
        <v>-780389.00506351888</v>
      </c>
      <c r="Y83" s="708">
        <f>X83/O83</f>
        <v>-6.9970352939989003E-3</v>
      </c>
    </row>
    <row r="84" spans="1:33" ht="15">
      <c r="B84" s="718" t="s">
        <v>269</v>
      </c>
      <c r="D84" s="588">
        <f>D81-D83</f>
        <v>18667802.199223429</v>
      </c>
      <c r="F84" s="588">
        <f>F81-F83</f>
        <v>19496587.90330857</v>
      </c>
      <c r="G84" s="689">
        <f t="shared" si="45"/>
        <v>828785.70408514142</v>
      </c>
      <c r="H84" s="708">
        <f>G84/D84</f>
        <v>4.4396533413002336E-2</v>
      </c>
      <c r="M84" s="588">
        <f>M81-M83</f>
        <v>23972257</v>
      </c>
      <c r="N84" s="588">
        <f>N81-N83</f>
        <v>16857661</v>
      </c>
      <c r="O84" s="588">
        <f>O81-O83</f>
        <v>15173488.597670227</v>
      </c>
      <c r="Q84" s="588">
        <f>Q81-Q83</f>
        <v>25431095.808659479</v>
      </c>
      <c r="R84" s="588">
        <f>R81-R83</f>
        <v>17104790.298532635</v>
      </c>
      <c r="S84" s="588" t="e">
        <f>S81-S83</f>
        <v>#N/A</v>
      </c>
      <c r="T84" s="689">
        <f>Q84-M84</f>
        <v>1458838.808659479</v>
      </c>
      <c r="U84" s="708">
        <f t="shared" ref="U84" si="46">T84/M84</f>
        <v>6.0855296547983738E-2</v>
      </c>
      <c r="V84" s="689">
        <f t="shared" ref="V84" si="47">R84-N84</f>
        <v>247129.29853263497</v>
      </c>
      <c r="W84" s="708">
        <f t="shared" ref="W84" si="48">V84/N84</f>
        <v>1.4659762023488013E-2</v>
      </c>
      <c r="X84" s="689" t="e">
        <f t="shared" ref="X84" si="49">S84-O84</f>
        <v>#N/A</v>
      </c>
      <c r="Y84" s="708" t="e">
        <f t="shared" ref="Y84" si="50">X84/O84</f>
        <v>#N/A</v>
      </c>
    </row>
    <row r="87" spans="1:33">
      <c r="M87" s="730">
        <f>SUM(M81:O81)/3</f>
        <v>129548415.66666667</v>
      </c>
      <c r="Q87" s="730" t="e">
        <f>SUM(Q81:S81)</f>
        <v>#N/A</v>
      </c>
    </row>
    <row r="88" spans="1:33" ht="15">
      <c r="R88" s="719">
        <f t="shared" ref="R88:S103" si="51">(R42-Q42)/Q42</f>
        <v>-9.0057901118317813E-3</v>
      </c>
      <c r="S88" s="719">
        <f t="shared" si="51"/>
        <v>-0.10528103652277844</v>
      </c>
    </row>
    <row r="89" spans="1:33" ht="15">
      <c r="B89" s="572" t="s">
        <v>171</v>
      </c>
      <c r="R89" s="719">
        <f t="shared" si="51"/>
        <v>-0.12111096230813215</v>
      </c>
      <c r="S89" s="719">
        <f t="shared" si="51"/>
        <v>-9.3442055695136111E-2</v>
      </c>
    </row>
    <row r="90" spans="1:33" ht="15">
      <c r="B90" s="572" t="s">
        <v>97</v>
      </c>
      <c r="D90" s="720">
        <v>17018.733333333334</v>
      </c>
      <c r="F90" s="721">
        <f t="shared" ref="F90:F127" si="52">VLOOKUP(B90, $B$42:$H$80, 5, FALSE)</f>
        <v>16202.862836346592</v>
      </c>
      <c r="G90" s="722">
        <f t="shared" ref="G90:G127" si="53">VLOOKUP(B90,$B$42:$H$80, 7, FALSE)</f>
        <v>-4.7939554666430795E-2</v>
      </c>
      <c r="H90" s="572" t="s">
        <v>404</v>
      </c>
      <c r="I90" s="722" t="str">
        <f>H90&amp; " [" &amp;TEXT(G90, "0%;[Red]-0%") &amp;"]"</f>
        <v>PONY Express [-5%]</v>
      </c>
      <c r="R90" s="719">
        <f t="shared" si="51"/>
        <v>-4.101955485592565E-2</v>
      </c>
      <c r="S90" s="719">
        <f t="shared" si="51"/>
        <v>-2.5747267357138667E-2</v>
      </c>
    </row>
    <row r="91" spans="1:33" ht="15">
      <c r="B91" s="572" t="s">
        <v>103</v>
      </c>
      <c r="D91" s="720">
        <v>41041.693335279859</v>
      </c>
      <c r="F91" s="721">
        <f t="shared" si="52"/>
        <v>45079.69999999999</v>
      </c>
      <c r="G91" s="722">
        <f t="shared" si="53"/>
        <v>9.8387915716163191E-2</v>
      </c>
      <c r="H91" s="572" t="s">
        <v>103</v>
      </c>
      <c r="I91" s="722" t="str">
        <f t="shared" ref="I91:I127" si="54">H91&amp; " [" &amp;TEXT(G91, "0%;[Red]-0%") &amp;"]"</f>
        <v>Town of Altavista [10%]</v>
      </c>
      <c r="R91" s="719">
        <f t="shared" si="51"/>
        <v>-6.7678170340393735E-3</v>
      </c>
      <c r="S91" s="719">
        <f t="shared" si="51"/>
        <v>1.7242757205622166E-3</v>
      </c>
    </row>
    <row r="92" spans="1:33" ht="15">
      <c r="B92" s="572" t="s">
        <v>128</v>
      </c>
      <c r="D92" s="720">
        <v>53872.552240582278</v>
      </c>
      <c r="F92" s="721">
        <f t="shared" si="52"/>
        <v>60543.893655531341</v>
      </c>
      <c r="G92" s="722">
        <f t="shared" si="53"/>
        <v>0.1238356294158184</v>
      </c>
      <c r="H92" s="572" t="s">
        <v>128</v>
      </c>
      <c r="I92" s="722" t="str">
        <f t="shared" si="54"/>
        <v>Lake Area [12%]</v>
      </c>
      <c r="R92" s="719">
        <f t="shared" si="51"/>
        <v>-3.3220648929882066E-2</v>
      </c>
      <c r="S92" s="719">
        <f t="shared" si="51"/>
        <v>-5.3832022848618558E-2</v>
      </c>
    </row>
    <row r="93" spans="1:33" ht="15">
      <c r="B93" s="572" t="s">
        <v>94</v>
      </c>
      <c r="D93" s="720">
        <v>54768.189319748861</v>
      </c>
      <c r="F93" s="721">
        <f t="shared" si="52"/>
        <v>53095.669813017332</v>
      </c>
      <c r="G93" s="722">
        <f t="shared" si="53"/>
        <v>-3.0538155953394559E-2</v>
      </c>
      <c r="H93" s="572" t="s">
        <v>402</v>
      </c>
      <c r="I93" s="722" t="str">
        <f t="shared" si="54"/>
        <v>Greensville Co. [-3%]</v>
      </c>
      <c r="R93" s="719">
        <f t="shared" si="51"/>
        <v>-1.9259112205314754E-3</v>
      </c>
      <c r="S93" s="719">
        <f t="shared" si="51"/>
        <v>0.2236838416405762</v>
      </c>
    </row>
    <row r="94" spans="1:33" ht="15">
      <c r="B94" s="572" t="s">
        <v>84</v>
      </c>
      <c r="D94" s="720">
        <v>121343.8</v>
      </c>
      <c r="F94" s="721">
        <f t="shared" si="52"/>
        <v>121413.25932109046</v>
      </c>
      <c r="G94" s="722">
        <f t="shared" si="53"/>
        <v>5.7241755318736352E-4</v>
      </c>
      <c r="H94" s="572" t="s">
        <v>84</v>
      </c>
      <c r="I94" s="722" t="str">
        <f t="shared" si="54"/>
        <v>City of Bristol Virginia [0%]</v>
      </c>
      <c r="R94" s="719">
        <f t="shared" si="51"/>
        <v>-5.141236028648366E-2</v>
      </c>
      <c r="S94" s="719">
        <f t="shared" si="51"/>
        <v>2.3799900098218071E-2</v>
      </c>
    </row>
    <row r="95" spans="1:33" ht="15">
      <c r="B95" s="572" t="s">
        <v>87</v>
      </c>
      <c r="D95" s="720">
        <v>125488.87472202133</v>
      </c>
      <c r="F95" s="721">
        <f t="shared" si="52"/>
        <v>137177.4037576197</v>
      </c>
      <c r="G95" s="722">
        <f t="shared" si="53"/>
        <v>9.3143946517094886E-2</v>
      </c>
      <c r="H95" s="572" t="s">
        <v>399</v>
      </c>
      <c r="I95" s="722" t="str">
        <f t="shared" si="54"/>
        <v>Bluefield-Graham  [9%]</v>
      </c>
      <c r="R95" s="719">
        <f t="shared" si="51"/>
        <v>-6.1198180968841671E-2</v>
      </c>
      <c r="S95" s="719">
        <f t="shared" si="51"/>
        <v>-4.0120399821583691E-2</v>
      </c>
    </row>
    <row r="96" spans="1:33" ht="15">
      <c r="B96" s="572" t="s">
        <v>126</v>
      </c>
      <c r="D96" s="720">
        <v>189467.63333333333</v>
      </c>
      <c r="F96" s="721">
        <f t="shared" si="52"/>
        <v>189467.80000000002</v>
      </c>
      <c r="G96" s="722">
        <f t="shared" si="53"/>
        <v>8.796577217642761E-7</v>
      </c>
      <c r="H96" s="572" t="s">
        <v>126</v>
      </c>
      <c r="I96" s="722" t="str">
        <f t="shared" si="54"/>
        <v>Blackstone Area Bus [0%]</v>
      </c>
      <c r="R96" s="719">
        <f t="shared" si="51"/>
        <v>0.11121869065357926</v>
      </c>
      <c r="S96" s="719">
        <f t="shared" si="51"/>
        <v>-4.7934419146542069E-2</v>
      </c>
    </row>
    <row r="97" spans="2:19" ht="15">
      <c r="B97" s="572" t="s">
        <v>101</v>
      </c>
      <c r="D97" s="720">
        <v>196263.86435138655</v>
      </c>
      <c r="F97" s="721">
        <f t="shared" si="52"/>
        <v>200739.19999999998</v>
      </c>
      <c r="G97" s="722">
        <f t="shared" si="53"/>
        <v>2.2802647157710527E-2</v>
      </c>
      <c r="H97" s="572" t="s">
        <v>101</v>
      </c>
      <c r="I97" s="722" t="str">
        <f t="shared" si="54"/>
        <v>Farmville Area Bus [2%]</v>
      </c>
      <c r="R97" s="719">
        <f t="shared" si="51"/>
        <v>-4.9469033447659579E-2</v>
      </c>
      <c r="S97" s="719">
        <f t="shared" si="51"/>
        <v>-2.6768829226841134E-2</v>
      </c>
    </row>
    <row r="98" spans="2:19" ht="15">
      <c r="B98" s="572" t="s">
        <v>119</v>
      </c>
      <c r="D98" s="720">
        <v>199411.47824592108</v>
      </c>
      <c r="F98" s="721">
        <f t="shared" si="52"/>
        <v>224943.30314651885</v>
      </c>
      <c r="G98" s="722">
        <f t="shared" si="53"/>
        <v>0.1280358840182261</v>
      </c>
      <c r="H98" s="572" t="s">
        <v>119</v>
      </c>
      <c r="I98" s="722" t="str">
        <f t="shared" si="54"/>
        <v>Pulaski Area Transit [13%]</v>
      </c>
      <c r="R98" s="719">
        <f t="shared" si="51"/>
        <v>3.8156211906236887E-2</v>
      </c>
      <c r="S98" s="719">
        <f t="shared" si="51"/>
        <v>8.095385901128388E-2</v>
      </c>
    </row>
    <row r="99" spans="2:19" ht="15">
      <c r="B99" s="572" t="s">
        <v>129</v>
      </c>
      <c r="D99" s="720">
        <v>324336.18210457283</v>
      </c>
      <c r="F99" s="721">
        <f t="shared" si="52"/>
        <v>328020.71306301787</v>
      </c>
      <c r="G99" s="722">
        <f t="shared" si="53"/>
        <v>1.1360221775247616E-2</v>
      </c>
      <c r="H99" s="572" t="s">
        <v>129</v>
      </c>
      <c r="I99" s="722" t="str">
        <f t="shared" si="54"/>
        <v>RADAR [1%]</v>
      </c>
      <c r="R99" s="719">
        <f t="shared" si="51"/>
        <v>-0.34092662053036055</v>
      </c>
      <c r="S99" s="719">
        <f t="shared" si="51"/>
        <v>0.97793375227267665</v>
      </c>
    </row>
    <row r="100" spans="2:19" ht="15">
      <c r="B100" s="572" t="s">
        <v>96</v>
      </c>
      <c r="D100" s="720">
        <v>371186.63436863339</v>
      </c>
      <c r="F100" s="721">
        <f t="shared" si="52"/>
        <v>379553.60000000003</v>
      </c>
      <c r="G100" s="722">
        <f t="shared" si="53"/>
        <v>2.2541128523117123E-2</v>
      </c>
      <c r="H100" s="572" t="s">
        <v>96</v>
      </c>
      <c r="I100" s="722" t="str">
        <f t="shared" si="54"/>
        <v>STAR Transit [2%]</v>
      </c>
      <c r="R100" s="719">
        <f t="shared" si="51"/>
        <v>5.9803458710842201E-2</v>
      </c>
      <c r="S100" s="719">
        <f t="shared" si="51"/>
        <v>-1.779835700472536E-2</v>
      </c>
    </row>
    <row r="101" spans="2:19" ht="15">
      <c r="B101" s="572" t="s">
        <v>93</v>
      </c>
      <c r="D101" s="720">
        <v>430650.67377976741</v>
      </c>
      <c r="F101" s="721">
        <f t="shared" si="52"/>
        <v>475664.490380592</v>
      </c>
      <c r="G101" s="722">
        <f t="shared" si="53"/>
        <v>0.10452512753723085</v>
      </c>
      <c r="H101" s="572" t="s">
        <v>93</v>
      </c>
      <c r="I101" s="722" t="str">
        <f t="shared" si="54"/>
        <v>City of Suffolk [10%]</v>
      </c>
      <c r="R101" s="719">
        <f t="shared" si="51"/>
        <v>-0.16516313893597523</v>
      </c>
      <c r="S101" s="719">
        <f t="shared" si="51"/>
        <v>3.4314632742403782E-2</v>
      </c>
    </row>
    <row r="102" spans="2:19" ht="15">
      <c r="B102" s="572" t="s">
        <v>123</v>
      </c>
      <c r="D102" s="720">
        <v>487667.35765267425</v>
      </c>
      <c r="F102" s="721">
        <f t="shared" si="52"/>
        <v>492457.83393162536</v>
      </c>
      <c r="G102" s="722">
        <f t="shared" si="53"/>
        <v>9.823245709963976E-3</v>
      </c>
      <c r="H102" s="572" t="s">
        <v>123</v>
      </c>
      <c r="I102" s="722" t="str">
        <f t="shared" si="54"/>
        <v>City of Winchester [1%]</v>
      </c>
      <c r="R102" s="719">
        <f t="shared" si="51"/>
        <v>0.1601516861720034</v>
      </c>
      <c r="S102" s="719">
        <f t="shared" si="51"/>
        <v>-6.6454444852198881E-3</v>
      </c>
    </row>
    <row r="103" spans="2:19" ht="15">
      <c r="B103" s="572" t="s">
        <v>117</v>
      </c>
      <c r="D103" s="720">
        <v>501123.76901444077</v>
      </c>
      <c r="F103" s="721">
        <f t="shared" si="52"/>
        <v>562208.86523780937</v>
      </c>
      <c r="G103" s="722">
        <f t="shared" si="53"/>
        <v>0.12189622604312814</v>
      </c>
      <c r="H103" s="572" t="s">
        <v>117</v>
      </c>
      <c r="I103" s="722" t="str">
        <f t="shared" si="54"/>
        <v>City of Radford [12%]</v>
      </c>
      <c r="R103" s="719">
        <f t="shared" si="51"/>
        <v>-0.11111931366368577</v>
      </c>
      <c r="S103" s="719">
        <f t="shared" si="51"/>
        <v>-7.4333250955088651E-2</v>
      </c>
    </row>
    <row r="104" spans="2:19" ht="15">
      <c r="B104" s="572" t="s">
        <v>83</v>
      </c>
      <c r="D104" s="720">
        <v>625122.73690211866</v>
      </c>
      <c r="F104" s="721">
        <f t="shared" si="52"/>
        <v>654088.21210374485</v>
      </c>
      <c r="G104" s="722">
        <f t="shared" si="53"/>
        <v>4.6335660969825818E-2</v>
      </c>
      <c r="H104" s="572" t="s">
        <v>396</v>
      </c>
      <c r="I104" s="722" t="str">
        <f t="shared" si="54"/>
        <v>AASC/ 4 County [5%]</v>
      </c>
      <c r="R104" s="719">
        <f t="shared" ref="R104:S109" si="55">(R58-Q58)/Q58</f>
        <v>0.64370896546607803</v>
      </c>
      <c r="S104" s="719">
        <f t="shared" si="55"/>
        <v>-6.5111057201369726E-2</v>
      </c>
    </row>
    <row r="105" spans="2:19" ht="15">
      <c r="B105" s="572" t="s">
        <v>86</v>
      </c>
      <c r="D105" s="720">
        <v>642599.53505679057</v>
      </c>
      <c r="F105" s="721">
        <f t="shared" si="52"/>
        <v>647500</v>
      </c>
      <c r="G105" s="722">
        <f t="shared" si="53"/>
        <v>7.6260013832352763E-3</v>
      </c>
      <c r="H105" s="572" t="s">
        <v>398</v>
      </c>
      <c r="I105" s="722" t="str">
        <f t="shared" si="54"/>
        <v>MEOC [1%]</v>
      </c>
      <c r="R105" s="719">
        <f t="shared" si="55"/>
        <v>5.8616839532002744E-2</v>
      </c>
      <c r="S105" s="719">
        <f t="shared" si="55"/>
        <v>0.2676984701110397</v>
      </c>
    </row>
    <row r="106" spans="2:19" ht="15">
      <c r="B106" s="572" t="s">
        <v>121</v>
      </c>
      <c r="D106" s="720">
        <v>657710.18017678906</v>
      </c>
      <c r="F106" s="721">
        <f t="shared" si="52"/>
        <v>741870.81526439602</v>
      </c>
      <c r="G106" s="722">
        <f t="shared" si="53"/>
        <v>0.12796006147416636</v>
      </c>
      <c r="H106" s="572" t="s">
        <v>416</v>
      </c>
      <c r="I106" s="722" t="str">
        <f t="shared" si="54"/>
        <v>CSPDC [13%]</v>
      </c>
      <c r="R106" s="719">
        <f t="shared" si="55"/>
        <v>-0.16307603347901872</v>
      </c>
      <c r="S106" s="719">
        <f t="shared" si="55"/>
        <v>1.3706857648293807E-2</v>
      </c>
    </row>
    <row r="107" spans="2:19" ht="15">
      <c r="B107" s="572" t="s">
        <v>85</v>
      </c>
      <c r="D107" s="720">
        <v>742893.1932213885</v>
      </c>
      <c r="F107" s="721">
        <f t="shared" si="52"/>
        <v>740034.56536466628</v>
      </c>
      <c r="G107" s="723">
        <f t="shared" si="53"/>
        <v>-3.8479661448053174E-3</v>
      </c>
      <c r="H107" s="572" t="s">
        <v>397</v>
      </c>
      <c r="I107" s="722" t="str">
        <f t="shared" si="54"/>
        <v>District Three [-0%]</v>
      </c>
      <c r="R107" s="719">
        <f t="shared" si="55"/>
        <v>0.17451400245937479</v>
      </c>
      <c r="S107" s="719">
        <f t="shared" si="55"/>
        <v>2.7473554806389217E-2</v>
      </c>
    </row>
    <row r="108" spans="2:19" ht="15">
      <c r="B108" s="724" t="s">
        <v>100</v>
      </c>
      <c r="C108" s="724"/>
      <c r="D108" s="725">
        <v>832018.76885929203</v>
      </c>
      <c r="E108" s="724"/>
      <c r="F108" s="726">
        <f t="shared" si="52"/>
        <v>870733.3458347976</v>
      </c>
      <c r="G108" s="727">
        <f t="shared" si="53"/>
        <v>4.6530893802532516E-2</v>
      </c>
      <c r="H108" s="572" t="s">
        <v>406</v>
      </c>
      <c r="I108" s="722" t="str">
        <f t="shared" si="54"/>
        <v>DTS [5%]</v>
      </c>
      <c r="R108" s="719">
        <f t="shared" si="55"/>
        <v>2.5583977005098089E-2</v>
      </c>
      <c r="S108" s="719">
        <f t="shared" si="55"/>
        <v>2.3511516283259662E-2</v>
      </c>
    </row>
    <row r="109" spans="2:19" ht="15">
      <c r="B109" s="572" t="s">
        <v>91</v>
      </c>
      <c r="D109" s="720">
        <v>1071485.0448851464</v>
      </c>
      <c r="F109" s="721">
        <f t="shared" si="52"/>
        <v>981375.03751620231</v>
      </c>
      <c r="G109" s="723">
        <f t="shared" si="53"/>
        <v>-8.4098240847218828E-2</v>
      </c>
      <c r="H109" s="572" t="s">
        <v>401</v>
      </c>
      <c r="I109" s="722" t="str">
        <f t="shared" si="54"/>
        <v>FXBGO! [-8%]</v>
      </c>
      <c r="R109" s="719">
        <f t="shared" si="55"/>
        <v>1.7652720087650826E-3</v>
      </c>
      <c r="S109" s="719">
        <f t="shared" si="55"/>
        <v>-9.0374944572563537E-2</v>
      </c>
    </row>
    <row r="110" spans="2:19" ht="15">
      <c r="B110" s="572" t="s">
        <v>130</v>
      </c>
      <c r="D110" s="683">
        <v>1082498.9905717103</v>
      </c>
      <c r="F110" s="728">
        <f t="shared" si="52"/>
        <v>1113975.1718343617</v>
      </c>
      <c r="G110" s="722">
        <f t="shared" si="53"/>
        <v>2.907733082136885E-2</v>
      </c>
      <c r="H110" s="572" t="s">
        <v>130</v>
      </c>
      <c r="I110" s="722" t="str">
        <f t="shared" si="54"/>
        <v>VRT [3%]</v>
      </c>
      <c r="R110" s="719"/>
      <c r="S110" s="719"/>
    </row>
    <row r="111" spans="2:19" ht="15">
      <c r="B111" s="572" t="s">
        <v>125</v>
      </c>
      <c r="D111" s="683">
        <v>1190937.3236635181</v>
      </c>
      <c r="F111" s="728">
        <f t="shared" si="52"/>
        <v>1185711.7233186872</v>
      </c>
      <c r="G111" s="722">
        <f t="shared" si="53"/>
        <v>-4.3878046652833834E-3</v>
      </c>
      <c r="H111" s="572" t="s">
        <v>125</v>
      </c>
      <c r="I111" s="722" t="str">
        <f t="shared" si="54"/>
        <v>Bay Aging [-0%]</v>
      </c>
      <c r="R111" s="719">
        <f t="shared" ref="R111:S126" si="56">(R65-Q65)/Q65</f>
        <v>9.2787549390707606E-3</v>
      </c>
      <c r="S111" s="719">
        <f t="shared" si="56"/>
        <v>8.7131611874991608E-3</v>
      </c>
    </row>
    <row r="112" spans="2:19" ht="15">
      <c r="B112" s="572" t="s">
        <v>113</v>
      </c>
      <c r="D112" s="683">
        <v>1198958.8926709832</v>
      </c>
      <c r="F112" s="728">
        <f t="shared" si="52"/>
        <v>1179807.8029546009</v>
      </c>
      <c r="G112" s="722">
        <f t="shared" si="53"/>
        <v>-1.5973099522802191E-2</v>
      </c>
      <c r="H112" s="572" t="s">
        <v>413</v>
      </c>
      <c r="I112" s="722" t="str">
        <f t="shared" si="54"/>
        <v>PAT (Petersburg) [-2%]</v>
      </c>
      <c r="R112" s="719">
        <f t="shared" si="56"/>
        <v>3.4265351035068337E-2</v>
      </c>
      <c r="S112" s="719">
        <f t="shared" si="56"/>
        <v>-0.17136697048555624</v>
      </c>
    </row>
    <row r="113" spans="2:19" ht="15">
      <c r="B113" s="572" t="s">
        <v>127</v>
      </c>
      <c r="D113" s="683">
        <v>1563531.1897689884</v>
      </c>
      <c r="F113" s="728">
        <f t="shared" si="52"/>
        <v>1395960.2252711218</v>
      </c>
      <c r="G113" s="722">
        <f t="shared" si="53"/>
        <v>-0.10717468611715074</v>
      </c>
      <c r="H113" s="572" t="s">
        <v>127</v>
      </c>
      <c r="I113" s="722" t="str">
        <f t="shared" si="54"/>
        <v>JAUNT [-11%]</v>
      </c>
      <c r="R113" s="719">
        <f t="shared" si="56"/>
        <v>0.17878915741585449</v>
      </c>
      <c r="S113" s="719">
        <f t="shared" si="56"/>
        <v>7.2893755552763378E-3</v>
      </c>
    </row>
    <row r="114" spans="2:19" ht="15">
      <c r="B114" s="572" t="s">
        <v>108</v>
      </c>
      <c r="D114" s="683">
        <v>1591498.2</v>
      </c>
      <c r="F114" s="728">
        <f t="shared" si="52"/>
        <v>1597733.2856046746</v>
      </c>
      <c r="G114" s="722">
        <f t="shared" si="53"/>
        <v>3.9177459356690746E-3</v>
      </c>
      <c r="H114" s="572" t="s">
        <v>411</v>
      </c>
      <c r="I114" s="722" t="str">
        <f t="shared" si="54"/>
        <v>City of Fairfax - CUE [0%]</v>
      </c>
      <c r="R114" s="719">
        <f t="shared" si="56"/>
        <v>0.2018927170388026</v>
      </c>
      <c r="S114" s="719">
        <f t="shared" si="56"/>
        <v>6.5575917057907662E-2</v>
      </c>
    </row>
    <row r="115" spans="2:19" ht="15">
      <c r="B115" s="572" t="s">
        <v>102</v>
      </c>
      <c r="D115" s="683">
        <v>1703062.0409783174</v>
      </c>
      <c r="F115" s="728">
        <f t="shared" si="52"/>
        <v>1965250.6220080212</v>
      </c>
      <c r="G115" s="722">
        <f t="shared" si="53"/>
        <v>0.15395127994226834</v>
      </c>
      <c r="H115" s="572" t="s">
        <v>407</v>
      </c>
      <c r="I115" s="722" t="str">
        <f t="shared" si="54"/>
        <v>GLTC (Lynchburg) [15%]</v>
      </c>
      <c r="R115" s="719">
        <f t="shared" si="56"/>
        <v>0.13241600917141771</v>
      </c>
      <c r="S115" s="719">
        <f t="shared" si="56"/>
        <v>-5.9149790962582743E-2</v>
      </c>
    </row>
    <row r="116" spans="2:19" ht="15">
      <c r="B116" s="572" t="s">
        <v>122</v>
      </c>
      <c r="D116" s="683">
        <v>1997492.8666666665</v>
      </c>
      <c r="F116" s="728">
        <f t="shared" si="52"/>
        <v>1997493</v>
      </c>
      <c r="G116" s="722">
        <f t="shared" si="53"/>
        <v>6.6750342772247821E-8</v>
      </c>
      <c r="H116" s="572" t="s">
        <v>267</v>
      </c>
      <c r="I116" s="722" t="str">
        <f t="shared" si="54"/>
        <v>HDPT (Harrisonburg) [0%]</v>
      </c>
      <c r="R116" s="719">
        <f t="shared" si="56"/>
        <v>0.18786200599352892</v>
      </c>
      <c r="S116" s="719">
        <f t="shared" si="56"/>
        <v>-5.2453064752556296E-2</v>
      </c>
    </row>
    <row r="117" spans="2:19" ht="15">
      <c r="B117" s="572" t="s">
        <v>98</v>
      </c>
      <c r="D117" s="683">
        <v>2281227.164313735</v>
      </c>
      <c r="F117" s="728">
        <f t="shared" si="52"/>
        <v>2314483.5</v>
      </c>
      <c r="G117" s="722">
        <f t="shared" si="53"/>
        <v>1.4578265683711327E-2</v>
      </c>
      <c r="H117" s="572" t="s">
        <v>405</v>
      </c>
      <c r="I117" s="722" t="str">
        <f t="shared" si="54"/>
        <v>WATA [1%]</v>
      </c>
      <c r="R117" s="719">
        <f t="shared" si="56"/>
        <v>-6.5475503152594719E-2</v>
      </c>
      <c r="S117" s="719">
        <f t="shared" si="56"/>
        <v>-1.5764111409271302E-2</v>
      </c>
    </row>
    <row r="118" spans="2:19" ht="15">
      <c r="B118" s="572" t="s">
        <v>89</v>
      </c>
      <c r="D118" s="683">
        <v>2971811.8341092449</v>
      </c>
      <c r="F118" s="728">
        <f t="shared" si="52"/>
        <v>2961002.1015986931</v>
      </c>
      <c r="G118" s="722">
        <f t="shared" si="53"/>
        <v>-3.6374215845303886E-3</v>
      </c>
      <c r="H118" s="572" t="s">
        <v>400</v>
      </c>
      <c r="I118" s="722" t="str">
        <f t="shared" si="54"/>
        <v>CAT [-0%]</v>
      </c>
      <c r="R118" s="719">
        <f t="shared" si="56"/>
        <v>2.8042082857652707E-3</v>
      </c>
      <c r="S118" s="719">
        <f t="shared" si="56"/>
        <v>-6.4632215727804893E-2</v>
      </c>
    </row>
    <row r="119" spans="2:19" ht="15">
      <c r="B119" s="572" t="s">
        <v>118</v>
      </c>
      <c r="D119" s="683">
        <v>3271539.9085863479</v>
      </c>
      <c r="F119" s="728">
        <f t="shared" si="52"/>
        <v>3520276.2838918851</v>
      </c>
      <c r="G119" s="722">
        <f t="shared" si="53"/>
        <v>7.6030365594108751E-2</v>
      </c>
      <c r="H119" s="572" t="s">
        <v>415</v>
      </c>
      <c r="I119" s="722" t="str">
        <f t="shared" si="54"/>
        <v>GRTC (Valley Metro) [8%]</v>
      </c>
      <c r="R119" s="719">
        <f t="shared" si="56"/>
        <v>0.10367760671199709</v>
      </c>
      <c r="S119" s="719">
        <f t="shared" si="56"/>
        <v>0.13026121740938665</v>
      </c>
    </row>
    <row r="120" spans="2:19" ht="15">
      <c r="B120" s="572" t="s">
        <v>116</v>
      </c>
      <c r="D120" s="683">
        <v>3483121.4</v>
      </c>
      <c r="F120" s="728">
        <f t="shared" si="52"/>
        <v>3483121.2999999993</v>
      </c>
      <c r="G120" s="722">
        <f t="shared" si="53"/>
        <v>-2.8709880901306956E-8</v>
      </c>
      <c r="H120" s="572" t="s">
        <v>116</v>
      </c>
      <c r="I120" s="722" t="str">
        <f t="shared" si="54"/>
        <v>Blacksburg Transit [-0%]</v>
      </c>
      <c r="R120" s="719">
        <f t="shared" si="56"/>
        <v>0.1926477954666472</v>
      </c>
      <c r="S120" s="719">
        <f t="shared" si="56"/>
        <v>6.1772513768892617E-2</v>
      </c>
    </row>
    <row r="121" spans="2:19" ht="15">
      <c r="B121" s="572" t="s">
        <v>105</v>
      </c>
      <c r="D121" s="683">
        <v>3666511.5935658314</v>
      </c>
      <c r="F121" s="728">
        <f t="shared" si="52"/>
        <v>3587582.9305635407</v>
      </c>
      <c r="G121" s="722">
        <f t="shared" si="53"/>
        <v>-2.1526909430969351E-2</v>
      </c>
      <c r="H121" s="572" t="s">
        <v>408</v>
      </c>
      <c r="I121" s="722" t="str">
        <f t="shared" si="54"/>
        <v>Loudoun Co. [-2%]</v>
      </c>
      <c r="R121" s="719">
        <f t="shared" si="56"/>
        <v>-7.0891758928113849E-2</v>
      </c>
      <c r="S121" s="719">
        <f t="shared" si="56"/>
        <v>-4.1194521819970333E-2</v>
      </c>
    </row>
    <row r="122" spans="2:19" ht="15">
      <c r="B122" s="572" t="s">
        <v>106</v>
      </c>
      <c r="D122" s="683">
        <v>6007985.0073328475</v>
      </c>
      <c r="F122" s="728">
        <f t="shared" si="52"/>
        <v>6297870.9830061262</v>
      </c>
      <c r="G122" s="722">
        <f t="shared" si="53"/>
        <v>4.8250116356726595E-2</v>
      </c>
      <c r="H122" s="572" t="s">
        <v>409</v>
      </c>
      <c r="I122" s="722" t="str">
        <f t="shared" si="54"/>
        <v>Arlington Co. - ART [5%]</v>
      </c>
      <c r="R122" s="719">
        <f t="shared" si="56"/>
        <v>0.24952518482475003</v>
      </c>
      <c r="S122" s="719">
        <f t="shared" si="56"/>
        <v>-0.1557825066228955</v>
      </c>
    </row>
    <row r="123" spans="2:19" ht="15">
      <c r="B123" s="572" t="s">
        <v>111</v>
      </c>
      <c r="D123" s="683">
        <v>8187109.5606905362</v>
      </c>
      <c r="F123" s="728">
        <f t="shared" si="52"/>
        <v>7395054.6598219089</v>
      </c>
      <c r="G123" s="722">
        <f t="shared" si="53"/>
        <v>-9.6744143338643909E-2</v>
      </c>
      <c r="H123" s="572" t="s">
        <v>111</v>
      </c>
      <c r="I123" s="722" t="str">
        <f t="shared" si="54"/>
        <v>PRTC [-10%]</v>
      </c>
      <c r="R123" s="719">
        <f t="shared" si="56"/>
        <v>5.8642058780497427E-2</v>
      </c>
      <c r="S123" s="719">
        <f t="shared" si="56"/>
        <v>-0.46787072968604138</v>
      </c>
    </row>
    <row r="124" spans="2:19" ht="15">
      <c r="B124" s="572" t="s">
        <v>107</v>
      </c>
      <c r="D124" s="683">
        <v>9299604.085831793</v>
      </c>
      <c r="F124" s="728">
        <f t="shared" si="52"/>
        <v>9220635.8266544472</v>
      </c>
      <c r="G124" s="722">
        <f t="shared" si="53"/>
        <v>-8.4915721624812101E-3</v>
      </c>
      <c r="H124" s="572" t="s">
        <v>410</v>
      </c>
      <c r="I124" s="722" t="str">
        <f t="shared" si="54"/>
        <v>Alexandria - DASH [-1%]</v>
      </c>
      <c r="R124" s="719">
        <f t="shared" si="56"/>
        <v>5.303993580643173E-2</v>
      </c>
      <c r="S124" s="719">
        <f t="shared" si="56"/>
        <v>0.59918604335980863</v>
      </c>
    </row>
    <row r="125" spans="2:19" ht="15">
      <c r="B125" s="572" t="s">
        <v>114</v>
      </c>
      <c r="D125" s="683">
        <v>18853131.91607457</v>
      </c>
      <c r="F125" s="728">
        <f t="shared" si="52"/>
        <v>19647494.26293334</v>
      </c>
      <c r="G125" s="722">
        <f t="shared" si="53"/>
        <v>4.213423798204477E-2</v>
      </c>
      <c r="H125" s="572" t="s">
        <v>414</v>
      </c>
      <c r="I125" s="722" t="str">
        <f t="shared" si="54"/>
        <v>GRTC (Richmond) [4%]</v>
      </c>
      <c r="R125" s="719">
        <f t="shared" si="56"/>
        <v>-5.8683535151596425E-2</v>
      </c>
      <c r="S125" s="719">
        <f t="shared" si="56"/>
        <v>-8.0863999081772178E-2</v>
      </c>
    </row>
    <row r="126" spans="2:19" ht="15">
      <c r="B126" s="572" t="s">
        <v>95</v>
      </c>
      <c r="D126" s="683">
        <v>25537379.304951597</v>
      </c>
      <c r="F126" s="728">
        <f t="shared" si="52"/>
        <v>26093007.105386794</v>
      </c>
      <c r="G126" s="722">
        <f t="shared" si="53"/>
        <v>2.1757432264299045E-2</v>
      </c>
      <c r="H126" s="572" t="s">
        <v>403</v>
      </c>
      <c r="I126" s="722" t="str">
        <f t="shared" si="54"/>
        <v>HRT [2%]</v>
      </c>
      <c r="R126" s="719">
        <f t="shared" si="56"/>
        <v>-2.5239199349495943E-2</v>
      </c>
      <c r="S126" s="719">
        <f t="shared" si="56"/>
        <v>-7.0194168675635354E-2</v>
      </c>
    </row>
    <row r="127" spans="2:19" ht="12" customHeight="1">
      <c r="B127" s="572" t="s">
        <v>109</v>
      </c>
      <c r="D127" s="683">
        <v>25729693.491986766</v>
      </c>
      <c r="F127" s="728">
        <f t="shared" si="52"/>
        <v>23933565.857229989</v>
      </c>
      <c r="G127" s="722">
        <f t="shared" si="53"/>
        <v>-6.9807579919914778E-2</v>
      </c>
      <c r="H127" s="572" t="s">
        <v>412</v>
      </c>
      <c r="I127" s="722" t="str">
        <f t="shared" si="54"/>
        <v>Fairfax Connector [-7%]</v>
      </c>
      <c r="R127" s="719">
        <f t="shared" ref="R127:S127" si="57">(R81-Q81)/Q81</f>
        <v>-3.4457034886753307E-2</v>
      </c>
      <c r="S127" s="719" t="e">
        <f t="shared" si="57"/>
        <v>#N/A</v>
      </c>
    </row>
    <row r="128" spans="2:19" s="604" customFormat="1">
      <c r="B128" s="604" t="s">
        <v>270</v>
      </c>
      <c r="D128" s="603">
        <f>MEDIAN(D90:D127)</f>
        <v>951751.90687221917</v>
      </c>
    </row>
  </sheetData>
  <conditionalFormatting sqref="C28:C37">
    <cfRule type="cellIs" dxfId="698" priority="79" operator="lessThan">
      <formula>-200000</formula>
    </cfRule>
    <cfRule type="cellIs" dxfId="697" priority="80" operator="greaterThan">
      <formula>200000</formula>
    </cfRule>
  </conditionalFormatting>
  <conditionalFormatting sqref="E8:E24">
    <cfRule type="cellIs" dxfId="696" priority="81" operator="equal">
      <formula>"S5"</formula>
    </cfRule>
    <cfRule type="cellIs" dxfId="695" priority="92" operator="equal">
      <formula>"S1"</formula>
    </cfRule>
    <cfRule type="cellIs" dxfId="694" priority="91" operator="equal">
      <formula>"S2"</formula>
    </cfRule>
    <cfRule type="cellIs" dxfId="693" priority="90" operator="equal">
      <formula>"S3"</formula>
    </cfRule>
    <cfRule type="cellIs" dxfId="692" priority="89" operator="equal">
      <formula>"S4"</formula>
    </cfRule>
    <cfRule type="cellIs" dxfId="691" priority="82" operator="equal">
      <formula>"S6"</formula>
    </cfRule>
  </conditionalFormatting>
  <conditionalFormatting sqref="E28:E37">
    <cfRule type="cellIs" dxfId="690" priority="71" operator="equal">
      <formula>"S5"</formula>
    </cfRule>
    <cfRule type="cellIs" dxfId="689" priority="74" operator="equal">
      <formula>"S3"</formula>
    </cfRule>
    <cfRule type="cellIs" dxfId="688" priority="75" operator="equal">
      <formula>"S2"</formula>
    </cfRule>
    <cfRule type="cellIs" dxfId="687" priority="76" operator="equal">
      <formula>"S1"</formula>
    </cfRule>
    <cfRule type="cellIs" dxfId="686" priority="73" operator="equal">
      <formula>"S4"</formula>
    </cfRule>
    <cfRule type="cellIs" dxfId="685" priority="72" operator="equal">
      <formula>"S6"</formula>
    </cfRule>
  </conditionalFormatting>
  <conditionalFormatting sqref="E42:E80">
    <cfRule type="cellIs" dxfId="684" priority="69" operator="equal">
      <formula>"S2"</formula>
    </cfRule>
    <cfRule type="cellIs" dxfId="683" priority="68" operator="equal">
      <formula>"S3"</formula>
    </cfRule>
    <cfRule type="cellIs" dxfId="682" priority="67" operator="equal">
      <formula>"S4"</formula>
    </cfRule>
    <cfRule type="cellIs" dxfId="681" priority="66" operator="equal">
      <formula>"S6"</formula>
    </cfRule>
    <cfRule type="cellIs" dxfId="680" priority="65" operator="equal">
      <formula>"S5"</formula>
    </cfRule>
    <cfRule type="cellIs" dxfId="679" priority="70" operator="equal">
      <formula>"S1"</formula>
    </cfRule>
  </conditionalFormatting>
  <conditionalFormatting sqref="F3:F7">
    <cfRule type="cellIs" dxfId="678" priority="86" operator="equal">
      <formula>"S3"</formula>
    </cfRule>
    <cfRule type="cellIs" dxfId="677" priority="85" operator="equal">
      <formula>"S4"</formula>
    </cfRule>
    <cfRule type="expression" dxfId="676" priority="84">
      <formula>#REF!=Y3</formula>
    </cfRule>
    <cfRule type="cellIs" dxfId="675" priority="88" operator="equal">
      <formula>"S1"</formula>
    </cfRule>
    <cfRule type="cellIs" dxfId="674" priority="87" operator="equal">
      <formula>"S2"</formula>
    </cfRule>
  </conditionalFormatting>
  <conditionalFormatting sqref="F8:F24">
    <cfRule type="cellIs" dxfId="673" priority="83" operator="notEqual">
      <formula>$D8</formula>
    </cfRule>
  </conditionalFormatting>
  <conditionalFormatting sqref="G28:G37">
    <cfRule type="cellIs" dxfId="672" priority="78" operator="greaterThan">
      <formula>200000</formula>
    </cfRule>
    <cfRule type="cellIs" dxfId="671" priority="77" operator="lessThan">
      <formula>-200000</formula>
    </cfRule>
  </conditionalFormatting>
  <conditionalFormatting sqref="G42:G80">
    <cfRule type="cellIs" dxfId="670" priority="63" operator="lessThan">
      <formula>-200000</formula>
    </cfRule>
    <cfRule type="cellIs" dxfId="669" priority="64" operator="greaterThan">
      <formula>200000</formula>
    </cfRule>
  </conditionalFormatting>
  <conditionalFormatting sqref="G83:G84">
    <cfRule type="cellIs" dxfId="668" priority="62" operator="greaterThan">
      <formula>200000</formula>
    </cfRule>
    <cfRule type="cellIs" dxfId="667" priority="61" operator="lessThan">
      <formula>-200000</formula>
    </cfRule>
  </conditionalFormatting>
  <conditionalFormatting sqref="T42">
    <cfRule type="cellIs" dxfId="666" priority="11" operator="lessThan">
      <formula>-200000</formula>
    </cfRule>
    <cfRule type="cellIs" dxfId="665" priority="12" operator="greaterThan">
      <formula>200000</formula>
    </cfRule>
  </conditionalFormatting>
  <conditionalFormatting sqref="T45:T46">
    <cfRule type="cellIs" dxfId="664" priority="18" operator="greaterThan">
      <formula>200000</formula>
    </cfRule>
    <cfRule type="cellIs" dxfId="663" priority="17" operator="lessThan">
      <formula>-200000</formula>
    </cfRule>
  </conditionalFormatting>
  <conditionalFormatting sqref="T50">
    <cfRule type="cellIs" dxfId="662" priority="23" operator="lessThan">
      <formula>-200000</formula>
    </cfRule>
    <cfRule type="cellIs" dxfId="661" priority="24" operator="greaterThan">
      <formula>200000</formula>
    </cfRule>
  </conditionalFormatting>
  <conditionalFormatting sqref="T52:T53">
    <cfRule type="cellIs" dxfId="660" priority="29" operator="lessThan">
      <formula>-200000</formula>
    </cfRule>
    <cfRule type="cellIs" dxfId="659" priority="30" operator="greaterThan">
      <formula>200000</formula>
    </cfRule>
  </conditionalFormatting>
  <conditionalFormatting sqref="T55:T56">
    <cfRule type="cellIs" dxfId="658" priority="35" operator="lessThan">
      <formula>-200000</formula>
    </cfRule>
    <cfRule type="cellIs" dxfId="657" priority="36" operator="greaterThan">
      <formula>200000</formula>
    </cfRule>
  </conditionalFormatting>
  <conditionalFormatting sqref="T58">
    <cfRule type="cellIs" dxfId="656" priority="41" operator="lessThan">
      <formula>-200000</formula>
    </cfRule>
    <cfRule type="cellIs" dxfId="655" priority="42" operator="greaterThan">
      <formula>200000</formula>
    </cfRule>
  </conditionalFormatting>
  <conditionalFormatting sqref="T75:T76">
    <cfRule type="cellIs" dxfId="654" priority="53" operator="lessThan">
      <formula>-200000</formula>
    </cfRule>
    <cfRule type="cellIs" dxfId="653" priority="54" operator="greaterThan">
      <formula>200000</formula>
    </cfRule>
  </conditionalFormatting>
  <conditionalFormatting sqref="T78:T80">
    <cfRule type="cellIs" dxfId="652" priority="47" operator="lessThan">
      <formula>-200000</formula>
    </cfRule>
    <cfRule type="cellIs" dxfId="651" priority="48" operator="greaterThan">
      <formula>200000</formula>
    </cfRule>
  </conditionalFormatting>
  <conditionalFormatting sqref="T83:T84">
    <cfRule type="cellIs" dxfId="650" priority="59" operator="lessThan">
      <formula>-200000</formula>
    </cfRule>
    <cfRule type="cellIs" dxfId="649" priority="60" operator="greaterThan">
      <formula>200000</formula>
    </cfRule>
  </conditionalFormatting>
  <conditionalFormatting sqref="V42">
    <cfRule type="cellIs" dxfId="648" priority="9" operator="lessThan">
      <formula>-200000</formula>
    </cfRule>
    <cfRule type="cellIs" dxfId="647" priority="10" operator="greaterThan">
      <formula>200000</formula>
    </cfRule>
  </conditionalFormatting>
  <conditionalFormatting sqref="V45:V46">
    <cfRule type="cellIs" dxfId="646" priority="15" operator="lessThan">
      <formula>-200000</formula>
    </cfRule>
    <cfRule type="cellIs" dxfId="645" priority="16" operator="greaterThan">
      <formula>200000</formula>
    </cfRule>
  </conditionalFormatting>
  <conditionalFormatting sqref="V50">
    <cfRule type="cellIs" dxfId="644" priority="21" operator="lessThan">
      <formula>-200000</formula>
    </cfRule>
    <cfRule type="cellIs" dxfId="643" priority="22" operator="greaterThan">
      <formula>200000</formula>
    </cfRule>
  </conditionalFormatting>
  <conditionalFormatting sqref="V52:V53">
    <cfRule type="cellIs" dxfId="642" priority="28" operator="greaterThan">
      <formula>200000</formula>
    </cfRule>
    <cfRule type="cellIs" dxfId="641" priority="27" operator="lessThan">
      <formula>-200000</formula>
    </cfRule>
  </conditionalFormatting>
  <conditionalFormatting sqref="V55:V56">
    <cfRule type="cellIs" dxfId="640" priority="34" operator="greaterThan">
      <formula>200000</formula>
    </cfRule>
    <cfRule type="cellIs" dxfId="639" priority="33" operator="lessThan">
      <formula>-200000</formula>
    </cfRule>
  </conditionalFormatting>
  <conditionalFormatting sqref="V58">
    <cfRule type="cellIs" dxfId="638" priority="40" operator="greaterThan">
      <formula>200000</formula>
    </cfRule>
    <cfRule type="cellIs" dxfId="637" priority="39" operator="lessThan">
      <formula>-200000</formula>
    </cfRule>
  </conditionalFormatting>
  <conditionalFormatting sqref="V75:V76">
    <cfRule type="cellIs" dxfId="636" priority="51" operator="lessThan">
      <formula>-200000</formula>
    </cfRule>
    <cfRule type="cellIs" dxfId="635" priority="52" operator="greaterThan">
      <formula>200000</formula>
    </cfRule>
  </conditionalFormatting>
  <conditionalFormatting sqref="V78:V80">
    <cfRule type="cellIs" dxfId="634" priority="46" operator="greaterThan">
      <formula>200000</formula>
    </cfRule>
    <cfRule type="cellIs" dxfId="633" priority="45" operator="lessThan">
      <formula>-200000</formula>
    </cfRule>
  </conditionalFormatting>
  <conditionalFormatting sqref="V83:V84">
    <cfRule type="cellIs" dxfId="632" priority="57" operator="lessThan">
      <formula>-200000</formula>
    </cfRule>
    <cfRule type="cellIs" dxfId="631" priority="58" operator="greaterThan">
      <formula>200000</formula>
    </cfRule>
  </conditionalFormatting>
  <conditionalFormatting sqref="X42">
    <cfRule type="cellIs" dxfId="630" priority="7" operator="lessThan">
      <formula>-200000</formula>
    </cfRule>
    <cfRule type="cellIs" dxfId="629" priority="8" operator="greaterThan">
      <formula>200000</formula>
    </cfRule>
  </conditionalFormatting>
  <conditionalFormatting sqref="X45:X46">
    <cfRule type="cellIs" dxfId="628" priority="14" operator="greaterThan">
      <formula>200000</formula>
    </cfRule>
    <cfRule type="cellIs" dxfId="627" priority="13" operator="lessThan">
      <formula>-200000</formula>
    </cfRule>
  </conditionalFormatting>
  <conditionalFormatting sqref="X50">
    <cfRule type="cellIs" dxfId="626" priority="20" operator="greaterThan">
      <formula>200000</formula>
    </cfRule>
    <cfRule type="cellIs" dxfId="625" priority="19" operator="lessThan">
      <formula>-200000</formula>
    </cfRule>
  </conditionalFormatting>
  <conditionalFormatting sqref="X52:X53">
    <cfRule type="cellIs" dxfId="624" priority="26" operator="greaterThan">
      <formula>200000</formula>
    </cfRule>
    <cfRule type="cellIs" dxfId="623" priority="25" operator="lessThan">
      <formula>-200000</formula>
    </cfRule>
  </conditionalFormatting>
  <conditionalFormatting sqref="X55:X56">
    <cfRule type="cellIs" dxfId="622" priority="32" operator="greaterThan">
      <formula>200000</formula>
    </cfRule>
    <cfRule type="cellIs" dxfId="621" priority="31" operator="lessThan">
      <formula>-200000</formula>
    </cfRule>
  </conditionalFormatting>
  <conditionalFormatting sqref="X58">
    <cfRule type="cellIs" dxfId="620" priority="37" operator="lessThan">
      <formula>-200000</formula>
    </cfRule>
    <cfRule type="cellIs" dxfId="619" priority="38" operator="greaterThan">
      <formula>200000</formula>
    </cfRule>
  </conditionalFormatting>
  <conditionalFormatting sqref="X75:X76">
    <cfRule type="cellIs" dxfId="618" priority="49" operator="lessThan">
      <formula>-200000</formula>
    </cfRule>
    <cfRule type="cellIs" dxfId="617" priority="50" operator="greaterThan">
      <formula>200000</formula>
    </cfRule>
  </conditionalFormatting>
  <conditionalFormatting sqref="X78:X80">
    <cfRule type="cellIs" dxfId="616" priority="44" operator="greaterThan">
      <formula>200000</formula>
    </cfRule>
    <cfRule type="cellIs" dxfId="615" priority="43" operator="lessThan">
      <formula>-200000</formula>
    </cfRule>
  </conditionalFormatting>
  <conditionalFormatting sqref="X83:X84">
    <cfRule type="cellIs" dxfId="614" priority="56" operator="greaterThan">
      <formula>200000</formula>
    </cfRule>
    <cfRule type="cellIs" dxfId="613" priority="55" operator="lessThan">
      <formula>-200000</formula>
    </cfRule>
  </conditionalFormatting>
  <conditionalFormatting sqref="Z66">
    <cfRule type="cellIs" dxfId="612" priority="5" operator="lessThan">
      <formula>-200000</formula>
    </cfRule>
    <cfRule type="cellIs" dxfId="611" priority="6" operator="greaterThan">
      <formula>200000</formula>
    </cfRule>
  </conditionalFormatting>
  <conditionalFormatting sqref="AB66">
    <cfRule type="cellIs" dxfId="610" priority="3" operator="lessThan">
      <formula>-200000</formula>
    </cfRule>
    <cfRule type="cellIs" dxfId="609" priority="4" operator="greaterThan">
      <formula>200000</formula>
    </cfRule>
  </conditionalFormatting>
  <conditionalFormatting sqref="AD66">
    <cfRule type="cellIs" dxfId="608" priority="1" operator="lessThan">
      <formula>-200000</formula>
    </cfRule>
    <cfRule type="cellIs" dxfId="607" priority="2" operator="greaterThan">
      <formula>200000</formula>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1052-A15F-4EF2-8B22-3FC3058A5740}">
  <sheetPr>
    <pageSetUpPr fitToPage="1"/>
  </sheetPr>
  <dimension ref="A1:F44"/>
  <sheetViews>
    <sheetView zoomScale="80" zoomScaleNormal="80" workbookViewId="0"/>
  </sheetViews>
  <sheetFormatPr defaultColWidth="9.42578125" defaultRowHeight="14.25"/>
  <cols>
    <col min="1" max="1" width="46.5703125" style="209" bestFit="1" customWidth="1"/>
    <col min="2" max="4" width="15.5703125" style="229" customWidth="1"/>
    <col min="5" max="6" width="15.5703125" style="209" customWidth="1"/>
    <col min="7" max="16384" width="9.42578125" style="209"/>
  </cols>
  <sheetData>
    <row r="1" spans="1:6" ht="21" thickBot="1">
      <c r="A1" s="370" t="s">
        <v>445</v>
      </c>
      <c r="B1" s="210">
        <v>2019</v>
      </c>
      <c r="C1" s="210">
        <v>2021</v>
      </c>
      <c r="D1" s="210">
        <v>2022</v>
      </c>
      <c r="E1" s="210">
        <v>2023</v>
      </c>
    </row>
    <row r="2" spans="1:6">
      <c r="A2" s="310" t="s">
        <v>132</v>
      </c>
      <c r="B2" s="311" t="s">
        <v>133</v>
      </c>
      <c r="C2" s="311" t="s">
        <v>133</v>
      </c>
      <c r="D2" s="311" t="s">
        <v>133</v>
      </c>
      <c r="E2" s="311" t="s">
        <v>133</v>
      </c>
      <c r="F2" s="312"/>
    </row>
    <row r="3" spans="1:6">
      <c r="A3" s="313" t="s">
        <v>83</v>
      </c>
      <c r="B3" s="314">
        <v>155198</v>
      </c>
      <c r="C3" s="315">
        <v>88190</v>
      </c>
      <c r="D3" s="314">
        <v>97489</v>
      </c>
      <c r="E3" s="316">
        <v>121717</v>
      </c>
      <c r="F3" s="317" t="s">
        <v>82</v>
      </c>
    </row>
    <row r="4" spans="1:6">
      <c r="A4" s="313" t="s">
        <v>84</v>
      </c>
      <c r="B4" s="314">
        <v>53329</v>
      </c>
      <c r="C4" s="315">
        <v>14932</v>
      </c>
      <c r="D4" s="314">
        <v>35313</v>
      </c>
      <c r="E4" s="316">
        <v>43762</v>
      </c>
      <c r="F4" s="317" t="s">
        <v>82</v>
      </c>
    </row>
    <row r="5" spans="1:6">
      <c r="A5" s="313" t="s">
        <v>85</v>
      </c>
      <c r="B5" s="314">
        <v>167736</v>
      </c>
      <c r="C5" s="315">
        <v>118746</v>
      </c>
      <c r="D5" s="314">
        <v>135181</v>
      </c>
      <c r="E5" s="316">
        <v>162649</v>
      </c>
      <c r="F5" s="317" t="s">
        <v>82</v>
      </c>
    </row>
    <row r="6" spans="1:6">
      <c r="A6" s="313" t="s">
        <v>86</v>
      </c>
      <c r="B6" s="314">
        <v>98383</v>
      </c>
      <c r="C6" s="315">
        <v>47469</v>
      </c>
      <c r="D6" s="314">
        <v>100658</v>
      </c>
      <c r="E6" s="316">
        <v>131743</v>
      </c>
      <c r="F6" s="317" t="s">
        <v>82</v>
      </c>
    </row>
    <row r="7" spans="1:6">
      <c r="A7" s="313" t="s">
        <v>87</v>
      </c>
      <c r="B7" s="314">
        <v>45092</v>
      </c>
      <c r="C7" s="315">
        <v>31626</v>
      </c>
      <c r="D7" s="314">
        <v>29128</v>
      </c>
      <c r="E7" s="316">
        <v>31171</v>
      </c>
      <c r="F7" s="317" t="s">
        <v>82</v>
      </c>
    </row>
    <row r="8" spans="1:6">
      <c r="A8" s="313" t="s">
        <v>89</v>
      </c>
      <c r="B8" s="318">
        <v>1871952</v>
      </c>
      <c r="C8" s="315">
        <v>617010</v>
      </c>
      <c r="D8" s="318">
        <v>1154287</v>
      </c>
      <c r="E8" s="319">
        <v>1147018</v>
      </c>
      <c r="F8" s="317" t="s">
        <v>88</v>
      </c>
    </row>
    <row r="9" spans="1:6">
      <c r="A9" s="320"/>
      <c r="B9" s="321" t="s">
        <v>134</v>
      </c>
      <c r="C9" s="322" t="s">
        <v>134</v>
      </c>
      <c r="D9" s="321" t="s">
        <v>134</v>
      </c>
      <c r="E9" s="321"/>
      <c r="F9" s="323"/>
    </row>
    <row r="10" spans="1:6">
      <c r="A10" s="313" t="s">
        <v>91</v>
      </c>
      <c r="B10" s="318">
        <v>296632</v>
      </c>
      <c r="C10" s="315">
        <v>142040</v>
      </c>
      <c r="D10" s="318">
        <v>179874</v>
      </c>
      <c r="E10" s="319">
        <v>288349</v>
      </c>
      <c r="F10" s="317" t="s">
        <v>90</v>
      </c>
    </row>
    <row r="11" spans="1:6">
      <c r="A11" s="313" t="s">
        <v>93</v>
      </c>
      <c r="B11" s="318">
        <v>130410</v>
      </c>
      <c r="C11" s="315">
        <v>108658</v>
      </c>
      <c r="D11" s="318">
        <v>75266</v>
      </c>
      <c r="E11" s="319">
        <v>75077</v>
      </c>
      <c r="F11" s="317" t="s">
        <v>92</v>
      </c>
    </row>
    <row r="12" spans="1:6">
      <c r="A12" s="313" t="s">
        <v>94</v>
      </c>
      <c r="B12" s="318">
        <v>7825</v>
      </c>
      <c r="C12" s="315">
        <v>4105</v>
      </c>
      <c r="D12" s="318">
        <v>5437</v>
      </c>
      <c r="E12" s="319">
        <v>10861</v>
      </c>
      <c r="F12" s="317" t="s">
        <v>92</v>
      </c>
    </row>
    <row r="13" spans="1:6">
      <c r="A13" s="313" t="s">
        <v>95</v>
      </c>
      <c r="B13" s="318">
        <v>13206003</v>
      </c>
      <c r="C13" s="315">
        <v>6450801</v>
      </c>
      <c r="D13" s="318">
        <v>6381801</v>
      </c>
      <c r="E13" s="319">
        <v>7133773</v>
      </c>
      <c r="F13" s="317" t="s">
        <v>92</v>
      </c>
    </row>
    <row r="14" spans="1:6">
      <c r="A14" s="313" t="s">
        <v>96</v>
      </c>
      <c r="B14" s="318">
        <v>89876</v>
      </c>
      <c r="C14" s="315">
        <v>51934</v>
      </c>
      <c r="D14" s="318">
        <v>63727</v>
      </c>
      <c r="E14" s="319">
        <v>91713</v>
      </c>
      <c r="F14" s="317" t="s">
        <v>92</v>
      </c>
    </row>
    <row r="15" spans="1:6">
      <c r="A15" s="313" t="s">
        <v>97</v>
      </c>
      <c r="B15" s="318">
        <v>12418</v>
      </c>
      <c r="C15" s="315">
        <v>1358</v>
      </c>
      <c r="D15" s="318">
        <v>3001</v>
      </c>
      <c r="E15" s="319">
        <v>3145</v>
      </c>
      <c r="F15" s="317" t="s">
        <v>92</v>
      </c>
    </row>
    <row r="16" spans="1:6">
      <c r="A16" s="313" t="s">
        <v>98</v>
      </c>
      <c r="B16" s="318">
        <v>2202349</v>
      </c>
      <c r="C16" s="315">
        <v>1122301</v>
      </c>
      <c r="D16" s="318">
        <v>1544283</v>
      </c>
      <c r="E16" s="319">
        <v>1655082</v>
      </c>
      <c r="F16" s="317" t="s">
        <v>92</v>
      </c>
    </row>
    <row r="17" spans="1:6">
      <c r="A17" s="313" t="s">
        <v>100</v>
      </c>
      <c r="B17" s="318">
        <v>319936</v>
      </c>
      <c r="C17" s="315">
        <v>220931</v>
      </c>
      <c r="D17" s="318">
        <v>228559</v>
      </c>
      <c r="E17" s="319">
        <v>235586</v>
      </c>
      <c r="F17" s="317" t="s">
        <v>99</v>
      </c>
    </row>
    <row r="18" spans="1:6">
      <c r="A18" s="313" t="s">
        <v>101</v>
      </c>
      <c r="B18" s="318">
        <v>172051</v>
      </c>
      <c r="C18" s="315">
        <v>89042</v>
      </c>
      <c r="D18" s="318">
        <v>77681</v>
      </c>
      <c r="E18" s="319">
        <v>90145</v>
      </c>
      <c r="F18" s="317" t="s">
        <v>99</v>
      </c>
    </row>
    <row r="19" spans="1:6">
      <c r="A19" s="313" t="s">
        <v>102</v>
      </c>
      <c r="B19" s="318">
        <v>2018554</v>
      </c>
      <c r="C19" s="315">
        <v>468071</v>
      </c>
      <c r="D19" s="318">
        <v>445943</v>
      </c>
      <c r="E19" s="319">
        <v>519342</v>
      </c>
      <c r="F19" s="317" t="s">
        <v>99</v>
      </c>
    </row>
    <row r="20" spans="1:6">
      <c r="A20" s="313" t="s">
        <v>103</v>
      </c>
      <c r="B20" s="314">
        <v>17939</v>
      </c>
      <c r="C20" s="315">
        <v>14112</v>
      </c>
      <c r="D20" s="314">
        <v>14878</v>
      </c>
      <c r="E20" s="316">
        <v>14298</v>
      </c>
      <c r="F20" s="317" t="s">
        <v>99</v>
      </c>
    </row>
    <row r="21" spans="1:6">
      <c r="A21" s="313" t="s">
        <v>105</v>
      </c>
      <c r="B21" s="318">
        <v>1708148</v>
      </c>
      <c r="C21" s="315">
        <v>335253</v>
      </c>
      <c r="D21" s="318">
        <v>421563</v>
      </c>
      <c r="E21" s="319">
        <v>527426</v>
      </c>
      <c r="F21" s="317" t="s">
        <v>104</v>
      </c>
    </row>
    <row r="22" spans="1:6">
      <c r="A22" s="313" t="s">
        <v>106</v>
      </c>
      <c r="B22" s="318">
        <v>2917849</v>
      </c>
      <c r="C22" s="315">
        <v>1423589</v>
      </c>
      <c r="D22" s="318">
        <v>1815957</v>
      </c>
      <c r="E22" s="319">
        <v>2106063</v>
      </c>
      <c r="F22" s="317" t="s">
        <v>104</v>
      </c>
    </row>
    <row r="23" spans="1:6">
      <c r="A23" s="313" t="s">
        <v>107</v>
      </c>
      <c r="B23" s="318">
        <v>4000963</v>
      </c>
      <c r="C23" s="315">
        <v>1530851</v>
      </c>
      <c r="D23" s="318">
        <v>3047077</v>
      </c>
      <c r="E23" s="319">
        <v>4580046</v>
      </c>
      <c r="F23" s="317" t="s">
        <v>104</v>
      </c>
    </row>
    <row r="24" spans="1:6">
      <c r="A24" s="313" t="s">
        <v>108</v>
      </c>
      <c r="B24" s="318">
        <v>601813</v>
      </c>
      <c r="C24" s="315">
        <v>326881</v>
      </c>
      <c r="D24" s="318">
        <v>471899</v>
      </c>
      <c r="E24" s="319">
        <v>847511</v>
      </c>
      <c r="F24" s="317" t="s">
        <v>104</v>
      </c>
    </row>
    <row r="25" spans="1:6">
      <c r="A25" s="313" t="s">
        <v>109</v>
      </c>
      <c r="B25" s="318">
        <v>8334449</v>
      </c>
      <c r="C25" s="315">
        <v>4566013</v>
      </c>
      <c r="D25" s="318">
        <v>5191499</v>
      </c>
      <c r="E25" s="319">
        <v>8365287</v>
      </c>
      <c r="F25" s="317" t="s">
        <v>104</v>
      </c>
    </row>
    <row r="26" spans="1:6">
      <c r="A26" s="313" t="s">
        <v>110</v>
      </c>
      <c r="B26" s="318">
        <v>4408114</v>
      </c>
      <c r="C26" s="315">
        <v>341627</v>
      </c>
      <c r="D26" s="318">
        <v>821936</v>
      </c>
      <c r="E26" s="319">
        <v>1466250</v>
      </c>
      <c r="F26" s="317" t="s">
        <v>104</v>
      </c>
    </row>
    <row r="27" spans="1:6">
      <c r="A27" s="313" t="s">
        <v>111</v>
      </c>
      <c r="B27" s="318">
        <v>2357736</v>
      </c>
      <c r="C27" s="315">
        <v>723026</v>
      </c>
      <c r="D27" s="318">
        <v>1220283</v>
      </c>
      <c r="E27" s="319">
        <v>1572283</v>
      </c>
      <c r="F27" s="317" t="s">
        <v>104</v>
      </c>
    </row>
    <row r="28" spans="1:6">
      <c r="A28" s="313" t="s">
        <v>113</v>
      </c>
      <c r="B28" s="318">
        <v>409729</v>
      </c>
      <c r="C28" s="315">
        <v>331823</v>
      </c>
      <c r="D28" s="318">
        <v>404081</v>
      </c>
      <c r="E28" s="319">
        <v>475942</v>
      </c>
      <c r="F28" s="317" t="s">
        <v>112</v>
      </c>
    </row>
    <row r="29" spans="1:6">
      <c r="A29" s="313" t="s">
        <v>114</v>
      </c>
      <c r="B29" s="318">
        <v>8897022</v>
      </c>
      <c r="C29" s="315">
        <v>7694498</v>
      </c>
      <c r="D29" s="318">
        <v>8838099</v>
      </c>
      <c r="E29" s="319">
        <v>9625071</v>
      </c>
      <c r="F29" s="317" t="s">
        <v>112</v>
      </c>
    </row>
    <row r="30" spans="1:6">
      <c r="A30" s="313" t="s">
        <v>116</v>
      </c>
      <c r="B30" s="318">
        <v>4659053</v>
      </c>
      <c r="C30" s="315">
        <v>810754</v>
      </c>
      <c r="D30" s="318">
        <v>3267836</v>
      </c>
      <c r="E30" s="319">
        <v>3520078</v>
      </c>
      <c r="F30" s="317" t="s">
        <v>115</v>
      </c>
    </row>
    <row r="31" spans="1:6">
      <c r="A31" s="313" t="s">
        <v>117</v>
      </c>
      <c r="B31" s="318">
        <v>268727</v>
      </c>
      <c r="C31" s="315">
        <v>102199</v>
      </c>
      <c r="D31" s="318">
        <v>125489</v>
      </c>
      <c r="E31" s="319">
        <v>120233</v>
      </c>
      <c r="F31" s="317" t="s">
        <v>115</v>
      </c>
    </row>
    <row r="32" spans="1:6">
      <c r="A32" s="313" t="s">
        <v>118</v>
      </c>
      <c r="B32" s="318">
        <v>1970807</v>
      </c>
      <c r="C32" s="315">
        <v>1097072</v>
      </c>
      <c r="D32" s="318">
        <v>1134478</v>
      </c>
      <c r="E32" s="319">
        <v>1287135</v>
      </c>
      <c r="F32" s="317" t="s">
        <v>115</v>
      </c>
    </row>
    <row r="33" spans="1:6">
      <c r="A33" s="313" t="s">
        <v>119</v>
      </c>
      <c r="B33" s="318">
        <v>68799</v>
      </c>
      <c r="C33" s="315">
        <v>37896</v>
      </c>
      <c r="D33" s="318">
        <v>29480</v>
      </c>
      <c r="E33" s="319">
        <v>27254</v>
      </c>
      <c r="F33" s="317" t="s">
        <v>115</v>
      </c>
    </row>
    <row r="34" spans="1:6">
      <c r="A34" s="313" t="s">
        <v>121</v>
      </c>
      <c r="B34" s="318">
        <v>275059</v>
      </c>
      <c r="C34" s="315">
        <v>149731</v>
      </c>
      <c r="D34" s="318">
        <v>162733</v>
      </c>
      <c r="E34" s="319">
        <v>196967</v>
      </c>
      <c r="F34" s="317" t="s">
        <v>120</v>
      </c>
    </row>
    <row r="35" spans="1:6">
      <c r="A35" s="313" t="s">
        <v>122</v>
      </c>
      <c r="B35" s="318">
        <v>2120458</v>
      </c>
      <c r="C35" s="315">
        <v>503759</v>
      </c>
      <c r="D35" s="318">
        <v>1360253</v>
      </c>
      <c r="E35" s="319">
        <v>1522746</v>
      </c>
      <c r="F35" s="317" t="s">
        <v>120</v>
      </c>
    </row>
    <row r="36" spans="1:6">
      <c r="A36" s="313" t="s">
        <v>123</v>
      </c>
      <c r="B36" s="318">
        <v>134832</v>
      </c>
      <c r="C36" s="315">
        <v>85334</v>
      </c>
      <c r="D36" s="318">
        <v>134223</v>
      </c>
      <c r="E36" s="319">
        <v>180625</v>
      </c>
      <c r="F36" s="317" t="s">
        <v>120</v>
      </c>
    </row>
    <row r="37" spans="1:6">
      <c r="A37" s="313" t="s">
        <v>125</v>
      </c>
      <c r="B37" s="318">
        <v>141357</v>
      </c>
      <c r="C37" s="315">
        <v>108664</v>
      </c>
      <c r="D37" s="318">
        <v>127135</v>
      </c>
      <c r="E37" s="319">
        <v>129839</v>
      </c>
      <c r="F37" s="317" t="s">
        <v>124</v>
      </c>
    </row>
    <row r="38" spans="1:6">
      <c r="A38" s="313" t="s">
        <v>126</v>
      </c>
      <c r="B38" s="318">
        <v>38276</v>
      </c>
      <c r="C38" s="315">
        <v>21664</v>
      </c>
      <c r="D38" s="318">
        <v>24049</v>
      </c>
      <c r="E38" s="319">
        <v>28422</v>
      </c>
      <c r="F38" s="317" t="s">
        <v>124</v>
      </c>
    </row>
    <row r="39" spans="1:6">
      <c r="A39" s="313" t="s">
        <v>127</v>
      </c>
      <c r="B39" s="318">
        <v>279959</v>
      </c>
      <c r="C39" s="315">
        <v>140054</v>
      </c>
      <c r="D39" s="318">
        <v>172720</v>
      </c>
      <c r="E39" s="319">
        <v>222118</v>
      </c>
      <c r="F39" s="317" t="s">
        <v>124</v>
      </c>
    </row>
    <row r="40" spans="1:6">
      <c r="A40" s="313" t="s">
        <v>128</v>
      </c>
      <c r="B40" s="318">
        <v>13455</v>
      </c>
      <c r="C40" s="315">
        <v>11150</v>
      </c>
      <c r="D40" s="318">
        <v>11840</v>
      </c>
      <c r="E40" s="319">
        <v>11675</v>
      </c>
      <c r="F40" s="317" t="s">
        <v>124</v>
      </c>
    </row>
    <row r="41" spans="1:6">
      <c r="A41" s="313" t="s">
        <v>129</v>
      </c>
      <c r="B41" s="314">
        <v>104997</v>
      </c>
      <c r="C41" s="315">
        <v>42699</v>
      </c>
      <c r="D41" s="314">
        <v>49444</v>
      </c>
      <c r="E41" s="316">
        <v>61663</v>
      </c>
      <c r="F41" s="317" t="s">
        <v>124</v>
      </c>
    </row>
    <row r="42" spans="1:6">
      <c r="A42" s="324" t="s">
        <v>130</v>
      </c>
      <c r="B42" s="325">
        <v>241234</v>
      </c>
      <c r="C42" s="326">
        <v>141153</v>
      </c>
      <c r="D42" s="325">
        <v>169413</v>
      </c>
      <c r="E42" s="327">
        <v>187266</v>
      </c>
      <c r="F42" s="328" t="s">
        <v>124</v>
      </c>
    </row>
    <row r="43" spans="1:6" ht="15" thickBot="1">
      <c r="A43" s="329" t="s">
        <v>135</v>
      </c>
      <c r="B43" s="330">
        <f>SUM(B3:B42)</f>
        <v>64818519</v>
      </c>
      <c r="C43" s="331">
        <f>SUM(C3:C42)</f>
        <v>30117016</v>
      </c>
      <c r="D43" s="330">
        <f>SUM(D3:D42)</f>
        <v>39573993</v>
      </c>
      <c r="E43" s="332">
        <f>SUM(E3:E42)</f>
        <v>48817331</v>
      </c>
      <c r="F43" s="333"/>
    </row>
    <row r="44" spans="1:6">
      <c r="B44" s="227"/>
      <c r="C44" s="228"/>
    </row>
  </sheetData>
  <pageMargins left="0.25" right="0.25" top="0.75" bottom="0.75" header="0.3" footer="0.3"/>
  <pageSetup scale="83"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EEA5A-587C-452D-A187-183D31F9F2E2}">
  <sheetPr>
    <pageSetUpPr fitToPage="1"/>
  </sheetPr>
  <dimension ref="A1:K44"/>
  <sheetViews>
    <sheetView zoomScale="80" zoomScaleNormal="80" workbookViewId="0"/>
  </sheetViews>
  <sheetFormatPr defaultColWidth="9.42578125" defaultRowHeight="14.25"/>
  <cols>
    <col min="1" max="1" width="46.5703125" style="230" bestFit="1" customWidth="1"/>
    <col min="2" max="4" width="15.5703125" style="257" customWidth="1"/>
    <col min="5" max="5" width="15.42578125" style="230" customWidth="1"/>
    <col min="6" max="6" width="15.5703125" style="230" customWidth="1"/>
    <col min="7" max="7" width="9.42578125" style="230"/>
    <col min="8" max="10" width="15.5703125" style="257" customWidth="1"/>
    <col min="11" max="11" width="15.42578125" style="230" customWidth="1"/>
    <col min="12" max="16384" width="9.42578125" style="230"/>
  </cols>
  <sheetData>
    <row r="1" spans="1:11" ht="21" thickBot="1">
      <c r="A1" s="370" t="s">
        <v>446</v>
      </c>
      <c r="B1" s="210">
        <v>2019</v>
      </c>
      <c r="C1" s="210">
        <v>2021</v>
      </c>
      <c r="D1" s="210">
        <v>2022</v>
      </c>
      <c r="E1" s="210">
        <v>2023</v>
      </c>
      <c r="H1" s="210">
        <v>2019</v>
      </c>
      <c r="I1" s="210">
        <v>2021</v>
      </c>
      <c r="J1" s="210">
        <v>2022</v>
      </c>
      <c r="K1" s="210">
        <v>2023</v>
      </c>
    </row>
    <row r="2" spans="1:11">
      <c r="A2" s="334" t="s">
        <v>132</v>
      </c>
      <c r="B2" s="335" t="s">
        <v>136</v>
      </c>
      <c r="C2" s="335" t="s">
        <v>136</v>
      </c>
      <c r="D2" s="335" t="s">
        <v>136</v>
      </c>
      <c r="E2" s="335" t="s">
        <v>136</v>
      </c>
      <c r="F2" s="336"/>
      <c r="H2" s="335" t="s">
        <v>136</v>
      </c>
      <c r="I2" s="335" t="s">
        <v>136</v>
      </c>
      <c r="J2" s="335" t="s">
        <v>136</v>
      </c>
      <c r="K2" s="335" t="s">
        <v>136</v>
      </c>
    </row>
    <row r="3" spans="1:11">
      <c r="A3" s="337" t="s">
        <v>83</v>
      </c>
      <c r="B3" s="338">
        <v>33965</v>
      </c>
      <c r="C3" s="339">
        <v>29170</v>
      </c>
      <c r="D3" s="340">
        <v>30762</v>
      </c>
      <c r="E3" s="339">
        <v>32940</v>
      </c>
      <c r="F3" s="317" t="s">
        <v>82</v>
      </c>
      <c r="H3" s="338">
        <v>33965</v>
      </c>
      <c r="I3" s="339">
        <v>29170</v>
      </c>
      <c r="J3" s="340">
        <v>30762</v>
      </c>
      <c r="K3" s="339">
        <v>32940</v>
      </c>
    </row>
    <row r="4" spans="1:11">
      <c r="A4" s="337" t="s">
        <v>84</v>
      </c>
      <c r="B4" s="341">
        <v>7537</v>
      </c>
      <c r="C4" s="342">
        <v>3885</v>
      </c>
      <c r="D4" s="341">
        <v>7303</v>
      </c>
      <c r="E4" s="342">
        <v>7886</v>
      </c>
      <c r="F4" s="317" t="s">
        <v>82</v>
      </c>
      <c r="H4" s="341">
        <v>7537</v>
      </c>
      <c r="I4" s="342">
        <v>3885</v>
      </c>
      <c r="J4" s="341">
        <v>7303</v>
      </c>
      <c r="K4" s="342">
        <v>7886</v>
      </c>
    </row>
    <row r="5" spans="1:11">
      <c r="A5" s="337" t="s">
        <v>85</v>
      </c>
      <c r="B5" s="338">
        <v>46719</v>
      </c>
      <c r="C5" s="343">
        <v>39533</v>
      </c>
      <c r="D5" s="338">
        <v>44776</v>
      </c>
      <c r="E5" s="343">
        <v>46711</v>
      </c>
      <c r="F5" s="317" t="s">
        <v>82</v>
      </c>
      <c r="H5" s="338">
        <v>46719</v>
      </c>
      <c r="I5" s="343">
        <v>39533</v>
      </c>
      <c r="J5" s="338">
        <v>44776</v>
      </c>
      <c r="K5" s="343">
        <v>46711</v>
      </c>
    </row>
    <row r="6" spans="1:11">
      <c r="A6" s="337" t="s">
        <v>86</v>
      </c>
      <c r="B6" s="338">
        <v>52693</v>
      </c>
      <c r="C6" s="343">
        <v>35279</v>
      </c>
      <c r="D6" s="338">
        <v>40013</v>
      </c>
      <c r="E6" s="343">
        <v>47343</v>
      </c>
      <c r="F6" s="317" t="s">
        <v>82</v>
      </c>
      <c r="H6" s="338">
        <v>52693</v>
      </c>
      <c r="I6" s="343">
        <v>35279</v>
      </c>
      <c r="J6" s="338">
        <v>40013</v>
      </c>
      <c r="K6" s="343">
        <v>47343</v>
      </c>
    </row>
    <row r="7" spans="1:11">
      <c r="A7" s="337" t="s">
        <v>87</v>
      </c>
      <c r="B7" s="338">
        <v>8115</v>
      </c>
      <c r="C7" s="343">
        <v>8307</v>
      </c>
      <c r="D7" s="338">
        <v>7979</v>
      </c>
      <c r="E7" s="343">
        <v>8170</v>
      </c>
      <c r="F7" s="317" t="s">
        <v>82</v>
      </c>
      <c r="H7" s="338">
        <v>8115</v>
      </c>
      <c r="I7" s="343">
        <v>8307</v>
      </c>
      <c r="J7" s="338">
        <v>7979</v>
      </c>
      <c r="K7" s="343">
        <v>8170</v>
      </c>
    </row>
    <row r="8" spans="1:11">
      <c r="A8" s="337" t="s">
        <v>89</v>
      </c>
      <c r="B8" s="341">
        <v>108033</v>
      </c>
      <c r="C8" s="343">
        <v>74987</v>
      </c>
      <c r="D8" s="338">
        <v>58751</v>
      </c>
      <c r="E8" s="343">
        <v>73719</v>
      </c>
      <c r="F8" s="317" t="s">
        <v>88</v>
      </c>
      <c r="H8" s="341">
        <v>108033</v>
      </c>
      <c r="I8" s="343">
        <v>74987</v>
      </c>
      <c r="J8" s="338">
        <v>58751</v>
      </c>
      <c r="K8" s="343">
        <v>73719</v>
      </c>
    </row>
    <row r="9" spans="1:11">
      <c r="A9" s="344"/>
      <c r="B9" s="345" t="s">
        <v>134</v>
      </c>
      <c r="C9" s="346" t="s">
        <v>134</v>
      </c>
      <c r="D9" s="346" t="s">
        <v>134</v>
      </c>
      <c r="E9" s="346"/>
      <c r="F9" s="323"/>
      <c r="H9" s="345" t="s">
        <v>134</v>
      </c>
      <c r="I9" s="346" t="s">
        <v>134</v>
      </c>
      <c r="J9" s="346" t="s">
        <v>134</v>
      </c>
      <c r="K9" s="346"/>
    </row>
    <row r="10" spans="1:11">
      <c r="A10" s="337" t="s">
        <v>91</v>
      </c>
      <c r="B10" s="341">
        <v>53032</v>
      </c>
      <c r="C10" s="343">
        <v>40798</v>
      </c>
      <c r="D10" s="338">
        <v>40268</v>
      </c>
      <c r="E10" s="343">
        <v>37181</v>
      </c>
      <c r="F10" s="317" t="s">
        <v>90</v>
      </c>
      <c r="H10" s="341">
        <v>53032</v>
      </c>
      <c r="I10" s="343">
        <v>40798</v>
      </c>
      <c r="J10" s="338">
        <v>40268</v>
      </c>
      <c r="K10" s="343">
        <v>37181</v>
      </c>
    </row>
    <row r="11" spans="1:11">
      <c r="A11" s="337" t="s">
        <v>93</v>
      </c>
      <c r="B11" s="341">
        <v>19458</v>
      </c>
      <c r="C11" s="342">
        <v>20267</v>
      </c>
      <c r="D11" s="341">
        <v>21618</v>
      </c>
      <c r="E11" s="342">
        <v>22410</v>
      </c>
      <c r="F11" s="317" t="s">
        <v>92</v>
      </c>
      <c r="H11" s="341">
        <v>19458</v>
      </c>
      <c r="I11" s="342">
        <v>20267</v>
      </c>
      <c r="J11" s="341">
        <v>21618</v>
      </c>
      <c r="K11" s="342">
        <v>22410</v>
      </c>
    </row>
    <row r="12" spans="1:11">
      <c r="A12" s="337" t="s">
        <v>94</v>
      </c>
      <c r="B12" s="341">
        <v>3048</v>
      </c>
      <c r="C12" s="343">
        <v>3060</v>
      </c>
      <c r="D12" s="338">
        <v>3090</v>
      </c>
      <c r="E12" s="343">
        <v>3108</v>
      </c>
      <c r="F12" s="317" t="s">
        <v>92</v>
      </c>
      <c r="H12" s="341">
        <v>3048</v>
      </c>
      <c r="I12" s="343">
        <v>3060</v>
      </c>
      <c r="J12" s="338">
        <v>3090</v>
      </c>
      <c r="K12" s="343">
        <v>3108</v>
      </c>
    </row>
    <row r="13" spans="1:11">
      <c r="A13" s="337" t="s">
        <v>95</v>
      </c>
      <c r="B13" s="341">
        <v>1083033</v>
      </c>
      <c r="C13" s="343">
        <v>971392</v>
      </c>
      <c r="D13" s="338">
        <v>886831</v>
      </c>
      <c r="E13" s="343">
        <v>955047</v>
      </c>
      <c r="F13" s="317" t="s">
        <v>92</v>
      </c>
      <c r="H13" s="341">
        <v>1083033</v>
      </c>
      <c r="I13" s="343">
        <v>971392</v>
      </c>
      <c r="J13" s="338">
        <v>886831</v>
      </c>
      <c r="K13" s="343">
        <v>955047</v>
      </c>
    </row>
    <row r="14" spans="1:11">
      <c r="A14" s="337" t="s">
        <v>96</v>
      </c>
      <c r="B14" s="341">
        <v>17422</v>
      </c>
      <c r="C14" s="343">
        <v>20410</v>
      </c>
      <c r="D14" s="338">
        <v>20345</v>
      </c>
      <c r="E14" s="343">
        <v>20260</v>
      </c>
      <c r="F14" s="317" t="s">
        <v>92</v>
      </c>
      <c r="H14" s="341">
        <v>17422</v>
      </c>
      <c r="I14" s="343">
        <v>20410</v>
      </c>
      <c r="J14" s="338">
        <v>20345</v>
      </c>
      <c r="K14" s="343">
        <v>20260</v>
      </c>
    </row>
    <row r="15" spans="1:11">
      <c r="A15" s="337" t="s">
        <v>97</v>
      </c>
      <c r="B15" s="341">
        <v>1383</v>
      </c>
      <c r="C15" s="343">
        <v>1342</v>
      </c>
      <c r="D15" s="338">
        <v>880</v>
      </c>
      <c r="E15" s="343">
        <v>502</v>
      </c>
      <c r="F15" s="317" t="s">
        <v>92</v>
      </c>
      <c r="H15" s="341">
        <v>1383</v>
      </c>
      <c r="I15" s="343">
        <v>1342</v>
      </c>
      <c r="J15" s="338">
        <v>880</v>
      </c>
      <c r="K15" s="343">
        <v>502</v>
      </c>
    </row>
    <row r="16" spans="1:11">
      <c r="A16" s="337" t="s">
        <v>98</v>
      </c>
      <c r="B16" s="341">
        <v>94477</v>
      </c>
      <c r="C16" s="343">
        <v>78393</v>
      </c>
      <c r="D16" s="338">
        <v>79332</v>
      </c>
      <c r="E16" s="343">
        <v>71283</v>
      </c>
      <c r="F16" s="317" t="s">
        <v>92</v>
      </c>
      <c r="H16" s="341">
        <v>94477</v>
      </c>
      <c r="I16" s="343">
        <v>78393</v>
      </c>
      <c r="J16" s="338">
        <v>79332</v>
      </c>
      <c r="K16" s="343">
        <v>71283</v>
      </c>
    </row>
    <row r="17" spans="1:11">
      <c r="A17" s="337" t="s">
        <v>100</v>
      </c>
      <c r="B17" s="341">
        <v>35978</v>
      </c>
      <c r="C17" s="343">
        <v>38330</v>
      </c>
      <c r="D17" s="338">
        <v>35273</v>
      </c>
      <c r="E17" s="343">
        <v>29937</v>
      </c>
      <c r="F17" s="317" t="s">
        <v>99</v>
      </c>
      <c r="H17" s="341">
        <v>35978</v>
      </c>
      <c r="I17" s="343">
        <v>38330</v>
      </c>
      <c r="J17" s="338">
        <v>35273</v>
      </c>
      <c r="K17" s="343">
        <v>29937</v>
      </c>
    </row>
    <row r="18" spans="1:11">
      <c r="A18" s="337" t="s">
        <v>101</v>
      </c>
      <c r="B18" s="341">
        <v>14194</v>
      </c>
      <c r="C18" s="343">
        <v>13590</v>
      </c>
      <c r="D18" s="338">
        <v>11837</v>
      </c>
      <c r="E18" s="343">
        <v>11560</v>
      </c>
      <c r="F18" s="317" t="s">
        <v>99</v>
      </c>
      <c r="H18" s="341">
        <v>14194</v>
      </c>
      <c r="I18" s="343">
        <v>13590</v>
      </c>
      <c r="J18" s="338">
        <v>11837</v>
      </c>
      <c r="K18" s="343">
        <v>11560</v>
      </c>
    </row>
    <row r="19" spans="1:11">
      <c r="A19" s="337" t="s">
        <v>102</v>
      </c>
      <c r="B19" s="341">
        <v>94891</v>
      </c>
      <c r="C19" s="343">
        <v>75366</v>
      </c>
      <c r="D19" s="338">
        <v>74332</v>
      </c>
      <c r="E19" s="343">
        <v>79599</v>
      </c>
      <c r="F19" s="317" t="s">
        <v>99</v>
      </c>
      <c r="H19" s="341">
        <v>94891</v>
      </c>
      <c r="I19" s="343">
        <v>75366</v>
      </c>
      <c r="J19" s="338">
        <v>74332</v>
      </c>
      <c r="K19" s="343">
        <v>79599</v>
      </c>
    </row>
    <row r="20" spans="1:11">
      <c r="A20" s="337" t="s">
        <v>103</v>
      </c>
      <c r="B20" s="338">
        <v>3012</v>
      </c>
      <c r="C20" s="343">
        <v>3011</v>
      </c>
      <c r="D20" s="338">
        <v>3043</v>
      </c>
      <c r="E20" s="343">
        <v>3028</v>
      </c>
      <c r="F20" s="317" t="s">
        <v>99</v>
      </c>
      <c r="H20" s="338">
        <v>3012</v>
      </c>
      <c r="I20" s="343">
        <v>3011</v>
      </c>
      <c r="J20" s="338">
        <v>3043</v>
      </c>
      <c r="K20" s="343">
        <v>3028</v>
      </c>
    </row>
    <row r="21" spans="1:11">
      <c r="A21" s="337" t="s">
        <v>105</v>
      </c>
      <c r="B21" s="341">
        <v>177974.36666666667</v>
      </c>
      <c r="C21" s="343">
        <f>88248+8353</f>
        <v>96601</v>
      </c>
      <c r="D21" s="338">
        <f>88663+10112</f>
        <v>98775</v>
      </c>
      <c r="E21" s="347">
        <f>108286+10206</f>
        <v>118492</v>
      </c>
      <c r="F21" s="317" t="s">
        <v>104</v>
      </c>
      <c r="H21" s="341">
        <v>177974.36666666667</v>
      </c>
      <c r="I21" s="348">
        <v>88248</v>
      </c>
      <c r="J21" s="348">
        <v>88663</v>
      </c>
      <c r="K21" s="348">
        <f>108286</f>
        <v>108286</v>
      </c>
    </row>
    <row r="22" spans="1:11">
      <c r="A22" s="337" t="s">
        <v>106</v>
      </c>
      <c r="B22" s="341">
        <v>226129</v>
      </c>
      <c r="C22" s="343">
        <v>182007</v>
      </c>
      <c r="D22" s="338">
        <v>204460</v>
      </c>
      <c r="E22" s="343">
        <v>216250</v>
      </c>
      <c r="F22" s="317" t="s">
        <v>104</v>
      </c>
      <c r="H22" s="341">
        <v>226129</v>
      </c>
      <c r="I22" s="343">
        <v>182007</v>
      </c>
      <c r="J22" s="338">
        <v>204460</v>
      </c>
      <c r="K22" s="343">
        <v>216250</v>
      </c>
    </row>
    <row r="23" spans="1:11">
      <c r="A23" s="337" t="s">
        <v>107</v>
      </c>
      <c r="B23" s="341">
        <v>251750</v>
      </c>
      <c r="C23" s="343">
        <v>211975</v>
      </c>
      <c r="D23" s="338">
        <v>276476</v>
      </c>
      <c r="E23" s="343">
        <v>310607</v>
      </c>
      <c r="F23" s="317" t="s">
        <v>104</v>
      </c>
      <c r="H23" s="341">
        <v>251750</v>
      </c>
      <c r="I23" s="343">
        <v>211975</v>
      </c>
      <c r="J23" s="338">
        <v>276476</v>
      </c>
      <c r="K23" s="343">
        <v>310607</v>
      </c>
    </row>
    <row r="24" spans="1:11">
      <c r="A24" s="337" t="s">
        <v>108</v>
      </c>
      <c r="B24" s="341">
        <v>34273</v>
      </c>
      <c r="C24" s="343">
        <v>34280</v>
      </c>
      <c r="D24" s="338">
        <v>35046</v>
      </c>
      <c r="E24" s="343">
        <v>34638</v>
      </c>
      <c r="F24" s="317" t="s">
        <v>104</v>
      </c>
      <c r="H24" s="341">
        <v>34273</v>
      </c>
      <c r="I24" s="343">
        <v>34280</v>
      </c>
      <c r="J24" s="338">
        <v>35046</v>
      </c>
      <c r="K24" s="343">
        <v>34638</v>
      </c>
    </row>
    <row r="25" spans="1:11">
      <c r="A25" s="337" t="s">
        <v>109</v>
      </c>
      <c r="B25" s="341">
        <v>762124</v>
      </c>
      <c r="C25" s="343">
        <f>775301+2087</f>
        <v>777388</v>
      </c>
      <c r="D25" s="338">
        <f>840428+2521</f>
        <v>842949</v>
      </c>
      <c r="E25" s="347">
        <v>848788</v>
      </c>
      <c r="F25" s="317" t="s">
        <v>104</v>
      </c>
      <c r="H25" s="341">
        <v>762124</v>
      </c>
      <c r="I25" s="348">
        <f>775301</f>
        <v>775301</v>
      </c>
      <c r="J25" s="348">
        <f>840428</f>
        <v>840428</v>
      </c>
      <c r="K25" s="347">
        <v>848788</v>
      </c>
    </row>
    <row r="26" spans="1:11">
      <c r="A26" s="337" t="s">
        <v>110</v>
      </c>
      <c r="B26" s="341">
        <v>79652</v>
      </c>
      <c r="C26" s="343">
        <v>49907</v>
      </c>
      <c r="D26" s="338">
        <v>71732</v>
      </c>
      <c r="E26" s="343">
        <v>78944</v>
      </c>
      <c r="F26" s="317" t="s">
        <v>104</v>
      </c>
      <c r="H26" s="341">
        <v>79652</v>
      </c>
      <c r="I26" s="343">
        <v>49907</v>
      </c>
      <c r="J26" s="338">
        <v>71732</v>
      </c>
      <c r="K26" s="343">
        <v>78944</v>
      </c>
    </row>
    <row r="27" spans="1:11">
      <c r="A27" s="337" t="s">
        <v>111</v>
      </c>
      <c r="B27" s="341">
        <v>222022.66000065801</v>
      </c>
      <c r="C27" s="343">
        <f>152489+(152489*0.49)</f>
        <v>227208.61</v>
      </c>
      <c r="D27" s="338">
        <f>146130+71220</f>
        <v>217350</v>
      </c>
      <c r="E27" s="347">
        <f>149888+57989</f>
        <v>207877</v>
      </c>
      <c r="F27" s="317" t="s">
        <v>104</v>
      </c>
      <c r="H27" s="341">
        <v>222022.66000065801</v>
      </c>
      <c r="I27" s="348">
        <f>152489</f>
        <v>152489</v>
      </c>
      <c r="J27" s="348">
        <f>146130</f>
        <v>146130</v>
      </c>
      <c r="K27" s="348">
        <f>149888</f>
        <v>149888</v>
      </c>
    </row>
    <row r="28" spans="1:11">
      <c r="A28" s="337" t="s">
        <v>113</v>
      </c>
      <c r="B28" s="341">
        <v>56662</v>
      </c>
      <c r="C28" s="343">
        <v>46966</v>
      </c>
      <c r="D28" s="338">
        <v>47286</v>
      </c>
      <c r="E28" s="343">
        <v>43849</v>
      </c>
      <c r="F28" s="317" t="s">
        <v>112</v>
      </c>
      <c r="H28" s="341">
        <v>56662</v>
      </c>
      <c r="I28" s="343">
        <v>46966</v>
      </c>
      <c r="J28" s="338">
        <v>47286</v>
      </c>
      <c r="K28" s="343">
        <v>43849</v>
      </c>
    </row>
    <row r="29" spans="1:11">
      <c r="A29" s="337" t="s">
        <v>114</v>
      </c>
      <c r="B29" s="341">
        <v>589799</v>
      </c>
      <c r="C29" s="343">
        <v>606539</v>
      </c>
      <c r="D29" s="338">
        <v>589217</v>
      </c>
      <c r="E29" s="349">
        <f>582073+1652</f>
        <v>583725</v>
      </c>
      <c r="F29" s="317" t="s">
        <v>112</v>
      </c>
      <c r="H29" s="341">
        <v>589799</v>
      </c>
      <c r="I29" s="343">
        <v>606539</v>
      </c>
      <c r="J29" s="338">
        <v>589217</v>
      </c>
      <c r="K29" s="348">
        <f>582073</f>
        <v>582073</v>
      </c>
    </row>
    <row r="30" spans="1:11">
      <c r="A30" s="337" t="s">
        <v>116</v>
      </c>
      <c r="B30" s="341">
        <v>113580</v>
      </c>
      <c r="C30" s="343">
        <v>104803</v>
      </c>
      <c r="D30" s="338">
        <v>100136</v>
      </c>
      <c r="E30" s="343">
        <v>92885</v>
      </c>
      <c r="F30" s="317" t="s">
        <v>115</v>
      </c>
      <c r="H30" s="341">
        <v>113580</v>
      </c>
      <c r="I30" s="343">
        <v>104803</v>
      </c>
      <c r="J30" s="338">
        <v>100136</v>
      </c>
      <c r="K30" s="343">
        <v>92885</v>
      </c>
    </row>
    <row r="31" spans="1:11">
      <c r="A31" s="337" t="s">
        <v>117</v>
      </c>
      <c r="B31" s="341">
        <v>31292</v>
      </c>
      <c r="C31" s="343">
        <v>30471</v>
      </c>
      <c r="D31" s="338">
        <v>31063</v>
      </c>
      <c r="E31" s="343">
        <v>32095</v>
      </c>
      <c r="F31" s="317" t="s">
        <v>115</v>
      </c>
      <c r="H31" s="341">
        <v>31292</v>
      </c>
      <c r="I31" s="343">
        <v>30471</v>
      </c>
      <c r="J31" s="338">
        <v>31063</v>
      </c>
      <c r="K31" s="343">
        <v>32095</v>
      </c>
    </row>
    <row r="32" spans="1:11">
      <c r="A32" s="337" t="s">
        <v>118</v>
      </c>
      <c r="B32" s="341">
        <v>150889</v>
      </c>
      <c r="C32" s="343">
        <v>145560</v>
      </c>
      <c r="D32" s="338">
        <v>155800</v>
      </c>
      <c r="E32" s="343">
        <v>141516</v>
      </c>
      <c r="F32" s="317" t="s">
        <v>115</v>
      </c>
      <c r="H32" s="341">
        <v>150889</v>
      </c>
      <c r="I32" s="343">
        <v>145560</v>
      </c>
      <c r="J32" s="338">
        <v>155800</v>
      </c>
      <c r="K32" s="343">
        <v>141516</v>
      </c>
    </row>
    <row r="33" spans="1:11">
      <c r="A33" s="337" t="s">
        <v>119</v>
      </c>
      <c r="B33" s="341">
        <v>19830</v>
      </c>
      <c r="C33" s="343">
        <v>18342</v>
      </c>
      <c r="D33" s="338">
        <v>19090</v>
      </c>
      <c r="E33" s="343">
        <v>18878</v>
      </c>
      <c r="F33" s="317" t="s">
        <v>115</v>
      </c>
      <c r="H33" s="341">
        <v>19830</v>
      </c>
      <c r="I33" s="343">
        <v>18342</v>
      </c>
      <c r="J33" s="338">
        <v>19090</v>
      </c>
      <c r="K33" s="343">
        <v>18878</v>
      </c>
    </row>
    <row r="34" spans="1:11">
      <c r="A34" s="337" t="s">
        <v>121</v>
      </c>
      <c r="B34" s="341">
        <v>30658</v>
      </c>
      <c r="C34" s="343">
        <v>33407</v>
      </c>
      <c r="D34" s="338">
        <v>36937</v>
      </c>
      <c r="E34" s="343">
        <v>37781</v>
      </c>
      <c r="F34" s="317" t="s">
        <v>120</v>
      </c>
      <c r="H34" s="341">
        <v>30658</v>
      </c>
      <c r="I34" s="343">
        <v>33407</v>
      </c>
      <c r="J34" s="338">
        <v>36937</v>
      </c>
      <c r="K34" s="343">
        <v>37781</v>
      </c>
    </row>
    <row r="35" spans="1:11">
      <c r="A35" s="337" t="s">
        <v>122</v>
      </c>
      <c r="B35" s="341">
        <v>75663</v>
      </c>
      <c r="C35" s="343">
        <v>77225</v>
      </c>
      <c r="D35" s="338">
        <v>74536</v>
      </c>
      <c r="E35" s="343">
        <v>72014</v>
      </c>
      <c r="F35" s="317" t="s">
        <v>120</v>
      </c>
      <c r="H35" s="341">
        <v>75663</v>
      </c>
      <c r="I35" s="343">
        <v>77225</v>
      </c>
      <c r="J35" s="338">
        <v>74536</v>
      </c>
      <c r="K35" s="343">
        <v>72014</v>
      </c>
    </row>
    <row r="36" spans="1:11">
      <c r="A36" s="337" t="s">
        <v>123</v>
      </c>
      <c r="B36" s="341">
        <v>17721</v>
      </c>
      <c r="C36" s="343">
        <v>16508</v>
      </c>
      <c r="D36" s="338">
        <v>17310</v>
      </c>
      <c r="E36" s="343">
        <v>20219</v>
      </c>
      <c r="F36" s="317" t="s">
        <v>120</v>
      </c>
      <c r="H36" s="341">
        <v>17721</v>
      </c>
      <c r="I36" s="343">
        <v>16508</v>
      </c>
      <c r="J36" s="338">
        <v>17310</v>
      </c>
      <c r="K36" s="343">
        <v>20219</v>
      </c>
    </row>
    <row r="37" spans="1:11">
      <c r="A37" s="337" t="s">
        <v>125</v>
      </c>
      <c r="B37" s="341">
        <v>60477</v>
      </c>
      <c r="C37" s="343">
        <v>55888</v>
      </c>
      <c r="D37" s="338">
        <v>60586</v>
      </c>
      <c r="E37" s="343">
        <v>61652</v>
      </c>
      <c r="F37" s="317" t="s">
        <v>124</v>
      </c>
      <c r="H37" s="341">
        <v>60477</v>
      </c>
      <c r="I37" s="343">
        <v>55888</v>
      </c>
      <c r="J37" s="338">
        <v>60586</v>
      </c>
      <c r="K37" s="343">
        <v>61652</v>
      </c>
    </row>
    <row r="38" spans="1:11">
      <c r="A38" s="337" t="s">
        <v>126</v>
      </c>
      <c r="B38" s="341">
        <v>14634</v>
      </c>
      <c r="C38" s="343">
        <v>15493</v>
      </c>
      <c r="D38" s="338">
        <v>15570</v>
      </c>
      <c r="E38" s="343">
        <v>15538</v>
      </c>
      <c r="F38" s="317" t="s">
        <v>124</v>
      </c>
      <c r="H38" s="341">
        <v>14634</v>
      </c>
      <c r="I38" s="343">
        <v>15493</v>
      </c>
      <c r="J38" s="338">
        <v>15570</v>
      </c>
      <c r="K38" s="343">
        <v>15538</v>
      </c>
    </row>
    <row r="39" spans="1:11">
      <c r="A39" s="337" t="s">
        <v>127</v>
      </c>
      <c r="B39" s="341">
        <v>96645</v>
      </c>
      <c r="C39" s="343">
        <v>63817</v>
      </c>
      <c r="D39" s="338">
        <v>75094</v>
      </c>
      <c r="E39" s="343">
        <v>86457</v>
      </c>
      <c r="F39" s="317" t="s">
        <v>124</v>
      </c>
      <c r="H39" s="341">
        <v>96645</v>
      </c>
      <c r="I39" s="343">
        <v>63817</v>
      </c>
      <c r="J39" s="338">
        <v>75094</v>
      </c>
      <c r="K39" s="343">
        <v>86457</v>
      </c>
    </row>
    <row r="40" spans="1:11">
      <c r="A40" s="337" t="s">
        <v>128</v>
      </c>
      <c r="B40" s="341">
        <v>5127</v>
      </c>
      <c r="C40" s="343">
        <v>5393</v>
      </c>
      <c r="D40" s="338">
        <v>5390</v>
      </c>
      <c r="E40" s="343">
        <v>5322</v>
      </c>
      <c r="F40" s="317" t="s">
        <v>124</v>
      </c>
      <c r="H40" s="341">
        <v>5127</v>
      </c>
      <c r="I40" s="343">
        <v>5393</v>
      </c>
      <c r="J40" s="338">
        <v>5390</v>
      </c>
      <c r="K40" s="343">
        <v>5322</v>
      </c>
    </row>
    <row r="41" spans="1:11">
      <c r="A41" s="337" t="s">
        <v>129</v>
      </c>
      <c r="B41" s="338">
        <v>45615</v>
      </c>
      <c r="C41" s="343">
        <v>22816</v>
      </c>
      <c r="D41" s="338">
        <v>18141</v>
      </c>
      <c r="E41" s="343">
        <v>18247</v>
      </c>
      <c r="F41" s="317" t="s">
        <v>124</v>
      </c>
      <c r="H41" s="338">
        <v>45615</v>
      </c>
      <c r="I41" s="343">
        <v>22816</v>
      </c>
      <c r="J41" s="338">
        <v>18141</v>
      </c>
      <c r="K41" s="343">
        <v>18247</v>
      </c>
    </row>
    <row r="42" spans="1:11">
      <c r="A42" s="350" t="s">
        <v>130</v>
      </c>
      <c r="B42" s="351">
        <v>52366</v>
      </c>
      <c r="C42" s="352">
        <v>54180</v>
      </c>
      <c r="D42" s="353">
        <v>60519</v>
      </c>
      <c r="E42" s="352">
        <v>63759</v>
      </c>
      <c r="F42" s="328" t="s">
        <v>124</v>
      </c>
      <c r="H42" s="351">
        <v>52366</v>
      </c>
      <c r="I42" s="352">
        <v>54180</v>
      </c>
      <c r="J42" s="353">
        <v>60519</v>
      </c>
      <c r="K42" s="352">
        <v>63759</v>
      </c>
    </row>
    <row r="43" spans="1:11" ht="15" thickBot="1">
      <c r="A43" s="354" t="s">
        <v>135</v>
      </c>
      <c r="B43" s="355">
        <f>SUM(B3:B42)</f>
        <v>4791873.0266673248</v>
      </c>
      <c r="C43" s="355">
        <f>SUM(C3:C42)</f>
        <v>4333894.6099999994</v>
      </c>
      <c r="D43" s="355">
        <f>SUM(D3:D42)</f>
        <v>4419896</v>
      </c>
      <c r="E43" s="355">
        <f>SUM(E3:E42)</f>
        <v>4560217</v>
      </c>
      <c r="F43" s="333"/>
      <c r="H43" s="355">
        <f>SUM(H3:H42)</f>
        <v>4791873.0266673248</v>
      </c>
      <c r="I43" s="355">
        <f>SUM(I3:I42)</f>
        <v>4248735</v>
      </c>
      <c r="J43" s="355">
        <f>SUM(J3:J42)</f>
        <v>4336043</v>
      </c>
      <c r="K43" s="355">
        <f>SUM(K3:K42)</f>
        <v>4490370</v>
      </c>
    </row>
    <row r="44" spans="1:11">
      <c r="B44" s="258"/>
      <c r="C44" s="228"/>
      <c r="H44" s="258"/>
      <c r="I44" s="228"/>
    </row>
  </sheetData>
  <pageMargins left="0.25" right="0.25" top="0.75" bottom="0.75" header="0.3" footer="0.3"/>
  <pageSetup scale="83"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87B84-79B7-4922-BCE1-F9543CDD199C}">
  <sheetPr>
    <pageSetUpPr fitToPage="1"/>
  </sheetPr>
  <dimension ref="A1:K44"/>
  <sheetViews>
    <sheetView zoomScale="80" zoomScaleNormal="80" workbookViewId="0"/>
  </sheetViews>
  <sheetFormatPr defaultColWidth="9.42578125" defaultRowHeight="14.25"/>
  <cols>
    <col min="1" max="1" width="46.5703125" style="230" bestFit="1" customWidth="1"/>
    <col min="2" max="4" width="15.5703125" style="257" customWidth="1"/>
    <col min="5" max="5" width="14.5703125" style="230" customWidth="1"/>
    <col min="6" max="6" width="16.42578125" style="230" customWidth="1"/>
    <col min="7" max="7" width="9.42578125" style="230"/>
    <col min="8" max="10" width="15.5703125" style="257" customWidth="1"/>
    <col min="11" max="11" width="14.5703125" style="230" customWidth="1"/>
    <col min="12" max="16384" width="9.42578125" style="230"/>
  </cols>
  <sheetData>
    <row r="1" spans="1:11" ht="21" thickBot="1">
      <c r="A1" s="370" t="s">
        <v>447</v>
      </c>
      <c r="B1" s="210">
        <v>2019</v>
      </c>
      <c r="C1" s="210">
        <v>2021</v>
      </c>
      <c r="D1" s="210">
        <v>2022</v>
      </c>
      <c r="E1" s="210">
        <v>2023</v>
      </c>
      <c r="H1" s="210">
        <v>2019</v>
      </c>
      <c r="I1" s="210">
        <v>2021</v>
      </c>
      <c r="J1" s="210">
        <v>2022</v>
      </c>
      <c r="K1" s="210">
        <v>2023</v>
      </c>
    </row>
    <row r="2" spans="1:11">
      <c r="A2" s="356" t="s">
        <v>132</v>
      </c>
      <c r="B2" s="357" t="s">
        <v>137</v>
      </c>
      <c r="C2" s="357" t="s">
        <v>137</v>
      </c>
      <c r="D2" s="357" t="s">
        <v>137</v>
      </c>
      <c r="E2" s="357" t="s">
        <v>137</v>
      </c>
      <c r="F2" s="358"/>
      <c r="H2" s="357" t="s">
        <v>137</v>
      </c>
      <c r="I2" s="357" t="s">
        <v>137</v>
      </c>
      <c r="J2" s="357" t="s">
        <v>137</v>
      </c>
      <c r="K2" s="357" t="s">
        <v>137</v>
      </c>
    </row>
    <row r="3" spans="1:11" s="209" customFormat="1">
      <c r="A3" s="313" t="s">
        <v>83</v>
      </c>
      <c r="B3" s="338">
        <v>720867</v>
      </c>
      <c r="C3" s="339">
        <v>598768</v>
      </c>
      <c r="D3" s="340">
        <v>634178</v>
      </c>
      <c r="E3" s="339">
        <v>692104</v>
      </c>
      <c r="F3" s="317" t="s">
        <v>82</v>
      </c>
      <c r="H3" s="338">
        <v>720867</v>
      </c>
      <c r="I3" s="339">
        <v>598768</v>
      </c>
      <c r="J3" s="340">
        <v>634178</v>
      </c>
      <c r="K3" s="339">
        <v>692104</v>
      </c>
    </row>
    <row r="4" spans="1:11" s="209" customFormat="1">
      <c r="A4" s="313" t="s">
        <v>84</v>
      </c>
      <c r="B4" s="341">
        <v>87134</v>
      </c>
      <c r="C4" s="342">
        <v>46763</v>
      </c>
      <c r="D4" s="341">
        <v>84107</v>
      </c>
      <c r="E4" s="342">
        <v>94333</v>
      </c>
      <c r="F4" s="317" t="s">
        <v>82</v>
      </c>
      <c r="H4" s="341">
        <v>87134</v>
      </c>
      <c r="I4" s="342">
        <v>46763</v>
      </c>
      <c r="J4" s="341">
        <v>84107</v>
      </c>
      <c r="K4" s="342">
        <v>94333</v>
      </c>
    </row>
    <row r="5" spans="1:11" s="209" customFormat="1">
      <c r="A5" s="313" t="s">
        <v>85</v>
      </c>
      <c r="B5" s="338">
        <v>489940</v>
      </c>
      <c r="C5" s="343">
        <v>384307</v>
      </c>
      <c r="D5" s="338">
        <v>440288</v>
      </c>
      <c r="E5" s="343">
        <v>490148</v>
      </c>
      <c r="F5" s="317" t="s">
        <v>82</v>
      </c>
      <c r="H5" s="338">
        <v>489940</v>
      </c>
      <c r="I5" s="343">
        <v>384307</v>
      </c>
      <c r="J5" s="338">
        <v>440288</v>
      </c>
      <c r="K5" s="343">
        <v>490148</v>
      </c>
    </row>
    <row r="6" spans="1:11" s="209" customFormat="1">
      <c r="A6" s="313" t="s">
        <v>86</v>
      </c>
      <c r="B6" s="338">
        <v>864470</v>
      </c>
      <c r="C6" s="343">
        <v>550975</v>
      </c>
      <c r="D6" s="338">
        <v>639628</v>
      </c>
      <c r="E6" s="343">
        <v>800372</v>
      </c>
      <c r="F6" s="317" t="s">
        <v>82</v>
      </c>
      <c r="H6" s="338">
        <v>864470</v>
      </c>
      <c r="I6" s="343">
        <v>550975</v>
      </c>
      <c r="J6" s="338">
        <v>639628</v>
      </c>
      <c r="K6" s="343">
        <v>800372</v>
      </c>
    </row>
    <row r="7" spans="1:11" s="209" customFormat="1">
      <c r="A7" s="313" t="s">
        <v>87</v>
      </c>
      <c r="B7" s="338">
        <v>133672</v>
      </c>
      <c r="C7" s="343">
        <v>129731</v>
      </c>
      <c r="D7" s="338">
        <v>129480</v>
      </c>
      <c r="E7" s="343">
        <v>132943</v>
      </c>
      <c r="F7" s="317" t="s">
        <v>82</v>
      </c>
      <c r="H7" s="338">
        <v>133672</v>
      </c>
      <c r="I7" s="343">
        <v>129731</v>
      </c>
      <c r="J7" s="338">
        <v>129480</v>
      </c>
      <c r="K7" s="343">
        <v>132943</v>
      </c>
    </row>
    <row r="8" spans="1:11" s="209" customFormat="1">
      <c r="A8" s="313" t="s">
        <v>89</v>
      </c>
      <c r="B8" s="341">
        <v>976417</v>
      </c>
      <c r="C8" s="343">
        <v>730500</v>
      </c>
      <c r="D8" s="338">
        <v>807792</v>
      </c>
      <c r="E8" s="343">
        <v>782454</v>
      </c>
      <c r="F8" s="317" t="s">
        <v>88</v>
      </c>
      <c r="H8" s="341">
        <v>976417</v>
      </c>
      <c r="I8" s="343">
        <v>730500</v>
      </c>
      <c r="J8" s="338">
        <v>807792</v>
      </c>
      <c r="K8" s="343">
        <v>782454</v>
      </c>
    </row>
    <row r="9" spans="1:11" s="209" customFormat="1">
      <c r="A9" s="320"/>
      <c r="B9" s="345" t="s">
        <v>134</v>
      </c>
      <c r="C9" s="346" t="s">
        <v>134</v>
      </c>
      <c r="D9" s="346" t="s">
        <v>134</v>
      </c>
      <c r="E9" s="346"/>
      <c r="F9" s="323"/>
      <c r="H9" s="345" t="s">
        <v>134</v>
      </c>
      <c r="I9" s="346" t="s">
        <v>134</v>
      </c>
      <c r="J9" s="346" t="s">
        <v>134</v>
      </c>
      <c r="K9" s="346"/>
    </row>
    <row r="10" spans="1:11" s="209" customFormat="1">
      <c r="A10" s="313" t="s">
        <v>91</v>
      </c>
      <c r="B10" s="341">
        <v>865514</v>
      </c>
      <c r="C10" s="343">
        <v>610784</v>
      </c>
      <c r="D10" s="338">
        <v>598250</v>
      </c>
      <c r="E10" s="343">
        <v>548622</v>
      </c>
      <c r="F10" s="317" t="s">
        <v>90</v>
      </c>
      <c r="H10" s="341">
        <v>865514</v>
      </c>
      <c r="I10" s="343">
        <v>610784</v>
      </c>
      <c r="J10" s="338">
        <v>598250</v>
      </c>
      <c r="K10" s="343">
        <v>548622</v>
      </c>
    </row>
    <row r="11" spans="1:11" s="209" customFormat="1">
      <c r="A11" s="313" t="s">
        <v>93</v>
      </c>
      <c r="B11" s="341">
        <v>363878</v>
      </c>
      <c r="C11" s="342">
        <v>368836</v>
      </c>
      <c r="D11" s="341">
        <v>415022</v>
      </c>
      <c r="E11" s="342">
        <v>442128</v>
      </c>
      <c r="F11" s="317" t="s">
        <v>92</v>
      </c>
      <c r="H11" s="341">
        <v>363878</v>
      </c>
      <c r="I11" s="342">
        <v>368836</v>
      </c>
      <c r="J11" s="341">
        <v>415022</v>
      </c>
      <c r="K11" s="342">
        <v>442128</v>
      </c>
    </row>
    <row r="12" spans="1:11" s="209" customFormat="1">
      <c r="A12" s="313" t="s">
        <v>94</v>
      </c>
      <c r="B12" s="341">
        <v>53147</v>
      </c>
      <c r="C12" s="343">
        <v>48608</v>
      </c>
      <c r="D12" s="338">
        <v>52366</v>
      </c>
      <c r="E12" s="343">
        <v>54991</v>
      </c>
      <c r="F12" s="317" t="s">
        <v>92</v>
      </c>
      <c r="H12" s="341">
        <v>53147</v>
      </c>
      <c r="I12" s="343">
        <v>48608</v>
      </c>
      <c r="J12" s="338">
        <v>52366</v>
      </c>
      <c r="K12" s="343">
        <v>54991</v>
      </c>
    </row>
    <row r="13" spans="1:11" s="209" customFormat="1">
      <c r="A13" s="313" t="s">
        <v>95</v>
      </c>
      <c r="B13" s="341">
        <v>14602903</v>
      </c>
      <c r="C13" s="343">
        <v>13836191</v>
      </c>
      <c r="D13" s="338">
        <v>12904187</v>
      </c>
      <c r="E13" s="343">
        <v>13757219</v>
      </c>
      <c r="F13" s="317" t="s">
        <v>92</v>
      </c>
      <c r="H13" s="341">
        <v>14602903</v>
      </c>
      <c r="I13" s="343">
        <v>13836191</v>
      </c>
      <c r="J13" s="338">
        <v>12904187</v>
      </c>
      <c r="K13" s="343">
        <v>13757219</v>
      </c>
    </row>
    <row r="14" spans="1:11" s="209" customFormat="1">
      <c r="A14" s="313" t="s">
        <v>96</v>
      </c>
      <c r="B14" s="341">
        <v>408373</v>
      </c>
      <c r="C14" s="343">
        <v>463549</v>
      </c>
      <c r="D14" s="338">
        <v>483018</v>
      </c>
      <c r="E14" s="343">
        <v>510877</v>
      </c>
      <c r="F14" s="317" t="s">
        <v>92</v>
      </c>
      <c r="H14" s="341">
        <v>408373</v>
      </c>
      <c r="I14" s="343">
        <v>463549</v>
      </c>
      <c r="J14" s="338">
        <v>483018</v>
      </c>
      <c r="K14" s="343">
        <v>510877</v>
      </c>
    </row>
    <row r="15" spans="1:11" s="209" customFormat="1">
      <c r="A15" s="313" t="s">
        <v>97</v>
      </c>
      <c r="B15" s="341">
        <v>17408</v>
      </c>
      <c r="C15" s="343">
        <v>9510</v>
      </c>
      <c r="D15" s="338">
        <v>6777</v>
      </c>
      <c r="E15" s="343">
        <v>4641</v>
      </c>
      <c r="F15" s="317" t="s">
        <v>92</v>
      </c>
      <c r="H15" s="341">
        <v>17408</v>
      </c>
      <c r="I15" s="343">
        <v>9510</v>
      </c>
      <c r="J15" s="338">
        <v>6777</v>
      </c>
      <c r="K15" s="343">
        <v>4641</v>
      </c>
    </row>
    <row r="16" spans="1:11" s="209" customFormat="1">
      <c r="A16" s="313" t="s">
        <v>98</v>
      </c>
      <c r="B16" s="341">
        <v>1352302</v>
      </c>
      <c r="C16" s="343">
        <v>1072707</v>
      </c>
      <c r="D16" s="338">
        <v>1099092</v>
      </c>
      <c r="E16" s="343">
        <v>1099660</v>
      </c>
      <c r="F16" s="317" t="s">
        <v>92</v>
      </c>
      <c r="H16" s="341">
        <v>1352302</v>
      </c>
      <c r="I16" s="343">
        <v>1072707</v>
      </c>
      <c r="J16" s="338">
        <v>1099092</v>
      </c>
      <c r="K16" s="343">
        <v>1099660</v>
      </c>
    </row>
    <row r="17" spans="1:11" s="209" customFormat="1">
      <c r="A17" s="313" t="s">
        <v>100</v>
      </c>
      <c r="B17" s="341">
        <v>539625</v>
      </c>
      <c r="C17" s="343">
        <v>561833</v>
      </c>
      <c r="D17" s="338">
        <v>531990</v>
      </c>
      <c r="E17" s="343">
        <v>470807</v>
      </c>
      <c r="F17" s="317" t="s">
        <v>99</v>
      </c>
      <c r="H17" s="341">
        <v>539625</v>
      </c>
      <c r="I17" s="343">
        <v>561833</v>
      </c>
      <c r="J17" s="338">
        <v>531990</v>
      </c>
      <c r="K17" s="343">
        <v>470807</v>
      </c>
    </row>
    <row r="18" spans="1:11" s="209" customFormat="1">
      <c r="A18" s="313" t="s">
        <v>101</v>
      </c>
      <c r="B18" s="341">
        <v>216820</v>
      </c>
      <c r="C18" s="343">
        <v>188179</v>
      </c>
      <c r="D18" s="338">
        <v>174059</v>
      </c>
      <c r="E18" s="343">
        <v>171222</v>
      </c>
      <c r="F18" s="317" t="s">
        <v>99</v>
      </c>
      <c r="H18" s="341">
        <v>216820</v>
      </c>
      <c r="I18" s="343">
        <v>188179</v>
      </c>
      <c r="J18" s="338">
        <v>174059</v>
      </c>
      <c r="K18" s="343">
        <v>171222</v>
      </c>
    </row>
    <row r="19" spans="1:11" s="209" customFormat="1">
      <c r="A19" s="313" t="s">
        <v>102</v>
      </c>
      <c r="B19" s="341">
        <v>1251351</v>
      </c>
      <c r="C19" s="343">
        <v>1070838</v>
      </c>
      <c r="D19" s="338">
        <v>1073547</v>
      </c>
      <c r="E19" s="343">
        <v>1150861</v>
      </c>
      <c r="F19" s="317" t="s">
        <v>99</v>
      </c>
      <c r="H19" s="341">
        <v>1251351</v>
      </c>
      <c r="I19" s="343">
        <v>1070838</v>
      </c>
      <c r="J19" s="338">
        <v>1073547</v>
      </c>
      <c r="K19" s="343">
        <v>1150861</v>
      </c>
    </row>
    <row r="20" spans="1:11" s="209" customFormat="1">
      <c r="A20" s="313" t="s">
        <v>103</v>
      </c>
      <c r="B20" s="338">
        <v>48396</v>
      </c>
      <c r="C20" s="343">
        <v>49158</v>
      </c>
      <c r="D20" s="338">
        <v>48696</v>
      </c>
      <c r="E20" s="343">
        <v>48742</v>
      </c>
      <c r="F20" s="317" t="s">
        <v>99</v>
      </c>
      <c r="H20" s="338">
        <v>48396</v>
      </c>
      <c r="I20" s="343">
        <v>49158</v>
      </c>
      <c r="J20" s="338">
        <v>48696</v>
      </c>
      <c r="K20" s="343">
        <v>48742</v>
      </c>
    </row>
    <row r="21" spans="1:11" s="209" customFormat="1">
      <c r="A21" s="313" t="s">
        <v>105</v>
      </c>
      <c r="B21" s="341">
        <v>4601141.5999999996</v>
      </c>
      <c r="C21" s="343">
        <f>1735344+320678.5</f>
        <v>2056022.5</v>
      </c>
      <c r="D21" s="338">
        <f>1820398+427962.5</f>
        <v>2248360.5</v>
      </c>
      <c r="E21" s="347">
        <f>2090076+501367</f>
        <v>2591443</v>
      </c>
      <c r="F21" s="317" t="s">
        <v>104</v>
      </c>
      <c r="H21" s="341">
        <v>4601141.5999999996</v>
      </c>
      <c r="I21" s="348">
        <f>1735344</f>
        <v>1735344</v>
      </c>
      <c r="J21" s="348">
        <f>1820398</f>
        <v>1820398</v>
      </c>
      <c r="K21" s="348">
        <f>2090076</f>
        <v>2090076</v>
      </c>
    </row>
    <row r="22" spans="1:11" s="209" customFormat="1">
      <c r="A22" s="313" t="s">
        <v>106</v>
      </c>
      <c r="B22" s="341">
        <v>2318136</v>
      </c>
      <c r="C22" s="343">
        <v>1815035</v>
      </c>
      <c r="D22" s="338">
        <v>2083544</v>
      </c>
      <c r="E22" s="343">
        <v>2205880</v>
      </c>
      <c r="F22" s="317" t="s">
        <v>104</v>
      </c>
      <c r="H22" s="341">
        <v>2318136</v>
      </c>
      <c r="I22" s="343">
        <v>1815035</v>
      </c>
      <c r="J22" s="338">
        <v>2083544</v>
      </c>
      <c r="K22" s="343">
        <v>2205880</v>
      </c>
    </row>
    <row r="23" spans="1:11" s="209" customFormat="1">
      <c r="A23" s="313" t="s">
        <v>107</v>
      </c>
      <c r="B23" s="341">
        <v>2363682</v>
      </c>
      <c r="C23" s="343">
        <v>1902798</v>
      </c>
      <c r="D23" s="338">
        <v>2503129</v>
      </c>
      <c r="E23" s="343">
        <v>3036654</v>
      </c>
      <c r="F23" s="317" t="s">
        <v>104</v>
      </c>
      <c r="H23" s="341">
        <v>2363682</v>
      </c>
      <c r="I23" s="343">
        <v>1902798</v>
      </c>
      <c r="J23" s="338">
        <v>2503129</v>
      </c>
      <c r="K23" s="343">
        <v>3036654</v>
      </c>
    </row>
    <row r="24" spans="1:11" s="209" customFormat="1">
      <c r="A24" s="313" t="s">
        <v>108</v>
      </c>
      <c r="B24" s="341">
        <v>435847</v>
      </c>
      <c r="C24" s="343">
        <v>439054</v>
      </c>
      <c r="D24" s="338">
        <v>434291</v>
      </c>
      <c r="E24" s="343">
        <v>439291</v>
      </c>
      <c r="F24" s="317" t="s">
        <v>104</v>
      </c>
      <c r="H24" s="341">
        <v>435847</v>
      </c>
      <c r="I24" s="343">
        <v>439054</v>
      </c>
      <c r="J24" s="338">
        <v>434291</v>
      </c>
      <c r="K24" s="343">
        <v>439291</v>
      </c>
    </row>
    <row r="25" spans="1:11" s="209" customFormat="1">
      <c r="A25" s="313" t="s">
        <v>109</v>
      </c>
      <c r="B25" s="341">
        <v>10124159</v>
      </c>
      <c r="C25" s="343">
        <f>9967405+70604</f>
        <v>10038009</v>
      </c>
      <c r="D25" s="338">
        <f>10856360+85445</f>
        <v>10941805</v>
      </c>
      <c r="E25" s="347">
        <v>11068404</v>
      </c>
      <c r="F25" s="317" t="s">
        <v>104</v>
      </c>
      <c r="H25" s="341">
        <v>10124159</v>
      </c>
      <c r="I25" s="348">
        <f>9967405</f>
        <v>9967405</v>
      </c>
      <c r="J25" s="348">
        <f>10856360</f>
        <v>10856360</v>
      </c>
      <c r="K25" s="347">
        <v>11068404</v>
      </c>
    </row>
    <row r="26" spans="1:11" s="209" customFormat="1">
      <c r="A26" s="313" t="s">
        <v>110</v>
      </c>
      <c r="B26" s="341">
        <v>2455796</v>
      </c>
      <c r="C26" s="343">
        <v>1560552</v>
      </c>
      <c r="D26" s="338">
        <v>2197853</v>
      </c>
      <c r="E26" s="343">
        <v>2414739</v>
      </c>
      <c r="F26" s="317" t="s">
        <v>104</v>
      </c>
      <c r="H26" s="341">
        <v>2455796</v>
      </c>
      <c r="I26" s="343">
        <v>1560552</v>
      </c>
      <c r="J26" s="338">
        <v>2197853</v>
      </c>
      <c r="K26" s="343">
        <v>2414739</v>
      </c>
    </row>
    <row r="27" spans="1:11" s="209" customFormat="1">
      <c r="A27" s="313" t="s">
        <v>111</v>
      </c>
      <c r="B27" s="341">
        <v>4363462.5699786376</v>
      </c>
      <c r="C27" s="343">
        <f>3198061+(3198061*0.58)</f>
        <v>5052936.38</v>
      </c>
      <c r="D27" s="338">
        <f>3312187+1905553</f>
        <v>5217740</v>
      </c>
      <c r="E27" s="347">
        <f>3302276+1784701</f>
        <v>5086977</v>
      </c>
      <c r="F27" s="317" t="s">
        <v>104</v>
      </c>
      <c r="H27" s="341">
        <v>4363462.5699786376</v>
      </c>
      <c r="I27" s="348">
        <f>3198061</f>
        <v>3198061</v>
      </c>
      <c r="J27" s="348">
        <f>3312187</f>
        <v>3312187</v>
      </c>
      <c r="K27" s="348">
        <f>3302276</f>
        <v>3302276</v>
      </c>
    </row>
    <row r="28" spans="1:11" s="209" customFormat="1">
      <c r="A28" s="313" t="s">
        <v>113</v>
      </c>
      <c r="B28" s="341">
        <v>596052</v>
      </c>
      <c r="C28" s="343">
        <v>549049</v>
      </c>
      <c r="D28" s="338">
        <v>554292</v>
      </c>
      <c r="E28" s="343">
        <v>553318</v>
      </c>
      <c r="F28" s="317" t="s">
        <v>112</v>
      </c>
      <c r="H28" s="341">
        <v>596052</v>
      </c>
      <c r="I28" s="343">
        <v>549049</v>
      </c>
      <c r="J28" s="338">
        <v>554292</v>
      </c>
      <c r="K28" s="343">
        <v>553318</v>
      </c>
    </row>
    <row r="29" spans="1:11" s="209" customFormat="1">
      <c r="A29" s="313" t="s">
        <v>114</v>
      </c>
      <c r="B29" s="341">
        <v>7486016</v>
      </c>
      <c r="C29" s="343">
        <v>7290100</v>
      </c>
      <c r="D29" s="338">
        <v>7359404</v>
      </c>
      <c r="E29" s="349">
        <f>6987882+34410</f>
        <v>7022292</v>
      </c>
      <c r="F29" s="317" t="s">
        <v>112</v>
      </c>
      <c r="H29" s="341">
        <v>7486016</v>
      </c>
      <c r="I29" s="343">
        <v>7290100</v>
      </c>
      <c r="J29" s="338">
        <v>7359404</v>
      </c>
      <c r="K29" s="348">
        <f>6987882</f>
        <v>6987882</v>
      </c>
    </row>
    <row r="30" spans="1:11" s="209" customFormat="1">
      <c r="A30" s="313" t="s">
        <v>116</v>
      </c>
      <c r="B30" s="341">
        <v>1147826</v>
      </c>
      <c r="C30" s="343">
        <v>1082589</v>
      </c>
      <c r="D30" s="338">
        <v>1050017</v>
      </c>
      <c r="E30" s="343">
        <v>970481</v>
      </c>
      <c r="F30" s="317" t="s">
        <v>115</v>
      </c>
      <c r="H30" s="341">
        <v>1147826</v>
      </c>
      <c r="I30" s="343">
        <v>1082589</v>
      </c>
      <c r="J30" s="338">
        <v>1050017</v>
      </c>
      <c r="K30" s="343">
        <v>970481</v>
      </c>
    </row>
    <row r="31" spans="1:11" s="209" customFormat="1">
      <c r="A31" s="313" t="s">
        <v>117</v>
      </c>
      <c r="B31" s="341">
        <v>343521</v>
      </c>
      <c r="C31" s="343">
        <v>350787</v>
      </c>
      <c r="D31" s="338">
        <v>373643</v>
      </c>
      <c r="E31" s="343">
        <v>388317</v>
      </c>
      <c r="F31" s="317" t="s">
        <v>115</v>
      </c>
      <c r="H31" s="341">
        <v>343521</v>
      </c>
      <c r="I31" s="343">
        <v>350787</v>
      </c>
      <c r="J31" s="338">
        <v>373643</v>
      </c>
      <c r="K31" s="343">
        <v>388317</v>
      </c>
    </row>
    <row r="32" spans="1:11" s="209" customFormat="1">
      <c r="A32" s="313" t="s">
        <v>118</v>
      </c>
      <c r="B32" s="341">
        <v>2583983</v>
      </c>
      <c r="C32" s="343">
        <v>2537776</v>
      </c>
      <c r="D32" s="338">
        <v>2582667</v>
      </c>
      <c r="E32" s="343">
        <v>2266478</v>
      </c>
      <c r="F32" s="317" t="s">
        <v>115</v>
      </c>
      <c r="H32" s="341">
        <v>2583983</v>
      </c>
      <c r="I32" s="343">
        <v>2537776</v>
      </c>
      <c r="J32" s="338">
        <v>2582667</v>
      </c>
      <c r="K32" s="343">
        <v>2266478</v>
      </c>
    </row>
    <row r="33" spans="1:11" s="209" customFormat="1">
      <c r="A33" s="313" t="s">
        <v>119</v>
      </c>
      <c r="B33" s="341">
        <v>219908</v>
      </c>
      <c r="C33" s="343">
        <v>211357</v>
      </c>
      <c r="D33" s="338">
        <v>220116</v>
      </c>
      <c r="E33" s="343">
        <v>227896</v>
      </c>
      <c r="F33" s="317" t="s">
        <v>115</v>
      </c>
      <c r="H33" s="341">
        <v>219908</v>
      </c>
      <c r="I33" s="343">
        <v>211357</v>
      </c>
      <c r="J33" s="338">
        <v>220116</v>
      </c>
      <c r="K33" s="343">
        <v>227896</v>
      </c>
    </row>
    <row r="34" spans="1:11" s="209" customFormat="1">
      <c r="A34" s="313" t="s">
        <v>121</v>
      </c>
      <c r="B34" s="341">
        <v>581543</v>
      </c>
      <c r="C34" s="343">
        <v>604900</v>
      </c>
      <c r="D34" s="338">
        <v>710177</v>
      </c>
      <c r="E34" s="343">
        <v>740596</v>
      </c>
      <c r="F34" s="317" t="s">
        <v>120</v>
      </c>
      <c r="H34" s="341">
        <v>581543</v>
      </c>
      <c r="I34" s="343">
        <v>604900</v>
      </c>
      <c r="J34" s="338">
        <v>710177</v>
      </c>
      <c r="K34" s="343">
        <v>740596</v>
      </c>
    </row>
    <row r="35" spans="1:11" s="209" customFormat="1">
      <c r="A35" s="313" t="s">
        <v>122</v>
      </c>
      <c r="B35" s="341">
        <v>738854</v>
      </c>
      <c r="C35" s="343">
        <v>752668</v>
      </c>
      <c r="D35" s="338">
        <v>753636</v>
      </c>
      <c r="E35" s="343">
        <v>723645</v>
      </c>
      <c r="F35" s="317" t="s">
        <v>120</v>
      </c>
      <c r="H35" s="341">
        <v>738854</v>
      </c>
      <c r="I35" s="343">
        <v>752668</v>
      </c>
      <c r="J35" s="338">
        <v>753636</v>
      </c>
      <c r="K35" s="343">
        <v>723645</v>
      </c>
    </row>
    <row r="36" spans="1:11" s="209" customFormat="1">
      <c r="A36" s="313" t="s">
        <v>123</v>
      </c>
      <c r="B36" s="341">
        <v>190391</v>
      </c>
      <c r="C36" s="343">
        <v>175322</v>
      </c>
      <c r="D36" s="338">
        <v>185237</v>
      </c>
      <c r="E36" s="343">
        <v>226791</v>
      </c>
      <c r="F36" s="317" t="s">
        <v>120</v>
      </c>
      <c r="H36" s="341">
        <v>190391</v>
      </c>
      <c r="I36" s="343">
        <v>175322</v>
      </c>
      <c r="J36" s="338">
        <v>185237</v>
      </c>
      <c r="K36" s="343">
        <v>226791</v>
      </c>
    </row>
    <row r="37" spans="1:11" s="209" customFormat="1">
      <c r="A37" s="313" t="s">
        <v>125</v>
      </c>
      <c r="B37" s="341">
        <v>1429809</v>
      </c>
      <c r="C37" s="343">
        <v>1280697</v>
      </c>
      <c r="D37" s="338">
        <v>1402170</v>
      </c>
      <c r="E37" s="343">
        <v>1393044</v>
      </c>
      <c r="F37" s="317" t="s">
        <v>124</v>
      </c>
      <c r="H37" s="341">
        <v>1429809</v>
      </c>
      <c r="I37" s="343">
        <v>1280697</v>
      </c>
      <c r="J37" s="338">
        <v>1402170</v>
      </c>
      <c r="K37" s="343">
        <v>1393044</v>
      </c>
    </row>
    <row r="38" spans="1:11" s="209" customFormat="1">
      <c r="A38" s="313" t="s">
        <v>126</v>
      </c>
      <c r="B38" s="341">
        <v>384029</v>
      </c>
      <c r="C38" s="343">
        <v>410050</v>
      </c>
      <c r="D38" s="338">
        <v>414537</v>
      </c>
      <c r="E38" s="343">
        <v>418259</v>
      </c>
      <c r="F38" s="317" t="s">
        <v>124</v>
      </c>
      <c r="H38" s="341">
        <v>384029</v>
      </c>
      <c r="I38" s="343">
        <v>410050</v>
      </c>
      <c r="J38" s="338">
        <v>414537</v>
      </c>
      <c r="K38" s="343">
        <v>418259</v>
      </c>
    </row>
    <row r="39" spans="1:11" s="209" customFormat="1">
      <c r="A39" s="313" t="s">
        <v>127</v>
      </c>
      <c r="B39" s="341">
        <v>1565105</v>
      </c>
      <c r="C39" s="343">
        <v>1036821</v>
      </c>
      <c r="D39" s="338">
        <v>1190608</v>
      </c>
      <c r="E39" s="343">
        <v>1402006</v>
      </c>
      <c r="F39" s="317" t="s">
        <v>124</v>
      </c>
      <c r="H39" s="341">
        <v>1565105</v>
      </c>
      <c r="I39" s="343">
        <v>1036821</v>
      </c>
      <c r="J39" s="338">
        <v>1190608</v>
      </c>
      <c r="K39" s="343">
        <v>1402006</v>
      </c>
    </row>
    <row r="40" spans="1:11" s="209" customFormat="1">
      <c r="A40" s="313" t="s">
        <v>128</v>
      </c>
      <c r="B40" s="341">
        <v>60203</v>
      </c>
      <c r="C40" s="343">
        <v>52022</v>
      </c>
      <c r="D40" s="338">
        <v>55690</v>
      </c>
      <c r="E40" s="343">
        <v>60529</v>
      </c>
      <c r="F40" s="317" t="s">
        <v>124</v>
      </c>
      <c r="H40" s="341">
        <v>60203</v>
      </c>
      <c r="I40" s="343">
        <v>52022</v>
      </c>
      <c r="J40" s="338">
        <v>55690</v>
      </c>
      <c r="K40" s="343">
        <v>60529</v>
      </c>
    </row>
    <row r="41" spans="1:11" s="209" customFormat="1">
      <c r="A41" s="313" t="s">
        <v>129</v>
      </c>
      <c r="B41" s="338">
        <v>664790</v>
      </c>
      <c r="C41" s="343">
        <v>354203</v>
      </c>
      <c r="D41" s="338">
        <v>310870</v>
      </c>
      <c r="E41" s="343">
        <v>313578</v>
      </c>
      <c r="F41" s="317" t="s">
        <v>124</v>
      </c>
      <c r="H41" s="338">
        <v>664790</v>
      </c>
      <c r="I41" s="343">
        <v>354203</v>
      </c>
      <c r="J41" s="338">
        <v>310870</v>
      </c>
      <c r="K41" s="343">
        <v>313578</v>
      </c>
    </row>
    <row r="42" spans="1:11" s="209" customFormat="1">
      <c r="A42" s="324" t="s">
        <v>130</v>
      </c>
      <c r="B42" s="351">
        <v>932594</v>
      </c>
      <c r="C42" s="352">
        <v>835707</v>
      </c>
      <c r="D42" s="353">
        <v>935668</v>
      </c>
      <c r="E42" s="352">
        <v>994681</v>
      </c>
      <c r="F42" s="328" t="s">
        <v>124</v>
      </c>
      <c r="H42" s="351">
        <v>932594</v>
      </c>
      <c r="I42" s="352">
        <v>835707</v>
      </c>
      <c r="J42" s="353">
        <v>935668</v>
      </c>
      <c r="K42" s="352">
        <v>994681</v>
      </c>
    </row>
    <row r="43" spans="1:11" ht="15" thickBot="1">
      <c r="A43" s="354" t="s">
        <v>135</v>
      </c>
      <c r="B43" s="359">
        <f>SUM(B3:B42)</f>
        <v>68579065.169978648</v>
      </c>
      <c r="C43" s="359">
        <f>SUM(C3:C42)</f>
        <v>61109691.880000003</v>
      </c>
      <c r="D43" s="359">
        <f>SUM(D3:D42)</f>
        <v>63847931.5</v>
      </c>
      <c r="E43" s="359">
        <f>SUM(E3:E42)</f>
        <v>65797423</v>
      </c>
      <c r="F43" s="360"/>
      <c r="H43" s="359">
        <f>SUM(H3:H42)</f>
        <v>68579065.169978648</v>
      </c>
      <c r="I43" s="359">
        <f>SUM(I3:I42)</f>
        <v>58863534</v>
      </c>
      <c r="J43" s="359">
        <f>SUM(J3:J42)</f>
        <v>61428971</v>
      </c>
      <c r="K43" s="359">
        <f>SUM(K3:K42)</f>
        <v>63476945</v>
      </c>
    </row>
    <row r="44" spans="1:11">
      <c r="B44" s="258"/>
      <c r="C44" s="228"/>
      <c r="H44" s="258"/>
      <c r="I44" s="228"/>
    </row>
  </sheetData>
  <pageMargins left="0.25" right="0.25" top="0.75" bottom="0.75" header="0.3" footer="0.3"/>
  <pageSetup scale="83"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8768C-A4C5-49A7-8215-DF82A1023705}">
  <sheetPr>
    <pageSetUpPr fitToPage="1"/>
  </sheetPr>
  <dimension ref="A1:C44"/>
  <sheetViews>
    <sheetView zoomScale="80" zoomScaleNormal="80" workbookViewId="0"/>
  </sheetViews>
  <sheetFormatPr defaultColWidth="9.42578125" defaultRowHeight="14.25"/>
  <cols>
    <col min="1" max="1" width="46.5703125" style="230" bestFit="1" customWidth="1"/>
    <col min="2" max="2" width="17.42578125" style="230" customWidth="1"/>
    <col min="3" max="3" width="15.42578125" style="230" customWidth="1"/>
    <col min="4" max="16384" width="9.42578125" style="230"/>
  </cols>
  <sheetData>
    <row r="1" spans="1:3" ht="20.25">
      <c r="A1" s="370" t="s">
        <v>448</v>
      </c>
    </row>
    <row r="2" spans="1:3">
      <c r="A2" s="230" t="s">
        <v>138</v>
      </c>
      <c r="B2" s="231">
        <v>2023</v>
      </c>
    </row>
    <row r="3" spans="1:3">
      <c r="A3" s="236" t="s">
        <v>132</v>
      </c>
      <c r="B3" s="265" t="s">
        <v>139</v>
      </c>
    </row>
    <row r="4" spans="1:3" ht="15">
      <c r="A4" s="266" t="s">
        <v>83</v>
      </c>
      <c r="B4" s="361">
        <v>2496704</v>
      </c>
      <c r="C4" s="217" t="s">
        <v>82</v>
      </c>
    </row>
    <row r="5" spans="1:3" ht="15">
      <c r="A5" s="266" t="s">
        <v>84</v>
      </c>
      <c r="B5" s="361">
        <v>397573</v>
      </c>
      <c r="C5" s="217" t="s">
        <v>82</v>
      </c>
    </row>
    <row r="6" spans="1:3" ht="15">
      <c r="A6" s="266" t="s">
        <v>85</v>
      </c>
      <c r="B6" s="361">
        <f>2280925+415318</f>
        <v>2696243</v>
      </c>
      <c r="C6" s="217" t="s">
        <v>82</v>
      </c>
    </row>
    <row r="7" spans="1:3" ht="15">
      <c r="A7" s="266" t="s">
        <v>86</v>
      </c>
      <c r="B7" s="361">
        <v>2111050</v>
      </c>
      <c r="C7" s="217" t="s">
        <v>82</v>
      </c>
    </row>
    <row r="8" spans="1:3" ht="15">
      <c r="A8" s="266" t="s">
        <v>87</v>
      </c>
      <c r="B8" s="361">
        <v>450961</v>
      </c>
      <c r="C8" s="217" t="s">
        <v>82</v>
      </c>
    </row>
    <row r="9" spans="1:3" ht="15">
      <c r="A9" s="266" t="s">
        <v>89</v>
      </c>
      <c r="B9" s="362">
        <v>10488989</v>
      </c>
      <c r="C9" s="217" t="s">
        <v>88</v>
      </c>
    </row>
    <row r="10" spans="1:3" ht="15">
      <c r="A10" s="268"/>
      <c r="B10" s="363" t="s">
        <v>155</v>
      </c>
      <c r="C10" s="222"/>
    </row>
    <row r="11" spans="1:3" ht="15">
      <c r="A11" s="266" t="s">
        <v>91</v>
      </c>
      <c r="B11" s="361">
        <v>4150901</v>
      </c>
      <c r="C11" s="217" t="s">
        <v>90</v>
      </c>
    </row>
    <row r="12" spans="1:3" ht="15">
      <c r="A12" s="266" t="s">
        <v>93</v>
      </c>
      <c r="B12" s="361">
        <v>1970225</v>
      </c>
      <c r="C12" s="217" t="s">
        <v>92</v>
      </c>
    </row>
    <row r="13" spans="1:3" ht="15">
      <c r="A13" s="266" t="s">
        <v>94</v>
      </c>
      <c r="B13" s="361">
        <v>192534</v>
      </c>
      <c r="C13" s="217" t="s">
        <v>92</v>
      </c>
    </row>
    <row r="14" spans="1:3" ht="15">
      <c r="A14" s="266" t="s">
        <v>95</v>
      </c>
      <c r="B14" s="361">
        <v>119888784</v>
      </c>
      <c r="C14" s="217" t="s">
        <v>92</v>
      </c>
    </row>
    <row r="15" spans="1:3" ht="15">
      <c r="A15" s="266" t="s">
        <v>96</v>
      </c>
      <c r="B15" s="361">
        <v>1246809</v>
      </c>
      <c r="C15" s="217" t="s">
        <v>92</v>
      </c>
    </row>
    <row r="16" spans="1:3" ht="15">
      <c r="A16" s="266" t="s">
        <v>97</v>
      </c>
      <c r="B16" s="361">
        <v>50424</v>
      </c>
      <c r="C16" s="217" t="s">
        <v>92</v>
      </c>
    </row>
    <row r="17" spans="1:3" ht="15">
      <c r="A17" s="266" t="s">
        <v>98</v>
      </c>
      <c r="B17" s="361">
        <f>6960007+950667</f>
        <v>7910674</v>
      </c>
      <c r="C17" s="217" t="s">
        <v>92</v>
      </c>
    </row>
    <row r="18" spans="1:3" ht="15">
      <c r="A18" s="266" t="s">
        <v>100</v>
      </c>
      <c r="B18" s="361">
        <v>3419477</v>
      </c>
      <c r="C18" s="217" t="s">
        <v>99</v>
      </c>
    </row>
    <row r="19" spans="1:3" ht="15">
      <c r="A19" s="266" t="s">
        <v>101</v>
      </c>
      <c r="B19" s="361">
        <v>703038</v>
      </c>
      <c r="C19" s="217" t="s">
        <v>99</v>
      </c>
    </row>
    <row r="20" spans="1:3" ht="15">
      <c r="A20" s="266" t="s">
        <v>102</v>
      </c>
      <c r="B20" s="361">
        <v>8312589</v>
      </c>
      <c r="C20" s="217" t="s">
        <v>99</v>
      </c>
    </row>
    <row r="21" spans="1:3" ht="15">
      <c r="A21" s="266" t="s">
        <v>103</v>
      </c>
      <c r="B21" s="361">
        <v>177126</v>
      </c>
      <c r="C21" s="217" t="s">
        <v>99</v>
      </c>
    </row>
    <row r="22" spans="1:3" ht="15">
      <c r="A22" s="266" t="s">
        <v>105</v>
      </c>
      <c r="B22" s="361">
        <v>18874570</v>
      </c>
      <c r="C22" s="217" t="s">
        <v>104</v>
      </c>
    </row>
    <row r="23" spans="1:3" ht="15">
      <c r="A23" s="266" t="s">
        <v>106</v>
      </c>
      <c r="B23" s="361">
        <v>23750125</v>
      </c>
      <c r="C23" s="217" t="s">
        <v>104</v>
      </c>
    </row>
    <row r="24" spans="1:3" ht="15">
      <c r="A24" s="266" t="s">
        <v>107</v>
      </c>
      <c r="B24" s="364">
        <v>31898625</v>
      </c>
      <c r="C24" s="217" t="s">
        <v>104</v>
      </c>
    </row>
    <row r="25" spans="1:3" ht="15">
      <c r="A25" s="266" t="s">
        <v>108</v>
      </c>
      <c r="B25" s="361">
        <v>5328325</v>
      </c>
      <c r="C25" s="217" t="s">
        <v>104</v>
      </c>
    </row>
    <row r="26" spans="1:3" ht="15">
      <c r="A26" s="266" t="s">
        <v>109</v>
      </c>
      <c r="B26" s="361">
        <v>108069575</v>
      </c>
      <c r="C26" s="217" t="s">
        <v>104</v>
      </c>
    </row>
    <row r="27" spans="1:3" ht="15">
      <c r="A27" s="266" t="s">
        <v>110</v>
      </c>
      <c r="B27" s="363" t="s">
        <v>155</v>
      </c>
      <c r="C27" s="217" t="s">
        <v>104</v>
      </c>
    </row>
    <row r="28" spans="1:3" ht="15">
      <c r="A28" s="266" t="s">
        <v>111</v>
      </c>
      <c r="B28" s="361">
        <v>41578430</v>
      </c>
      <c r="C28" s="217" t="s">
        <v>104</v>
      </c>
    </row>
    <row r="29" spans="1:3" ht="15">
      <c r="A29" s="266" t="s">
        <v>113</v>
      </c>
      <c r="B29" s="361">
        <v>4660277</v>
      </c>
      <c r="C29" s="217" t="s">
        <v>112</v>
      </c>
    </row>
    <row r="30" spans="1:3" ht="15">
      <c r="A30" s="266" t="s">
        <v>114</v>
      </c>
      <c r="B30" s="361">
        <v>67417899</v>
      </c>
      <c r="C30" s="217" t="s">
        <v>112</v>
      </c>
    </row>
    <row r="31" spans="1:3" ht="15">
      <c r="A31" s="266" t="s">
        <v>116</v>
      </c>
      <c r="B31" s="361">
        <v>10986817</v>
      </c>
      <c r="C31" s="217" t="s">
        <v>115</v>
      </c>
    </row>
    <row r="32" spans="1:3" ht="15">
      <c r="A32" s="266" t="s">
        <v>117</v>
      </c>
      <c r="B32" s="361">
        <v>2604889</v>
      </c>
      <c r="C32" s="217" t="s">
        <v>115</v>
      </c>
    </row>
    <row r="33" spans="1:3" ht="15">
      <c r="A33" s="266" t="s">
        <v>118</v>
      </c>
      <c r="B33" s="361">
        <f>11579602+1165494</f>
        <v>12745096</v>
      </c>
      <c r="C33" s="217" t="s">
        <v>115</v>
      </c>
    </row>
    <row r="34" spans="1:3" ht="15">
      <c r="A34" s="266" t="s">
        <v>119</v>
      </c>
      <c r="B34" s="361">
        <v>736481</v>
      </c>
      <c r="C34" s="217" t="s">
        <v>115</v>
      </c>
    </row>
    <row r="35" spans="1:3" ht="15">
      <c r="A35" s="266" t="s">
        <v>121</v>
      </c>
      <c r="B35" s="361">
        <f>1004231+1064463</f>
        <v>2068694</v>
      </c>
      <c r="C35" s="217" t="s">
        <v>120</v>
      </c>
    </row>
    <row r="36" spans="1:3" ht="15">
      <c r="A36" s="266" t="s">
        <v>122</v>
      </c>
      <c r="B36" s="361">
        <v>6482376</v>
      </c>
      <c r="C36" s="217" t="s">
        <v>120</v>
      </c>
    </row>
    <row r="37" spans="1:3" ht="15">
      <c r="A37" s="266" t="s">
        <v>123</v>
      </c>
      <c r="B37" s="361">
        <v>1899811</v>
      </c>
      <c r="C37" s="217" t="s">
        <v>120</v>
      </c>
    </row>
    <row r="38" spans="1:3" ht="15">
      <c r="A38" s="266" t="s">
        <v>125</v>
      </c>
      <c r="B38" s="361">
        <v>4550086</v>
      </c>
      <c r="C38" s="217" t="s">
        <v>124</v>
      </c>
    </row>
    <row r="39" spans="1:3" ht="15">
      <c r="A39" s="266" t="s">
        <v>126</v>
      </c>
      <c r="B39" s="361">
        <v>705034</v>
      </c>
      <c r="C39" s="217" t="s">
        <v>124</v>
      </c>
    </row>
    <row r="40" spans="1:3" ht="15">
      <c r="A40" s="266" t="s">
        <v>127</v>
      </c>
      <c r="B40" s="361">
        <f>4279194+4208338</f>
        <v>8487532</v>
      </c>
      <c r="C40" s="217" t="s">
        <v>124</v>
      </c>
    </row>
    <row r="41" spans="1:3" ht="15">
      <c r="A41" s="266" t="s">
        <v>128</v>
      </c>
      <c r="B41" s="361">
        <v>170603</v>
      </c>
      <c r="C41" s="217" t="s">
        <v>124</v>
      </c>
    </row>
    <row r="42" spans="1:3" ht="15">
      <c r="A42" s="266" t="s">
        <v>129</v>
      </c>
      <c r="B42" s="361">
        <v>1199851</v>
      </c>
      <c r="C42" s="217" t="s">
        <v>124</v>
      </c>
    </row>
    <row r="43" spans="1:3" ht="15">
      <c r="A43" s="266" t="s">
        <v>130</v>
      </c>
      <c r="B43" s="361">
        <v>4543756</v>
      </c>
      <c r="C43" s="217" t="s">
        <v>124</v>
      </c>
    </row>
    <row r="44" spans="1:3">
      <c r="A44" s="270" t="s">
        <v>135</v>
      </c>
      <c r="B44" s="365">
        <f>SUM(B4:B43)</f>
        <v>525422953</v>
      </c>
      <c r="C44" s="272"/>
    </row>
  </sheetData>
  <pageMargins left="0.25" right="0.25" top="0.75" bottom="0.75" header="0.3" footer="0.3"/>
  <pageSetup scale="3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13F27-EDE8-4EF0-9361-22A725FF9B95}">
  <sheetPr>
    <pageSetUpPr fitToPage="1"/>
  </sheetPr>
  <dimension ref="A1:F45"/>
  <sheetViews>
    <sheetView zoomScale="80" zoomScaleNormal="80" workbookViewId="0"/>
  </sheetViews>
  <sheetFormatPr defaultColWidth="9.42578125" defaultRowHeight="14.25"/>
  <cols>
    <col min="1" max="1" width="46.5703125" style="230" bestFit="1" customWidth="1"/>
    <col min="2" max="4" width="16.5703125" style="257" customWidth="1"/>
    <col min="5" max="5" width="16.5703125" style="230" customWidth="1"/>
    <col min="6" max="6" width="16.42578125" style="230" customWidth="1"/>
    <col min="7" max="16384" width="9.42578125" style="230"/>
  </cols>
  <sheetData>
    <row r="1" spans="1:6" ht="20.25">
      <c r="A1" s="370" t="s">
        <v>449</v>
      </c>
    </row>
    <row r="2" spans="1:6">
      <c r="A2" s="230" t="s">
        <v>140</v>
      </c>
      <c r="B2" s="231">
        <v>2019</v>
      </c>
      <c r="C2" s="231">
        <v>2021</v>
      </c>
      <c r="D2" s="231">
        <v>2022</v>
      </c>
      <c r="E2" s="231">
        <v>2023</v>
      </c>
    </row>
    <row r="3" spans="1:6" ht="30" customHeight="1">
      <c r="A3" s="252" t="s">
        <v>132</v>
      </c>
      <c r="B3" s="273" t="s">
        <v>141</v>
      </c>
      <c r="C3" s="273" t="s">
        <v>141</v>
      </c>
      <c r="D3" s="273" t="s">
        <v>141</v>
      </c>
      <c r="E3" s="273" t="s">
        <v>141</v>
      </c>
    </row>
    <row r="4" spans="1:6" ht="15">
      <c r="A4" s="236" t="s">
        <v>83</v>
      </c>
      <c r="B4" s="275">
        <v>1704406</v>
      </c>
      <c r="C4" s="276">
        <v>1885201</v>
      </c>
      <c r="D4" s="366">
        <v>2305461</v>
      </c>
      <c r="E4" s="367">
        <v>2499963</v>
      </c>
      <c r="F4" s="217" t="s">
        <v>82</v>
      </c>
    </row>
    <row r="5" spans="1:6" ht="15">
      <c r="A5" s="236" t="s">
        <v>84</v>
      </c>
      <c r="B5" s="275">
        <v>408394</v>
      </c>
      <c r="C5" s="276">
        <v>420143</v>
      </c>
      <c r="D5" s="366">
        <v>453078</v>
      </c>
      <c r="E5" s="367">
        <v>398814</v>
      </c>
      <c r="F5" s="217" t="s">
        <v>82</v>
      </c>
    </row>
    <row r="6" spans="1:6" ht="15">
      <c r="A6" s="236" t="s">
        <v>85</v>
      </c>
      <c r="B6" s="275">
        <v>2142765</v>
      </c>
      <c r="C6" s="276">
        <v>2417284</v>
      </c>
      <c r="D6" s="366">
        <f>2197137+427921</f>
        <v>2625058</v>
      </c>
      <c r="E6" s="367">
        <f>2286563+415318</f>
        <v>2701881</v>
      </c>
      <c r="F6" s="217" t="s">
        <v>82</v>
      </c>
    </row>
    <row r="7" spans="1:6" ht="15">
      <c r="A7" s="236" t="s">
        <v>86</v>
      </c>
      <c r="B7" s="275">
        <v>1503619</v>
      </c>
      <c r="C7" s="276">
        <v>1490840</v>
      </c>
      <c r="D7" s="366">
        <v>2166873</v>
      </c>
      <c r="E7" s="367">
        <v>2152208</v>
      </c>
      <c r="F7" s="217" t="s">
        <v>82</v>
      </c>
    </row>
    <row r="8" spans="1:6" ht="15">
      <c r="A8" s="236" t="s">
        <v>87</v>
      </c>
      <c r="B8" s="275">
        <v>312912</v>
      </c>
      <c r="C8" s="276">
        <v>362879</v>
      </c>
      <c r="D8" s="366">
        <v>476060</v>
      </c>
      <c r="E8" s="367">
        <v>456069</v>
      </c>
      <c r="F8" s="217" t="s">
        <v>82</v>
      </c>
    </row>
    <row r="9" spans="1:6" ht="15">
      <c r="A9" s="236" t="s">
        <v>89</v>
      </c>
      <c r="B9" s="275">
        <v>8787907</v>
      </c>
      <c r="C9" s="276">
        <v>9097088</v>
      </c>
      <c r="D9" s="366">
        <v>9197369</v>
      </c>
      <c r="E9" s="367">
        <v>10488989</v>
      </c>
      <c r="F9" s="217" t="s">
        <v>88</v>
      </c>
    </row>
    <row r="10" spans="1:6" ht="15">
      <c r="A10" s="236"/>
      <c r="B10" s="275">
        <v>0</v>
      </c>
      <c r="C10" s="276">
        <v>0</v>
      </c>
      <c r="D10" s="366">
        <v>0</v>
      </c>
      <c r="E10" s="367" t="s">
        <v>155</v>
      </c>
      <c r="F10" s="217"/>
    </row>
    <row r="11" spans="1:6" ht="15">
      <c r="A11" s="236" t="s">
        <v>91</v>
      </c>
      <c r="B11" s="275">
        <v>3794064</v>
      </c>
      <c r="C11" s="276">
        <v>3992271</v>
      </c>
      <c r="D11" s="366">
        <v>4537045</v>
      </c>
      <c r="E11" s="367">
        <v>4568165</v>
      </c>
      <c r="F11" s="217" t="s">
        <v>90</v>
      </c>
    </row>
    <row r="12" spans="1:6" ht="15">
      <c r="A12" s="236" t="s">
        <v>93</v>
      </c>
      <c r="B12" s="275">
        <v>1302116</v>
      </c>
      <c r="C12" s="276">
        <v>1445143</v>
      </c>
      <c r="D12" s="366">
        <v>1726724</v>
      </c>
      <c r="E12" s="367">
        <v>1970225</v>
      </c>
      <c r="F12" s="217" t="s">
        <v>92</v>
      </c>
    </row>
    <row r="13" spans="1:6" ht="15">
      <c r="A13" s="236" t="s">
        <v>94</v>
      </c>
      <c r="B13" s="275">
        <v>137016</v>
      </c>
      <c r="C13" s="276">
        <v>150877</v>
      </c>
      <c r="D13" s="366">
        <v>167538</v>
      </c>
      <c r="E13" s="367">
        <v>195234</v>
      </c>
      <c r="F13" s="217" t="s">
        <v>92</v>
      </c>
    </row>
    <row r="14" spans="1:6" ht="15">
      <c r="A14" s="236" t="s">
        <v>95</v>
      </c>
      <c r="B14" s="275">
        <v>96559705</v>
      </c>
      <c r="C14" s="279">
        <v>104883123</v>
      </c>
      <c r="D14" s="366">
        <v>99766003</v>
      </c>
      <c r="E14" s="367">
        <v>120169392</v>
      </c>
      <c r="F14" s="217" t="s">
        <v>92</v>
      </c>
    </row>
    <row r="15" spans="1:6" ht="15">
      <c r="A15" s="236" t="s">
        <v>96</v>
      </c>
      <c r="B15" s="275">
        <v>743417</v>
      </c>
      <c r="C15" s="276">
        <v>993897</v>
      </c>
      <c r="D15" s="366">
        <v>1200984</v>
      </c>
      <c r="E15" s="367">
        <v>1246809</v>
      </c>
      <c r="F15" s="217" t="s">
        <v>92</v>
      </c>
    </row>
    <row r="16" spans="1:6" ht="15">
      <c r="A16" s="236" t="s">
        <v>97</v>
      </c>
      <c r="B16" s="275">
        <v>94002</v>
      </c>
      <c r="C16" s="276">
        <v>78491</v>
      </c>
      <c r="D16" s="366">
        <v>67079</v>
      </c>
      <c r="E16" s="367">
        <v>50424</v>
      </c>
      <c r="F16" s="217" t="s">
        <v>92</v>
      </c>
    </row>
    <row r="17" spans="1:6" ht="15">
      <c r="A17" s="236" t="s">
        <v>98</v>
      </c>
      <c r="B17" s="275">
        <v>7556622</v>
      </c>
      <c r="C17" s="279">
        <v>7106671</v>
      </c>
      <c r="D17" s="366">
        <f>6441826+1022458</f>
        <v>7464284</v>
      </c>
      <c r="E17" s="367">
        <f>6960007+950667</f>
        <v>7910674</v>
      </c>
      <c r="F17" s="217" t="s">
        <v>92</v>
      </c>
    </row>
    <row r="18" spans="1:6" ht="15">
      <c r="A18" s="236" t="s">
        <v>100</v>
      </c>
      <c r="B18" s="275">
        <v>2936216</v>
      </c>
      <c r="C18" s="276">
        <v>2798006</v>
      </c>
      <c r="D18" s="366">
        <v>3169013</v>
      </c>
      <c r="E18" s="367">
        <v>3679008</v>
      </c>
      <c r="F18" s="217" t="s">
        <v>99</v>
      </c>
    </row>
    <row r="19" spans="1:6" ht="15">
      <c r="A19" s="236" t="s">
        <v>101</v>
      </c>
      <c r="B19" s="275">
        <v>680721</v>
      </c>
      <c r="C19" s="276">
        <v>618607</v>
      </c>
      <c r="D19" s="366">
        <v>605988</v>
      </c>
      <c r="E19" s="367">
        <v>703038</v>
      </c>
      <c r="F19" s="217" t="s">
        <v>99</v>
      </c>
    </row>
    <row r="20" spans="1:6" ht="15">
      <c r="A20" s="236" t="s">
        <v>102</v>
      </c>
      <c r="B20" s="275">
        <v>8090443</v>
      </c>
      <c r="C20" s="276">
        <v>6699359</v>
      </c>
      <c r="D20" s="366">
        <v>7696112</v>
      </c>
      <c r="E20" s="367">
        <v>8675119</v>
      </c>
      <c r="F20" s="217" t="s">
        <v>99</v>
      </c>
    </row>
    <row r="21" spans="1:6" ht="15">
      <c r="A21" s="236" t="s">
        <v>103</v>
      </c>
      <c r="B21" s="275">
        <v>105808</v>
      </c>
      <c r="C21" s="276">
        <v>115693</v>
      </c>
      <c r="D21" s="366">
        <v>107836</v>
      </c>
      <c r="E21" s="367">
        <v>177251</v>
      </c>
      <c r="F21" s="217" t="s">
        <v>99</v>
      </c>
    </row>
    <row r="22" spans="1:6" ht="15">
      <c r="A22" s="236" t="s">
        <v>105</v>
      </c>
      <c r="B22" s="275">
        <v>19976846</v>
      </c>
      <c r="C22" s="276">
        <v>17358937</v>
      </c>
      <c r="D22" s="366">
        <v>15647246</v>
      </c>
      <c r="E22" s="367">
        <v>18874570</v>
      </c>
      <c r="F22" s="217" t="s">
        <v>104</v>
      </c>
    </row>
    <row r="23" spans="1:6" ht="15">
      <c r="A23" s="236" t="s">
        <v>106</v>
      </c>
      <c r="B23" s="275">
        <v>16006416</v>
      </c>
      <c r="C23" s="276">
        <v>20953458</v>
      </c>
      <c r="D23" s="366">
        <v>26239078</v>
      </c>
      <c r="E23" s="367">
        <v>23750125</v>
      </c>
      <c r="F23" s="217" t="s">
        <v>104</v>
      </c>
    </row>
    <row r="24" spans="1:6" ht="15">
      <c r="A24" s="236" t="s">
        <v>107</v>
      </c>
      <c r="B24" s="275">
        <v>20927678</v>
      </c>
      <c r="C24" s="276">
        <v>24099554</v>
      </c>
      <c r="D24" s="366">
        <v>27269531</v>
      </c>
      <c r="E24" s="367">
        <v>32028446</v>
      </c>
      <c r="F24" s="217" t="s">
        <v>104</v>
      </c>
    </row>
    <row r="25" spans="1:6" ht="15">
      <c r="A25" s="236" t="s">
        <v>108</v>
      </c>
      <c r="B25" s="275">
        <v>3975210</v>
      </c>
      <c r="C25" s="276">
        <v>4566109</v>
      </c>
      <c r="D25" s="366">
        <v>5346157</v>
      </c>
      <c r="E25" s="367">
        <v>5328325</v>
      </c>
      <c r="F25" s="217" t="s">
        <v>104</v>
      </c>
    </row>
    <row r="26" spans="1:6" ht="15">
      <c r="A26" s="236" t="s">
        <v>109</v>
      </c>
      <c r="B26" s="275">
        <v>84690252</v>
      </c>
      <c r="C26" s="276">
        <v>96368493</v>
      </c>
      <c r="D26" s="366">
        <v>103826125</v>
      </c>
      <c r="E26" s="367">
        <v>108453691</v>
      </c>
      <c r="F26" s="217" t="s">
        <v>104</v>
      </c>
    </row>
    <row r="27" spans="1:6" ht="15">
      <c r="A27" s="236" t="s">
        <v>110</v>
      </c>
      <c r="B27" s="275">
        <v>77462324</v>
      </c>
      <c r="C27" s="276">
        <v>81589639</v>
      </c>
      <c r="D27" s="366">
        <v>82086963</v>
      </c>
      <c r="E27" s="367" t="s">
        <v>155</v>
      </c>
      <c r="F27" s="217" t="s">
        <v>104</v>
      </c>
    </row>
    <row r="28" spans="1:6" ht="15">
      <c r="A28" s="236" t="s">
        <v>111</v>
      </c>
      <c r="B28" s="275">
        <v>32732408</v>
      </c>
      <c r="C28" s="276">
        <v>36961071</v>
      </c>
      <c r="D28" s="366">
        <v>39737337</v>
      </c>
      <c r="E28" s="367">
        <v>45655907</v>
      </c>
      <c r="F28" s="217" t="s">
        <v>104</v>
      </c>
    </row>
    <row r="29" spans="1:6" ht="15">
      <c r="A29" s="236" t="s">
        <v>113</v>
      </c>
      <c r="B29" s="275">
        <v>3576413</v>
      </c>
      <c r="C29" s="276">
        <v>4655649</v>
      </c>
      <c r="D29" s="366">
        <v>4080556</v>
      </c>
      <c r="E29" s="367">
        <v>4736557</v>
      </c>
      <c r="F29" s="217" t="s">
        <v>112</v>
      </c>
    </row>
    <row r="30" spans="1:6" ht="15">
      <c r="A30" s="236" t="s">
        <v>114</v>
      </c>
      <c r="B30" s="275">
        <v>51428352</v>
      </c>
      <c r="C30" s="276">
        <v>64863638</v>
      </c>
      <c r="D30" s="366">
        <v>58367488</v>
      </c>
      <c r="E30" s="367">
        <v>68802962</v>
      </c>
      <c r="F30" s="217" t="s">
        <v>112</v>
      </c>
    </row>
    <row r="31" spans="1:6" ht="15">
      <c r="A31" s="236" t="s">
        <v>116</v>
      </c>
      <c r="B31" s="275">
        <v>9105239</v>
      </c>
      <c r="C31" s="276">
        <v>9918427</v>
      </c>
      <c r="D31" s="366">
        <v>10001495</v>
      </c>
      <c r="E31" s="367">
        <v>12020724</v>
      </c>
      <c r="F31" s="217" t="s">
        <v>115</v>
      </c>
    </row>
    <row r="32" spans="1:6" ht="15">
      <c r="A32" s="236" t="s">
        <v>117</v>
      </c>
      <c r="B32" s="275">
        <v>1572280</v>
      </c>
      <c r="C32" s="276">
        <v>1675170</v>
      </c>
      <c r="D32" s="366">
        <v>1758084</v>
      </c>
      <c r="E32" s="367">
        <v>2609867</v>
      </c>
      <c r="F32" s="217" t="s">
        <v>115</v>
      </c>
    </row>
    <row r="33" spans="1:6" ht="15">
      <c r="A33" s="236" t="s">
        <v>118</v>
      </c>
      <c r="B33" s="275">
        <v>10440607</v>
      </c>
      <c r="C33" s="276">
        <v>10417569</v>
      </c>
      <c r="D33" s="368">
        <f>9645948+978360</f>
        <v>10624308</v>
      </c>
      <c r="E33" s="361">
        <f>11579602+1165494</f>
        <v>12745096</v>
      </c>
      <c r="F33" s="217" t="s">
        <v>115</v>
      </c>
    </row>
    <row r="34" spans="1:6" ht="15">
      <c r="A34" s="236" t="s">
        <v>119</v>
      </c>
      <c r="B34" s="275">
        <v>733936</v>
      </c>
      <c r="C34" s="276">
        <v>798818</v>
      </c>
      <c r="D34" s="366">
        <v>788081</v>
      </c>
      <c r="E34" s="367">
        <v>736481</v>
      </c>
      <c r="F34" s="217" t="s">
        <v>115</v>
      </c>
    </row>
    <row r="35" spans="1:6" ht="15">
      <c r="A35" s="236" t="s">
        <v>121</v>
      </c>
      <c r="B35" s="275">
        <v>2120796</v>
      </c>
      <c r="C35" s="276">
        <v>2288742</v>
      </c>
      <c r="D35" s="366">
        <f>1677633+845055</f>
        <v>2522688</v>
      </c>
      <c r="E35" s="367">
        <f>1310251+1737156</f>
        <v>3047407</v>
      </c>
      <c r="F35" s="217" t="s">
        <v>120</v>
      </c>
    </row>
    <row r="36" spans="1:6" ht="15">
      <c r="A36" s="236" t="s">
        <v>122</v>
      </c>
      <c r="B36" s="275">
        <v>4923501</v>
      </c>
      <c r="C36" s="276">
        <v>5921804</v>
      </c>
      <c r="D36" s="366">
        <v>5960670</v>
      </c>
      <c r="E36" s="367">
        <v>6578658</v>
      </c>
      <c r="F36" s="217" t="s">
        <v>120</v>
      </c>
    </row>
    <row r="37" spans="1:6" ht="15">
      <c r="A37" s="236" t="s">
        <v>123</v>
      </c>
      <c r="B37" s="275">
        <v>1130919</v>
      </c>
      <c r="C37" s="276">
        <v>1269764</v>
      </c>
      <c r="D37" s="366">
        <v>1423713</v>
      </c>
      <c r="E37" s="367">
        <v>1923269</v>
      </c>
      <c r="F37" s="217" t="s">
        <v>120</v>
      </c>
    </row>
    <row r="38" spans="1:6" ht="15">
      <c r="A38" s="236" t="s">
        <v>125</v>
      </c>
      <c r="B38" s="275">
        <v>3611536</v>
      </c>
      <c r="C38" s="276">
        <v>3904286</v>
      </c>
      <c r="D38" s="366">
        <v>4637640</v>
      </c>
      <c r="E38" s="367">
        <v>5000804</v>
      </c>
      <c r="F38" s="217" t="s">
        <v>124</v>
      </c>
    </row>
    <row r="39" spans="1:6" ht="15">
      <c r="A39" s="236" t="s">
        <v>126</v>
      </c>
      <c r="B39" s="275">
        <v>409057</v>
      </c>
      <c r="C39" s="276">
        <v>578833</v>
      </c>
      <c r="D39" s="366">
        <v>573381</v>
      </c>
      <c r="E39" s="367">
        <v>716454</v>
      </c>
      <c r="F39" s="217" t="s">
        <v>124</v>
      </c>
    </row>
    <row r="40" spans="1:6" ht="15">
      <c r="A40" s="236" t="s">
        <v>127</v>
      </c>
      <c r="B40" s="275">
        <f>6853917+1111756</f>
        <v>7965673</v>
      </c>
      <c r="C40" s="276">
        <v>8461164</v>
      </c>
      <c r="D40" s="366">
        <f>3756448+3918424</f>
        <v>7674872</v>
      </c>
      <c r="E40" s="367">
        <f>4352125+4264004</f>
        <v>8616129</v>
      </c>
      <c r="F40" s="217" t="s">
        <v>124</v>
      </c>
    </row>
    <row r="41" spans="1:6" ht="15">
      <c r="A41" s="236" t="s">
        <v>128</v>
      </c>
      <c r="B41" s="275">
        <v>143885</v>
      </c>
      <c r="C41" s="276">
        <v>146394</v>
      </c>
      <c r="D41" s="366">
        <v>162010</v>
      </c>
      <c r="E41" s="367">
        <v>170603</v>
      </c>
      <c r="F41" s="217" t="s">
        <v>124</v>
      </c>
    </row>
    <row r="42" spans="1:6" ht="15">
      <c r="A42" s="236" t="s">
        <v>129</v>
      </c>
      <c r="B42" s="275">
        <v>1405969</v>
      </c>
      <c r="C42" s="276">
        <v>1217295</v>
      </c>
      <c r="D42" s="366">
        <v>1442390</v>
      </c>
      <c r="E42" s="367">
        <v>1347958</v>
      </c>
      <c r="F42" s="217" t="s">
        <v>124</v>
      </c>
    </row>
    <row r="43" spans="1:6" ht="15">
      <c r="A43" s="252" t="s">
        <v>130</v>
      </c>
      <c r="B43" s="275">
        <v>3146640</v>
      </c>
      <c r="C43" s="276">
        <v>3325310</v>
      </c>
      <c r="D43" s="366">
        <v>4022350</v>
      </c>
      <c r="E43" s="367">
        <v>4658904</v>
      </c>
      <c r="F43" s="217" t="s">
        <v>124</v>
      </c>
    </row>
    <row r="44" spans="1:6">
      <c r="A44" s="236" t="s">
        <v>135</v>
      </c>
      <c r="B44" s="271">
        <f>SUM(B4:B43)</f>
        <v>494346070</v>
      </c>
      <c r="C44" s="271">
        <f>SUM(C4:C43)</f>
        <v>545895697</v>
      </c>
      <c r="D44" s="281">
        <f>SUM(D4:D43)</f>
        <v>557924668</v>
      </c>
      <c r="E44" s="369">
        <f>SUM(E4:E43)</f>
        <v>535846200</v>
      </c>
    </row>
    <row r="45" spans="1:6">
      <c r="B45" s="258"/>
      <c r="C45" s="258"/>
    </row>
  </sheetData>
  <pageMargins left="0.25" right="0.25" top="0.75" bottom="0.75" header="0.3" footer="0.3"/>
  <pageSetup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35540-F102-46D6-A19F-9EDF49F134B8}">
  <sheetPr>
    <pageSetUpPr fitToPage="1"/>
  </sheetPr>
  <dimension ref="A1:F44"/>
  <sheetViews>
    <sheetView zoomScale="80" zoomScaleNormal="80" workbookViewId="0"/>
  </sheetViews>
  <sheetFormatPr defaultColWidth="9.28515625" defaultRowHeight="14.25"/>
  <cols>
    <col min="1" max="1" width="46.7109375" style="209" bestFit="1" customWidth="1"/>
    <col min="2" max="4" width="15.7109375" style="229" customWidth="1"/>
    <col min="5" max="6" width="15.7109375" style="209" customWidth="1"/>
    <col min="7" max="16384" width="9.28515625" style="209"/>
  </cols>
  <sheetData>
    <row r="1" spans="1:6" ht="20.25">
      <c r="A1" s="370" t="s">
        <v>450</v>
      </c>
      <c r="B1" s="210">
        <v>2018</v>
      </c>
      <c r="C1" s="210">
        <v>2019</v>
      </c>
      <c r="D1" s="210">
        <v>2021</v>
      </c>
      <c r="E1" s="210">
        <v>2022</v>
      </c>
    </row>
    <row r="2" spans="1:6">
      <c r="A2" s="211" t="s">
        <v>132</v>
      </c>
      <c r="B2" s="212" t="s">
        <v>133</v>
      </c>
      <c r="C2" s="212" t="s">
        <v>133</v>
      </c>
      <c r="D2" s="212" t="s">
        <v>133</v>
      </c>
      <c r="E2" s="212" t="s">
        <v>133</v>
      </c>
      <c r="F2" s="213"/>
    </row>
    <row r="3" spans="1:6">
      <c r="A3" s="214" t="s">
        <v>83</v>
      </c>
      <c r="B3" s="215">
        <v>151919</v>
      </c>
      <c r="C3" s="216">
        <v>155198</v>
      </c>
      <c r="D3" s="215">
        <v>88190</v>
      </c>
      <c r="E3" s="216">
        <v>97489</v>
      </c>
      <c r="F3" s="217" t="s">
        <v>82</v>
      </c>
    </row>
    <row r="4" spans="1:6">
      <c r="A4" s="214" t="s">
        <v>84</v>
      </c>
      <c r="B4" s="215">
        <v>53158</v>
      </c>
      <c r="C4" s="216">
        <v>53329</v>
      </c>
      <c r="D4" s="215">
        <v>14932</v>
      </c>
      <c r="E4" s="216">
        <v>35313</v>
      </c>
      <c r="F4" s="217" t="s">
        <v>82</v>
      </c>
    </row>
    <row r="5" spans="1:6">
      <c r="A5" s="214" t="s">
        <v>85</v>
      </c>
      <c r="B5" s="215">
        <v>168385</v>
      </c>
      <c r="C5" s="216">
        <v>167736</v>
      </c>
      <c r="D5" s="215">
        <v>118746</v>
      </c>
      <c r="E5" s="216">
        <v>135181</v>
      </c>
      <c r="F5" s="217" t="s">
        <v>82</v>
      </c>
    </row>
    <row r="6" spans="1:6">
      <c r="A6" s="214" t="s">
        <v>86</v>
      </c>
      <c r="B6" s="215">
        <v>96281</v>
      </c>
      <c r="C6" s="216">
        <v>98383</v>
      </c>
      <c r="D6" s="215">
        <v>47469</v>
      </c>
      <c r="E6" s="216">
        <v>100658</v>
      </c>
      <c r="F6" s="217" t="s">
        <v>82</v>
      </c>
    </row>
    <row r="7" spans="1:6">
      <c r="A7" s="214" t="s">
        <v>87</v>
      </c>
      <c r="B7" s="215">
        <v>42374</v>
      </c>
      <c r="C7" s="216">
        <v>45092</v>
      </c>
      <c r="D7" s="215">
        <v>31626</v>
      </c>
      <c r="E7" s="216">
        <v>29128</v>
      </c>
      <c r="F7" s="217" t="s">
        <v>82</v>
      </c>
    </row>
    <row r="8" spans="1:6">
      <c r="A8" s="214" t="s">
        <v>89</v>
      </c>
      <c r="B8" s="215">
        <v>2052376</v>
      </c>
      <c r="C8" s="218">
        <v>1871952</v>
      </c>
      <c r="D8" s="215">
        <v>617010</v>
      </c>
      <c r="E8" s="218">
        <v>1154287</v>
      </c>
      <c r="F8" s="217" t="s">
        <v>88</v>
      </c>
    </row>
    <row r="9" spans="1:6">
      <c r="A9" s="219"/>
      <c r="B9" s="220" t="s">
        <v>134</v>
      </c>
      <c r="C9" s="221" t="s">
        <v>134</v>
      </c>
      <c r="D9" s="220" t="s">
        <v>134</v>
      </c>
      <c r="E9" s="221" t="s">
        <v>134</v>
      </c>
      <c r="F9" s="222"/>
    </row>
    <row r="10" spans="1:6">
      <c r="A10" s="214" t="s">
        <v>91</v>
      </c>
      <c r="B10" s="215">
        <v>324780</v>
      </c>
      <c r="C10" s="218">
        <v>296632</v>
      </c>
      <c r="D10" s="215">
        <v>142040</v>
      </c>
      <c r="E10" s="218">
        <v>179874</v>
      </c>
      <c r="F10" s="217" t="s">
        <v>90</v>
      </c>
    </row>
    <row r="11" spans="1:6">
      <c r="A11" s="214" t="s">
        <v>93</v>
      </c>
      <c r="B11" s="215">
        <v>111906</v>
      </c>
      <c r="C11" s="218">
        <v>130410</v>
      </c>
      <c r="D11" s="215">
        <v>108658</v>
      </c>
      <c r="E11" s="218">
        <v>75266</v>
      </c>
      <c r="F11" s="217" t="s">
        <v>92</v>
      </c>
    </row>
    <row r="12" spans="1:6">
      <c r="A12" s="214" t="s">
        <v>94</v>
      </c>
      <c r="B12" s="215">
        <v>3946</v>
      </c>
      <c r="C12" s="218">
        <v>7825</v>
      </c>
      <c r="D12" s="215">
        <v>4105</v>
      </c>
      <c r="E12" s="218">
        <v>5437</v>
      </c>
      <c r="F12" s="217" t="s">
        <v>92</v>
      </c>
    </row>
    <row r="13" spans="1:6">
      <c r="A13" s="214" t="s">
        <v>95</v>
      </c>
      <c r="B13" s="215">
        <v>13761674</v>
      </c>
      <c r="C13" s="218">
        <v>13206003</v>
      </c>
      <c r="D13" s="215">
        <v>6450801</v>
      </c>
      <c r="E13" s="218">
        <v>6381801</v>
      </c>
      <c r="F13" s="217" t="s">
        <v>92</v>
      </c>
    </row>
    <row r="14" spans="1:6">
      <c r="A14" s="214" t="s">
        <v>96</v>
      </c>
      <c r="B14" s="215">
        <v>87201</v>
      </c>
      <c r="C14" s="218">
        <v>89876</v>
      </c>
      <c r="D14" s="215">
        <v>51934</v>
      </c>
      <c r="E14" s="218">
        <v>63727</v>
      </c>
      <c r="F14" s="217" t="s">
        <v>92</v>
      </c>
    </row>
    <row r="15" spans="1:6">
      <c r="A15" s="214" t="s">
        <v>97</v>
      </c>
      <c r="B15" s="215">
        <v>11873</v>
      </c>
      <c r="C15" s="218">
        <v>12418</v>
      </c>
      <c r="D15" s="215">
        <v>1358</v>
      </c>
      <c r="E15" s="218">
        <v>3001</v>
      </c>
      <c r="F15" s="217" t="s">
        <v>92</v>
      </c>
    </row>
    <row r="16" spans="1:6">
      <c r="A16" s="214" t="s">
        <v>98</v>
      </c>
      <c r="B16" s="215">
        <v>2253353</v>
      </c>
      <c r="C16" s="218">
        <v>2202349</v>
      </c>
      <c r="D16" s="215">
        <v>1122301</v>
      </c>
      <c r="E16" s="218">
        <v>1544283</v>
      </c>
      <c r="F16" s="217" t="s">
        <v>92</v>
      </c>
    </row>
    <row r="17" spans="1:6">
      <c r="A17" s="214" t="s">
        <v>100</v>
      </c>
      <c r="B17" s="215">
        <v>322259</v>
      </c>
      <c r="C17" s="218">
        <v>319936</v>
      </c>
      <c r="D17" s="215">
        <v>220931</v>
      </c>
      <c r="E17" s="218">
        <v>228559</v>
      </c>
      <c r="F17" s="217" t="s">
        <v>99</v>
      </c>
    </row>
    <row r="18" spans="1:6">
      <c r="A18" s="214" t="s">
        <v>101</v>
      </c>
      <c r="B18" s="215">
        <v>157818</v>
      </c>
      <c r="C18" s="218">
        <v>172051</v>
      </c>
      <c r="D18" s="215">
        <v>89042</v>
      </c>
      <c r="E18" s="218">
        <v>77681</v>
      </c>
      <c r="F18" s="217" t="s">
        <v>99</v>
      </c>
    </row>
    <row r="19" spans="1:6">
      <c r="A19" s="214" t="s">
        <v>102</v>
      </c>
      <c r="B19" s="215">
        <v>2325667</v>
      </c>
      <c r="C19" s="218">
        <v>2018554</v>
      </c>
      <c r="D19" s="215">
        <v>468071</v>
      </c>
      <c r="E19" s="218">
        <v>445943</v>
      </c>
      <c r="F19" s="217" t="s">
        <v>99</v>
      </c>
    </row>
    <row r="20" spans="1:6">
      <c r="A20" s="214" t="s">
        <v>103</v>
      </c>
      <c r="B20" s="215">
        <v>19584</v>
      </c>
      <c r="C20" s="216">
        <v>17939</v>
      </c>
      <c r="D20" s="215">
        <v>14112</v>
      </c>
      <c r="E20" s="216">
        <v>14878</v>
      </c>
      <c r="F20" s="217" t="s">
        <v>99</v>
      </c>
    </row>
    <row r="21" spans="1:6">
      <c r="A21" s="214" t="s">
        <v>105</v>
      </c>
      <c r="B21" s="215">
        <v>1696062</v>
      </c>
      <c r="C21" s="218">
        <v>1708148</v>
      </c>
      <c r="D21" s="215">
        <v>335253</v>
      </c>
      <c r="E21" s="218">
        <v>421563</v>
      </c>
      <c r="F21" s="217" t="s">
        <v>104</v>
      </c>
    </row>
    <row r="22" spans="1:6">
      <c r="A22" s="214" t="s">
        <v>106</v>
      </c>
      <c r="B22" s="215">
        <v>3084105</v>
      </c>
      <c r="C22" s="218">
        <v>2917849</v>
      </c>
      <c r="D22" s="215">
        <v>1423589</v>
      </c>
      <c r="E22" s="218">
        <v>1815957</v>
      </c>
      <c r="F22" s="217" t="s">
        <v>104</v>
      </c>
    </row>
    <row r="23" spans="1:6">
      <c r="A23" s="214" t="s">
        <v>107</v>
      </c>
      <c r="B23" s="215">
        <v>3936871</v>
      </c>
      <c r="C23" s="218">
        <v>4000963</v>
      </c>
      <c r="D23" s="215">
        <v>1530851</v>
      </c>
      <c r="E23" s="218">
        <v>3047077</v>
      </c>
      <c r="F23" s="217" t="s">
        <v>104</v>
      </c>
    </row>
    <row r="24" spans="1:6">
      <c r="A24" s="214" t="s">
        <v>108</v>
      </c>
      <c r="B24" s="215">
        <v>605388</v>
      </c>
      <c r="C24" s="218">
        <v>601813</v>
      </c>
      <c r="D24" s="215">
        <v>326881</v>
      </c>
      <c r="E24" s="218">
        <v>471899</v>
      </c>
      <c r="F24" s="217" t="s">
        <v>104</v>
      </c>
    </row>
    <row r="25" spans="1:6">
      <c r="A25" s="214" t="s">
        <v>109</v>
      </c>
      <c r="B25" s="215">
        <v>8312983</v>
      </c>
      <c r="C25" s="218">
        <v>8334449</v>
      </c>
      <c r="D25" s="215">
        <v>4566013</v>
      </c>
      <c r="E25" s="218">
        <v>5191499</v>
      </c>
      <c r="F25" s="217" t="s">
        <v>104</v>
      </c>
    </row>
    <row r="26" spans="1:6">
      <c r="A26" s="214" t="s">
        <v>110</v>
      </c>
      <c r="B26" s="215">
        <v>4631909</v>
      </c>
      <c r="C26" s="218">
        <v>4408114</v>
      </c>
      <c r="D26" s="215">
        <v>341627</v>
      </c>
      <c r="E26" s="218">
        <v>821936</v>
      </c>
      <c r="F26" s="217" t="s">
        <v>104</v>
      </c>
    </row>
    <row r="27" spans="1:6">
      <c r="A27" s="214" t="s">
        <v>111</v>
      </c>
      <c r="B27" s="215">
        <v>2408052</v>
      </c>
      <c r="C27" s="218">
        <v>2357736</v>
      </c>
      <c r="D27" s="215">
        <v>723026</v>
      </c>
      <c r="E27" s="218">
        <v>1220283</v>
      </c>
      <c r="F27" s="217" t="s">
        <v>104</v>
      </c>
    </row>
    <row r="28" spans="1:6">
      <c r="A28" s="214" t="s">
        <v>113</v>
      </c>
      <c r="B28" s="215">
        <v>346930</v>
      </c>
      <c r="C28" s="218">
        <v>409729</v>
      </c>
      <c r="D28" s="215">
        <v>331823</v>
      </c>
      <c r="E28" s="218">
        <v>404081</v>
      </c>
      <c r="F28" s="217" t="s">
        <v>112</v>
      </c>
    </row>
    <row r="29" spans="1:6">
      <c r="A29" s="214" t="s">
        <v>114</v>
      </c>
      <c r="B29" s="215">
        <v>7723202</v>
      </c>
      <c r="C29" s="218">
        <v>8897022</v>
      </c>
      <c r="D29" s="215">
        <v>7694498</v>
      </c>
      <c r="E29" s="218">
        <v>8838099</v>
      </c>
      <c r="F29" s="217" t="s">
        <v>112</v>
      </c>
    </row>
    <row r="30" spans="1:6">
      <c r="A30" s="214" t="s">
        <v>116</v>
      </c>
      <c r="B30" s="215">
        <v>4057334</v>
      </c>
      <c r="C30" s="218">
        <v>4659053</v>
      </c>
      <c r="D30" s="215">
        <v>810754</v>
      </c>
      <c r="E30" s="218">
        <v>3267836</v>
      </c>
      <c r="F30" s="217" t="s">
        <v>115</v>
      </c>
    </row>
    <row r="31" spans="1:6">
      <c r="A31" s="214" t="s">
        <v>117</v>
      </c>
      <c r="B31" s="215">
        <v>328929</v>
      </c>
      <c r="C31" s="218">
        <v>268727</v>
      </c>
      <c r="D31" s="215">
        <v>102199</v>
      </c>
      <c r="E31" s="218">
        <v>125489</v>
      </c>
      <c r="F31" s="217" t="s">
        <v>115</v>
      </c>
    </row>
    <row r="32" spans="1:6">
      <c r="A32" s="214" t="s">
        <v>118</v>
      </c>
      <c r="B32" s="215">
        <v>2071948</v>
      </c>
      <c r="C32" s="218">
        <v>1970807</v>
      </c>
      <c r="D32" s="215">
        <v>1097072</v>
      </c>
      <c r="E32" s="218">
        <v>1134478</v>
      </c>
      <c r="F32" s="217" t="s">
        <v>115</v>
      </c>
    </row>
    <row r="33" spans="1:6">
      <c r="A33" s="214" t="s">
        <v>119</v>
      </c>
      <c r="B33" s="215">
        <v>153487</v>
      </c>
      <c r="C33" s="218">
        <v>68799</v>
      </c>
      <c r="D33" s="215">
        <v>37896</v>
      </c>
      <c r="E33" s="218">
        <v>29480</v>
      </c>
      <c r="F33" s="217" t="s">
        <v>115</v>
      </c>
    </row>
    <row r="34" spans="1:6">
      <c r="A34" s="214" t="s">
        <v>121</v>
      </c>
      <c r="B34" s="215">
        <v>267323</v>
      </c>
      <c r="C34" s="218">
        <v>275059</v>
      </c>
      <c r="D34" s="215">
        <v>149731</v>
      </c>
      <c r="E34" s="218">
        <v>162733</v>
      </c>
      <c r="F34" s="217" t="s">
        <v>120</v>
      </c>
    </row>
    <row r="35" spans="1:6">
      <c r="A35" s="214" t="s">
        <v>122</v>
      </c>
      <c r="B35" s="215">
        <v>2116785</v>
      </c>
      <c r="C35" s="218">
        <v>2120458</v>
      </c>
      <c r="D35" s="215">
        <v>503759</v>
      </c>
      <c r="E35" s="218">
        <v>1360253</v>
      </c>
      <c r="F35" s="217" t="s">
        <v>120</v>
      </c>
    </row>
    <row r="36" spans="1:6">
      <c r="A36" s="214" t="s">
        <v>123</v>
      </c>
      <c r="B36" s="215">
        <v>140002</v>
      </c>
      <c r="C36" s="218">
        <v>134832</v>
      </c>
      <c r="D36" s="215">
        <v>85334</v>
      </c>
      <c r="E36" s="218">
        <v>134223</v>
      </c>
      <c r="F36" s="217" t="s">
        <v>120</v>
      </c>
    </row>
    <row r="37" spans="1:6">
      <c r="A37" s="214" t="s">
        <v>125</v>
      </c>
      <c r="B37" s="215">
        <v>141335</v>
      </c>
      <c r="C37" s="218">
        <v>141357</v>
      </c>
      <c r="D37" s="215">
        <v>108664</v>
      </c>
      <c r="E37" s="218">
        <v>127135</v>
      </c>
      <c r="F37" s="217" t="s">
        <v>124</v>
      </c>
    </row>
    <row r="38" spans="1:6">
      <c r="A38" s="214" t="s">
        <v>126</v>
      </c>
      <c r="B38" s="215">
        <v>36138</v>
      </c>
      <c r="C38" s="218">
        <v>38276</v>
      </c>
      <c r="D38" s="215">
        <v>21664</v>
      </c>
      <c r="E38" s="218">
        <v>24049</v>
      </c>
      <c r="F38" s="217" t="s">
        <v>124</v>
      </c>
    </row>
    <row r="39" spans="1:6">
      <c r="A39" s="214" t="s">
        <v>127</v>
      </c>
      <c r="B39" s="215">
        <f>242538+63081</f>
        <v>305619</v>
      </c>
      <c r="C39" s="218">
        <v>279959</v>
      </c>
      <c r="D39" s="215">
        <v>140054</v>
      </c>
      <c r="E39" s="218">
        <v>172720</v>
      </c>
      <c r="F39" s="217" t="s">
        <v>124</v>
      </c>
    </row>
    <row r="40" spans="1:6">
      <c r="A40" s="214" t="s">
        <v>128</v>
      </c>
      <c r="B40" s="215">
        <v>12451</v>
      </c>
      <c r="C40" s="218">
        <v>13455</v>
      </c>
      <c r="D40" s="215">
        <v>11150</v>
      </c>
      <c r="E40" s="218">
        <v>11840</v>
      </c>
      <c r="F40" s="217" t="s">
        <v>124</v>
      </c>
    </row>
    <row r="41" spans="1:6">
      <c r="A41" s="214" t="s">
        <v>129</v>
      </c>
      <c r="B41" s="215">
        <v>106368</v>
      </c>
      <c r="C41" s="216">
        <v>104997</v>
      </c>
      <c r="D41" s="215">
        <v>42699</v>
      </c>
      <c r="E41" s="216">
        <v>49444</v>
      </c>
      <c r="F41" s="217" t="s">
        <v>124</v>
      </c>
    </row>
    <row r="42" spans="1:6">
      <c r="A42" s="223" t="s">
        <v>130</v>
      </c>
      <c r="B42" s="215">
        <v>227240</v>
      </c>
      <c r="C42" s="218">
        <v>241234</v>
      </c>
      <c r="D42" s="215">
        <v>141153</v>
      </c>
      <c r="E42" s="224">
        <v>169413</v>
      </c>
      <c r="F42" s="217" t="s">
        <v>124</v>
      </c>
    </row>
    <row r="43" spans="1:6">
      <c r="A43" s="214" t="s">
        <v>135</v>
      </c>
      <c r="B43" s="215">
        <f>SUM(B3:B42)</f>
        <v>64655015</v>
      </c>
      <c r="C43" s="225">
        <f>SUM(C3:C42)</f>
        <v>64818519</v>
      </c>
      <c r="D43" s="215">
        <f>SUM(D3:D42)</f>
        <v>30117016</v>
      </c>
      <c r="E43" s="226">
        <f>SUM(E3:E42)</f>
        <v>39573993</v>
      </c>
    </row>
    <row r="44" spans="1:6">
      <c r="B44" s="227"/>
      <c r="C44" s="228"/>
    </row>
  </sheetData>
  <pageMargins left="0.25" right="0.25" top="0.75" bottom="0.75" header="0.3" footer="0.3"/>
  <pageSetup scale="93"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87CE8-9A34-4AF3-8069-BB5131FBEFF5}">
  <sheetPr>
    <pageSetUpPr fitToPage="1"/>
  </sheetPr>
  <dimension ref="A1:N44"/>
  <sheetViews>
    <sheetView zoomScale="80" zoomScaleNormal="80" workbookViewId="0"/>
  </sheetViews>
  <sheetFormatPr defaultColWidth="9.28515625" defaultRowHeight="14.25"/>
  <cols>
    <col min="1" max="1" width="46.7109375" style="230" bestFit="1" customWidth="1"/>
    <col min="2" max="2" width="15.7109375" style="257" hidden="1" customWidth="1"/>
    <col min="3" max="5" width="15.7109375" style="257" customWidth="1"/>
    <col min="6" max="6" width="15.28515625" style="230" customWidth="1"/>
    <col min="7" max="7" width="15.7109375" style="230" customWidth="1"/>
    <col min="8" max="8" width="9.28515625" style="230"/>
    <col min="9" max="11" width="15.7109375" style="257" customWidth="1"/>
    <col min="12" max="12" width="15.28515625" style="230" customWidth="1"/>
    <col min="13" max="16384" width="9.28515625" style="230"/>
  </cols>
  <sheetData>
    <row r="1" spans="1:12" ht="20.25">
      <c r="A1" s="370" t="s">
        <v>451</v>
      </c>
      <c r="B1" s="231">
        <v>2014</v>
      </c>
      <c r="C1" s="210">
        <v>2018</v>
      </c>
      <c r="D1" s="210">
        <v>2019</v>
      </c>
      <c r="E1" s="210">
        <v>2021</v>
      </c>
      <c r="F1" s="210">
        <v>2022</v>
      </c>
      <c r="I1" s="210">
        <v>2018</v>
      </c>
      <c r="J1" s="210">
        <v>2019</v>
      </c>
      <c r="K1" s="210">
        <v>2021</v>
      </c>
      <c r="L1" s="210">
        <v>2022</v>
      </c>
    </row>
    <row r="2" spans="1:12">
      <c r="A2" s="232" t="s">
        <v>132</v>
      </c>
      <c r="B2" s="233" t="s">
        <v>136</v>
      </c>
      <c r="C2" s="234" t="s">
        <v>136</v>
      </c>
      <c r="D2" s="234" t="s">
        <v>136</v>
      </c>
      <c r="E2" s="234" t="s">
        <v>136</v>
      </c>
      <c r="F2" s="234" t="s">
        <v>136</v>
      </c>
      <c r="G2" s="235"/>
      <c r="I2" s="234" t="s">
        <v>136</v>
      </c>
      <c r="J2" s="234" t="s">
        <v>136</v>
      </c>
      <c r="K2" s="234" t="s">
        <v>136</v>
      </c>
      <c r="L2" s="234" t="s">
        <v>136</v>
      </c>
    </row>
    <row r="3" spans="1:12">
      <c r="A3" s="236" t="s">
        <v>83</v>
      </c>
      <c r="B3" s="228">
        <v>41574</v>
      </c>
      <c r="C3" s="237">
        <v>35345</v>
      </c>
      <c r="D3" s="238">
        <v>33965</v>
      </c>
      <c r="E3" s="239">
        <v>29170</v>
      </c>
      <c r="F3" s="240">
        <v>30762</v>
      </c>
      <c r="G3" s="217" t="s">
        <v>82</v>
      </c>
      <c r="I3" s="237">
        <v>35345</v>
      </c>
      <c r="J3" s="238">
        <v>33965</v>
      </c>
      <c r="K3" s="239">
        <v>29170</v>
      </c>
      <c r="L3" s="240">
        <v>30762</v>
      </c>
    </row>
    <row r="4" spans="1:12">
      <c r="A4" s="236" t="s">
        <v>84</v>
      </c>
      <c r="B4" s="228">
        <v>10753</v>
      </c>
      <c r="C4" s="237">
        <v>7370</v>
      </c>
      <c r="D4" s="241">
        <v>7537</v>
      </c>
      <c r="E4" s="242">
        <v>3885</v>
      </c>
      <c r="F4" s="241">
        <v>7303</v>
      </c>
      <c r="G4" s="217" t="s">
        <v>82</v>
      </c>
      <c r="I4" s="237">
        <v>7370</v>
      </c>
      <c r="J4" s="241">
        <v>7537</v>
      </c>
      <c r="K4" s="242">
        <v>3885</v>
      </c>
      <c r="L4" s="241">
        <v>7303</v>
      </c>
    </row>
    <row r="5" spans="1:12">
      <c r="A5" s="236" t="s">
        <v>85</v>
      </c>
      <c r="B5" s="228">
        <v>43651</v>
      </c>
      <c r="C5" s="237">
        <v>47978</v>
      </c>
      <c r="D5" s="238">
        <v>46719</v>
      </c>
      <c r="E5" s="243">
        <v>39533</v>
      </c>
      <c r="F5" s="238">
        <v>44776</v>
      </c>
      <c r="G5" s="217" t="s">
        <v>82</v>
      </c>
      <c r="I5" s="237">
        <v>47978</v>
      </c>
      <c r="J5" s="238">
        <v>46719</v>
      </c>
      <c r="K5" s="243">
        <v>39533</v>
      </c>
      <c r="L5" s="238">
        <v>44776</v>
      </c>
    </row>
    <row r="6" spans="1:12">
      <c r="A6" s="236" t="s">
        <v>86</v>
      </c>
      <c r="B6" s="228">
        <v>53634</v>
      </c>
      <c r="C6" s="237">
        <v>55079</v>
      </c>
      <c r="D6" s="238">
        <v>52693</v>
      </c>
      <c r="E6" s="243">
        <v>35279</v>
      </c>
      <c r="F6" s="238">
        <v>40013</v>
      </c>
      <c r="G6" s="217" t="s">
        <v>82</v>
      </c>
      <c r="I6" s="237">
        <v>55079</v>
      </c>
      <c r="J6" s="238">
        <v>52693</v>
      </c>
      <c r="K6" s="243">
        <v>35279</v>
      </c>
      <c r="L6" s="238">
        <v>40013</v>
      </c>
    </row>
    <row r="7" spans="1:12">
      <c r="A7" s="236" t="s">
        <v>87</v>
      </c>
      <c r="B7" s="228">
        <v>8021</v>
      </c>
      <c r="C7" s="237">
        <v>7814</v>
      </c>
      <c r="D7" s="238">
        <v>8115</v>
      </c>
      <c r="E7" s="243">
        <v>8307</v>
      </c>
      <c r="F7" s="238">
        <v>7979</v>
      </c>
      <c r="G7" s="217" t="s">
        <v>82</v>
      </c>
      <c r="I7" s="237">
        <v>7814</v>
      </c>
      <c r="J7" s="238">
        <v>8115</v>
      </c>
      <c r="K7" s="243">
        <v>8307</v>
      </c>
      <c r="L7" s="238">
        <v>7979</v>
      </c>
    </row>
    <row r="8" spans="1:12">
      <c r="A8" s="236" t="s">
        <v>89</v>
      </c>
      <c r="B8" s="228">
        <v>95286</v>
      </c>
      <c r="C8" s="237">
        <v>103824</v>
      </c>
      <c r="D8" s="241">
        <v>108033</v>
      </c>
      <c r="E8" s="243">
        <v>74987</v>
      </c>
      <c r="F8" s="238">
        <v>58751</v>
      </c>
      <c r="G8" s="217" t="s">
        <v>88</v>
      </c>
      <c r="I8" s="237">
        <v>103824</v>
      </c>
      <c r="J8" s="241">
        <v>108033</v>
      </c>
      <c r="K8" s="243">
        <v>74987</v>
      </c>
      <c r="L8" s="238">
        <v>58751</v>
      </c>
    </row>
    <row r="9" spans="1:12">
      <c r="A9" s="244"/>
      <c r="B9" s="245">
        <v>16419</v>
      </c>
      <c r="C9" s="246" t="s">
        <v>134</v>
      </c>
      <c r="D9" s="247" t="s">
        <v>134</v>
      </c>
      <c r="E9" s="248" t="s">
        <v>134</v>
      </c>
      <c r="F9" s="248" t="s">
        <v>134</v>
      </c>
      <c r="G9" s="222"/>
      <c r="I9" s="246" t="s">
        <v>134</v>
      </c>
      <c r="J9" s="247" t="s">
        <v>134</v>
      </c>
      <c r="K9" s="248" t="s">
        <v>134</v>
      </c>
      <c r="L9" s="248" t="s">
        <v>134</v>
      </c>
    </row>
    <row r="10" spans="1:12">
      <c r="A10" s="236" t="s">
        <v>91</v>
      </c>
      <c r="B10" s="228">
        <v>51554</v>
      </c>
      <c r="C10" s="237">
        <v>51340</v>
      </c>
      <c r="D10" s="241">
        <v>53032</v>
      </c>
      <c r="E10" s="243">
        <v>40798</v>
      </c>
      <c r="F10" s="238">
        <v>40268</v>
      </c>
      <c r="G10" s="217" t="s">
        <v>90</v>
      </c>
      <c r="I10" s="237">
        <v>51340</v>
      </c>
      <c r="J10" s="241">
        <v>53032</v>
      </c>
      <c r="K10" s="243">
        <v>40798</v>
      </c>
      <c r="L10" s="238">
        <v>40268</v>
      </c>
    </row>
    <row r="11" spans="1:12">
      <c r="A11" s="236" t="s">
        <v>93</v>
      </c>
      <c r="B11" s="228">
        <v>9642</v>
      </c>
      <c r="C11" s="237">
        <v>14618</v>
      </c>
      <c r="D11" s="241">
        <v>19458</v>
      </c>
      <c r="E11" s="242">
        <v>20267</v>
      </c>
      <c r="F11" s="241">
        <v>21618</v>
      </c>
      <c r="G11" s="217" t="s">
        <v>92</v>
      </c>
      <c r="I11" s="237">
        <v>14618</v>
      </c>
      <c r="J11" s="241">
        <v>19458</v>
      </c>
      <c r="K11" s="242">
        <v>20267</v>
      </c>
      <c r="L11" s="241">
        <v>21618</v>
      </c>
    </row>
    <row r="12" spans="1:12">
      <c r="A12" s="236" t="s">
        <v>94</v>
      </c>
      <c r="B12" s="228"/>
      <c r="C12" s="237">
        <v>2658</v>
      </c>
      <c r="D12" s="241">
        <v>3048</v>
      </c>
      <c r="E12" s="243">
        <v>3060</v>
      </c>
      <c r="F12" s="238">
        <v>3090</v>
      </c>
      <c r="G12" s="217" t="s">
        <v>92</v>
      </c>
      <c r="I12" s="237">
        <v>2658</v>
      </c>
      <c r="J12" s="241">
        <v>3048</v>
      </c>
      <c r="K12" s="243">
        <v>3060</v>
      </c>
      <c r="L12" s="238">
        <v>3090</v>
      </c>
    </row>
    <row r="13" spans="1:12">
      <c r="A13" s="236" t="s">
        <v>95</v>
      </c>
      <c r="B13" s="228">
        <v>1031196</v>
      </c>
      <c r="C13" s="237">
        <v>1087302</v>
      </c>
      <c r="D13" s="241">
        <v>1083033</v>
      </c>
      <c r="E13" s="243">
        <v>971392</v>
      </c>
      <c r="F13" s="238">
        <v>886831</v>
      </c>
      <c r="G13" s="217" t="s">
        <v>92</v>
      </c>
      <c r="I13" s="237">
        <v>1087302</v>
      </c>
      <c r="J13" s="241">
        <v>1083033</v>
      </c>
      <c r="K13" s="243">
        <v>971392</v>
      </c>
      <c r="L13" s="238">
        <v>886831</v>
      </c>
    </row>
    <row r="14" spans="1:12">
      <c r="A14" s="236" t="s">
        <v>96</v>
      </c>
      <c r="B14" s="228">
        <v>13662</v>
      </c>
      <c r="C14" s="237">
        <v>16359</v>
      </c>
      <c r="D14" s="241">
        <v>17422</v>
      </c>
      <c r="E14" s="243">
        <v>20410</v>
      </c>
      <c r="F14" s="238">
        <v>20345</v>
      </c>
      <c r="G14" s="217" t="s">
        <v>92</v>
      </c>
      <c r="I14" s="237">
        <v>16359</v>
      </c>
      <c r="J14" s="241">
        <v>17422</v>
      </c>
      <c r="K14" s="243">
        <v>20410</v>
      </c>
      <c r="L14" s="238">
        <v>20345</v>
      </c>
    </row>
    <row r="15" spans="1:12">
      <c r="A15" s="236" t="s">
        <v>97</v>
      </c>
      <c r="B15" s="249">
        <v>1306</v>
      </c>
      <c r="C15" s="237">
        <v>1350</v>
      </c>
      <c r="D15" s="241">
        <v>1383</v>
      </c>
      <c r="E15" s="243">
        <v>1342</v>
      </c>
      <c r="F15" s="238">
        <v>880</v>
      </c>
      <c r="G15" s="217" t="s">
        <v>92</v>
      </c>
      <c r="I15" s="237">
        <v>1350</v>
      </c>
      <c r="J15" s="241">
        <v>1383</v>
      </c>
      <c r="K15" s="243">
        <v>1342</v>
      </c>
      <c r="L15" s="238">
        <v>880</v>
      </c>
    </row>
    <row r="16" spans="1:12">
      <c r="A16" s="236" t="s">
        <v>98</v>
      </c>
      <c r="B16" s="228">
        <v>87662</v>
      </c>
      <c r="C16" s="237">
        <v>94173</v>
      </c>
      <c r="D16" s="241">
        <v>94477</v>
      </c>
      <c r="E16" s="243">
        <v>78393</v>
      </c>
      <c r="F16" s="238">
        <v>79332</v>
      </c>
      <c r="G16" s="217" t="s">
        <v>92</v>
      </c>
      <c r="I16" s="237">
        <v>94173</v>
      </c>
      <c r="J16" s="241">
        <v>94477</v>
      </c>
      <c r="K16" s="243">
        <v>78393</v>
      </c>
      <c r="L16" s="238">
        <v>79332</v>
      </c>
    </row>
    <row r="17" spans="1:14">
      <c r="A17" s="236" t="s">
        <v>100</v>
      </c>
      <c r="B17" s="228">
        <v>29095</v>
      </c>
      <c r="C17" s="237">
        <v>36176</v>
      </c>
      <c r="D17" s="241">
        <v>35978</v>
      </c>
      <c r="E17" s="243">
        <v>38330</v>
      </c>
      <c r="F17" s="238">
        <v>35273</v>
      </c>
      <c r="G17" s="217" t="s">
        <v>99</v>
      </c>
      <c r="I17" s="237">
        <v>36176</v>
      </c>
      <c r="J17" s="241">
        <v>35978</v>
      </c>
      <c r="K17" s="243">
        <v>38330</v>
      </c>
      <c r="L17" s="238">
        <v>35273</v>
      </c>
    </row>
    <row r="18" spans="1:14">
      <c r="A18" s="236" t="s">
        <v>101</v>
      </c>
      <c r="B18" s="228">
        <v>13012</v>
      </c>
      <c r="C18" s="237">
        <v>14537</v>
      </c>
      <c r="D18" s="241">
        <v>14194</v>
      </c>
      <c r="E18" s="243">
        <v>13590</v>
      </c>
      <c r="F18" s="238">
        <v>11837</v>
      </c>
      <c r="G18" s="217" t="s">
        <v>99</v>
      </c>
      <c r="I18" s="237">
        <v>14537</v>
      </c>
      <c r="J18" s="241">
        <v>14194</v>
      </c>
      <c r="K18" s="243">
        <v>13590</v>
      </c>
      <c r="L18" s="238">
        <v>11837</v>
      </c>
    </row>
    <row r="19" spans="1:14">
      <c r="A19" s="236" t="s">
        <v>102</v>
      </c>
      <c r="B19" s="228">
        <v>98573</v>
      </c>
      <c r="C19" s="237">
        <v>105441</v>
      </c>
      <c r="D19" s="241">
        <v>94891</v>
      </c>
      <c r="E19" s="243">
        <v>75366</v>
      </c>
      <c r="F19" s="238">
        <v>74332</v>
      </c>
      <c r="G19" s="217" t="s">
        <v>99</v>
      </c>
      <c r="I19" s="237">
        <v>105441</v>
      </c>
      <c r="J19" s="241">
        <v>94891</v>
      </c>
      <c r="K19" s="243">
        <v>75366</v>
      </c>
      <c r="L19" s="238">
        <v>74332</v>
      </c>
    </row>
    <row r="20" spans="1:14">
      <c r="A20" s="236" t="s">
        <v>103</v>
      </c>
      <c r="B20" s="228">
        <v>2870</v>
      </c>
      <c r="C20" s="237">
        <v>3021</v>
      </c>
      <c r="D20" s="238">
        <v>3012</v>
      </c>
      <c r="E20" s="243">
        <v>3011</v>
      </c>
      <c r="F20" s="238">
        <v>3043</v>
      </c>
      <c r="G20" s="217" t="s">
        <v>99</v>
      </c>
      <c r="I20" s="237">
        <v>3021</v>
      </c>
      <c r="J20" s="238">
        <v>3012</v>
      </c>
      <c r="K20" s="243">
        <v>3011</v>
      </c>
      <c r="L20" s="238">
        <v>3043</v>
      </c>
    </row>
    <row r="21" spans="1:14">
      <c r="A21" s="236" t="s">
        <v>105</v>
      </c>
      <c r="B21" s="228">
        <v>93640</v>
      </c>
      <c r="C21" s="237">
        <v>184352.04262017561</v>
      </c>
      <c r="D21" s="241">
        <v>177974.36666666667</v>
      </c>
      <c r="E21" s="243">
        <f>88248+8353</f>
        <v>96601</v>
      </c>
      <c r="F21" s="238">
        <f>88663+10112</f>
        <v>98775</v>
      </c>
      <c r="G21" s="217" t="s">
        <v>104</v>
      </c>
      <c r="I21" s="237">
        <v>184352.04262017561</v>
      </c>
      <c r="J21" s="250">
        <f>177974.366666667*0.944</f>
        <v>168007.80213333364</v>
      </c>
      <c r="K21" s="251">
        <f>88248</f>
        <v>88248</v>
      </c>
      <c r="L21" s="251">
        <f>88663</f>
        <v>88663</v>
      </c>
      <c r="M21" s="104">
        <f>(E21-K21)/E21</f>
        <v>8.6469084170971308E-2</v>
      </c>
      <c r="N21" s="104">
        <f>(F21-L21)/F21</f>
        <v>0.10237408251075678</v>
      </c>
    </row>
    <row r="22" spans="1:14">
      <c r="A22" s="236" t="s">
        <v>106</v>
      </c>
      <c r="B22" s="228">
        <v>147756</v>
      </c>
      <c r="C22" s="237">
        <v>222425</v>
      </c>
      <c r="D22" s="241">
        <v>226129</v>
      </c>
      <c r="E22" s="243">
        <v>182007</v>
      </c>
      <c r="F22" s="238">
        <v>204460</v>
      </c>
      <c r="G22" s="217" t="s">
        <v>104</v>
      </c>
      <c r="I22" s="237">
        <v>222425</v>
      </c>
      <c r="J22" s="241">
        <v>226129</v>
      </c>
      <c r="K22" s="243">
        <v>182007</v>
      </c>
      <c r="L22" s="238">
        <v>204460</v>
      </c>
    </row>
    <row r="23" spans="1:14">
      <c r="A23" s="236" t="s">
        <v>107</v>
      </c>
      <c r="B23" s="228">
        <v>182050</v>
      </c>
      <c r="C23" s="237">
        <v>240987</v>
      </c>
      <c r="D23" s="241">
        <v>251750</v>
      </c>
      <c r="E23" s="243">
        <v>211975</v>
      </c>
      <c r="F23" s="238">
        <v>276476</v>
      </c>
      <c r="G23" s="217" t="s">
        <v>104</v>
      </c>
      <c r="I23" s="237">
        <v>240987</v>
      </c>
      <c r="J23" s="241">
        <v>251750</v>
      </c>
      <c r="K23" s="243">
        <v>211975</v>
      </c>
      <c r="L23" s="238">
        <v>276476</v>
      </c>
    </row>
    <row r="24" spans="1:14">
      <c r="A24" s="236" t="s">
        <v>108</v>
      </c>
      <c r="B24" s="228">
        <v>33887</v>
      </c>
      <c r="C24" s="237">
        <v>33576</v>
      </c>
      <c r="D24" s="241">
        <v>34273</v>
      </c>
      <c r="E24" s="243">
        <v>34280</v>
      </c>
      <c r="F24" s="238">
        <v>35046</v>
      </c>
      <c r="G24" s="217" t="s">
        <v>104</v>
      </c>
      <c r="I24" s="237">
        <v>33576</v>
      </c>
      <c r="J24" s="241">
        <v>34273</v>
      </c>
      <c r="K24" s="243">
        <v>34280</v>
      </c>
      <c r="L24" s="238">
        <v>35046</v>
      </c>
    </row>
    <row r="25" spans="1:14">
      <c r="A25" s="236" t="s">
        <v>109</v>
      </c>
      <c r="B25" s="228">
        <v>639987</v>
      </c>
      <c r="C25" s="237">
        <v>751540</v>
      </c>
      <c r="D25" s="241">
        <v>762124</v>
      </c>
      <c r="E25" s="243">
        <f>775301+2087</f>
        <v>777388</v>
      </c>
      <c r="F25" s="238">
        <f>840428+2521</f>
        <v>842949</v>
      </c>
      <c r="G25" s="217" t="s">
        <v>104</v>
      </c>
      <c r="I25" s="237">
        <v>751540</v>
      </c>
      <c r="J25" s="250">
        <f>762124*0.972</f>
        <v>740784.52799999993</v>
      </c>
      <c r="K25" s="251">
        <f>775301</f>
        <v>775301</v>
      </c>
      <c r="L25" s="251">
        <f>840428</f>
        <v>840428</v>
      </c>
      <c r="M25" s="104">
        <f>(E25-K25)/E25</f>
        <v>2.6846310979845326E-3</v>
      </c>
      <c r="N25" s="104">
        <f>(F25-L25)/F25</f>
        <v>2.9906910145216375E-3</v>
      </c>
    </row>
    <row r="26" spans="1:14">
      <c r="A26" s="236" t="s">
        <v>110</v>
      </c>
      <c r="B26" s="228">
        <v>66704</v>
      </c>
      <c r="C26" s="237">
        <v>78377</v>
      </c>
      <c r="D26" s="241">
        <v>79652</v>
      </c>
      <c r="E26" s="243">
        <v>49907</v>
      </c>
      <c r="F26" s="238">
        <v>71732</v>
      </c>
      <c r="G26" s="217" t="s">
        <v>104</v>
      </c>
      <c r="I26" s="237">
        <v>78377</v>
      </c>
      <c r="J26" s="241">
        <v>79652</v>
      </c>
      <c r="K26" s="243">
        <v>49907</v>
      </c>
      <c r="L26" s="238">
        <v>71732</v>
      </c>
    </row>
    <row r="27" spans="1:14">
      <c r="A27" s="236" t="s">
        <v>111</v>
      </c>
      <c r="B27" s="228">
        <v>168174</v>
      </c>
      <c r="C27" s="237">
        <v>232792.49672335802</v>
      </c>
      <c r="D27" s="241">
        <v>222022.66000065801</v>
      </c>
      <c r="E27" s="243">
        <f>152489+(152489*0.49)</f>
        <v>227208.61</v>
      </c>
      <c r="F27" s="238">
        <f>146130+71220</f>
        <v>217350</v>
      </c>
      <c r="G27" s="217" t="s">
        <v>104</v>
      </c>
      <c r="I27" s="237">
        <v>232792.49672335802</v>
      </c>
      <c r="J27" s="250">
        <f>222022.660000658*0.77</f>
        <v>170957.44820050668</v>
      </c>
      <c r="K27" s="251">
        <f>152489</f>
        <v>152489</v>
      </c>
      <c r="L27" s="251">
        <f>146130</f>
        <v>146130</v>
      </c>
      <c r="M27" s="104">
        <f>(E27-K27)/E27</f>
        <v>0.32885906040268453</v>
      </c>
      <c r="N27" s="104">
        <f>(F27-L27)/F27</f>
        <v>0.32767425810904072</v>
      </c>
    </row>
    <row r="28" spans="1:14">
      <c r="A28" s="236" t="s">
        <v>113</v>
      </c>
      <c r="B28" s="228">
        <v>46359</v>
      </c>
      <c r="C28" s="237">
        <v>59574</v>
      </c>
      <c r="D28" s="241">
        <v>56662</v>
      </c>
      <c r="E28" s="243">
        <v>46966</v>
      </c>
      <c r="F28" s="238">
        <v>47286</v>
      </c>
      <c r="G28" s="217" t="s">
        <v>112</v>
      </c>
      <c r="I28" s="237">
        <v>59574</v>
      </c>
      <c r="J28" s="241">
        <v>56662</v>
      </c>
      <c r="K28" s="243">
        <v>46966</v>
      </c>
      <c r="L28" s="238">
        <v>47286</v>
      </c>
    </row>
    <row r="29" spans="1:14">
      <c r="A29" s="236" t="s">
        <v>114</v>
      </c>
      <c r="B29" s="228">
        <v>532001</v>
      </c>
      <c r="C29" s="237">
        <v>549136</v>
      </c>
      <c r="D29" s="241">
        <v>589799</v>
      </c>
      <c r="E29" s="243">
        <v>606539</v>
      </c>
      <c r="F29" s="238">
        <v>589217</v>
      </c>
      <c r="G29" s="217" t="s">
        <v>112</v>
      </c>
      <c r="I29" s="237">
        <v>549136</v>
      </c>
      <c r="J29" s="241">
        <v>589799</v>
      </c>
      <c r="K29" s="243">
        <v>606539</v>
      </c>
      <c r="L29" s="238">
        <v>589217</v>
      </c>
    </row>
    <row r="30" spans="1:14">
      <c r="A30" s="236" t="s">
        <v>116</v>
      </c>
      <c r="B30" s="228">
        <v>95349</v>
      </c>
      <c r="C30" s="237">
        <v>105575</v>
      </c>
      <c r="D30" s="241">
        <v>113580</v>
      </c>
      <c r="E30" s="243">
        <v>104803</v>
      </c>
      <c r="F30" s="238">
        <v>100136</v>
      </c>
      <c r="G30" s="217" t="s">
        <v>115</v>
      </c>
      <c r="I30" s="237">
        <v>105575</v>
      </c>
      <c r="J30" s="241">
        <v>113580</v>
      </c>
      <c r="K30" s="243">
        <v>104803</v>
      </c>
      <c r="L30" s="238">
        <v>100136</v>
      </c>
    </row>
    <row r="31" spans="1:14">
      <c r="A31" s="236" t="s">
        <v>117</v>
      </c>
      <c r="B31" s="228">
        <v>29884</v>
      </c>
      <c r="C31" s="237">
        <v>31419</v>
      </c>
      <c r="D31" s="241">
        <v>31292</v>
      </c>
      <c r="E31" s="243">
        <v>30471</v>
      </c>
      <c r="F31" s="238">
        <v>31063</v>
      </c>
      <c r="G31" s="217" t="s">
        <v>115</v>
      </c>
      <c r="I31" s="237">
        <v>31419</v>
      </c>
      <c r="J31" s="241">
        <v>31292</v>
      </c>
      <c r="K31" s="243">
        <v>30471</v>
      </c>
      <c r="L31" s="238">
        <v>31063</v>
      </c>
    </row>
    <row r="32" spans="1:14">
      <c r="A32" s="236" t="s">
        <v>118</v>
      </c>
      <c r="B32" s="228">
        <v>146554</v>
      </c>
      <c r="C32" s="237">
        <v>153595</v>
      </c>
      <c r="D32" s="241">
        <v>150889</v>
      </c>
      <c r="E32" s="243">
        <v>145560</v>
      </c>
      <c r="F32" s="238">
        <v>155800</v>
      </c>
      <c r="G32" s="217" t="s">
        <v>115</v>
      </c>
      <c r="I32" s="237">
        <v>153595</v>
      </c>
      <c r="J32" s="241">
        <v>150889</v>
      </c>
      <c r="K32" s="243">
        <v>145560</v>
      </c>
      <c r="L32" s="238">
        <v>155800</v>
      </c>
    </row>
    <row r="33" spans="1:12">
      <c r="A33" s="236" t="s">
        <v>119</v>
      </c>
      <c r="B33" s="228">
        <v>14331</v>
      </c>
      <c r="C33" s="237">
        <v>19917</v>
      </c>
      <c r="D33" s="241">
        <v>19830</v>
      </c>
      <c r="E33" s="243">
        <v>18342</v>
      </c>
      <c r="F33" s="238">
        <v>19090</v>
      </c>
      <c r="G33" s="217" t="s">
        <v>115</v>
      </c>
      <c r="I33" s="237">
        <v>19917</v>
      </c>
      <c r="J33" s="241">
        <v>19830</v>
      </c>
      <c r="K33" s="243">
        <v>18342</v>
      </c>
      <c r="L33" s="238">
        <v>19090</v>
      </c>
    </row>
    <row r="34" spans="1:12">
      <c r="A34" s="236" t="s">
        <v>121</v>
      </c>
      <c r="B34" s="228">
        <v>22195.715847137169</v>
      </c>
      <c r="C34" s="237">
        <v>30716</v>
      </c>
      <c r="D34" s="241">
        <v>30658</v>
      </c>
      <c r="E34" s="243">
        <v>33407</v>
      </c>
      <c r="F34" s="238">
        <v>36937</v>
      </c>
      <c r="G34" s="217" t="s">
        <v>120</v>
      </c>
      <c r="I34" s="237">
        <v>30716</v>
      </c>
      <c r="J34" s="241">
        <v>30658</v>
      </c>
      <c r="K34" s="243">
        <v>33407</v>
      </c>
      <c r="L34" s="238">
        <v>36937</v>
      </c>
    </row>
    <row r="35" spans="1:12">
      <c r="A35" s="236" t="s">
        <v>122</v>
      </c>
      <c r="B35" s="228">
        <v>68498</v>
      </c>
      <c r="C35" s="237">
        <v>77394</v>
      </c>
      <c r="D35" s="241">
        <v>75663</v>
      </c>
      <c r="E35" s="243">
        <v>77225</v>
      </c>
      <c r="F35" s="238">
        <v>74536</v>
      </c>
      <c r="G35" s="217" t="s">
        <v>120</v>
      </c>
      <c r="I35" s="237">
        <v>77394</v>
      </c>
      <c r="J35" s="241">
        <v>75663</v>
      </c>
      <c r="K35" s="243">
        <v>77225</v>
      </c>
      <c r="L35" s="238">
        <v>74536</v>
      </c>
    </row>
    <row r="36" spans="1:12">
      <c r="A36" s="236" t="s">
        <v>123</v>
      </c>
      <c r="B36" s="228">
        <v>18797</v>
      </c>
      <c r="C36" s="237">
        <v>18109</v>
      </c>
      <c r="D36" s="241">
        <v>17721</v>
      </c>
      <c r="E36" s="243">
        <v>16508</v>
      </c>
      <c r="F36" s="238">
        <v>17310</v>
      </c>
      <c r="G36" s="217" t="s">
        <v>120</v>
      </c>
      <c r="I36" s="237">
        <v>18109</v>
      </c>
      <c r="J36" s="241">
        <v>17721</v>
      </c>
      <c r="K36" s="243">
        <v>16508</v>
      </c>
      <c r="L36" s="238">
        <v>17310</v>
      </c>
    </row>
    <row r="37" spans="1:12">
      <c r="A37" s="236" t="s">
        <v>125</v>
      </c>
      <c r="B37" s="228">
        <v>55130</v>
      </c>
      <c r="C37" s="237">
        <v>61906</v>
      </c>
      <c r="D37" s="241">
        <v>60477</v>
      </c>
      <c r="E37" s="243">
        <v>55888</v>
      </c>
      <c r="F37" s="238">
        <v>60586</v>
      </c>
      <c r="G37" s="217" t="s">
        <v>124</v>
      </c>
      <c r="I37" s="237">
        <v>61906</v>
      </c>
      <c r="J37" s="241">
        <v>60477</v>
      </c>
      <c r="K37" s="243">
        <v>55888</v>
      </c>
      <c r="L37" s="238">
        <v>60586</v>
      </c>
    </row>
    <row r="38" spans="1:12">
      <c r="A38" s="236" t="s">
        <v>126</v>
      </c>
      <c r="B38" s="228">
        <v>13554</v>
      </c>
      <c r="C38" s="237">
        <v>14480</v>
      </c>
      <c r="D38" s="241">
        <v>14634</v>
      </c>
      <c r="E38" s="243">
        <v>15493</v>
      </c>
      <c r="F38" s="238">
        <v>15570</v>
      </c>
      <c r="G38" s="217" t="s">
        <v>124</v>
      </c>
      <c r="I38" s="237">
        <v>14480</v>
      </c>
      <c r="J38" s="241">
        <v>14634</v>
      </c>
      <c r="K38" s="243">
        <v>15493</v>
      </c>
      <c r="L38" s="238">
        <v>15570</v>
      </c>
    </row>
    <row r="39" spans="1:12">
      <c r="A39" s="236" t="s">
        <v>127</v>
      </c>
      <c r="B39" s="228">
        <v>111543</v>
      </c>
      <c r="C39" s="237">
        <f>85534+21594</f>
        <v>107128</v>
      </c>
      <c r="D39" s="241">
        <v>96645</v>
      </c>
      <c r="E39" s="243">
        <v>63817</v>
      </c>
      <c r="F39" s="238">
        <v>75094</v>
      </c>
      <c r="G39" s="217" t="s">
        <v>124</v>
      </c>
      <c r="I39" s="237">
        <f>85534+21594</f>
        <v>107128</v>
      </c>
      <c r="J39" s="241">
        <v>96645</v>
      </c>
      <c r="K39" s="243">
        <v>63817</v>
      </c>
      <c r="L39" s="238">
        <v>75094</v>
      </c>
    </row>
    <row r="40" spans="1:12">
      <c r="A40" s="236" t="s">
        <v>128</v>
      </c>
      <c r="B40" s="228">
        <v>4182</v>
      </c>
      <c r="C40" s="237">
        <v>5166</v>
      </c>
      <c r="D40" s="241">
        <v>5127</v>
      </c>
      <c r="E40" s="243">
        <v>5393</v>
      </c>
      <c r="F40" s="238">
        <v>5390</v>
      </c>
      <c r="G40" s="217" t="s">
        <v>124</v>
      </c>
      <c r="I40" s="237">
        <v>5166</v>
      </c>
      <c r="J40" s="241">
        <v>5127</v>
      </c>
      <c r="K40" s="243">
        <v>5393</v>
      </c>
      <c r="L40" s="238">
        <v>5390</v>
      </c>
    </row>
    <row r="41" spans="1:12">
      <c r="A41" s="236" t="s">
        <v>129</v>
      </c>
      <c r="B41" s="228">
        <v>44740</v>
      </c>
      <c r="C41" s="237">
        <v>49400</v>
      </c>
      <c r="D41" s="238">
        <v>45615</v>
      </c>
      <c r="E41" s="243">
        <v>22816</v>
      </c>
      <c r="F41" s="238">
        <v>18141</v>
      </c>
      <c r="G41" s="217" t="s">
        <v>124</v>
      </c>
      <c r="I41" s="237">
        <v>49400</v>
      </c>
      <c r="J41" s="238">
        <v>45615</v>
      </c>
      <c r="K41" s="243">
        <v>22816</v>
      </c>
      <c r="L41" s="238">
        <v>18141</v>
      </c>
    </row>
    <row r="42" spans="1:12">
      <c r="A42" s="252" t="s">
        <v>130</v>
      </c>
      <c r="B42" s="253">
        <v>33973</v>
      </c>
      <c r="C42" s="237">
        <v>48062</v>
      </c>
      <c r="D42" s="241">
        <v>52366</v>
      </c>
      <c r="E42" s="243">
        <v>54180</v>
      </c>
      <c r="F42" s="254">
        <v>60519</v>
      </c>
      <c r="G42" s="217" t="s">
        <v>124</v>
      </c>
      <c r="I42" s="237">
        <v>48062</v>
      </c>
      <c r="J42" s="241">
        <v>52366</v>
      </c>
      <c r="K42" s="243">
        <v>54180</v>
      </c>
      <c r="L42" s="254">
        <v>60519</v>
      </c>
    </row>
    <row r="43" spans="1:12">
      <c r="A43" s="236" t="s">
        <v>135</v>
      </c>
      <c r="B43" s="255">
        <v>4187861</v>
      </c>
      <c r="C43" s="256">
        <f>SUM(C3:C42)</f>
        <v>4760011.539343534</v>
      </c>
      <c r="D43" s="256">
        <f>SUM(D3:D42)</f>
        <v>4791873.0266673248</v>
      </c>
      <c r="E43" s="256">
        <f>SUM(E3:E42)</f>
        <v>4333894.6099999994</v>
      </c>
      <c r="F43" s="256">
        <f>SUM(F3:F42)</f>
        <v>4419896</v>
      </c>
      <c r="G43" s="209"/>
      <c r="I43" s="256">
        <f>SUM(I3:I42)</f>
        <v>4760011.539343534</v>
      </c>
      <c r="J43" s="256">
        <f>SUM(J3:J42)</f>
        <v>4709501.7783338409</v>
      </c>
      <c r="K43" s="256">
        <f>SUM(K3:K42)</f>
        <v>4248735</v>
      </c>
      <c r="L43" s="256">
        <f>SUM(L3:L42)</f>
        <v>4336043</v>
      </c>
    </row>
    <row r="44" spans="1:12">
      <c r="C44" s="258"/>
      <c r="D44" s="228"/>
      <c r="I44" s="258"/>
      <c r="J44" s="228"/>
    </row>
  </sheetData>
  <pageMargins left="0.25" right="0.25" top="0.75" bottom="0.75" header="0.3" footer="0.3"/>
  <pageSetup scale="93"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DEB45-D07E-4500-A65C-CBD34F801467}">
  <sheetPr>
    <pageSetUpPr fitToPage="1"/>
  </sheetPr>
  <dimension ref="A1:L44"/>
  <sheetViews>
    <sheetView zoomScale="80" zoomScaleNormal="80" workbookViewId="0"/>
  </sheetViews>
  <sheetFormatPr defaultColWidth="9.28515625" defaultRowHeight="14.25"/>
  <cols>
    <col min="1" max="1" width="46.7109375" style="230" bestFit="1" customWidth="1"/>
    <col min="2" max="2" width="15.7109375" style="257" hidden="1" customWidth="1"/>
    <col min="3" max="5" width="15.7109375" style="257" customWidth="1"/>
    <col min="6" max="6" width="14.5703125" style="230" customWidth="1"/>
    <col min="7" max="7" width="16.28515625" style="230" customWidth="1"/>
    <col min="8" max="8" width="9.28515625" style="230"/>
    <col min="9" max="11" width="15.7109375" style="257" customWidth="1"/>
    <col min="12" max="12" width="14.5703125" style="230" customWidth="1"/>
    <col min="13" max="16384" width="9.28515625" style="230"/>
  </cols>
  <sheetData>
    <row r="1" spans="1:12" ht="20.25">
      <c r="A1" s="370" t="s">
        <v>452</v>
      </c>
      <c r="B1" s="231">
        <v>2014</v>
      </c>
      <c r="C1" s="210">
        <v>2018</v>
      </c>
      <c r="D1" s="210">
        <v>2019</v>
      </c>
      <c r="E1" s="210">
        <v>2021</v>
      </c>
      <c r="F1" s="210">
        <v>2022</v>
      </c>
      <c r="I1" s="210">
        <v>2018</v>
      </c>
      <c r="J1" s="210">
        <v>2019</v>
      </c>
      <c r="K1" s="210">
        <v>2021</v>
      </c>
      <c r="L1" s="210">
        <v>2022</v>
      </c>
    </row>
    <row r="2" spans="1:12">
      <c r="A2" s="259" t="s">
        <v>132</v>
      </c>
      <c r="B2" s="260" t="s">
        <v>137</v>
      </c>
      <c r="C2" s="261" t="s">
        <v>137</v>
      </c>
      <c r="D2" s="261" t="s">
        <v>137</v>
      </c>
      <c r="E2" s="261" t="s">
        <v>137</v>
      </c>
      <c r="F2" s="261" t="s">
        <v>137</v>
      </c>
      <c r="G2" s="262"/>
      <c r="I2" s="261" t="s">
        <v>137</v>
      </c>
      <c r="J2" s="261" t="s">
        <v>137</v>
      </c>
      <c r="K2" s="261" t="s">
        <v>137</v>
      </c>
      <c r="L2" s="261" t="s">
        <v>137</v>
      </c>
    </row>
    <row r="3" spans="1:12" s="209" customFormat="1">
      <c r="A3" s="214" t="s">
        <v>83</v>
      </c>
      <c r="B3" s="228">
        <v>885671</v>
      </c>
      <c r="C3" s="237">
        <v>755637</v>
      </c>
      <c r="D3" s="238">
        <v>720867</v>
      </c>
      <c r="E3" s="239">
        <v>598768</v>
      </c>
      <c r="F3" s="240">
        <v>634178</v>
      </c>
      <c r="G3" s="217" t="s">
        <v>82</v>
      </c>
      <c r="I3" s="237">
        <v>755637</v>
      </c>
      <c r="J3" s="238">
        <v>720867</v>
      </c>
      <c r="K3" s="239">
        <v>598768</v>
      </c>
      <c r="L3" s="240">
        <v>634178</v>
      </c>
    </row>
    <row r="4" spans="1:12" s="209" customFormat="1">
      <c r="A4" s="214" t="s">
        <v>84</v>
      </c>
      <c r="B4" s="228">
        <v>102414</v>
      </c>
      <c r="C4" s="237">
        <v>89608</v>
      </c>
      <c r="D4" s="241">
        <v>87134</v>
      </c>
      <c r="E4" s="242">
        <v>46763</v>
      </c>
      <c r="F4" s="241">
        <v>84107</v>
      </c>
      <c r="G4" s="217" t="s">
        <v>82</v>
      </c>
      <c r="I4" s="237">
        <v>89608</v>
      </c>
      <c r="J4" s="241">
        <v>87134</v>
      </c>
      <c r="K4" s="242">
        <v>46763</v>
      </c>
      <c r="L4" s="241">
        <v>84107</v>
      </c>
    </row>
    <row r="5" spans="1:12" s="209" customFormat="1">
      <c r="A5" s="214" t="s">
        <v>85</v>
      </c>
      <c r="B5" s="228">
        <v>579189</v>
      </c>
      <c r="C5" s="237">
        <v>494719</v>
      </c>
      <c r="D5" s="238">
        <v>489940</v>
      </c>
      <c r="E5" s="243">
        <v>384307</v>
      </c>
      <c r="F5" s="238">
        <v>440288</v>
      </c>
      <c r="G5" s="217" t="s">
        <v>82</v>
      </c>
      <c r="I5" s="237">
        <v>494719</v>
      </c>
      <c r="J5" s="238">
        <v>489940</v>
      </c>
      <c r="K5" s="243">
        <v>384307</v>
      </c>
      <c r="L5" s="238">
        <v>440288</v>
      </c>
    </row>
    <row r="6" spans="1:12" s="209" customFormat="1">
      <c r="A6" s="214" t="s">
        <v>86</v>
      </c>
      <c r="B6" s="228">
        <v>925155</v>
      </c>
      <c r="C6" s="237">
        <v>913134</v>
      </c>
      <c r="D6" s="238">
        <v>864470</v>
      </c>
      <c r="E6" s="243">
        <v>550975</v>
      </c>
      <c r="F6" s="238">
        <v>639628</v>
      </c>
      <c r="G6" s="217" t="s">
        <v>82</v>
      </c>
      <c r="I6" s="237">
        <v>913134</v>
      </c>
      <c r="J6" s="238">
        <v>864470</v>
      </c>
      <c r="K6" s="243">
        <v>550975</v>
      </c>
      <c r="L6" s="238">
        <v>639628</v>
      </c>
    </row>
    <row r="7" spans="1:12" s="209" customFormat="1">
      <c r="A7" s="214" t="s">
        <v>87</v>
      </c>
      <c r="B7" s="228">
        <v>120754</v>
      </c>
      <c r="C7" s="237">
        <v>129996</v>
      </c>
      <c r="D7" s="238">
        <v>133672</v>
      </c>
      <c r="E7" s="243">
        <v>129731</v>
      </c>
      <c r="F7" s="238">
        <v>129480</v>
      </c>
      <c r="G7" s="217" t="s">
        <v>82</v>
      </c>
      <c r="I7" s="237">
        <v>129996</v>
      </c>
      <c r="J7" s="238">
        <v>133672</v>
      </c>
      <c r="K7" s="243">
        <v>129731</v>
      </c>
      <c r="L7" s="238">
        <v>129480</v>
      </c>
    </row>
    <row r="8" spans="1:12" s="209" customFormat="1">
      <c r="A8" s="214" t="s">
        <v>89</v>
      </c>
      <c r="B8" s="228">
        <v>1044224</v>
      </c>
      <c r="C8" s="237">
        <v>962806</v>
      </c>
      <c r="D8" s="241">
        <v>976417</v>
      </c>
      <c r="E8" s="243">
        <v>730500</v>
      </c>
      <c r="F8" s="238">
        <v>807792</v>
      </c>
      <c r="G8" s="217" t="s">
        <v>88</v>
      </c>
      <c r="I8" s="237">
        <v>962806</v>
      </c>
      <c r="J8" s="241">
        <v>976417</v>
      </c>
      <c r="K8" s="243">
        <v>730500</v>
      </c>
      <c r="L8" s="238">
        <v>807792</v>
      </c>
    </row>
    <row r="9" spans="1:12" s="209" customFormat="1">
      <c r="A9" s="219"/>
      <c r="B9" s="245">
        <v>323527</v>
      </c>
      <c r="C9" s="246" t="s">
        <v>134</v>
      </c>
      <c r="D9" s="247" t="s">
        <v>134</v>
      </c>
      <c r="E9" s="248" t="s">
        <v>134</v>
      </c>
      <c r="F9" s="248" t="s">
        <v>134</v>
      </c>
      <c r="G9" s="222"/>
      <c r="I9" s="246" t="s">
        <v>134</v>
      </c>
      <c r="J9" s="247" t="s">
        <v>134</v>
      </c>
      <c r="K9" s="248" t="s">
        <v>134</v>
      </c>
      <c r="L9" s="248" t="s">
        <v>134</v>
      </c>
    </row>
    <row r="10" spans="1:12" s="209" customFormat="1">
      <c r="A10" s="214" t="s">
        <v>91</v>
      </c>
      <c r="B10" s="228">
        <v>765936</v>
      </c>
      <c r="C10" s="237">
        <v>824087</v>
      </c>
      <c r="D10" s="241">
        <v>865514</v>
      </c>
      <c r="E10" s="243">
        <v>610784</v>
      </c>
      <c r="F10" s="238">
        <v>598250</v>
      </c>
      <c r="G10" s="217" t="s">
        <v>90</v>
      </c>
      <c r="I10" s="237">
        <v>824087</v>
      </c>
      <c r="J10" s="241">
        <v>865514</v>
      </c>
      <c r="K10" s="243">
        <v>610784</v>
      </c>
      <c r="L10" s="238">
        <v>598250</v>
      </c>
    </row>
    <row r="11" spans="1:12" s="209" customFormat="1">
      <c r="A11" s="214" t="s">
        <v>93</v>
      </c>
      <c r="B11" s="228">
        <v>140592</v>
      </c>
      <c r="C11" s="237">
        <v>258518</v>
      </c>
      <c r="D11" s="241">
        <v>363878</v>
      </c>
      <c r="E11" s="242">
        <v>368836</v>
      </c>
      <c r="F11" s="241">
        <v>415022</v>
      </c>
      <c r="G11" s="217" t="s">
        <v>92</v>
      </c>
      <c r="I11" s="237">
        <v>258518</v>
      </c>
      <c r="J11" s="241">
        <v>363878</v>
      </c>
      <c r="K11" s="242">
        <v>368836</v>
      </c>
      <c r="L11" s="241">
        <v>415022</v>
      </c>
    </row>
    <row r="12" spans="1:12" s="209" customFormat="1">
      <c r="A12" s="214" t="s">
        <v>94</v>
      </c>
      <c r="B12" s="228"/>
      <c r="C12" s="237">
        <v>37909</v>
      </c>
      <c r="D12" s="241">
        <v>53147</v>
      </c>
      <c r="E12" s="243">
        <v>48608</v>
      </c>
      <c r="F12" s="238">
        <v>52366</v>
      </c>
      <c r="G12" s="217" t="s">
        <v>92</v>
      </c>
      <c r="I12" s="237">
        <v>37909</v>
      </c>
      <c r="J12" s="241">
        <v>53147</v>
      </c>
      <c r="K12" s="243">
        <v>48608</v>
      </c>
      <c r="L12" s="238">
        <v>52366</v>
      </c>
    </row>
    <row r="13" spans="1:12" s="209" customFormat="1">
      <c r="A13" s="214" t="s">
        <v>95</v>
      </c>
      <c r="B13" s="228">
        <v>13320559</v>
      </c>
      <c r="C13" s="237">
        <v>14456652</v>
      </c>
      <c r="D13" s="241">
        <v>14602903</v>
      </c>
      <c r="E13" s="243">
        <v>13836191</v>
      </c>
      <c r="F13" s="238">
        <v>12904187</v>
      </c>
      <c r="G13" s="217" t="s">
        <v>92</v>
      </c>
      <c r="I13" s="237">
        <v>14456652</v>
      </c>
      <c r="J13" s="241">
        <v>14602903</v>
      </c>
      <c r="K13" s="243">
        <v>13836191</v>
      </c>
      <c r="L13" s="238">
        <v>12904187</v>
      </c>
    </row>
    <row r="14" spans="1:12" s="209" customFormat="1">
      <c r="A14" s="214" t="s">
        <v>96</v>
      </c>
      <c r="B14" s="228">
        <v>354293</v>
      </c>
      <c r="C14" s="237">
        <v>410162</v>
      </c>
      <c r="D14" s="241">
        <v>408373</v>
      </c>
      <c r="E14" s="243">
        <v>463549</v>
      </c>
      <c r="F14" s="238">
        <v>483018</v>
      </c>
      <c r="G14" s="217" t="s">
        <v>92</v>
      </c>
      <c r="I14" s="237">
        <v>410162</v>
      </c>
      <c r="J14" s="241">
        <v>408373</v>
      </c>
      <c r="K14" s="243">
        <v>463549</v>
      </c>
      <c r="L14" s="238">
        <v>483018</v>
      </c>
    </row>
    <row r="15" spans="1:12" s="209" customFormat="1">
      <c r="A15" s="214" t="s">
        <v>97</v>
      </c>
      <c r="B15" s="249">
        <v>17614</v>
      </c>
      <c r="C15" s="237">
        <v>14689</v>
      </c>
      <c r="D15" s="241">
        <v>17408</v>
      </c>
      <c r="E15" s="243">
        <v>9510</v>
      </c>
      <c r="F15" s="238">
        <v>6777</v>
      </c>
      <c r="G15" s="217" t="s">
        <v>92</v>
      </c>
      <c r="I15" s="237">
        <v>14689</v>
      </c>
      <c r="J15" s="241">
        <v>17408</v>
      </c>
      <c r="K15" s="243">
        <v>9510</v>
      </c>
      <c r="L15" s="238">
        <v>6777</v>
      </c>
    </row>
    <row r="16" spans="1:12" s="209" customFormat="1">
      <c r="A16" s="214" t="s">
        <v>98</v>
      </c>
      <c r="B16" s="249">
        <v>1278139</v>
      </c>
      <c r="C16" s="237">
        <v>1354955</v>
      </c>
      <c r="D16" s="241">
        <v>1352302</v>
      </c>
      <c r="E16" s="243">
        <v>1072707</v>
      </c>
      <c r="F16" s="238">
        <v>1099092</v>
      </c>
      <c r="G16" s="217" t="s">
        <v>92</v>
      </c>
      <c r="I16" s="237">
        <v>1354955</v>
      </c>
      <c r="J16" s="241">
        <v>1352302</v>
      </c>
      <c r="K16" s="243">
        <v>1072707</v>
      </c>
      <c r="L16" s="238">
        <v>1099092</v>
      </c>
    </row>
    <row r="17" spans="1:12" s="209" customFormat="1">
      <c r="A17" s="214" t="s">
        <v>100</v>
      </c>
      <c r="B17" s="228">
        <v>475685</v>
      </c>
      <c r="C17" s="237">
        <v>562324</v>
      </c>
      <c r="D17" s="241">
        <v>539625</v>
      </c>
      <c r="E17" s="243">
        <v>561833</v>
      </c>
      <c r="F17" s="238">
        <v>531990</v>
      </c>
      <c r="G17" s="217" t="s">
        <v>99</v>
      </c>
      <c r="I17" s="237">
        <v>562324</v>
      </c>
      <c r="J17" s="241">
        <v>539625</v>
      </c>
      <c r="K17" s="243">
        <v>561833</v>
      </c>
      <c r="L17" s="238">
        <v>531990</v>
      </c>
    </row>
    <row r="18" spans="1:12" s="209" customFormat="1">
      <c r="A18" s="214" t="s">
        <v>101</v>
      </c>
      <c r="B18" s="228">
        <v>208275</v>
      </c>
      <c r="C18" s="237">
        <v>219837</v>
      </c>
      <c r="D18" s="241">
        <v>216820</v>
      </c>
      <c r="E18" s="243">
        <v>188179</v>
      </c>
      <c r="F18" s="238">
        <v>174059</v>
      </c>
      <c r="G18" s="217" t="s">
        <v>99</v>
      </c>
      <c r="I18" s="237">
        <v>219837</v>
      </c>
      <c r="J18" s="241">
        <v>216820</v>
      </c>
      <c r="K18" s="243">
        <v>188179</v>
      </c>
      <c r="L18" s="238">
        <v>174059</v>
      </c>
    </row>
    <row r="19" spans="1:12" s="209" customFormat="1">
      <c r="A19" s="214" t="s">
        <v>102</v>
      </c>
      <c r="B19" s="228">
        <v>1127346</v>
      </c>
      <c r="C19" s="237">
        <v>1261330</v>
      </c>
      <c r="D19" s="241">
        <v>1251351</v>
      </c>
      <c r="E19" s="243">
        <v>1070838</v>
      </c>
      <c r="F19" s="238">
        <v>1073547</v>
      </c>
      <c r="G19" s="217" t="s">
        <v>99</v>
      </c>
      <c r="I19" s="237">
        <v>1261330</v>
      </c>
      <c r="J19" s="241">
        <v>1251351</v>
      </c>
      <c r="K19" s="243">
        <v>1070838</v>
      </c>
      <c r="L19" s="238">
        <v>1073547</v>
      </c>
    </row>
    <row r="20" spans="1:12" s="209" customFormat="1">
      <c r="A20" s="214" t="s">
        <v>103</v>
      </c>
      <c r="B20" s="228">
        <v>45760</v>
      </c>
      <c r="C20" s="237">
        <v>47993</v>
      </c>
      <c r="D20" s="238">
        <v>48396</v>
      </c>
      <c r="E20" s="243">
        <v>49158</v>
      </c>
      <c r="F20" s="238">
        <v>48696</v>
      </c>
      <c r="G20" s="217" t="s">
        <v>99</v>
      </c>
      <c r="I20" s="237">
        <v>47993</v>
      </c>
      <c r="J20" s="238">
        <v>48396</v>
      </c>
      <c r="K20" s="243">
        <v>49158</v>
      </c>
      <c r="L20" s="238">
        <v>48696</v>
      </c>
    </row>
    <row r="21" spans="1:12" s="209" customFormat="1">
      <c r="A21" s="214" t="s">
        <v>105</v>
      </c>
      <c r="B21" s="228">
        <v>2538589</v>
      </c>
      <c r="C21" s="237">
        <v>4446336.7163592316</v>
      </c>
      <c r="D21" s="241">
        <v>4601141.5999999996</v>
      </c>
      <c r="E21" s="243">
        <f>1735344+320678.5</f>
        <v>2056022.5</v>
      </c>
      <c r="F21" s="238">
        <f>1820398+427962.5</f>
        <v>2248360.5</v>
      </c>
      <c r="G21" s="217" t="s">
        <v>104</v>
      </c>
      <c r="I21" s="237">
        <v>4446336.7163592316</v>
      </c>
      <c r="J21" s="250">
        <f>4601141.6*0.83</f>
        <v>3818947.5279999995</v>
      </c>
      <c r="K21" s="251">
        <f>1735344</f>
        <v>1735344</v>
      </c>
      <c r="L21" s="251">
        <f>1820398</f>
        <v>1820398</v>
      </c>
    </row>
    <row r="22" spans="1:12" s="209" customFormat="1">
      <c r="A22" s="214" t="s">
        <v>106</v>
      </c>
      <c r="B22" s="228">
        <v>1613633</v>
      </c>
      <c r="C22" s="237">
        <v>2250919</v>
      </c>
      <c r="D22" s="241">
        <v>2318136</v>
      </c>
      <c r="E22" s="243">
        <v>1815035</v>
      </c>
      <c r="F22" s="238">
        <v>2083544</v>
      </c>
      <c r="G22" s="217" t="s">
        <v>104</v>
      </c>
      <c r="I22" s="237">
        <v>2250919</v>
      </c>
      <c r="J22" s="241">
        <v>2318136</v>
      </c>
      <c r="K22" s="243">
        <v>1815035</v>
      </c>
      <c r="L22" s="238">
        <v>2083544</v>
      </c>
    </row>
    <row r="23" spans="1:12" s="209" customFormat="1">
      <c r="A23" s="214" t="s">
        <v>107</v>
      </c>
      <c r="B23" s="228">
        <v>1550704</v>
      </c>
      <c r="C23" s="237">
        <v>2183898</v>
      </c>
      <c r="D23" s="241">
        <v>2363682</v>
      </c>
      <c r="E23" s="243">
        <v>1902798</v>
      </c>
      <c r="F23" s="238">
        <v>2503129</v>
      </c>
      <c r="G23" s="217" t="s">
        <v>104</v>
      </c>
      <c r="I23" s="237">
        <v>2183898</v>
      </c>
      <c r="J23" s="241">
        <v>2363682</v>
      </c>
      <c r="K23" s="243">
        <v>1902798</v>
      </c>
      <c r="L23" s="238">
        <v>2503129</v>
      </c>
    </row>
    <row r="24" spans="1:12" s="209" customFormat="1">
      <c r="A24" s="214" t="s">
        <v>108</v>
      </c>
      <c r="B24" s="228">
        <v>443118</v>
      </c>
      <c r="C24" s="237">
        <v>439834</v>
      </c>
      <c r="D24" s="241">
        <v>435847</v>
      </c>
      <c r="E24" s="243">
        <v>439054</v>
      </c>
      <c r="F24" s="238">
        <v>434291</v>
      </c>
      <c r="G24" s="217" t="s">
        <v>104</v>
      </c>
      <c r="I24" s="237">
        <v>439834</v>
      </c>
      <c r="J24" s="241">
        <v>435847</v>
      </c>
      <c r="K24" s="243">
        <v>439054</v>
      </c>
      <c r="L24" s="238">
        <v>434291</v>
      </c>
    </row>
    <row r="25" spans="1:12" s="209" customFormat="1">
      <c r="A25" s="214" t="s">
        <v>109</v>
      </c>
      <c r="B25" s="228">
        <v>9993953</v>
      </c>
      <c r="C25" s="237">
        <v>9921704</v>
      </c>
      <c r="D25" s="241">
        <v>10124159</v>
      </c>
      <c r="E25" s="243">
        <f>9967405+70604</f>
        <v>10038009</v>
      </c>
      <c r="F25" s="238">
        <f>10856360+85445</f>
        <v>10941805</v>
      </c>
      <c r="G25" s="217" t="s">
        <v>104</v>
      </c>
      <c r="I25" s="237">
        <v>9921704</v>
      </c>
      <c r="J25" s="250">
        <f>10124159*0.93</f>
        <v>9415467.870000001</v>
      </c>
      <c r="K25" s="251">
        <f>9967405</f>
        <v>9967405</v>
      </c>
      <c r="L25" s="251">
        <f>10856360</f>
        <v>10856360</v>
      </c>
    </row>
    <row r="26" spans="1:12" s="209" customFormat="1">
      <c r="A26" s="214" t="s">
        <v>110</v>
      </c>
      <c r="B26" s="228">
        <v>2090084</v>
      </c>
      <c r="C26" s="237">
        <v>2416320</v>
      </c>
      <c r="D26" s="241">
        <v>2455796</v>
      </c>
      <c r="E26" s="243">
        <v>1560552</v>
      </c>
      <c r="F26" s="238">
        <v>2197853</v>
      </c>
      <c r="G26" s="217" t="s">
        <v>104</v>
      </c>
      <c r="I26" s="237">
        <v>2416320</v>
      </c>
      <c r="J26" s="241">
        <v>2455796</v>
      </c>
      <c r="K26" s="243">
        <v>1560552</v>
      </c>
      <c r="L26" s="238">
        <v>2197853</v>
      </c>
    </row>
    <row r="27" spans="1:12" s="209" customFormat="1">
      <c r="A27" s="214" t="s">
        <v>111</v>
      </c>
      <c r="B27" s="228">
        <v>3246317</v>
      </c>
      <c r="C27" s="237">
        <v>4856263.3362945914</v>
      </c>
      <c r="D27" s="241">
        <v>4363462.5699786376</v>
      </c>
      <c r="E27" s="243">
        <f>3198061+(3198061*0.58)</f>
        <v>5052936.38</v>
      </c>
      <c r="F27" s="238">
        <f>3312187+1905553</f>
        <v>5217740</v>
      </c>
      <c r="G27" s="217" t="s">
        <v>104</v>
      </c>
      <c r="I27" s="237">
        <v>4856263.3362945914</v>
      </c>
      <c r="J27" s="250">
        <f>4363462.56997864*0.63</f>
        <v>2748981.4190865434</v>
      </c>
      <c r="K27" s="251">
        <f>3198061</f>
        <v>3198061</v>
      </c>
      <c r="L27" s="251">
        <f>3312187</f>
        <v>3312187</v>
      </c>
    </row>
    <row r="28" spans="1:12" s="209" customFormat="1">
      <c r="A28" s="214" t="s">
        <v>113</v>
      </c>
      <c r="B28" s="228">
        <v>510235</v>
      </c>
      <c r="C28" s="237">
        <v>642570</v>
      </c>
      <c r="D28" s="241">
        <v>596052</v>
      </c>
      <c r="E28" s="243">
        <v>549049</v>
      </c>
      <c r="F28" s="238">
        <v>554292</v>
      </c>
      <c r="G28" s="217" t="s">
        <v>112</v>
      </c>
      <c r="I28" s="237">
        <v>642570</v>
      </c>
      <c r="J28" s="241">
        <v>596052</v>
      </c>
      <c r="K28" s="243">
        <v>549049</v>
      </c>
      <c r="L28" s="238">
        <v>554292</v>
      </c>
    </row>
    <row r="29" spans="1:12" s="209" customFormat="1">
      <c r="A29" s="214" t="s">
        <v>114</v>
      </c>
      <c r="B29" s="228">
        <v>7083947</v>
      </c>
      <c r="C29" s="237">
        <v>6831089</v>
      </c>
      <c r="D29" s="241">
        <v>7486016</v>
      </c>
      <c r="E29" s="243">
        <v>7290100</v>
      </c>
      <c r="F29" s="238">
        <v>7359404</v>
      </c>
      <c r="G29" s="217" t="s">
        <v>112</v>
      </c>
      <c r="I29" s="237">
        <v>6831089</v>
      </c>
      <c r="J29" s="241">
        <v>7486016</v>
      </c>
      <c r="K29" s="243">
        <v>7290100</v>
      </c>
      <c r="L29" s="238">
        <v>7359404</v>
      </c>
    </row>
    <row r="30" spans="1:12" s="209" customFormat="1">
      <c r="A30" s="214" t="s">
        <v>116</v>
      </c>
      <c r="B30" s="228">
        <v>903292</v>
      </c>
      <c r="C30" s="237">
        <v>1039319</v>
      </c>
      <c r="D30" s="241">
        <v>1147826</v>
      </c>
      <c r="E30" s="243">
        <v>1082589</v>
      </c>
      <c r="F30" s="238">
        <v>1050017</v>
      </c>
      <c r="G30" s="217" t="s">
        <v>115</v>
      </c>
      <c r="I30" s="237">
        <v>1039319</v>
      </c>
      <c r="J30" s="241">
        <v>1147826</v>
      </c>
      <c r="K30" s="243">
        <v>1082589</v>
      </c>
      <c r="L30" s="238">
        <v>1050017</v>
      </c>
    </row>
    <row r="31" spans="1:12" s="209" customFormat="1">
      <c r="A31" s="214" t="s">
        <v>117</v>
      </c>
      <c r="B31" s="228">
        <v>322801</v>
      </c>
      <c r="C31" s="237">
        <v>342734</v>
      </c>
      <c r="D31" s="241">
        <v>343521</v>
      </c>
      <c r="E31" s="243">
        <v>350787</v>
      </c>
      <c r="F31" s="238">
        <v>373643</v>
      </c>
      <c r="G31" s="217" t="s">
        <v>115</v>
      </c>
      <c r="I31" s="237">
        <v>342734</v>
      </c>
      <c r="J31" s="241">
        <v>343521</v>
      </c>
      <c r="K31" s="243">
        <v>350787</v>
      </c>
      <c r="L31" s="238">
        <v>373643</v>
      </c>
    </row>
    <row r="32" spans="1:12" s="209" customFormat="1">
      <c r="A32" s="214" t="s">
        <v>118</v>
      </c>
      <c r="B32" s="228">
        <v>2293106</v>
      </c>
      <c r="C32" s="237">
        <v>2445997</v>
      </c>
      <c r="D32" s="241">
        <v>2583983</v>
      </c>
      <c r="E32" s="243">
        <v>2537776</v>
      </c>
      <c r="F32" s="238">
        <v>2582667</v>
      </c>
      <c r="G32" s="217" t="s">
        <v>115</v>
      </c>
      <c r="I32" s="237">
        <v>2445997</v>
      </c>
      <c r="J32" s="241">
        <v>2583983</v>
      </c>
      <c r="K32" s="243">
        <v>2537776</v>
      </c>
      <c r="L32" s="238">
        <v>2582667</v>
      </c>
    </row>
    <row r="33" spans="1:12" s="209" customFormat="1">
      <c r="A33" s="214" t="s">
        <v>119</v>
      </c>
      <c r="B33" s="228">
        <v>211470</v>
      </c>
      <c r="C33" s="237">
        <v>279770</v>
      </c>
      <c r="D33" s="241">
        <v>219908</v>
      </c>
      <c r="E33" s="243">
        <v>211357</v>
      </c>
      <c r="F33" s="238">
        <v>220116</v>
      </c>
      <c r="G33" s="217" t="s">
        <v>115</v>
      </c>
      <c r="I33" s="237">
        <v>279770</v>
      </c>
      <c r="J33" s="241">
        <v>219908</v>
      </c>
      <c r="K33" s="243">
        <v>211357</v>
      </c>
      <c r="L33" s="238">
        <v>220116</v>
      </c>
    </row>
    <row r="34" spans="1:12" s="209" customFormat="1">
      <c r="A34" s="214" t="s">
        <v>121</v>
      </c>
      <c r="B34" s="228">
        <v>246480.66167042419</v>
      </c>
      <c r="C34" s="237">
        <v>564906</v>
      </c>
      <c r="D34" s="241">
        <v>581543</v>
      </c>
      <c r="E34" s="243">
        <v>604900</v>
      </c>
      <c r="F34" s="238">
        <v>710177</v>
      </c>
      <c r="G34" s="217" t="s">
        <v>120</v>
      </c>
      <c r="I34" s="237">
        <v>564906</v>
      </c>
      <c r="J34" s="241">
        <v>581543</v>
      </c>
      <c r="K34" s="243">
        <v>604900</v>
      </c>
      <c r="L34" s="238">
        <v>710177</v>
      </c>
    </row>
    <row r="35" spans="1:12" s="209" customFormat="1">
      <c r="A35" s="214" t="s">
        <v>122</v>
      </c>
      <c r="B35" s="228">
        <v>719377</v>
      </c>
      <c r="C35" s="237">
        <v>760696</v>
      </c>
      <c r="D35" s="241">
        <v>738854</v>
      </c>
      <c r="E35" s="243">
        <v>752668</v>
      </c>
      <c r="F35" s="238">
        <v>753636</v>
      </c>
      <c r="G35" s="217" t="s">
        <v>120</v>
      </c>
      <c r="I35" s="237">
        <v>760696</v>
      </c>
      <c r="J35" s="241">
        <v>738854</v>
      </c>
      <c r="K35" s="243">
        <v>752668</v>
      </c>
      <c r="L35" s="238">
        <v>753636</v>
      </c>
    </row>
    <row r="36" spans="1:12" s="209" customFormat="1">
      <c r="A36" s="214" t="s">
        <v>123</v>
      </c>
      <c r="B36" s="228">
        <v>190964</v>
      </c>
      <c r="C36" s="237">
        <v>194000</v>
      </c>
      <c r="D36" s="241">
        <v>190391</v>
      </c>
      <c r="E36" s="243">
        <v>175322</v>
      </c>
      <c r="F36" s="238">
        <v>185237</v>
      </c>
      <c r="G36" s="217" t="s">
        <v>120</v>
      </c>
      <c r="I36" s="237">
        <v>194000</v>
      </c>
      <c r="J36" s="241">
        <v>190391</v>
      </c>
      <c r="K36" s="243">
        <v>175322</v>
      </c>
      <c r="L36" s="238">
        <v>185237</v>
      </c>
    </row>
    <row r="37" spans="1:12" s="209" customFormat="1">
      <c r="A37" s="214" t="s">
        <v>125</v>
      </c>
      <c r="B37" s="228">
        <v>1134900</v>
      </c>
      <c r="C37" s="237">
        <v>1398610</v>
      </c>
      <c r="D37" s="241">
        <v>1429809</v>
      </c>
      <c r="E37" s="243">
        <v>1280697</v>
      </c>
      <c r="F37" s="238">
        <v>1402170</v>
      </c>
      <c r="G37" s="217" t="s">
        <v>124</v>
      </c>
      <c r="I37" s="237">
        <v>1398610</v>
      </c>
      <c r="J37" s="241">
        <v>1429809</v>
      </c>
      <c r="K37" s="243">
        <v>1280697</v>
      </c>
      <c r="L37" s="238">
        <v>1402170</v>
      </c>
    </row>
    <row r="38" spans="1:12" s="209" customFormat="1">
      <c r="A38" s="214" t="s">
        <v>126</v>
      </c>
      <c r="B38" s="228">
        <v>389108</v>
      </c>
      <c r="C38" s="237">
        <v>386613</v>
      </c>
      <c r="D38" s="241">
        <v>384029</v>
      </c>
      <c r="E38" s="243">
        <v>410050</v>
      </c>
      <c r="F38" s="238">
        <v>414537</v>
      </c>
      <c r="G38" s="217" t="s">
        <v>124</v>
      </c>
      <c r="I38" s="237">
        <v>386613</v>
      </c>
      <c r="J38" s="241">
        <v>384029</v>
      </c>
      <c r="K38" s="243">
        <v>410050</v>
      </c>
      <c r="L38" s="238">
        <v>414537</v>
      </c>
    </row>
    <row r="39" spans="1:12" s="209" customFormat="1">
      <c r="A39" s="214" t="s">
        <v>127</v>
      </c>
      <c r="B39" s="228">
        <v>2165263</v>
      </c>
      <c r="C39" s="237">
        <f>1421169+348660</f>
        <v>1769829</v>
      </c>
      <c r="D39" s="241">
        <v>1565105</v>
      </c>
      <c r="E39" s="243">
        <v>1036821</v>
      </c>
      <c r="F39" s="238">
        <v>1190608</v>
      </c>
      <c r="G39" s="217" t="s">
        <v>124</v>
      </c>
      <c r="I39" s="237">
        <f>1421169+348660</f>
        <v>1769829</v>
      </c>
      <c r="J39" s="241">
        <v>1565105</v>
      </c>
      <c r="K39" s="243">
        <v>1036821</v>
      </c>
      <c r="L39" s="238">
        <v>1190608</v>
      </c>
    </row>
    <row r="40" spans="1:12" s="209" customFormat="1">
      <c r="A40" s="214" t="s">
        <v>128</v>
      </c>
      <c r="B40" s="228">
        <v>53769</v>
      </c>
      <c r="C40" s="237">
        <v>58939</v>
      </c>
      <c r="D40" s="241">
        <v>60203</v>
      </c>
      <c r="E40" s="243">
        <v>52022</v>
      </c>
      <c r="F40" s="238">
        <v>55690</v>
      </c>
      <c r="G40" s="217" t="s">
        <v>124</v>
      </c>
      <c r="I40" s="237">
        <v>58939</v>
      </c>
      <c r="J40" s="241">
        <v>60203</v>
      </c>
      <c r="K40" s="243">
        <v>52022</v>
      </c>
      <c r="L40" s="238">
        <v>55690</v>
      </c>
    </row>
    <row r="41" spans="1:12" s="209" customFormat="1">
      <c r="A41" s="214" t="s">
        <v>129</v>
      </c>
      <c r="B41" s="228">
        <v>755823</v>
      </c>
      <c r="C41" s="237">
        <v>748206</v>
      </c>
      <c r="D41" s="238">
        <v>664790</v>
      </c>
      <c r="E41" s="243">
        <v>354203</v>
      </c>
      <c r="F41" s="238">
        <v>310870</v>
      </c>
      <c r="G41" s="217" t="s">
        <v>124</v>
      </c>
      <c r="I41" s="237">
        <v>748206</v>
      </c>
      <c r="J41" s="238">
        <v>664790</v>
      </c>
      <c r="K41" s="243">
        <v>354203</v>
      </c>
      <c r="L41" s="238">
        <v>310870</v>
      </c>
    </row>
    <row r="42" spans="1:12" s="209" customFormat="1">
      <c r="A42" s="223" t="s">
        <v>130</v>
      </c>
      <c r="B42" s="253">
        <v>859784</v>
      </c>
      <c r="C42" s="237">
        <v>932702</v>
      </c>
      <c r="D42" s="241">
        <v>932594</v>
      </c>
      <c r="E42" s="243">
        <v>835707</v>
      </c>
      <c r="F42" s="254">
        <v>935668</v>
      </c>
      <c r="G42" s="217" t="s">
        <v>124</v>
      </c>
      <c r="I42" s="237">
        <v>932702</v>
      </c>
      <c r="J42" s="241">
        <v>932594</v>
      </c>
      <c r="K42" s="243">
        <v>835707</v>
      </c>
      <c r="L42" s="254">
        <v>935668</v>
      </c>
    </row>
    <row r="43" spans="1:12">
      <c r="A43" s="236" t="s">
        <v>135</v>
      </c>
      <c r="B43" s="255">
        <v>61150254</v>
      </c>
      <c r="C43" s="263">
        <f>SUM(C3:C42)</f>
        <v>67705611.052653819</v>
      </c>
      <c r="D43" s="263">
        <f>SUM(D3:D42)</f>
        <v>68579065.169978648</v>
      </c>
      <c r="E43" s="263">
        <f>SUM(E3:E42)</f>
        <v>61109691.880000003</v>
      </c>
      <c r="F43" s="263">
        <f>SUM(F3:F42)</f>
        <v>63847931.5</v>
      </c>
      <c r="I43" s="263">
        <f>SUM(I3:I42)</f>
        <v>67705611.052653819</v>
      </c>
      <c r="J43" s="263">
        <f>SUM(J3:J42)</f>
        <v>65473698.817086548</v>
      </c>
      <c r="K43" s="263">
        <f>SUM(K3:K42)</f>
        <v>58863534</v>
      </c>
      <c r="L43" s="263">
        <f>SUM(L3:L42)</f>
        <v>61428971</v>
      </c>
    </row>
    <row r="44" spans="1:12">
      <c r="B44" s="264"/>
      <c r="C44" s="258"/>
      <c r="D44" s="228"/>
      <c r="I44" s="258"/>
      <c r="J44" s="228"/>
    </row>
  </sheetData>
  <pageMargins left="0.25" right="0.25" top="0.75" bottom="0.75" header="0.3" footer="0.3"/>
  <pageSetup scale="93"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F6E63-EEB2-4EB2-AE30-FD0770CDCA40}">
  <sheetPr>
    <pageSetUpPr fitToPage="1"/>
  </sheetPr>
  <dimension ref="A1:C44"/>
  <sheetViews>
    <sheetView zoomScale="80" zoomScaleNormal="80" workbookViewId="0"/>
  </sheetViews>
  <sheetFormatPr defaultColWidth="9.28515625" defaultRowHeight="14.25"/>
  <cols>
    <col min="1" max="1" width="46.7109375" style="230" bestFit="1" customWidth="1"/>
    <col min="2" max="2" width="17.42578125" style="230" customWidth="1"/>
    <col min="3" max="3" width="15.28515625" style="230" customWidth="1"/>
    <col min="4" max="16384" width="9.28515625" style="230"/>
  </cols>
  <sheetData>
    <row r="1" spans="1:3" ht="20.25">
      <c r="A1" s="370" t="s">
        <v>453</v>
      </c>
    </row>
    <row r="2" spans="1:3">
      <c r="A2" s="230" t="s">
        <v>138</v>
      </c>
      <c r="B2" s="231">
        <v>2022</v>
      </c>
    </row>
    <row r="3" spans="1:3">
      <c r="A3" s="236" t="s">
        <v>132</v>
      </c>
      <c r="B3" s="265" t="s">
        <v>139</v>
      </c>
    </row>
    <row r="4" spans="1:3">
      <c r="A4" s="266" t="s">
        <v>83</v>
      </c>
      <c r="B4" s="267">
        <v>2305461</v>
      </c>
      <c r="C4" s="217" t="s">
        <v>82</v>
      </c>
    </row>
    <row r="5" spans="1:3">
      <c r="A5" s="266" t="s">
        <v>84</v>
      </c>
      <c r="B5" s="267">
        <v>453078</v>
      </c>
      <c r="C5" s="217" t="s">
        <v>82</v>
      </c>
    </row>
    <row r="6" spans="1:3">
      <c r="A6" s="266" t="s">
        <v>85</v>
      </c>
      <c r="B6" s="267">
        <f>2197137+427921</f>
        <v>2625058</v>
      </c>
      <c r="C6" s="217" t="s">
        <v>82</v>
      </c>
    </row>
    <row r="7" spans="1:3">
      <c r="A7" s="266" t="s">
        <v>86</v>
      </c>
      <c r="B7" s="267">
        <v>2162547</v>
      </c>
      <c r="C7" s="217" t="s">
        <v>82</v>
      </c>
    </row>
    <row r="8" spans="1:3">
      <c r="A8" s="266" t="s">
        <v>87</v>
      </c>
      <c r="B8" s="267">
        <v>403050</v>
      </c>
      <c r="C8" s="217" t="s">
        <v>82</v>
      </c>
    </row>
    <row r="9" spans="1:3">
      <c r="A9" s="266" t="s">
        <v>89</v>
      </c>
      <c r="B9" s="267">
        <v>9117656</v>
      </c>
      <c r="C9" s="217" t="s">
        <v>88</v>
      </c>
    </row>
    <row r="10" spans="1:3">
      <c r="A10" s="268"/>
      <c r="B10" s="269"/>
      <c r="C10" s="222"/>
    </row>
    <row r="11" spans="1:3">
      <c r="A11" s="266" t="s">
        <v>91</v>
      </c>
      <c r="B11" s="267">
        <v>4295390</v>
      </c>
      <c r="C11" s="217" t="s">
        <v>90</v>
      </c>
    </row>
    <row r="12" spans="1:3">
      <c r="A12" s="266" t="s">
        <v>93</v>
      </c>
      <c r="B12" s="267">
        <v>1722873</v>
      </c>
      <c r="C12" s="217" t="s">
        <v>92</v>
      </c>
    </row>
    <row r="13" spans="1:3">
      <c r="A13" s="266" t="s">
        <v>94</v>
      </c>
      <c r="B13" s="267">
        <v>161701</v>
      </c>
      <c r="C13" s="217" t="s">
        <v>92</v>
      </c>
    </row>
    <row r="14" spans="1:3">
      <c r="A14" s="266" t="s">
        <v>95</v>
      </c>
      <c r="B14" s="267">
        <v>99106247</v>
      </c>
      <c r="C14" s="217" t="s">
        <v>92</v>
      </c>
    </row>
    <row r="15" spans="1:3">
      <c r="A15" s="266" t="s">
        <v>96</v>
      </c>
      <c r="B15" s="267">
        <v>1199104</v>
      </c>
      <c r="C15" s="217" t="s">
        <v>92</v>
      </c>
    </row>
    <row r="16" spans="1:3">
      <c r="A16" s="266" t="s">
        <v>97</v>
      </c>
      <c r="B16" s="267">
        <v>67079</v>
      </c>
      <c r="C16" s="217" t="s">
        <v>92</v>
      </c>
    </row>
    <row r="17" spans="1:3">
      <c r="A17" s="266" t="s">
        <v>98</v>
      </c>
      <c r="B17" s="267">
        <f>6271355+851987</f>
        <v>7123342</v>
      </c>
      <c r="C17" s="217" t="s">
        <v>92</v>
      </c>
    </row>
    <row r="18" spans="1:3">
      <c r="A18" s="266" t="s">
        <v>100</v>
      </c>
      <c r="B18" s="267">
        <v>3168403</v>
      </c>
      <c r="C18" s="217" t="s">
        <v>99</v>
      </c>
    </row>
    <row r="19" spans="1:3">
      <c r="A19" s="266" t="s">
        <v>101</v>
      </c>
      <c r="B19" s="267">
        <v>605988</v>
      </c>
      <c r="C19" s="217" t="s">
        <v>99</v>
      </c>
    </row>
    <row r="20" spans="1:3">
      <c r="A20" s="266" t="s">
        <v>102</v>
      </c>
      <c r="B20" s="267">
        <v>7645579</v>
      </c>
      <c r="C20" s="217" t="s">
        <v>99</v>
      </c>
    </row>
    <row r="21" spans="1:3">
      <c r="A21" s="266" t="s">
        <v>103</v>
      </c>
      <c r="B21" s="267">
        <v>107836</v>
      </c>
      <c r="C21" s="217" t="s">
        <v>99</v>
      </c>
    </row>
    <row r="22" spans="1:3">
      <c r="A22" s="266" t="s">
        <v>105</v>
      </c>
      <c r="B22" s="267">
        <v>15647246</v>
      </c>
      <c r="C22" s="217" t="s">
        <v>104</v>
      </c>
    </row>
    <row r="23" spans="1:3">
      <c r="A23" s="266" t="s">
        <v>106</v>
      </c>
      <c r="B23" s="267">
        <v>26239078</v>
      </c>
      <c r="C23" s="217" t="s">
        <v>104</v>
      </c>
    </row>
    <row r="24" spans="1:3">
      <c r="A24" s="266" t="s">
        <v>107</v>
      </c>
      <c r="B24" s="267">
        <v>27236031</v>
      </c>
      <c r="C24" s="217" t="s">
        <v>104</v>
      </c>
    </row>
    <row r="25" spans="1:3">
      <c r="A25" s="266" t="s">
        <v>108</v>
      </c>
      <c r="B25" s="267">
        <v>5244294</v>
      </c>
      <c r="C25" s="217" t="s">
        <v>104</v>
      </c>
    </row>
    <row r="26" spans="1:3">
      <c r="A26" s="266" t="s">
        <v>109</v>
      </c>
      <c r="B26" s="267">
        <v>103337911</v>
      </c>
      <c r="C26" s="217" t="s">
        <v>104</v>
      </c>
    </row>
    <row r="27" spans="1:3">
      <c r="A27" s="266" t="s">
        <v>110</v>
      </c>
      <c r="B27" s="267">
        <v>60655515</v>
      </c>
      <c r="C27" s="217" t="s">
        <v>104</v>
      </c>
    </row>
    <row r="28" spans="1:3">
      <c r="A28" s="266" t="s">
        <v>111</v>
      </c>
      <c r="B28" s="267">
        <v>33464344</v>
      </c>
      <c r="C28" s="217" t="s">
        <v>104</v>
      </c>
    </row>
    <row r="29" spans="1:3">
      <c r="A29" s="266" t="s">
        <v>113</v>
      </c>
      <c r="B29" s="267">
        <v>4066652</v>
      </c>
      <c r="C29" s="217" t="s">
        <v>112</v>
      </c>
    </row>
    <row r="30" spans="1:3">
      <c r="A30" s="266" t="s">
        <v>114</v>
      </c>
      <c r="B30" s="267">
        <v>57445154</v>
      </c>
      <c r="C30" s="217" t="s">
        <v>112</v>
      </c>
    </row>
    <row r="31" spans="1:3">
      <c r="A31" s="266" t="s">
        <v>116</v>
      </c>
      <c r="B31" s="267">
        <v>9821438</v>
      </c>
      <c r="C31" s="217" t="s">
        <v>115</v>
      </c>
    </row>
    <row r="32" spans="1:3">
      <c r="A32" s="266" t="s">
        <v>117</v>
      </c>
      <c r="B32" s="267">
        <v>1758084</v>
      </c>
      <c r="C32" s="217" t="s">
        <v>115</v>
      </c>
    </row>
    <row r="33" spans="1:3">
      <c r="A33" s="266" t="s">
        <v>118</v>
      </c>
      <c r="B33" s="267">
        <f>9645948+978360</f>
        <v>10624308</v>
      </c>
      <c r="C33" s="217" t="s">
        <v>115</v>
      </c>
    </row>
    <row r="34" spans="1:3">
      <c r="A34" s="266" t="s">
        <v>119</v>
      </c>
      <c r="B34" s="267">
        <v>741857</v>
      </c>
      <c r="C34" s="217" t="s">
        <v>115</v>
      </c>
    </row>
    <row r="35" spans="1:3">
      <c r="A35" s="266" t="s">
        <v>121</v>
      </c>
      <c r="B35" s="267">
        <f>1049334+555020</f>
        <v>1604354</v>
      </c>
      <c r="C35" s="217" t="s">
        <v>120</v>
      </c>
    </row>
    <row r="36" spans="1:3">
      <c r="A36" s="266" t="s">
        <v>122</v>
      </c>
      <c r="B36" s="267">
        <v>5885541</v>
      </c>
      <c r="C36" s="217" t="s">
        <v>120</v>
      </c>
    </row>
    <row r="37" spans="1:3">
      <c r="A37" s="266" t="s">
        <v>123</v>
      </c>
      <c r="B37" s="267">
        <v>1423713</v>
      </c>
      <c r="C37" s="217" t="s">
        <v>120</v>
      </c>
    </row>
    <row r="38" spans="1:3">
      <c r="A38" s="266" t="s">
        <v>125</v>
      </c>
      <c r="B38" s="267">
        <v>4486729</v>
      </c>
      <c r="C38" s="217" t="s">
        <v>124</v>
      </c>
    </row>
    <row r="39" spans="1:3">
      <c r="A39" s="266" t="s">
        <v>126</v>
      </c>
      <c r="B39" s="267">
        <v>573381</v>
      </c>
      <c r="C39" s="217" t="s">
        <v>124</v>
      </c>
    </row>
    <row r="40" spans="1:3">
      <c r="A40" s="266" t="s">
        <v>127</v>
      </c>
      <c r="B40" s="267">
        <f>3725083+3835748</f>
        <v>7560831</v>
      </c>
      <c r="C40" s="217" t="s">
        <v>124</v>
      </c>
    </row>
    <row r="41" spans="1:3">
      <c r="A41" s="266" t="s">
        <v>128</v>
      </c>
      <c r="B41" s="267">
        <v>162010</v>
      </c>
      <c r="C41" s="217" t="s">
        <v>124</v>
      </c>
    </row>
    <row r="42" spans="1:3">
      <c r="A42" s="266" t="s">
        <v>129</v>
      </c>
      <c r="B42" s="267">
        <v>1205875</v>
      </c>
      <c r="C42" s="217" t="s">
        <v>124</v>
      </c>
    </row>
    <row r="43" spans="1:3">
      <c r="A43" s="266" t="s">
        <v>130</v>
      </c>
      <c r="B43" s="267">
        <v>4022350</v>
      </c>
      <c r="C43" s="217" t="s">
        <v>124</v>
      </c>
    </row>
    <row r="44" spans="1:3">
      <c r="A44" s="270" t="s">
        <v>135</v>
      </c>
      <c r="B44" s="271">
        <f>SUM(B4:B43)</f>
        <v>525477088</v>
      </c>
      <c r="C44" s="272"/>
    </row>
  </sheetData>
  <pageMargins left="0.25" right="0.25" top="0.75" bottom="0.75" header="0.3" footer="0.3"/>
  <pageSetup scale="93"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54BEB-748A-486F-9988-8577041BE7E2}">
  <sheetPr>
    <pageSetUpPr fitToPage="1"/>
  </sheetPr>
  <dimension ref="A1:F45"/>
  <sheetViews>
    <sheetView zoomScale="80" zoomScaleNormal="80" workbookViewId="0"/>
  </sheetViews>
  <sheetFormatPr defaultColWidth="9.28515625" defaultRowHeight="14.25"/>
  <cols>
    <col min="1" max="1" width="46.7109375" style="230" bestFit="1" customWidth="1"/>
    <col min="2" max="4" width="16.7109375" style="257" customWidth="1"/>
    <col min="5" max="5" width="16.7109375" style="230" customWidth="1"/>
    <col min="6" max="6" width="16.28515625" style="230" customWidth="1"/>
    <col min="7" max="16384" width="9.28515625" style="230"/>
  </cols>
  <sheetData>
    <row r="1" spans="1:6" ht="20.25">
      <c r="A1" s="370" t="s">
        <v>454</v>
      </c>
    </row>
    <row r="2" spans="1:6">
      <c r="A2" s="230" t="s">
        <v>140</v>
      </c>
      <c r="B2" s="231">
        <v>2018</v>
      </c>
      <c r="C2" s="231">
        <v>2019</v>
      </c>
      <c r="D2" s="231">
        <v>2021</v>
      </c>
      <c r="E2" s="231">
        <v>2022</v>
      </c>
    </row>
    <row r="3" spans="1:6" ht="30" customHeight="1">
      <c r="A3" s="252" t="s">
        <v>132</v>
      </c>
      <c r="B3" s="273" t="s">
        <v>141</v>
      </c>
      <c r="C3" s="273" t="s">
        <v>141</v>
      </c>
      <c r="D3" s="273" t="s">
        <v>141</v>
      </c>
      <c r="E3" s="273" t="s">
        <v>141</v>
      </c>
    </row>
    <row r="4" spans="1:6">
      <c r="A4" s="236" t="s">
        <v>83</v>
      </c>
      <c r="B4" s="274">
        <v>1633971</v>
      </c>
      <c r="C4" s="275">
        <v>1704406</v>
      </c>
      <c r="D4" s="276">
        <v>1885201</v>
      </c>
      <c r="E4" s="277">
        <v>2305461</v>
      </c>
      <c r="F4" s="217" t="s">
        <v>82</v>
      </c>
    </row>
    <row r="5" spans="1:6">
      <c r="A5" s="236" t="s">
        <v>84</v>
      </c>
      <c r="B5" s="274">
        <v>409789</v>
      </c>
      <c r="C5" s="275">
        <v>408394</v>
      </c>
      <c r="D5" s="276">
        <v>420143</v>
      </c>
      <c r="E5" s="277">
        <v>453078</v>
      </c>
      <c r="F5" s="217" t="s">
        <v>82</v>
      </c>
    </row>
    <row r="6" spans="1:6">
      <c r="A6" s="236" t="s">
        <v>85</v>
      </c>
      <c r="B6" s="274">
        <f>131633+1867167</f>
        <v>1998800</v>
      </c>
      <c r="C6" s="275">
        <v>2142765</v>
      </c>
      <c r="D6" s="276">
        <v>2417284</v>
      </c>
      <c r="E6" s="277">
        <f>2197137+427921</f>
        <v>2625058</v>
      </c>
      <c r="F6" s="217" t="s">
        <v>82</v>
      </c>
    </row>
    <row r="7" spans="1:6">
      <c r="A7" s="236" t="s">
        <v>86</v>
      </c>
      <c r="B7" s="274">
        <v>1794360</v>
      </c>
      <c r="C7" s="275">
        <v>1503619</v>
      </c>
      <c r="D7" s="276">
        <v>1490840</v>
      </c>
      <c r="E7" s="277">
        <v>2166873</v>
      </c>
      <c r="F7" s="217" t="s">
        <v>82</v>
      </c>
    </row>
    <row r="8" spans="1:6">
      <c r="A8" s="236" t="s">
        <v>87</v>
      </c>
      <c r="B8" s="274">
        <v>315308</v>
      </c>
      <c r="C8" s="275">
        <v>312912</v>
      </c>
      <c r="D8" s="276">
        <v>362879</v>
      </c>
      <c r="E8" s="277">
        <v>476060</v>
      </c>
      <c r="F8" s="217" t="s">
        <v>82</v>
      </c>
    </row>
    <row r="9" spans="1:6">
      <c r="A9" s="236" t="s">
        <v>89</v>
      </c>
      <c r="B9" s="274">
        <v>8024981</v>
      </c>
      <c r="C9" s="275">
        <v>8787907</v>
      </c>
      <c r="D9" s="276">
        <v>9097088</v>
      </c>
      <c r="E9" s="277">
        <v>9197369</v>
      </c>
      <c r="F9" s="217" t="s">
        <v>88</v>
      </c>
    </row>
    <row r="10" spans="1:6">
      <c r="A10" s="236"/>
      <c r="B10" s="274">
        <v>0</v>
      </c>
      <c r="C10" s="275">
        <v>0</v>
      </c>
      <c r="D10" s="276">
        <v>0</v>
      </c>
      <c r="E10" s="278">
        <v>0</v>
      </c>
      <c r="F10" s="217"/>
    </row>
    <row r="11" spans="1:6">
      <c r="A11" s="236" t="s">
        <v>91</v>
      </c>
      <c r="B11" s="274">
        <v>3766590</v>
      </c>
      <c r="C11" s="275">
        <v>3794064</v>
      </c>
      <c r="D11" s="276">
        <v>3992271</v>
      </c>
      <c r="E11" s="277">
        <v>4537045</v>
      </c>
      <c r="F11" s="217" t="s">
        <v>90</v>
      </c>
    </row>
    <row r="12" spans="1:6">
      <c r="A12" s="236" t="s">
        <v>93</v>
      </c>
      <c r="B12" s="274">
        <v>1015294</v>
      </c>
      <c r="C12" s="275">
        <v>1302116</v>
      </c>
      <c r="D12" s="276">
        <v>1445143</v>
      </c>
      <c r="E12" s="277">
        <v>1726724</v>
      </c>
      <c r="F12" s="217" t="s">
        <v>92</v>
      </c>
    </row>
    <row r="13" spans="1:6">
      <c r="A13" s="236" t="s">
        <v>94</v>
      </c>
      <c r="B13" s="274">
        <v>160548</v>
      </c>
      <c r="C13" s="275">
        <v>137016</v>
      </c>
      <c r="D13" s="276">
        <v>150877</v>
      </c>
      <c r="E13" s="277">
        <v>167538</v>
      </c>
      <c r="F13" s="217" t="s">
        <v>92</v>
      </c>
    </row>
    <row r="14" spans="1:6">
      <c r="A14" s="236" t="s">
        <v>95</v>
      </c>
      <c r="B14" s="274">
        <v>96337645</v>
      </c>
      <c r="C14" s="275">
        <v>96559705</v>
      </c>
      <c r="D14" s="279">
        <v>104883123</v>
      </c>
      <c r="E14" s="277">
        <v>99766003</v>
      </c>
      <c r="F14" s="217" t="s">
        <v>92</v>
      </c>
    </row>
    <row r="15" spans="1:6">
      <c r="A15" s="236" t="s">
        <v>96</v>
      </c>
      <c r="B15" s="274">
        <f>724963+149940</f>
        <v>874903</v>
      </c>
      <c r="C15" s="275">
        <v>743417</v>
      </c>
      <c r="D15" s="276">
        <v>993897</v>
      </c>
      <c r="E15" s="277">
        <v>1200984</v>
      </c>
      <c r="F15" s="217" t="s">
        <v>92</v>
      </c>
    </row>
    <row r="16" spans="1:6">
      <c r="A16" s="236" t="s">
        <v>97</v>
      </c>
      <c r="B16" s="274">
        <v>83644</v>
      </c>
      <c r="C16" s="275">
        <v>94002</v>
      </c>
      <c r="D16" s="276">
        <v>78491</v>
      </c>
      <c r="E16" s="277">
        <v>67079</v>
      </c>
      <c r="F16" s="217" t="s">
        <v>92</v>
      </c>
    </row>
    <row r="17" spans="1:6">
      <c r="A17" s="236" t="s">
        <v>98</v>
      </c>
      <c r="B17" s="274">
        <f>7014823+533440</f>
        <v>7548263</v>
      </c>
      <c r="C17" s="275">
        <v>7556622</v>
      </c>
      <c r="D17" s="279">
        <v>7106671</v>
      </c>
      <c r="E17" s="277">
        <f>6441826+1022458</f>
        <v>7464284</v>
      </c>
      <c r="F17" s="217" t="s">
        <v>92</v>
      </c>
    </row>
    <row r="18" spans="1:6">
      <c r="A18" s="236" t="s">
        <v>100</v>
      </c>
      <c r="B18" s="274">
        <v>2599569</v>
      </c>
      <c r="C18" s="275">
        <v>2936216</v>
      </c>
      <c r="D18" s="276">
        <v>2798006</v>
      </c>
      <c r="E18" s="277">
        <v>3169013</v>
      </c>
      <c r="F18" s="217" t="s">
        <v>99</v>
      </c>
    </row>
    <row r="19" spans="1:6">
      <c r="A19" s="236" t="s">
        <v>101</v>
      </c>
      <c r="B19" s="274">
        <v>705118</v>
      </c>
      <c r="C19" s="275">
        <v>680721</v>
      </c>
      <c r="D19" s="276">
        <v>618607</v>
      </c>
      <c r="E19" s="277">
        <v>605988</v>
      </c>
      <c r="F19" s="217" t="s">
        <v>99</v>
      </c>
    </row>
    <row r="20" spans="1:6">
      <c r="A20" s="236" t="s">
        <v>102</v>
      </c>
      <c r="B20" s="274">
        <v>8335733</v>
      </c>
      <c r="C20" s="275">
        <v>8090443</v>
      </c>
      <c r="D20" s="276">
        <v>6699359</v>
      </c>
      <c r="E20" s="277">
        <v>7696112</v>
      </c>
      <c r="F20" s="217" t="s">
        <v>99</v>
      </c>
    </row>
    <row r="21" spans="1:6">
      <c r="A21" s="236" t="s">
        <v>103</v>
      </c>
      <c r="B21" s="274">
        <v>101371</v>
      </c>
      <c r="C21" s="275">
        <v>105808</v>
      </c>
      <c r="D21" s="276">
        <v>115693</v>
      </c>
      <c r="E21" s="277">
        <v>107836</v>
      </c>
      <c r="F21" s="217" t="s">
        <v>99</v>
      </c>
    </row>
    <row r="22" spans="1:6">
      <c r="A22" s="236" t="s">
        <v>105</v>
      </c>
      <c r="B22" s="274">
        <v>17214528</v>
      </c>
      <c r="C22" s="275">
        <v>19976846</v>
      </c>
      <c r="D22" s="276">
        <v>17358937</v>
      </c>
      <c r="E22" s="277">
        <v>15647246</v>
      </c>
      <c r="F22" s="217" t="s">
        <v>104</v>
      </c>
    </row>
    <row r="23" spans="1:6">
      <c r="A23" s="236" t="s">
        <v>106</v>
      </c>
      <c r="B23" s="274">
        <v>15987544</v>
      </c>
      <c r="C23" s="275">
        <v>16006416</v>
      </c>
      <c r="D23" s="276">
        <v>20953458</v>
      </c>
      <c r="E23" s="277">
        <v>26239078</v>
      </c>
      <c r="F23" s="217" t="s">
        <v>104</v>
      </c>
    </row>
    <row r="24" spans="1:6">
      <c r="A24" s="236" t="s">
        <v>107</v>
      </c>
      <c r="B24" s="274">
        <v>18475963</v>
      </c>
      <c r="C24" s="275">
        <v>20927678</v>
      </c>
      <c r="D24" s="276">
        <v>24099554</v>
      </c>
      <c r="E24" s="277">
        <v>27269531</v>
      </c>
      <c r="F24" s="217" t="s">
        <v>104</v>
      </c>
    </row>
    <row r="25" spans="1:6">
      <c r="A25" s="236" t="s">
        <v>108</v>
      </c>
      <c r="B25" s="274">
        <v>3919176</v>
      </c>
      <c r="C25" s="275">
        <v>3975210</v>
      </c>
      <c r="D25" s="276">
        <v>4566109</v>
      </c>
      <c r="E25" s="277">
        <v>5346157</v>
      </c>
      <c r="F25" s="217" t="s">
        <v>104</v>
      </c>
    </row>
    <row r="26" spans="1:6">
      <c r="A26" s="236" t="s">
        <v>109</v>
      </c>
      <c r="B26" s="274">
        <v>85931475</v>
      </c>
      <c r="C26" s="275">
        <v>84690252</v>
      </c>
      <c r="D26" s="276">
        <v>96368493</v>
      </c>
      <c r="E26" s="277">
        <v>103826125</v>
      </c>
      <c r="F26" s="217" t="s">
        <v>104</v>
      </c>
    </row>
    <row r="27" spans="1:6">
      <c r="A27" s="236" t="s">
        <v>110</v>
      </c>
      <c r="B27" s="274">
        <v>78840775</v>
      </c>
      <c r="C27" s="275">
        <v>77462324</v>
      </c>
      <c r="D27" s="276">
        <v>81589639</v>
      </c>
      <c r="E27" s="277">
        <v>82086963</v>
      </c>
      <c r="F27" s="217" t="s">
        <v>104</v>
      </c>
    </row>
    <row r="28" spans="1:6">
      <c r="A28" s="236" t="s">
        <v>111</v>
      </c>
      <c r="B28" s="274">
        <v>30927035</v>
      </c>
      <c r="C28" s="275">
        <v>32732408</v>
      </c>
      <c r="D28" s="276">
        <v>36961071</v>
      </c>
      <c r="E28" s="277">
        <v>39737337</v>
      </c>
      <c r="F28" s="217" t="s">
        <v>104</v>
      </c>
    </row>
    <row r="29" spans="1:6">
      <c r="A29" s="236" t="s">
        <v>113</v>
      </c>
      <c r="B29" s="274">
        <v>3581824</v>
      </c>
      <c r="C29" s="275">
        <v>3576413</v>
      </c>
      <c r="D29" s="276">
        <v>4655649</v>
      </c>
      <c r="E29" s="277">
        <v>4080556</v>
      </c>
      <c r="F29" s="217" t="s">
        <v>112</v>
      </c>
    </row>
    <row r="30" spans="1:6">
      <c r="A30" s="236" t="s">
        <v>114</v>
      </c>
      <c r="B30" s="280">
        <v>47140849</v>
      </c>
      <c r="C30" s="275">
        <v>51428352</v>
      </c>
      <c r="D30" s="276">
        <v>64863638</v>
      </c>
      <c r="E30" s="277">
        <v>58367488</v>
      </c>
      <c r="F30" s="217" t="s">
        <v>112</v>
      </c>
    </row>
    <row r="31" spans="1:6">
      <c r="A31" s="236" t="s">
        <v>116</v>
      </c>
      <c r="B31" s="274">
        <v>8994328</v>
      </c>
      <c r="C31" s="275">
        <v>9105239</v>
      </c>
      <c r="D31" s="276">
        <v>9918427</v>
      </c>
      <c r="E31" s="277">
        <v>10001495</v>
      </c>
      <c r="F31" s="217" t="s">
        <v>115</v>
      </c>
    </row>
    <row r="32" spans="1:6">
      <c r="A32" s="236" t="s">
        <v>117</v>
      </c>
      <c r="B32" s="274">
        <v>1434443</v>
      </c>
      <c r="C32" s="275">
        <v>1572280</v>
      </c>
      <c r="D32" s="276">
        <v>1675170</v>
      </c>
      <c r="E32" s="277">
        <v>1758084</v>
      </c>
      <c r="F32" s="217" t="s">
        <v>115</v>
      </c>
    </row>
    <row r="33" spans="1:6">
      <c r="A33" s="236" t="s">
        <v>118</v>
      </c>
      <c r="B33" s="274">
        <f>8776429+808569</f>
        <v>9584998</v>
      </c>
      <c r="C33" s="275">
        <v>10440607</v>
      </c>
      <c r="D33" s="276">
        <v>10417569</v>
      </c>
      <c r="E33" s="267">
        <f>9645948+978360</f>
        <v>10624308</v>
      </c>
      <c r="F33" s="217" t="s">
        <v>115</v>
      </c>
    </row>
    <row r="34" spans="1:6">
      <c r="A34" s="236" t="s">
        <v>119</v>
      </c>
      <c r="B34" s="274">
        <v>737470</v>
      </c>
      <c r="C34" s="275">
        <v>733936</v>
      </c>
      <c r="D34" s="276">
        <v>798818</v>
      </c>
      <c r="E34" s="277">
        <v>788081</v>
      </c>
      <c r="F34" s="217" t="s">
        <v>115</v>
      </c>
    </row>
    <row r="35" spans="1:6">
      <c r="A35" s="236" t="s">
        <v>121</v>
      </c>
      <c r="B35" s="274">
        <f>1404136+657343</f>
        <v>2061479</v>
      </c>
      <c r="C35" s="275">
        <v>2120796</v>
      </c>
      <c r="D35" s="276">
        <v>2288742</v>
      </c>
      <c r="E35" s="277">
        <f>1677633+845055</f>
        <v>2522688</v>
      </c>
      <c r="F35" s="217" t="s">
        <v>120</v>
      </c>
    </row>
    <row r="36" spans="1:6">
      <c r="A36" s="236" t="s">
        <v>122</v>
      </c>
      <c r="B36" s="274">
        <v>4654028</v>
      </c>
      <c r="C36" s="275">
        <v>4923501</v>
      </c>
      <c r="D36" s="276">
        <v>5921804</v>
      </c>
      <c r="E36" s="277">
        <v>5960670</v>
      </c>
      <c r="F36" s="217" t="s">
        <v>120</v>
      </c>
    </row>
    <row r="37" spans="1:6">
      <c r="A37" s="236" t="s">
        <v>123</v>
      </c>
      <c r="B37" s="274">
        <v>1025868</v>
      </c>
      <c r="C37" s="275">
        <v>1130919</v>
      </c>
      <c r="D37" s="276">
        <v>1269764</v>
      </c>
      <c r="E37" s="277">
        <v>1423713</v>
      </c>
      <c r="F37" s="217" t="s">
        <v>120</v>
      </c>
    </row>
    <row r="38" spans="1:6">
      <c r="A38" s="236" t="s">
        <v>125</v>
      </c>
      <c r="B38" s="274">
        <v>3608467</v>
      </c>
      <c r="C38" s="275">
        <v>3611536</v>
      </c>
      <c r="D38" s="276">
        <v>3904286</v>
      </c>
      <c r="E38" s="277">
        <v>4637640</v>
      </c>
      <c r="F38" s="217" t="s">
        <v>124</v>
      </c>
    </row>
    <row r="39" spans="1:6">
      <c r="A39" s="236" t="s">
        <v>126</v>
      </c>
      <c r="B39" s="274">
        <v>362637</v>
      </c>
      <c r="C39" s="275">
        <v>409057</v>
      </c>
      <c r="D39" s="276">
        <v>578833</v>
      </c>
      <c r="E39" s="277">
        <v>573381</v>
      </c>
      <c r="F39" s="217" t="s">
        <v>124</v>
      </c>
    </row>
    <row r="40" spans="1:6">
      <c r="A40" s="236" t="s">
        <v>127</v>
      </c>
      <c r="B40" s="274">
        <f>3569368+2801436+900094</f>
        <v>7270898</v>
      </c>
      <c r="C40" s="275">
        <f>6853917+1111756</f>
        <v>7965673</v>
      </c>
      <c r="D40" s="276">
        <v>8461164</v>
      </c>
      <c r="E40" s="277">
        <f>3756448+3918424</f>
        <v>7674872</v>
      </c>
      <c r="F40" s="217" t="s">
        <v>124</v>
      </c>
    </row>
    <row r="41" spans="1:6">
      <c r="A41" s="236" t="s">
        <v>128</v>
      </c>
      <c r="B41" s="274">
        <v>136492</v>
      </c>
      <c r="C41" s="275">
        <v>143885</v>
      </c>
      <c r="D41" s="276">
        <v>146394</v>
      </c>
      <c r="E41" s="277">
        <v>162010</v>
      </c>
      <c r="F41" s="217" t="s">
        <v>124</v>
      </c>
    </row>
    <row r="42" spans="1:6">
      <c r="A42" s="236" t="s">
        <v>129</v>
      </c>
      <c r="B42" s="274">
        <v>1341070</v>
      </c>
      <c r="C42" s="275">
        <v>1405969</v>
      </c>
      <c r="D42" s="276">
        <v>1217295</v>
      </c>
      <c r="E42" s="277">
        <v>1442390</v>
      </c>
      <c r="F42" s="217" t="s">
        <v>124</v>
      </c>
    </row>
    <row r="43" spans="1:6">
      <c r="A43" s="252" t="s">
        <v>130</v>
      </c>
      <c r="B43" s="274">
        <v>2938525</v>
      </c>
      <c r="C43" s="275">
        <v>3146640</v>
      </c>
      <c r="D43" s="276">
        <v>3325310</v>
      </c>
      <c r="E43" s="277">
        <v>4022350</v>
      </c>
      <c r="F43" s="217" t="s">
        <v>124</v>
      </c>
    </row>
    <row r="44" spans="1:6">
      <c r="A44" s="236" t="s">
        <v>135</v>
      </c>
      <c r="B44" s="271">
        <f>SUM(B4:B43)</f>
        <v>481875759</v>
      </c>
      <c r="C44" s="271">
        <f>SUM(C4:C43)</f>
        <v>494346070</v>
      </c>
      <c r="D44" s="281">
        <f>SUM(D4:D43)</f>
        <v>545895697</v>
      </c>
      <c r="E44" s="282">
        <f>SUM(E4:E43)</f>
        <v>557924668</v>
      </c>
    </row>
    <row r="45" spans="1:6">
      <c r="B45" s="258"/>
      <c r="C45" s="258"/>
    </row>
  </sheetData>
  <pageMargins left="0.25" right="0.25" top="0.75" bottom="0.75" header="0.3" footer="0.3"/>
  <pageSetup scale="94"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73C97-D89B-4E40-9F91-3FFC3624FF3A}">
  <sheetPr>
    <tabColor rgb="FF7030A0"/>
  </sheetPr>
  <dimension ref="A1:AE128"/>
  <sheetViews>
    <sheetView showGridLines="0" zoomScale="80" zoomScaleNormal="80" workbookViewId="0"/>
  </sheetViews>
  <sheetFormatPr defaultColWidth="8.7109375" defaultRowHeight="12.75"/>
  <cols>
    <col min="1" max="1" width="20" style="572" customWidth="1"/>
    <col min="2" max="2" width="26.28515625" style="572" customWidth="1"/>
    <col min="3" max="3" width="32.85546875" style="572" hidden="1" customWidth="1"/>
    <col min="4" max="4" width="22.28515625" style="572" customWidth="1"/>
    <col min="5" max="5" width="19.7109375" style="572" hidden="1" customWidth="1"/>
    <col min="6" max="6" width="23.5703125" style="572" customWidth="1"/>
    <col min="7" max="7" width="15.42578125" style="572" customWidth="1"/>
    <col min="8" max="8" width="13.7109375" style="572" customWidth="1"/>
    <col min="9" max="9" width="8.7109375" style="572"/>
    <col min="10" max="10" width="0" style="572" hidden="1" customWidth="1"/>
    <col min="11" max="11" width="20.140625" style="572" customWidth="1"/>
    <col min="12" max="12" width="8.5703125" style="572" customWidth="1"/>
    <col min="13" max="14" width="16" style="572" customWidth="1"/>
    <col min="15" max="15" width="17.140625" style="572" customWidth="1"/>
    <col min="16" max="16" width="1.28515625" style="572" customWidth="1"/>
    <col min="17" max="18" width="16.85546875" style="572" customWidth="1"/>
    <col min="19" max="19" width="19.42578125" style="572" customWidth="1"/>
    <col min="20" max="20" width="14.7109375" style="572" customWidth="1"/>
    <col min="21" max="21" width="8.7109375" style="572"/>
    <col min="22" max="22" width="15.85546875" style="572" customWidth="1"/>
    <col min="23" max="23" width="8.7109375" style="572"/>
    <col min="24" max="24" width="11.85546875" style="572" customWidth="1"/>
    <col min="25" max="25" width="8.7109375" style="572"/>
    <col min="26" max="26" width="11.42578125" style="572" customWidth="1"/>
    <col min="27" max="16384" width="8.7109375" style="572"/>
  </cols>
  <sheetData>
    <row r="1" spans="1:6" ht="18.75" thickBot="1">
      <c r="A1" s="1138" t="s">
        <v>429</v>
      </c>
    </row>
    <row r="2" spans="1:6">
      <c r="B2" s="612" t="s">
        <v>222</v>
      </c>
      <c r="C2" s="613"/>
      <c r="D2" s="614" t="s">
        <v>223</v>
      </c>
      <c r="E2" s="615" t="s">
        <v>224</v>
      </c>
      <c r="F2" s="616" t="s">
        <v>225</v>
      </c>
    </row>
    <row r="3" spans="1:6">
      <c r="B3" s="617"/>
      <c r="C3" s="618"/>
      <c r="D3" s="619"/>
      <c r="E3" s="620" t="s">
        <v>226</v>
      </c>
      <c r="F3" s="621"/>
    </row>
    <row r="4" spans="1:6">
      <c r="B4" s="622"/>
      <c r="C4" s="623"/>
      <c r="D4" s="623"/>
      <c r="E4" s="624" t="s">
        <v>227</v>
      </c>
      <c r="F4" s="625" t="s">
        <v>228</v>
      </c>
    </row>
    <row r="5" spans="1:6">
      <c r="B5" s="622"/>
      <c r="C5" s="623"/>
      <c r="D5" s="623"/>
      <c r="E5" s="624" t="s">
        <v>229</v>
      </c>
      <c r="F5" s="625" t="s">
        <v>230</v>
      </c>
    </row>
    <row r="6" spans="1:6">
      <c r="B6" s="626"/>
      <c r="C6" s="627"/>
      <c r="D6" s="627"/>
      <c r="E6" s="628" t="s">
        <v>231</v>
      </c>
      <c r="F6" s="629" t="s">
        <v>232</v>
      </c>
    </row>
    <row r="7" spans="1:6">
      <c r="B7" s="622"/>
      <c r="C7" s="630"/>
      <c r="D7" s="630"/>
      <c r="E7" s="628" t="s">
        <v>233</v>
      </c>
      <c r="F7" s="629" t="s">
        <v>232</v>
      </c>
    </row>
    <row r="8" spans="1:6">
      <c r="B8" s="631" t="s">
        <v>234</v>
      </c>
      <c r="C8" s="632" t="s">
        <v>235</v>
      </c>
      <c r="D8" s="633">
        <v>0.5</v>
      </c>
      <c r="E8" s="634" t="s">
        <v>236</v>
      </c>
      <c r="F8" s="635">
        <v>0.35</v>
      </c>
    </row>
    <row r="9" spans="1:6">
      <c r="B9" s="636"/>
      <c r="C9" s="637" t="s">
        <v>133</v>
      </c>
      <c r="D9" s="638">
        <v>0.3</v>
      </c>
      <c r="E9" s="634" t="s">
        <v>236</v>
      </c>
      <c r="F9" s="639">
        <v>0.35</v>
      </c>
    </row>
    <row r="10" spans="1:6">
      <c r="B10" s="636"/>
      <c r="C10" s="640" t="s">
        <v>136</v>
      </c>
      <c r="D10" s="638">
        <v>0.1</v>
      </c>
      <c r="E10" s="634" t="s">
        <v>236</v>
      </c>
      <c r="F10" s="639">
        <v>0.15</v>
      </c>
    </row>
    <row r="11" spans="1:6" ht="13.5" thickBot="1">
      <c r="B11" s="641"/>
      <c r="C11" s="642" t="s">
        <v>137</v>
      </c>
      <c r="D11" s="643">
        <v>0.1</v>
      </c>
      <c r="E11" s="634" t="s">
        <v>236</v>
      </c>
      <c r="F11" s="644">
        <v>0.15</v>
      </c>
    </row>
    <row r="12" spans="1:6">
      <c r="B12" s="645" t="s">
        <v>237</v>
      </c>
      <c r="C12" s="646" t="s">
        <v>238</v>
      </c>
      <c r="D12" s="647">
        <v>0.2</v>
      </c>
      <c r="E12" s="634" t="s">
        <v>236</v>
      </c>
      <c r="F12" s="648">
        <v>0</v>
      </c>
    </row>
    <row r="13" spans="1:6">
      <c r="B13" s="631" t="s">
        <v>239</v>
      </c>
      <c r="C13" s="649" t="s">
        <v>240</v>
      </c>
      <c r="D13" s="650">
        <v>0.2</v>
      </c>
      <c r="E13" s="634" t="s">
        <v>236</v>
      </c>
      <c r="F13" s="639">
        <v>0</v>
      </c>
    </row>
    <row r="14" spans="1:6">
      <c r="B14" s="631" t="s">
        <v>241</v>
      </c>
      <c r="C14" s="649" t="s">
        <v>242</v>
      </c>
      <c r="D14" s="650">
        <v>0.2</v>
      </c>
      <c r="E14" s="634" t="s">
        <v>236</v>
      </c>
      <c r="F14" s="639">
        <v>0</v>
      </c>
    </row>
    <row r="15" spans="1:6">
      <c r="B15" s="636"/>
      <c r="C15" s="649" t="s">
        <v>243</v>
      </c>
      <c r="D15" s="650">
        <v>0.2</v>
      </c>
      <c r="E15" s="634" t="s">
        <v>236</v>
      </c>
      <c r="F15" s="639">
        <v>0</v>
      </c>
    </row>
    <row r="16" spans="1:6" ht="13.5" thickBot="1">
      <c r="B16" s="641"/>
      <c r="C16" s="651" t="s">
        <v>244</v>
      </c>
      <c r="D16" s="652">
        <v>0.2</v>
      </c>
      <c r="E16" s="634" t="s">
        <v>236</v>
      </c>
      <c r="F16" s="644">
        <v>0</v>
      </c>
    </row>
    <row r="17" spans="2:19" ht="24.75" thickBot="1">
      <c r="B17" s="653" t="s">
        <v>245</v>
      </c>
      <c r="C17" s="654"/>
      <c r="D17" s="655" t="s">
        <v>246</v>
      </c>
      <c r="E17" s="634" t="s">
        <v>236</v>
      </c>
      <c r="F17" s="656" t="s">
        <v>247</v>
      </c>
    </row>
    <row r="18" spans="2:19">
      <c r="B18" s="657" t="s">
        <v>248</v>
      </c>
      <c r="C18" s="646" t="s">
        <v>249</v>
      </c>
      <c r="D18" s="658" t="s">
        <v>155</v>
      </c>
      <c r="E18" s="634" t="s">
        <v>236</v>
      </c>
      <c r="F18" s="659" t="s">
        <v>250</v>
      </c>
    </row>
    <row r="19" spans="2:19">
      <c r="B19" s="660" t="s">
        <v>251</v>
      </c>
      <c r="C19" s="649" t="s">
        <v>252</v>
      </c>
      <c r="D19" s="661" t="s">
        <v>155</v>
      </c>
      <c r="E19" s="634" t="s">
        <v>236</v>
      </c>
      <c r="F19" s="662" t="s">
        <v>253</v>
      </c>
    </row>
    <row r="20" spans="2:19">
      <c r="B20" s="660" t="s">
        <v>254</v>
      </c>
      <c r="C20" s="649" t="s">
        <v>240</v>
      </c>
      <c r="D20" s="663" t="s">
        <v>155</v>
      </c>
      <c r="E20" s="634" t="s">
        <v>236</v>
      </c>
      <c r="F20" s="662">
        <v>0.25</v>
      </c>
    </row>
    <row r="21" spans="2:19">
      <c r="B21" s="660"/>
      <c r="C21" s="649" t="s">
        <v>238</v>
      </c>
      <c r="D21" s="663" t="s">
        <v>155</v>
      </c>
      <c r="E21" s="634" t="s">
        <v>236</v>
      </c>
      <c r="F21" s="662">
        <v>0.25</v>
      </c>
    </row>
    <row r="22" spans="2:19" ht="13.5" thickBot="1">
      <c r="B22" s="664"/>
      <c r="C22" s="665" t="s">
        <v>166</v>
      </c>
      <c r="D22" s="663" t="s">
        <v>155</v>
      </c>
      <c r="E22" s="634" t="s">
        <v>236</v>
      </c>
      <c r="F22" s="666">
        <v>0.5</v>
      </c>
    </row>
    <row r="23" spans="2:19">
      <c r="B23" s="657" t="s">
        <v>255</v>
      </c>
      <c r="C23" s="646" t="s">
        <v>256</v>
      </c>
      <c r="D23" s="647">
        <v>0.3</v>
      </c>
      <c r="E23" s="634" t="s">
        <v>236</v>
      </c>
      <c r="F23" s="667">
        <v>0.3</v>
      </c>
    </row>
    <row r="24" spans="2:19" ht="13.5" thickBot="1">
      <c r="B24" s="668"/>
      <c r="C24" s="651" t="s">
        <v>257</v>
      </c>
      <c r="D24" s="652">
        <v>0.3</v>
      </c>
      <c r="E24" s="634" t="s">
        <v>236</v>
      </c>
      <c r="F24" s="669">
        <v>0.3</v>
      </c>
    </row>
    <row r="26" spans="2:19" ht="37.5" customHeight="1">
      <c r="B26" s="670" t="s">
        <v>29</v>
      </c>
      <c r="C26" s="671"/>
      <c r="D26" s="672" t="s">
        <v>258</v>
      </c>
      <c r="E26" s="673"/>
      <c r="F26" s="672" t="s">
        <v>259</v>
      </c>
      <c r="G26" s="673" t="s">
        <v>260</v>
      </c>
      <c r="H26" s="673" t="s">
        <v>204</v>
      </c>
      <c r="M26" s="674" t="s">
        <v>261</v>
      </c>
      <c r="N26" s="674"/>
      <c r="O26" s="674"/>
      <c r="Q26" s="674" t="s">
        <v>262</v>
      </c>
      <c r="R26" s="674"/>
      <c r="S26" s="674"/>
    </row>
    <row r="27" spans="2:19" ht="15" thickBot="1">
      <c r="B27" s="605" t="s">
        <v>207</v>
      </c>
      <c r="C27" s="675"/>
      <c r="D27" s="588"/>
      <c r="E27" s="588"/>
      <c r="M27" s="572">
        <v>2024</v>
      </c>
      <c r="N27" s="572">
        <v>2025</v>
      </c>
      <c r="O27" s="572">
        <v>2026</v>
      </c>
      <c r="Q27" s="572">
        <v>2024</v>
      </c>
      <c r="R27" s="572">
        <v>2025</v>
      </c>
      <c r="S27" s="572">
        <v>2026</v>
      </c>
    </row>
    <row r="28" spans="2:19" ht="15">
      <c r="B28" s="676" t="s">
        <v>82</v>
      </c>
      <c r="C28" s="677"/>
      <c r="D28" s="678">
        <f>AVERAGE(M28:O28)</f>
        <v>2257448.1399023193</v>
      </c>
      <c r="E28" s="679" t="s">
        <v>236</v>
      </c>
      <c r="F28" s="680">
        <f>AVERAGE(Q28:S28)</f>
        <v>2302545.0132369325</v>
      </c>
      <c r="G28" s="681">
        <f t="shared" ref="G28:G37" si="0">F28-D28</f>
        <v>45096.873334613163</v>
      </c>
      <c r="H28" s="682">
        <f t="shared" ref="H28:H37" si="1">G28/D28</f>
        <v>1.9976925510485712E-2</v>
      </c>
      <c r="M28" s="683">
        <f>'Comparisons-24'!C80</f>
        <v>2393545</v>
      </c>
      <c r="N28" s="683">
        <f>'Comparisons-25'!C80</f>
        <v>2293801</v>
      </c>
      <c r="O28" s="683">
        <f>'Comparisons-26'!C78</f>
        <v>2084998.4197069572</v>
      </c>
      <c r="Q28" s="684">
        <f>'Comparisons-24'!N80</f>
        <v>2390535.8185383161</v>
      </c>
      <c r="R28" s="683">
        <f>'Comparisons-25'!Z80</f>
        <v>2310509.6305614091</v>
      </c>
      <c r="S28" s="683">
        <f>'Comparisons-26'!BJ78</f>
        <v>2206589.5906110718</v>
      </c>
    </row>
    <row r="29" spans="2:19" ht="15">
      <c r="B29" s="685" t="s">
        <v>88</v>
      </c>
      <c r="C29" s="686"/>
      <c r="D29" s="687">
        <f t="shared" ref="D29:D37" si="2">AVERAGE(M29:O29)</f>
        <v>2971811.8341092449</v>
      </c>
      <c r="E29" s="679" t="s">
        <v>236</v>
      </c>
      <c r="F29" s="688">
        <f t="shared" ref="F29:F37" si="3">AVERAGE(Q29:S29)</f>
        <v>2955605.5237816013</v>
      </c>
      <c r="G29" s="689">
        <f t="shared" si="0"/>
        <v>-16206.310327643529</v>
      </c>
      <c r="H29" s="690">
        <f t="shared" si="1"/>
        <v>-5.4533433582954699E-3</v>
      </c>
      <c r="M29" s="683">
        <f>'Comparisons-24'!C81</f>
        <v>2759211</v>
      </c>
      <c r="N29" s="683">
        <f>'Comparisons-25'!C81</f>
        <v>2600883</v>
      </c>
      <c r="O29" s="683">
        <f>'Comparisons-26'!C79</f>
        <v>3555341.5023277341</v>
      </c>
      <c r="Q29" s="684">
        <f>'Comparisons-24'!N81</f>
        <v>2759210.6999999997</v>
      </c>
      <c r="R29" s="683">
        <f>'Comparisons-25'!Z81</f>
        <v>2750081.8829921298</v>
      </c>
      <c r="S29" s="683">
        <f>'Comparisons-26'!BJ79</f>
        <v>3357523.9883526759</v>
      </c>
    </row>
    <row r="30" spans="2:19" ht="15">
      <c r="B30" s="685" t="s">
        <v>90</v>
      </c>
      <c r="C30" s="686"/>
      <c r="D30" s="687">
        <f t="shared" si="2"/>
        <v>1071485.0448851464</v>
      </c>
      <c r="E30" s="679" t="s">
        <v>236</v>
      </c>
      <c r="F30" s="688">
        <f t="shared" si="3"/>
        <v>991727.64516962832</v>
      </c>
      <c r="G30" s="689">
        <f t="shared" si="0"/>
        <v>-79757.399715518113</v>
      </c>
      <c r="H30" s="690">
        <f t="shared" si="1"/>
        <v>-7.4436316303478967E-2</v>
      </c>
      <c r="M30" s="683">
        <f>'Comparisons-24'!C82</f>
        <v>1083494</v>
      </c>
      <c r="N30" s="683">
        <f>'Comparisons-25'!C82</f>
        <v>1053666</v>
      </c>
      <c r="O30" s="683">
        <f>'Comparisons-26'!C80</f>
        <v>1077295.1346554393</v>
      </c>
      <c r="Q30" s="684">
        <f>'Comparisons-24'!N82</f>
        <v>1021327.0925876829</v>
      </c>
      <c r="R30" s="683">
        <f>'Comparisons-25'!Z82</f>
        <v>969664.9212815027</v>
      </c>
      <c r="S30" s="683">
        <f>'Comparisons-26'!BJ80</f>
        <v>984190.92163969937</v>
      </c>
    </row>
    <row r="31" spans="2:19" ht="15">
      <c r="B31" s="685" t="s">
        <v>263</v>
      </c>
      <c r="C31" s="686"/>
      <c r="D31" s="687">
        <f t="shared" si="2"/>
        <v>28692230.700066816</v>
      </c>
      <c r="E31" s="679" t="s">
        <v>236</v>
      </c>
      <c r="F31" s="688">
        <f t="shared" si="3"/>
        <v>29276880.127124388</v>
      </c>
      <c r="G31" s="689">
        <f t="shared" si="0"/>
        <v>584649.42705757171</v>
      </c>
      <c r="H31" s="690">
        <f t="shared" si="1"/>
        <v>2.0376576264466262E-2</v>
      </c>
      <c r="M31" s="683">
        <f>'Comparisons-24'!C83</f>
        <v>29989399</v>
      </c>
      <c r="N31" s="683">
        <f>'Comparisons-25'!C83</f>
        <v>28188865</v>
      </c>
      <c r="O31" s="683">
        <f>'Comparisons-26'!C81</f>
        <v>27898428.100200444</v>
      </c>
      <c r="Q31" s="684">
        <f>'Comparisons-24'!N83</f>
        <v>30483257.5740286</v>
      </c>
      <c r="R31" s="683">
        <f>'Comparisons-25'!Z83</f>
        <v>28902775.752657101</v>
      </c>
      <c r="S31" s="683">
        <f>'Comparisons-26'!BJ81</f>
        <v>28444607.054687466</v>
      </c>
    </row>
    <row r="32" spans="2:19" ht="15">
      <c r="B32" s="685" t="s">
        <v>99</v>
      </c>
      <c r="C32" s="686"/>
      <c r="D32" s="687">
        <f t="shared" si="2"/>
        <v>2772386.367524276</v>
      </c>
      <c r="E32" s="679" t="s">
        <v>236</v>
      </c>
      <c r="F32" s="688">
        <f t="shared" si="3"/>
        <v>3028554.3050672058</v>
      </c>
      <c r="G32" s="689">
        <f t="shared" si="0"/>
        <v>256167.93754292978</v>
      </c>
      <c r="H32" s="690">
        <f t="shared" si="1"/>
        <v>9.2399796992107625E-2</v>
      </c>
      <c r="M32" s="683">
        <f>'Comparisons-24'!C84</f>
        <v>2955096</v>
      </c>
      <c r="N32" s="683">
        <f>'Comparisons-25'!C84</f>
        <v>2698977</v>
      </c>
      <c r="O32" s="683">
        <f>'Comparisons-26'!C82</f>
        <v>2663086.1025728276</v>
      </c>
      <c r="Q32" s="684">
        <f>'Comparisons-24'!N84</f>
        <v>3229371.7141590426</v>
      </c>
      <c r="R32" s="683">
        <f>'Comparisons-25'!Z84</f>
        <v>2975974.1772576077</v>
      </c>
      <c r="S32" s="683">
        <f>'Comparisons-26'!BJ82</f>
        <v>2880317.0237849671</v>
      </c>
    </row>
    <row r="33" spans="1:31" ht="15">
      <c r="B33" s="685" t="s">
        <v>206</v>
      </c>
      <c r="C33" s="686"/>
      <c r="D33" s="687">
        <f t="shared" si="2"/>
        <v>56728251.939407773</v>
      </c>
      <c r="E33" s="679" t="s">
        <v>236</v>
      </c>
      <c r="F33" s="688">
        <f t="shared" si="3"/>
        <v>54932327.820781887</v>
      </c>
      <c r="G33" s="689">
        <f t="shared" si="0"/>
        <v>-1795924.1186258867</v>
      </c>
      <c r="H33" s="690">
        <f t="shared" si="1"/>
        <v>-3.1658372278845083E-2</v>
      </c>
      <c r="M33" s="683">
        <f>'Comparisons-24'!C85</f>
        <v>60497894</v>
      </c>
      <c r="N33" s="683">
        <f>'Comparisons-25'!C85</f>
        <v>54594353</v>
      </c>
      <c r="O33" s="683">
        <f>'Comparisons-26'!C83</f>
        <v>55092508.818223327</v>
      </c>
      <c r="Q33" s="684">
        <f>'Comparisons-24'!N85</f>
        <v>60085860.261911452</v>
      </c>
      <c r="R33" s="683">
        <f>'Comparisons-25'!Z85</f>
        <v>52881406.479438901</v>
      </c>
      <c r="S33" s="683">
        <f>'Comparisons-26'!BJ83</f>
        <v>51829716.720995307</v>
      </c>
    </row>
    <row r="34" spans="1:31" ht="15">
      <c r="B34" s="685" t="s">
        <v>112</v>
      </c>
      <c r="C34" s="686"/>
      <c r="D34" s="687">
        <f t="shared" si="2"/>
        <v>20052090.808745552</v>
      </c>
      <c r="E34" s="679" t="s">
        <v>236</v>
      </c>
      <c r="F34" s="688">
        <f t="shared" si="3"/>
        <v>20781993.808721017</v>
      </c>
      <c r="G34" s="689">
        <f t="shared" si="0"/>
        <v>729902.99997546524</v>
      </c>
      <c r="H34" s="690">
        <f t="shared" si="1"/>
        <v>3.6400343831333747E-2</v>
      </c>
      <c r="M34" s="683">
        <f>'Comparisons-24'!C86</f>
        <v>18734413</v>
      </c>
      <c r="N34" s="683">
        <f>'Comparisons-25'!C86</f>
        <v>21605869</v>
      </c>
      <c r="O34" s="683">
        <f>'Comparisons-26'!C84</f>
        <v>19815990.426236656</v>
      </c>
      <c r="Q34" s="684">
        <f>'Comparisons-24'!N86</f>
        <v>18734413.199999999</v>
      </c>
      <c r="R34" s="683">
        <f>'Comparisons-25'!Z86</f>
        <v>21908228.92442992</v>
      </c>
      <c r="S34" s="683">
        <f>'Comparisons-26'!BJ84</f>
        <v>21703339.301733125</v>
      </c>
    </row>
    <row r="35" spans="1:31" ht="15">
      <c r="B35" s="685" t="s">
        <v>115</v>
      </c>
      <c r="C35" s="686"/>
      <c r="D35" s="687">
        <f t="shared" si="2"/>
        <v>7455196.5558467098</v>
      </c>
      <c r="E35" s="679" t="s">
        <v>236</v>
      </c>
      <c r="F35" s="688">
        <f t="shared" si="3"/>
        <v>7767250.6118149497</v>
      </c>
      <c r="G35" s="689">
        <f t="shared" si="0"/>
        <v>312054.0559682399</v>
      </c>
      <c r="H35" s="690">
        <f t="shared" si="1"/>
        <v>4.1857254014786863E-2</v>
      </c>
      <c r="M35" s="683">
        <f>'Comparisons-24'!C87</f>
        <v>6925251</v>
      </c>
      <c r="N35" s="683">
        <f>'Comparisons-25'!C87</f>
        <v>7750547</v>
      </c>
      <c r="O35" s="683">
        <f>'Comparisons-26'!C85</f>
        <v>7689791.6675401302</v>
      </c>
      <c r="Q35" s="684">
        <f>'Comparisons-24'!N87</f>
        <v>6951590.3999999994</v>
      </c>
      <c r="R35" s="683">
        <f>'Comparisons-25'!Z87</f>
        <v>8160322.5251064673</v>
      </c>
      <c r="S35" s="683">
        <f>'Comparisons-26'!BJ85</f>
        <v>8189838.9103383832</v>
      </c>
    </row>
    <row r="36" spans="1:31" ht="15">
      <c r="B36" s="685" t="s">
        <v>120</v>
      </c>
      <c r="C36" s="686"/>
      <c r="D36" s="687">
        <f t="shared" si="2"/>
        <v>3142870.4044961301</v>
      </c>
      <c r="E36" s="679" t="s">
        <v>236</v>
      </c>
      <c r="F36" s="688">
        <f t="shared" si="3"/>
        <v>3232911.6544858101</v>
      </c>
      <c r="G36" s="689">
        <f t="shared" si="0"/>
        <v>90041.249989680015</v>
      </c>
      <c r="H36" s="690">
        <f t="shared" si="1"/>
        <v>2.8649367743852478E-2</v>
      </c>
      <c r="M36" s="683">
        <f>'Comparisons-24'!C88</f>
        <v>2909109</v>
      </c>
      <c r="N36" s="683">
        <f>'Comparisons-25'!C88</f>
        <v>3156958</v>
      </c>
      <c r="O36" s="683">
        <f>'Comparisons-26'!C86</f>
        <v>3362544.2134883902</v>
      </c>
      <c r="Q36" s="684">
        <f>'Comparisons-24'!N88</f>
        <v>2988767.1105974042</v>
      </c>
      <c r="R36" s="683">
        <f>'Comparisons-25'!Z88</f>
        <v>3236714.6824751543</v>
      </c>
      <c r="S36" s="683">
        <f>'Comparisons-26'!BJ86</f>
        <v>3473253.1703848708</v>
      </c>
    </row>
    <row r="37" spans="1:31" ht="15.75" thickBot="1">
      <c r="B37" s="691" t="s">
        <v>124</v>
      </c>
      <c r="C37" s="692"/>
      <c r="D37" s="693">
        <f t="shared" si="2"/>
        <v>4404643.8716827054</v>
      </c>
      <c r="E37" s="679" t="s">
        <v>236</v>
      </c>
      <c r="F37" s="694">
        <f t="shared" si="3"/>
        <v>4278619.4898165548</v>
      </c>
      <c r="G37" s="695">
        <f t="shared" si="0"/>
        <v>-126024.38186615054</v>
      </c>
      <c r="H37" s="696">
        <f t="shared" si="1"/>
        <v>-2.8611707447305033E-2</v>
      </c>
      <c r="M37" s="683">
        <f>'Comparisons-24'!C89</f>
        <v>5018756</v>
      </c>
      <c r="N37" s="683">
        <f>'Comparisons-25'!C89</f>
        <v>4730291</v>
      </c>
      <c r="O37" s="683">
        <f>'Comparisons-26'!C87</f>
        <v>3464884.6150481161</v>
      </c>
      <c r="Q37" s="684">
        <f>'Comparisons-24'!N89</f>
        <v>4621834.1281774295</v>
      </c>
      <c r="R37" s="683">
        <f>'Comparisons-25'!Z89</f>
        <v>4578532.0237998124</v>
      </c>
      <c r="S37" s="683">
        <f>'Comparisons-26'!BJ87</f>
        <v>3635492.3174724225</v>
      </c>
    </row>
    <row r="38" spans="1:31" ht="15">
      <c r="D38" s="588">
        <f>SUM(D28:D37)</f>
        <v>129548415.66666666</v>
      </c>
      <c r="F38" s="683">
        <f>SUM(F28:F37)</f>
        <v>129548415.99999999</v>
      </c>
      <c r="M38" s="697">
        <f>SUM(M28:M37)</f>
        <v>133266168</v>
      </c>
      <c r="N38" s="697">
        <f>SUM(N28:N37)</f>
        <v>128674210</v>
      </c>
      <c r="O38" s="697">
        <f>SUM(O28:O37)</f>
        <v>126704869.00000001</v>
      </c>
      <c r="Q38" s="698">
        <f>SUM(Q28:Q37)</f>
        <v>133266167.99999994</v>
      </c>
      <c r="R38" s="698">
        <f t="shared" ref="R38:S38" si="4">SUM(R28:R37)</f>
        <v>128674211</v>
      </c>
      <c r="S38" s="698">
        <f t="shared" si="4"/>
        <v>126704868.99999999</v>
      </c>
    </row>
    <row r="39" spans="1:31">
      <c r="T39" s="699" t="s">
        <v>264</v>
      </c>
      <c r="U39" s="700"/>
      <c r="V39" s="700"/>
      <c r="W39" s="700"/>
      <c r="X39" s="700"/>
      <c r="Y39" s="700"/>
      <c r="Z39" s="604" t="s">
        <v>265</v>
      </c>
    </row>
    <row r="40" spans="1:31" ht="50.45" customHeight="1">
      <c r="A40" s="701" t="s">
        <v>29</v>
      </c>
      <c r="B40" s="702" t="s">
        <v>171</v>
      </c>
      <c r="C40" s="671" t="s">
        <v>171</v>
      </c>
      <c r="D40" s="672" t="s">
        <v>258</v>
      </c>
      <c r="E40" s="673"/>
      <c r="F40" s="672" t="s">
        <v>259</v>
      </c>
      <c r="G40" s="673" t="s">
        <v>260</v>
      </c>
      <c r="H40" s="672" t="s">
        <v>204</v>
      </c>
      <c r="M40" s="674" t="s">
        <v>261</v>
      </c>
      <c r="N40" s="674"/>
      <c r="O40" s="674"/>
      <c r="Q40" s="674" t="s">
        <v>262</v>
      </c>
      <c r="R40" s="674"/>
      <c r="S40" s="674"/>
      <c r="T40" s="703">
        <v>2024</v>
      </c>
      <c r="U40" s="703"/>
      <c r="V40" s="703">
        <v>2025</v>
      </c>
      <c r="W40" s="703"/>
      <c r="X40" s="703">
        <v>2026</v>
      </c>
      <c r="Y40" s="703"/>
      <c r="Z40" s="703">
        <v>2024</v>
      </c>
      <c r="AA40" s="703"/>
      <c r="AB40" s="703">
        <v>2025</v>
      </c>
      <c r="AC40" s="703"/>
      <c r="AD40" s="703">
        <v>2026</v>
      </c>
      <c r="AE40" s="703"/>
    </row>
    <row r="41" spans="1:31" ht="14.1" customHeight="1">
      <c r="A41" s="704"/>
      <c r="B41" s="705"/>
      <c r="M41" s="584">
        <v>2024</v>
      </c>
      <c r="N41" s="584">
        <v>2025</v>
      </c>
      <c r="O41" s="584">
        <v>2026</v>
      </c>
      <c r="Q41" s="584">
        <v>2024</v>
      </c>
      <c r="R41" s="584">
        <v>2025</v>
      </c>
      <c r="S41" s="584">
        <v>2026</v>
      </c>
    </row>
    <row r="42" spans="1:31" ht="15">
      <c r="A42" s="584" t="s">
        <v>82</v>
      </c>
      <c r="B42" s="585" t="s">
        <v>83</v>
      </c>
      <c r="C42" s="584"/>
      <c r="D42" s="609">
        <f>AVERAGE(M42:O42)</f>
        <v>625122.73690211866</v>
      </c>
      <c r="E42" s="706" t="s">
        <v>236</v>
      </c>
      <c r="F42" s="609">
        <f>AVERAGE(Q42:S42)</f>
        <v>652778.86770464212</v>
      </c>
      <c r="G42" s="689">
        <f t="shared" ref="G42:G80" si="5">F42-D42</f>
        <v>27656.130802523461</v>
      </c>
      <c r="H42" s="707">
        <f t="shared" ref="H42:H80" si="6">G42/D42</f>
        <v>4.4241121254966993E-2</v>
      </c>
      <c r="K42" s="572" t="s">
        <v>396</v>
      </c>
      <c r="M42" s="683">
        <f>VLOOKUP($B42,'Comparisons-24'!$B$35:$P$74, 2, FALSE)</f>
        <v>679385</v>
      </c>
      <c r="N42" s="683">
        <f>VLOOKUP($B42,'Comparisons-25'!$B$35:$AB$74, 2, FALSE)</f>
        <v>641176</v>
      </c>
      <c r="O42" s="683">
        <f>VLOOKUP($B42,'Comparisons-26'!$B$35:$BR$72, 2, FALSE)</f>
        <v>554807.21070635587</v>
      </c>
      <c r="Q42" s="729">
        <f>VLOOKUP($B42,'S6C-Deadhead-24'!$B$11:$BY$50, 76, FALSE)</f>
        <v>680996.25387236115</v>
      </c>
      <c r="R42" s="729">
        <f>VLOOKUP(B42, 'S6C-Deadhead-25'!$B$11:$BZ$50,77, FALSE)</f>
        <v>673055.47467274079</v>
      </c>
      <c r="S42" s="729">
        <f>VLOOKUP(B42, 'S6C-Deadhead-26'!$B$12:$BZ$49, 77, FALSE)</f>
        <v>604284.87456882466</v>
      </c>
      <c r="T42" s="689">
        <f t="shared" ref="T42" si="7">Q42-M42</f>
        <v>1611.2538723611506</v>
      </c>
      <c r="U42" s="708">
        <f t="shared" ref="U42" si="8">T42/M42</f>
        <v>2.3716359241978415E-3</v>
      </c>
      <c r="V42" s="689">
        <f t="shared" ref="V42" si="9">R42-N42</f>
        <v>31879.474672740791</v>
      </c>
      <c r="W42" s="708">
        <f t="shared" ref="W42" si="10">V42/N42</f>
        <v>4.9720318091664051E-2</v>
      </c>
      <c r="X42" s="689">
        <f t="shared" ref="X42" si="11">S42-O42</f>
        <v>49477.663862468791</v>
      </c>
      <c r="Y42" s="708">
        <f t="shared" ref="Y42" si="12">X42/O42</f>
        <v>8.9179922156159483E-2</v>
      </c>
    </row>
    <row r="43" spans="1:31" ht="15">
      <c r="A43" s="584" t="s">
        <v>82</v>
      </c>
      <c r="B43" s="585" t="s">
        <v>84</v>
      </c>
      <c r="C43" s="584"/>
      <c r="D43" s="609">
        <f t="shared" ref="D43:D80" si="13">AVERAGE(M43:O43)</f>
        <v>121343.8</v>
      </c>
      <c r="E43" s="706" t="s">
        <v>236</v>
      </c>
      <c r="F43" s="609">
        <f t="shared" ref="F43:F80" si="14">AVERAGE(Q43:S43)</f>
        <v>122014.21177713049</v>
      </c>
      <c r="G43" s="689">
        <f t="shared" si="5"/>
        <v>670.41177713048819</v>
      </c>
      <c r="H43" s="707">
        <f t="shared" si="6"/>
        <v>5.5248951914353113E-3</v>
      </c>
      <c r="I43" s="709"/>
      <c r="K43" s="572" t="s">
        <v>84</v>
      </c>
      <c r="M43" s="683">
        <f>VLOOKUP($B43,'Comparisons-24'!$B$35:$P$74, 2, FALSE)</f>
        <v>135923</v>
      </c>
      <c r="N43" s="683">
        <f>VLOOKUP($B43,'Comparisons-25'!$B$35:$AB$74, 2, FALSE)</f>
        <v>119644</v>
      </c>
      <c r="O43" s="683">
        <f>VLOOKUP($B43,'Comparisons-26'!$B$35:$BR$72, 2, FALSE)</f>
        <v>108464.4</v>
      </c>
      <c r="Q43" s="729">
        <f>VLOOKUP($B43,'S6C-Deadhead-24'!$B$11:$BY$50, 76, FALSE)</f>
        <v>137934.0353313915</v>
      </c>
      <c r="R43" s="729">
        <f>VLOOKUP(B43, 'S6C-Deadhead-25'!$B$11:$BZ$50,77, FALSE)</f>
        <v>119644.2</v>
      </c>
      <c r="S43" s="729">
        <f>VLOOKUP(B43, 'S6C-Deadhead-26'!$B$12:$BZ$49, 77, FALSE)</f>
        <v>108464.4</v>
      </c>
    </row>
    <row r="44" spans="1:31" ht="15">
      <c r="A44" s="584" t="s">
        <v>82</v>
      </c>
      <c r="B44" s="585" t="s">
        <v>85</v>
      </c>
      <c r="C44" s="584"/>
      <c r="D44" s="609">
        <f t="shared" si="13"/>
        <v>742893.1932213885</v>
      </c>
      <c r="E44" s="706" t="s">
        <v>236</v>
      </c>
      <c r="F44" s="609">
        <f t="shared" si="14"/>
        <v>741658.74596510676</v>
      </c>
      <c r="G44" s="689">
        <f t="shared" si="5"/>
        <v>-1234.4472562817391</v>
      </c>
      <c r="H44" s="707">
        <f t="shared" si="6"/>
        <v>-1.6616752819188414E-3</v>
      </c>
      <c r="I44" s="709"/>
      <c r="K44" s="572" t="s">
        <v>397</v>
      </c>
      <c r="M44" s="683">
        <f>VLOOKUP($B44,'Comparisons-24'!$B$35:$P$74, 2, FALSE)</f>
        <v>787517</v>
      </c>
      <c r="N44" s="683">
        <f>VLOOKUP($B44,'Comparisons-25'!$B$35:$AB$74, 2, FALSE)</f>
        <v>760150</v>
      </c>
      <c r="O44" s="683">
        <f>VLOOKUP($B44,'Comparisons-26'!$B$35:$BR$72, 2, FALSE)</f>
        <v>681012.57966416562</v>
      </c>
      <c r="Q44" s="729">
        <f>VLOOKUP($B44,'S6C-Deadhead-24'!$B$11:$BY$50, 76, FALSE)</f>
        <v>775664.49131720641</v>
      </c>
      <c r="R44" s="729">
        <f>VLOOKUP(B44, 'S6C-Deadhead-25'!$B$11:$BZ$50,77, FALSE)</f>
        <v>733337.89060410333</v>
      </c>
      <c r="S44" s="729">
        <f>VLOOKUP(B44, 'S6C-Deadhead-26'!$B$12:$BZ$49, 77, FALSE)</f>
        <v>715973.85597401054</v>
      </c>
    </row>
    <row r="45" spans="1:31" ht="15">
      <c r="A45" s="584" t="s">
        <v>82</v>
      </c>
      <c r="B45" s="585" t="s">
        <v>86</v>
      </c>
      <c r="C45" s="584"/>
      <c r="D45" s="609">
        <f t="shared" si="13"/>
        <v>642599.53505679057</v>
      </c>
      <c r="E45" s="706" t="s">
        <v>236</v>
      </c>
      <c r="F45" s="609">
        <f t="shared" si="14"/>
        <v>647500</v>
      </c>
      <c r="G45" s="689">
        <f t="shared" si="5"/>
        <v>4900.4649432094302</v>
      </c>
      <c r="H45" s="707">
        <f t="shared" si="6"/>
        <v>7.6260013832352763E-3</v>
      </c>
      <c r="K45" s="572" t="s">
        <v>398</v>
      </c>
      <c r="M45" s="683">
        <f>VLOOKUP($B45,'Comparisons-24'!$B$35:$P$74, 2, FALSE)</f>
        <v>650062</v>
      </c>
      <c r="N45" s="683">
        <f>VLOOKUP($B45,'Comparisons-25'!$B$35:$AB$74, 2, FALSE)</f>
        <v>645662</v>
      </c>
      <c r="O45" s="683">
        <f>VLOOKUP($B45,'Comparisons-26'!$B$35:$BR$72, 2, FALSE)</f>
        <v>632074.60517037171</v>
      </c>
      <c r="Q45" s="729">
        <f>VLOOKUP($B45,'S6C-Deadhead-24'!$B$11:$BY$50, 76, FALSE)</f>
        <v>650061.9</v>
      </c>
      <c r="R45" s="729">
        <f>VLOOKUP(B45, 'S6C-Deadhead-25'!$B$11:$BZ$50,77, FALSE)</f>
        <v>645662.4</v>
      </c>
      <c r="S45" s="729">
        <f>VLOOKUP(B45, 'S6C-Deadhead-26'!$B$12:$BZ$49, 77, FALSE)</f>
        <v>646775.69999999995</v>
      </c>
      <c r="T45" s="689">
        <f t="shared" ref="T45:T46" si="15">Q45-M45</f>
        <v>-9.9999999976716936E-2</v>
      </c>
      <c r="U45" s="708">
        <f t="shared" ref="U45:U46" si="16">T45/M45</f>
        <v>-1.5383148065371755E-7</v>
      </c>
      <c r="V45" s="689">
        <f t="shared" ref="V45:V46" si="17">R45-N45</f>
        <v>0.40000000002328306</v>
      </c>
      <c r="W45" s="708">
        <f t="shared" ref="W45:W46" si="18">V45/N45</f>
        <v>6.195191911918048E-7</v>
      </c>
      <c r="X45" s="689">
        <f t="shared" ref="X45:X46" si="19">S45-O45</f>
        <v>14701.094829628244</v>
      </c>
      <c r="Y45" s="708">
        <f t="shared" ref="Y45:Y46" si="20">X45/O45</f>
        <v>2.3258480422047104E-2</v>
      </c>
    </row>
    <row r="46" spans="1:31" ht="15">
      <c r="A46" s="584" t="s">
        <v>82</v>
      </c>
      <c r="B46" s="585" t="s">
        <v>87</v>
      </c>
      <c r="C46" s="584"/>
      <c r="D46" s="609">
        <f t="shared" si="13"/>
        <v>125488.87472202133</v>
      </c>
      <c r="E46" s="706" t="s">
        <v>236</v>
      </c>
      <c r="F46" s="609">
        <f t="shared" si="14"/>
        <v>137094.43984290899</v>
      </c>
      <c r="G46" s="689">
        <f t="shared" si="5"/>
        <v>11605.565120887666</v>
      </c>
      <c r="H46" s="707">
        <f t="shared" si="6"/>
        <v>9.2482820860382384E-2</v>
      </c>
      <c r="K46" s="572" t="s">
        <v>399</v>
      </c>
      <c r="M46" s="683">
        <f>VLOOKUP($B46,'Comparisons-24'!$B$35:$P$74, 2, FALSE)</f>
        <v>140658</v>
      </c>
      <c r="N46" s="683">
        <f>VLOOKUP($B46,'Comparisons-25'!$B$35:$AB$74, 2, FALSE)</f>
        <v>127169</v>
      </c>
      <c r="O46" s="683">
        <f>VLOOKUP($B46,'Comparisons-26'!$B$35:$BR$72, 2, FALSE)</f>
        <v>108639.62416606396</v>
      </c>
      <c r="Q46" s="729">
        <f>VLOOKUP($B46,'S6C-Deadhead-24'!$B$11:$BY$50, 76, FALSE)</f>
        <v>142818</v>
      </c>
      <c r="R46" s="729">
        <f>VLOOKUP(B46, 'S6C-Deadhead-25'!$B$11:$BZ$50,77, FALSE)</f>
        <v>137813.78306670763</v>
      </c>
      <c r="S46" s="729">
        <f>VLOOKUP(B46, 'S6C-Deadhead-26'!$B$12:$BZ$49, 77, FALSE)</f>
        <v>130651.53646201934</v>
      </c>
      <c r="T46" s="689">
        <f t="shared" si="15"/>
        <v>2160</v>
      </c>
      <c r="U46" s="708">
        <f t="shared" si="16"/>
        <v>1.535639636565286E-2</v>
      </c>
      <c r="V46" s="689">
        <f t="shared" si="17"/>
        <v>10644.783066707634</v>
      </c>
      <c r="W46" s="708">
        <f t="shared" si="18"/>
        <v>8.3705801466612412E-2</v>
      </c>
      <c r="X46" s="689">
        <f t="shared" si="19"/>
        <v>22011.912295955379</v>
      </c>
      <c r="Y46" s="708">
        <f t="shared" si="20"/>
        <v>0.20261403208012291</v>
      </c>
    </row>
    <row r="47" spans="1:31" ht="15">
      <c r="A47" s="584" t="s">
        <v>88</v>
      </c>
      <c r="B47" s="585" t="s">
        <v>89</v>
      </c>
      <c r="C47" s="584"/>
      <c r="D47" s="609">
        <f t="shared" si="13"/>
        <v>2971811.8341092449</v>
      </c>
      <c r="E47" s="706" t="s">
        <v>236</v>
      </c>
      <c r="F47" s="609">
        <f t="shared" si="14"/>
        <v>2953080.3451393601</v>
      </c>
      <c r="G47" s="689">
        <f t="shared" si="5"/>
        <v>-18731.488969884813</v>
      </c>
      <c r="H47" s="707">
        <f t="shared" si="6"/>
        <v>-6.3030534958143777E-3</v>
      </c>
      <c r="I47" s="572" t="s">
        <v>266</v>
      </c>
      <c r="K47" s="572" t="s">
        <v>400</v>
      </c>
      <c r="M47" s="683">
        <f>VLOOKUP($B47,'Comparisons-24'!$B$35:$P$74, 2, FALSE)</f>
        <v>2759211</v>
      </c>
      <c r="N47" s="683">
        <f>VLOOKUP($B47,'Comparisons-25'!$B$35:$AB$74, 2, FALSE)</f>
        <v>2600883</v>
      </c>
      <c r="O47" s="683">
        <f>VLOOKUP($B47,'Comparisons-26'!$B$35:$BR$72, 2, FALSE)</f>
        <v>3555341.5023277341</v>
      </c>
      <c r="Q47" s="729">
        <f>VLOOKUP($B47,'S6C-Deadhead-24'!$B$11:$BY$50, 76, FALSE)</f>
        <v>2759210.6999999997</v>
      </c>
      <c r="R47" s="729">
        <f>VLOOKUP(B47, 'S6C-Deadhead-25'!$B$11:$BZ$50,77, FALSE)</f>
        <v>2744845.9500963599</v>
      </c>
      <c r="S47" s="729">
        <f>VLOOKUP(B47, 'S6C-Deadhead-26'!$B$12:$BZ$49, 77, FALSE)</f>
        <v>3355184.3853217205</v>
      </c>
    </row>
    <row r="48" spans="1:31" ht="15">
      <c r="A48" s="584" t="s">
        <v>90</v>
      </c>
      <c r="B48" s="585" t="s">
        <v>91</v>
      </c>
      <c r="C48" s="584"/>
      <c r="D48" s="609">
        <f t="shared" si="13"/>
        <v>1071485.0448851464</v>
      </c>
      <c r="E48" s="706" t="s">
        <v>236</v>
      </c>
      <c r="F48" s="609">
        <f t="shared" si="14"/>
        <v>990586.19445907464</v>
      </c>
      <c r="G48" s="689">
        <f t="shared" si="5"/>
        <v>-80898.850426071789</v>
      </c>
      <c r="H48" s="707">
        <f t="shared" si="6"/>
        <v>-7.5501614149680846E-2</v>
      </c>
      <c r="I48" s="709"/>
      <c r="K48" s="572" t="s">
        <v>401</v>
      </c>
      <c r="M48" s="683">
        <f>VLOOKUP($B48,'Comparisons-24'!$B$35:$P$74, 2, FALSE)</f>
        <v>1083494</v>
      </c>
      <c r="N48" s="683">
        <f>VLOOKUP($B48,'Comparisons-25'!$B$35:$AB$74, 2, FALSE)</f>
        <v>1053666</v>
      </c>
      <c r="O48" s="683">
        <f>VLOOKUP($B48,'Comparisons-26'!$B$35:$BR$72, 2, FALSE)</f>
        <v>1077295.1346554393</v>
      </c>
      <c r="Q48" s="729">
        <f>VLOOKUP($B48,'S6C-Deadhead-24'!$B$11:$BY$50, 76, FALSE)</f>
        <v>1019300.2777637771</v>
      </c>
      <c r="R48" s="729">
        <f>VLOOKUP(B48, 'S6C-Deadhead-25'!$B$11:$BZ$50,77, FALSE)</f>
        <v>968713.08574464335</v>
      </c>
      <c r="S48" s="729">
        <f>VLOOKUP(B48, 'S6C-Deadhead-26'!$B$12:$BZ$49, 77, FALSE)</f>
        <v>983745.2198688034</v>
      </c>
    </row>
    <row r="49" spans="1:25" ht="15">
      <c r="A49" s="584" t="s">
        <v>205</v>
      </c>
      <c r="B49" s="585" t="s">
        <v>93</v>
      </c>
      <c r="C49" s="584"/>
      <c r="D49" s="609">
        <f t="shared" si="13"/>
        <v>430650.67377976741</v>
      </c>
      <c r="E49" s="706" t="s">
        <v>236</v>
      </c>
      <c r="F49" s="609">
        <f t="shared" si="14"/>
        <v>467621.60897950083</v>
      </c>
      <c r="G49" s="689">
        <f t="shared" si="5"/>
        <v>36970.935199733416</v>
      </c>
      <c r="H49" s="707">
        <f t="shared" si="6"/>
        <v>8.5849012786266221E-2</v>
      </c>
      <c r="I49" s="709"/>
      <c r="K49" s="572" t="s">
        <v>93</v>
      </c>
      <c r="M49" s="683">
        <f>VLOOKUP($B49,'Comparisons-24'!$B$35:$P$74, 2, FALSE)</f>
        <v>484752</v>
      </c>
      <c r="N49" s="683">
        <f>VLOOKUP($B49,'Comparisons-25'!$B$35:$AB$74, 2, FALSE)</f>
        <v>434023</v>
      </c>
      <c r="O49" s="683">
        <f>VLOOKUP($B49,'Comparisons-26'!$B$35:$BR$72, 2, FALSE)</f>
        <v>373177.02133930218</v>
      </c>
      <c r="Q49" s="729">
        <f>VLOOKUP($B49,'S6C-Deadhead-24'!$B$11:$BY$50, 76, FALSE)</f>
        <v>489530.72123118315</v>
      </c>
      <c r="R49" s="729">
        <f>VLOOKUP(B49, 'S6C-Deadhead-25'!$B$11:$BZ$50,77, FALSE)</f>
        <v>462155.8996838319</v>
      </c>
      <c r="S49" s="729">
        <f>VLOOKUP(B49, 'S6C-Deadhead-26'!$B$12:$BZ$49, 77, FALSE)</f>
        <v>451178.20602348755</v>
      </c>
    </row>
    <row r="50" spans="1:25" ht="15">
      <c r="A50" s="584" t="s">
        <v>205</v>
      </c>
      <c r="B50" s="585" t="s">
        <v>94</v>
      </c>
      <c r="C50" s="584"/>
      <c r="D50" s="609">
        <f t="shared" si="13"/>
        <v>54768.189319748861</v>
      </c>
      <c r="E50" s="706" t="s">
        <v>236</v>
      </c>
      <c r="F50" s="609">
        <f t="shared" si="14"/>
        <v>53321.454992696963</v>
      </c>
      <c r="G50" s="689">
        <f t="shared" si="5"/>
        <v>-1446.7343270518977</v>
      </c>
      <c r="H50" s="707">
        <f t="shared" si="6"/>
        <v>-2.6415595348707646E-2</v>
      </c>
      <c r="K50" s="572" t="s">
        <v>402</v>
      </c>
      <c r="M50" s="683">
        <f>VLOOKUP($B50,'Comparisons-24'!$B$35:$P$74, 2, FALSE)</f>
        <v>50261</v>
      </c>
      <c r="N50" s="683">
        <f>VLOOKUP($B50,'Comparisons-25'!$B$35:$AB$74, 2, FALSE)</f>
        <v>57885</v>
      </c>
      <c r="O50" s="683">
        <f>VLOOKUP($B50,'Comparisons-26'!$B$35:$BR$72, 2, FALSE)</f>
        <v>56158.567959246582</v>
      </c>
      <c r="Q50" s="729">
        <f>VLOOKUP($B50,'S6C-Deadhead-24'!$B$11:$BY$50, 76, FALSE)</f>
        <v>50261.4</v>
      </c>
      <c r="R50" s="729">
        <f>VLOOKUP(B50, 'S6C-Deadhead-25'!$B$11:$BZ$50,77, FALSE)</f>
        <v>56388.784446859063</v>
      </c>
      <c r="S50" s="729">
        <f>VLOOKUP(B50, 'S6C-Deadhead-26'!$B$12:$BZ$49, 77, FALSE)</f>
        <v>53314.180531231832</v>
      </c>
      <c r="T50" s="689">
        <f t="shared" ref="T50" si="21">Q50-M50</f>
        <v>0.40000000000145519</v>
      </c>
      <c r="U50" s="708">
        <f t="shared" ref="U50" si="22">T50/M50</f>
        <v>7.9584568552447264E-6</v>
      </c>
      <c r="V50" s="689">
        <f t="shared" ref="V50" si="23">R50-N50</f>
        <v>-1496.2155531409371</v>
      </c>
      <c r="W50" s="708">
        <f t="shared" ref="W50" si="24">V50/N50</f>
        <v>-2.5848070366086846E-2</v>
      </c>
      <c r="X50" s="689">
        <f t="shared" ref="X50" si="25">S50-O50</f>
        <v>-2844.3874280147502</v>
      </c>
      <c r="Y50" s="708">
        <f t="shared" ref="Y50" si="26">X50/O50</f>
        <v>-5.0649215807619573E-2</v>
      </c>
    </row>
    <row r="51" spans="1:25" ht="15">
      <c r="A51" s="584" t="s">
        <v>205</v>
      </c>
      <c r="B51" s="585" t="s">
        <v>95</v>
      </c>
      <c r="C51" s="584"/>
      <c r="D51" s="609">
        <f t="shared" si="13"/>
        <v>25537379.304951597</v>
      </c>
      <c r="E51" s="706" t="s">
        <v>236</v>
      </c>
      <c r="F51" s="609">
        <f t="shared" si="14"/>
        <v>26005534.338112682</v>
      </c>
      <c r="G51" s="689">
        <f t="shared" si="5"/>
        <v>468155.0331610851</v>
      </c>
      <c r="H51" s="707">
        <f t="shared" si="6"/>
        <v>1.8332148634778341E-2</v>
      </c>
      <c r="I51" s="572" t="s">
        <v>266</v>
      </c>
      <c r="K51" s="572" t="s">
        <v>403</v>
      </c>
      <c r="M51" s="683">
        <f>VLOOKUP($B51,'Comparisons-24'!$B$35:$P$74, 2, FALSE)</f>
        <v>26837084</v>
      </c>
      <c r="N51" s="683">
        <f>VLOOKUP($B51,'Comparisons-25'!$B$35:$AB$74, 2, FALSE)</f>
        <v>24937766</v>
      </c>
      <c r="O51" s="683">
        <f>VLOOKUP($B51,'Comparisons-26'!$B$35:$BR$72, 2, FALSE)</f>
        <v>24837287.914854791</v>
      </c>
      <c r="Q51" s="729">
        <f>VLOOKUP($B51,'S6C-Deadhead-24'!$B$11:$BY$50, 76, FALSE)</f>
        <v>27243493.173065472</v>
      </c>
      <c r="R51" s="729">
        <f>VLOOKUP(B51, 'S6C-Deadhead-25'!$B$11:$BZ$50,77, FALSE)</f>
        <v>25601519.809605788</v>
      </c>
      <c r="S51" s="729">
        <f>VLOOKUP(B51, 'S6C-Deadhead-26'!$B$12:$BZ$49, 77, FALSE)</f>
        <v>25171590.031666785</v>
      </c>
    </row>
    <row r="52" spans="1:25" ht="15">
      <c r="A52" s="584" t="s">
        <v>205</v>
      </c>
      <c r="B52" s="585" t="s">
        <v>96</v>
      </c>
      <c r="C52" s="584"/>
      <c r="D52" s="609">
        <f t="shared" si="13"/>
        <v>371186.63436863339</v>
      </c>
      <c r="E52" s="706" t="s">
        <v>236</v>
      </c>
      <c r="F52" s="609">
        <f t="shared" si="14"/>
        <v>379553.60000000003</v>
      </c>
      <c r="G52" s="689">
        <f t="shared" si="5"/>
        <v>8366.9656313666492</v>
      </c>
      <c r="H52" s="707">
        <f t="shared" si="6"/>
        <v>2.2541128523117123E-2</v>
      </c>
      <c r="K52" s="572" t="s">
        <v>96</v>
      </c>
      <c r="M52" s="683">
        <f>VLOOKUP($B52,'Comparisons-24'!$B$35:$P$74, 2, FALSE)</f>
        <v>360295</v>
      </c>
      <c r="N52" s="683">
        <f>VLOOKUP($B52,'Comparisons-25'!$B$35:$AB$74, 2, FALSE)</f>
        <v>374043</v>
      </c>
      <c r="O52" s="683">
        <f>VLOOKUP($B52,'Comparisons-26'!$B$35:$BR$72, 2, FALSE)</f>
        <v>379221.9031059001</v>
      </c>
      <c r="Q52" s="729">
        <f>VLOOKUP($B52,'S6C-Deadhead-24'!$B$11:$BY$50, 76, FALSE)</f>
        <v>360295.2</v>
      </c>
      <c r="R52" s="729">
        <f>VLOOKUP(B52, 'S6C-Deadhead-25'!$B$11:$BZ$50,77, FALSE)</f>
        <v>374042.7</v>
      </c>
      <c r="S52" s="729">
        <f>VLOOKUP(B52, 'S6C-Deadhead-26'!$B$12:$BZ$49, 77, FALSE)</f>
        <v>404322.89999999997</v>
      </c>
      <c r="T52" s="689">
        <f t="shared" ref="T52:T53" si="27">Q52-M52</f>
        <v>0.20000000001164153</v>
      </c>
      <c r="U52" s="708">
        <f t="shared" ref="U52:U53" si="28">T52/M52</f>
        <v>5.5510068141839756E-7</v>
      </c>
      <c r="V52" s="689">
        <f t="shared" ref="V52:V53" si="29">R52-N52</f>
        <v>-0.29999999998835847</v>
      </c>
      <c r="W52" s="708">
        <f t="shared" ref="W52:W53" si="30">V52/N52</f>
        <v>-8.0204682346243205E-7</v>
      </c>
      <c r="X52" s="689">
        <f t="shared" ref="X52:X53" si="31">S52-O52</f>
        <v>25100.996894099866</v>
      </c>
      <c r="Y52" s="708">
        <f t="shared" ref="Y52:Y53" si="32">X52/O52</f>
        <v>6.619078879283577E-2</v>
      </c>
    </row>
    <row r="53" spans="1:25" ht="15">
      <c r="A53" s="584" t="s">
        <v>205</v>
      </c>
      <c r="B53" s="585" t="s">
        <v>97</v>
      </c>
      <c r="C53" s="584"/>
      <c r="D53" s="609">
        <f t="shared" si="13"/>
        <v>17018.733333333334</v>
      </c>
      <c r="E53" s="706" t="s">
        <v>236</v>
      </c>
      <c r="F53" s="609">
        <f t="shared" si="14"/>
        <v>16360.00296974282</v>
      </c>
      <c r="G53" s="689">
        <f t="shared" si="5"/>
        <v>-658.73036359051366</v>
      </c>
      <c r="H53" s="707">
        <f t="shared" si="6"/>
        <v>-3.8706192211162227E-2</v>
      </c>
      <c r="K53" s="572" t="s">
        <v>404</v>
      </c>
      <c r="M53" s="683">
        <f>VLOOKUP($B53,'Comparisons-24'!$B$35:$P$74, 2, FALSE)</f>
        <v>17722</v>
      </c>
      <c r="N53" s="683">
        <f>VLOOKUP($B53,'Comparisons-25'!$B$35:$AB$74, 2, FALSE)</f>
        <v>11946</v>
      </c>
      <c r="O53" s="683">
        <f>VLOOKUP($B53,'Comparisons-26'!$B$35:$BR$72, 2, FALSE)</f>
        <v>21388.2</v>
      </c>
      <c r="Q53" s="729">
        <f>VLOOKUP($B53,'S6C-Deadhead-24'!$B$11:$BY$50, 76, FALSE)</f>
        <v>16660.899634790785</v>
      </c>
      <c r="R53" s="729">
        <f>VLOOKUP(B53, 'S6C-Deadhead-25'!$B$11:$BZ$50,77, FALSE)</f>
        <v>11030.909274437678</v>
      </c>
      <c r="S53" s="729">
        <f>VLOOKUP(B53, 'S6C-Deadhead-26'!$B$12:$BZ$49, 77, FALSE)</f>
        <v>21388.2</v>
      </c>
      <c r="T53" s="689">
        <f t="shared" si="27"/>
        <v>-1061.1003652092149</v>
      </c>
      <c r="U53" s="708">
        <f t="shared" si="28"/>
        <v>-5.987475257923569E-2</v>
      </c>
      <c r="V53" s="689">
        <f t="shared" si="29"/>
        <v>-915.0907255623224</v>
      </c>
      <c r="W53" s="708">
        <f t="shared" si="30"/>
        <v>-7.6602270681594045E-2</v>
      </c>
      <c r="X53" s="689">
        <f t="shared" si="31"/>
        <v>0</v>
      </c>
      <c r="Y53" s="708">
        <f t="shared" si="32"/>
        <v>0</v>
      </c>
    </row>
    <row r="54" spans="1:25" ht="15">
      <c r="A54" s="584" t="s">
        <v>205</v>
      </c>
      <c r="B54" s="585" t="s">
        <v>98</v>
      </c>
      <c r="C54" s="584"/>
      <c r="D54" s="609">
        <f t="shared" si="13"/>
        <v>2281227.164313735</v>
      </c>
      <c r="E54" s="706" t="s">
        <v>236</v>
      </c>
      <c r="F54" s="609">
        <f t="shared" si="14"/>
        <v>2314483.5</v>
      </c>
      <c r="G54" s="689">
        <f t="shared" si="5"/>
        <v>33256.335686265025</v>
      </c>
      <c r="H54" s="707">
        <f t="shared" si="6"/>
        <v>1.4578265683711327E-2</v>
      </c>
      <c r="I54" s="572" t="s">
        <v>266</v>
      </c>
      <c r="K54" s="572" t="s">
        <v>405</v>
      </c>
      <c r="M54" s="683">
        <f>VLOOKUP($B54,'Comparisons-24'!$B$35:$P$74, 2, FALSE)</f>
        <v>2239285</v>
      </c>
      <c r="N54" s="683">
        <f>VLOOKUP($B54,'Comparisons-25'!$B$35:$AB$74, 2, FALSE)</f>
        <v>2373202</v>
      </c>
      <c r="O54" s="683">
        <f>VLOOKUP($B54,'Comparisons-26'!$B$35:$BR$72, 2, FALSE)</f>
        <v>2231194.4929412054</v>
      </c>
      <c r="Q54" s="729">
        <f>VLOOKUP($B54,'S6C-Deadhead-24'!$B$11:$BY$50, 76, FALSE)</f>
        <v>2239285.1999999997</v>
      </c>
      <c r="R54" s="729">
        <f>VLOOKUP(B54, 'S6C-Deadhead-25'!$B$11:$BZ$50,77, FALSE)</f>
        <v>2373202.1999999997</v>
      </c>
      <c r="S54" s="729">
        <f>VLOOKUP(B54, 'S6C-Deadhead-26'!$B$12:$BZ$49, 77, FALSE)</f>
        <v>2330963.1</v>
      </c>
    </row>
    <row r="55" spans="1:25" ht="15">
      <c r="A55" s="584" t="s">
        <v>99</v>
      </c>
      <c r="B55" s="585" t="s">
        <v>100</v>
      </c>
      <c r="C55" s="584"/>
      <c r="D55" s="609">
        <f t="shared" si="13"/>
        <v>832018.76885929203</v>
      </c>
      <c r="E55" s="706" t="s">
        <v>236</v>
      </c>
      <c r="F55" s="609">
        <f t="shared" si="14"/>
        <v>869591.48788358935</v>
      </c>
      <c r="G55" s="689">
        <f t="shared" si="5"/>
        <v>37572.719024297316</v>
      </c>
      <c r="H55" s="707">
        <f t="shared" si="6"/>
        <v>4.5158499339876645E-2</v>
      </c>
      <c r="K55" s="572" t="s">
        <v>406</v>
      </c>
      <c r="M55" s="683">
        <f>VLOOKUP($B55,'Comparisons-24'!$B$35:$P$74, 2, FALSE)</f>
        <v>950704</v>
      </c>
      <c r="N55" s="683">
        <f>VLOOKUP($B55,'Comparisons-25'!$B$35:$AB$74, 2, FALSE)</f>
        <v>786477</v>
      </c>
      <c r="O55" s="683">
        <f>VLOOKUP($B55,'Comparisons-26'!$B$35:$BR$72, 2, FALSE)</f>
        <v>758875.30657787633</v>
      </c>
      <c r="Q55" s="729">
        <f>VLOOKUP($B55,'S6C-Deadhead-24'!$B$11:$BY$50, 76, FALSE)</f>
        <v>978204.2876780068</v>
      </c>
      <c r="R55" s="729">
        <f>VLOOKUP(B55, 'S6C-Deadhead-25'!$B$11:$BZ$50,77, FALSE)</f>
        <v>798874.20117407455</v>
      </c>
      <c r="S55" s="729">
        <f>VLOOKUP(B55, 'S6C-Deadhead-26'!$B$12:$BZ$49, 77, FALSE)</f>
        <v>831695.97479868669</v>
      </c>
      <c r="T55" s="689">
        <f t="shared" ref="T55:T56" si="33">Q55-M55</f>
        <v>27500.287678006804</v>
      </c>
      <c r="U55" s="708">
        <f t="shared" ref="U55:U56" si="34">T55/M55</f>
        <v>2.8926235377159246E-2</v>
      </c>
      <c r="V55" s="689">
        <f t="shared" ref="V55:V56" si="35">R55-N55</f>
        <v>12397.201174074551</v>
      </c>
      <c r="W55" s="708">
        <f t="shared" ref="W55:W56" si="36">V55/N55</f>
        <v>1.5762954509889737E-2</v>
      </c>
      <c r="X55" s="689">
        <f t="shared" ref="X55:X56" si="37">S55-O55</f>
        <v>72820.668220810359</v>
      </c>
      <c r="Y55" s="708">
        <f t="shared" ref="Y55:Y56" si="38">X55/O55</f>
        <v>9.5958674092576302E-2</v>
      </c>
    </row>
    <row r="56" spans="1:25" ht="15">
      <c r="A56" s="584" t="s">
        <v>99</v>
      </c>
      <c r="B56" s="585" t="s">
        <v>101</v>
      </c>
      <c r="C56" s="584"/>
      <c r="D56" s="609">
        <f t="shared" si="13"/>
        <v>196263.86435138655</v>
      </c>
      <c r="E56" s="706" t="s">
        <v>236</v>
      </c>
      <c r="F56" s="609">
        <f t="shared" si="14"/>
        <v>200739.19999999998</v>
      </c>
      <c r="G56" s="689">
        <f t="shared" si="5"/>
        <v>4475.3356486134289</v>
      </c>
      <c r="H56" s="707">
        <f t="shared" si="6"/>
        <v>2.2802647157710527E-2</v>
      </c>
      <c r="K56" s="572" t="s">
        <v>101</v>
      </c>
      <c r="M56" s="683">
        <f>VLOOKUP($B56,'Comparisons-24'!$B$35:$P$74, 2, FALSE)</f>
        <v>181796</v>
      </c>
      <c r="N56" s="683">
        <f>VLOOKUP($B56,'Comparisons-25'!$B$35:$AB$74, 2, FALSE)</f>
        <v>210911</v>
      </c>
      <c r="O56" s="683">
        <f>VLOOKUP($B56,'Comparisons-26'!$B$35:$BR$72, 2, FALSE)</f>
        <v>196084.59305415963</v>
      </c>
      <c r="Q56" s="729">
        <f>VLOOKUP($B56,'S6C-Deadhead-24'!$B$11:$BY$50, 76, FALSE)</f>
        <v>181796.4</v>
      </c>
      <c r="R56" s="729">
        <f>VLOOKUP(B56, 'S6C-Deadhead-25'!$B$11:$BZ$50,77, FALSE)</f>
        <v>210911.4</v>
      </c>
      <c r="S56" s="729">
        <f>VLOOKUP(B56, 'S6C-Deadhead-26'!$B$12:$BZ$49, 77, FALSE)</f>
        <v>209509.8</v>
      </c>
      <c r="T56" s="689">
        <f t="shared" si="33"/>
        <v>0.39999999999417923</v>
      </c>
      <c r="U56" s="708">
        <f t="shared" si="34"/>
        <v>2.2002684327167773E-6</v>
      </c>
      <c r="V56" s="689">
        <f t="shared" si="35"/>
        <v>0.39999999999417923</v>
      </c>
      <c r="W56" s="708">
        <f t="shared" si="36"/>
        <v>1.8965345572027027E-6</v>
      </c>
      <c r="X56" s="689">
        <f t="shared" si="37"/>
        <v>13425.206945840357</v>
      </c>
      <c r="Y56" s="708">
        <f t="shared" si="38"/>
        <v>6.8466403896058486E-2</v>
      </c>
    </row>
    <row r="57" spans="1:25" ht="15">
      <c r="A57" s="584" t="s">
        <v>99</v>
      </c>
      <c r="B57" s="585" t="s">
        <v>102</v>
      </c>
      <c r="C57" s="584"/>
      <c r="D57" s="609">
        <f t="shared" si="13"/>
        <v>1703062.0409783174</v>
      </c>
      <c r="E57" s="706" t="s">
        <v>236</v>
      </c>
      <c r="F57" s="609">
        <f t="shared" si="14"/>
        <v>1919260.7322229024</v>
      </c>
      <c r="G57" s="689">
        <f t="shared" si="5"/>
        <v>216198.69124458497</v>
      </c>
      <c r="H57" s="707">
        <f t="shared" si="6"/>
        <v>0.12694704364404158</v>
      </c>
      <c r="I57" s="709"/>
      <c r="K57" s="572" t="s">
        <v>407</v>
      </c>
      <c r="M57" s="683">
        <f>VLOOKUP($B57,'Comparisons-24'!$B$35:$P$74, 2, FALSE)</f>
        <v>1790245</v>
      </c>
      <c r="N57" s="683">
        <f>VLOOKUP($B57,'Comparisons-25'!$B$35:$AB$74, 2, FALSE)</f>
        <v>1652305</v>
      </c>
      <c r="O57" s="683">
        <f>VLOOKUP($B57,'Comparisons-26'!$B$35:$BR$72, 2, FALSE)</f>
        <v>1666636.1229349524</v>
      </c>
      <c r="Q57" s="729">
        <f>VLOOKUP($B57,'S6C-Deadhead-24'!$B$11:$BY$50, 76, FALSE)</f>
        <v>2058951.0551032</v>
      </c>
      <c r="R57" s="729">
        <f>VLOOKUP(B57, 'S6C-Deadhead-25'!$B$11:$BZ$50,77, FALSE)</f>
        <v>1910532.2535671329</v>
      </c>
      <c r="S57" s="729">
        <f>VLOOKUP(B57, 'S6C-Deadhead-26'!$B$12:$BZ$49, 77, FALSE)</f>
        <v>1788298.8879983744</v>
      </c>
    </row>
    <row r="58" spans="1:25" ht="15">
      <c r="A58" s="584" t="s">
        <v>99</v>
      </c>
      <c r="B58" s="585" t="s">
        <v>103</v>
      </c>
      <c r="C58" s="584"/>
      <c r="D58" s="609">
        <f t="shared" si="13"/>
        <v>41041.693335279859</v>
      </c>
      <c r="E58" s="706" t="s">
        <v>236</v>
      </c>
      <c r="F58" s="609">
        <f t="shared" si="14"/>
        <v>45079.69999999999</v>
      </c>
      <c r="G58" s="689">
        <f t="shared" si="5"/>
        <v>4038.0066647201311</v>
      </c>
      <c r="H58" s="707">
        <f t="shared" si="6"/>
        <v>9.8387915716163191E-2</v>
      </c>
      <c r="K58" s="572" t="s">
        <v>103</v>
      </c>
      <c r="M58" s="683">
        <f>VLOOKUP($B58,'Comparisons-24'!$B$35:$P$74, 2, FALSE)</f>
        <v>32351</v>
      </c>
      <c r="N58" s="683">
        <f>VLOOKUP($B58,'Comparisons-25'!$B$35:$AB$74, 2, FALSE)</f>
        <v>49284</v>
      </c>
      <c r="O58" s="683">
        <f>VLOOKUP($B58,'Comparisons-26'!$B$35:$BR$72, 2, FALSE)</f>
        <v>41490.080005839591</v>
      </c>
      <c r="Q58" s="729">
        <f>VLOOKUP($B58,'S6C-Deadhead-24'!$B$11:$BY$50, 76, FALSE)</f>
        <v>32350.799999999999</v>
      </c>
      <c r="R58" s="729">
        <f>VLOOKUP(B58, 'S6C-Deadhead-25'!$B$11:$BZ$50,77, FALSE)</f>
        <v>53175.299999999996</v>
      </c>
      <c r="S58" s="729">
        <f>VLOOKUP(B58, 'S6C-Deadhead-26'!$B$12:$BZ$49, 77, FALSE)</f>
        <v>49713</v>
      </c>
      <c r="T58" s="689">
        <f>Q58-M58</f>
        <v>-0.2000000000007276</v>
      </c>
      <c r="U58" s="708">
        <f>T58/M58</f>
        <v>-6.1821891131874624E-6</v>
      </c>
      <c r="V58" s="689">
        <f>R58-N58</f>
        <v>3891.2999999999956</v>
      </c>
      <c r="W58" s="708">
        <f>V58/N58</f>
        <v>7.8956659362064682E-2</v>
      </c>
      <c r="X58" s="689">
        <f>S58-O58</f>
        <v>8222.9199941604093</v>
      </c>
      <c r="Y58" s="708">
        <f>X58/O58</f>
        <v>0.19819002501328176</v>
      </c>
    </row>
    <row r="59" spans="1:25" ht="15">
      <c r="A59" s="584" t="s">
        <v>206</v>
      </c>
      <c r="B59" s="585" t="s">
        <v>105</v>
      </c>
      <c r="C59" s="584"/>
      <c r="D59" s="609">
        <f t="shared" si="13"/>
        <v>3666511.5935658314</v>
      </c>
      <c r="E59" s="706" t="s">
        <v>236</v>
      </c>
      <c r="F59" s="609">
        <f t="shared" si="14"/>
        <v>3588946.7368603423</v>
      </c>
      <c r="G59" s="689">
        <f t="shared" si="5"/>
        <v>-77564.856705489103</v>
      </c>
      <c r="H59" s="707">
        <f t="shared" si="6"/>
        <v>-2.1154946527812319E-2</v>
      </c>
      <c r="I59" s="572" t="s">
        <v>266</v>
      </c>
      <c r="K59" s="572" t="s">
        <v>408</v>
      </c>
      <c r="M59" s="683">
        <f>VLOOKUP($B59,'Comparisons-24'!$B$35:$P$74, 2, FALSE)</f>
        <v>3156033</v>
      </c>
      <c r="N59" s="683">
        <f>VLOOKUP($B59,'Comparisons-25'!$B$35:$AB$74, 2, FALSE)</f>
        <v>3226579</v>
      </c>
      <c r="O59" s="683">
        <f>VLOOKUP($B59,'Comparisons-26'!$B$35:$BR$72, 2, FALSE)</f>
        <v>4616922.7806974938</v>
      </c>
      <c r="Q59" s="729">
        <f>VLOOKUP($B59,'S6C-Deadhead-24'!$B$11:$BY$50, 76, FALSE)</f>
        <v>3172228.5326556759</v>
      </c>
      <c r="R59" s="729">
        <f>VLOOKUP(B59, 'S6C-Deadhead-25'!$B$11:$BZ$50,77, FALSE)</f>
        <v>3353891.596464057</v>
      </c>
      <c r="S59" s="729">
        <f>VLOOKUP(B59, 'S6C-Deadhead-26'!$B$12:$BZ$49, 77, FALSE)</f>
        <v>4240720.0814612927</v>
      </c>
    </row>
    <row r="60" spans="1:25" ht="15">
      <c r="A60" s="584" t="s">
        <v>206</v>
      </c>
      <c r="B60" s="585" t="s">
        <v>106</v>
      </c>
      <c r="C60" s="584"/>
      <c r="D60" s="609">
        <f t="shared" si="13"/>
        <v>6007985.0073328475</v>
      </c>
      <c r="E60" s="706" t="s">
        <v>236</v>
      </c>
      <c r="F60" s="609">
        <f t="shared" si="14"/>
        <v>6295391.2203154787</v>
      </c>
      <c r="G60" s="689">
        <f t="shared" si="5"/>
        <v>287406.21298263129</v>
      </c>
      <c r="H60" s="707">
        <f t="shared" si="6"/>
        <v>4.7837371869578094E-2</v>
      </c>
      <c r="I60" s="572" t="s">
        <v>266</v>
      </c>
      <c r="K60" s="572" t="s">
        <v>409</v>
      </c>
      <c r="M60" s="683">
        <f>VLOOKUP($B60,'Comparisons-24'!$B$35:$P$74, 2, FALSE)</f>
        <v>6545690</v>
      </c>
      <c r="N60" s="683">
        <f>VLOOKUP($B60,'Comparisons-25'!$B$35:$AB$74, 2, FALSE)</f>
        <v>5574618</v>
      </c>
      <c r="O60" s="683">
        <f>VLOOKUP($B60,'Comparisons-26'!$B$35:$BR$72, 2, FALSE)</f>
        <v>5903647.0219985424</v>
      </c>
      <c r="Q60" s="729">
        <f>VLOOKUP($B60,'S6C-Deadhead-24'!$B$11:$BY$50, 76, FALSE)</f>
        <v>7048794.5938676111</v>
      </c>
      <c r="R60" s="729">
        <f>VLOOKUP(B60, 'S6C-Deadhead-25'!$B$11:$BZ$50,77, FALSE)</f>
        <v>5873874.809183442</v>
      </c>
      <c r="S60" s="729">
        <f>VLOOKUP(B60, 'S6C-Deadhead-26'!$B$12:$BZ$49, 77, FALSE)</f>
        <v>5963504.2578953849</v>
      </c>
    </row>
    <row r="61" spans="1:25" ht="15">
      <c r="A61" s="584" t="s">
        <v>206</v>
      </c>
      <c r="B61" s="585" t="s">
        <v>107</v>
      </c>
      <c r="C61" s="584"/>
      <c r="D61" s="609">
        <f t="shared" si="13"/>
        <v>9299604.085831793</v>
      </c>
      <c r="E61" s="706" t="s">
        <v>236</v>
      </c>
      <c r="F61" s="609">
        <f t="shared" si="14"/>
        <v>9242433.7196768392</v>
      </c>
      <c r="G61" s="689">
        <f t="shared" si="5"/>
        <v>-57170.366154953837</v>
      </c>
      <c r="H61" s="707">
        <f t="shared" si="6"/>
        <v>-6.1476129120436951E-3</v>
      </c>
      <c r="I61" s="572" t="s">
        <v>266</v>
      </c>
      <c r="K61" s="572" t="s">
        <v>410</v>
      </c>
      <c r="M61" s="683">
        <f>VLOOKUP($B61,'Comparisons-24'!$B$35:$P$74, 2, FALSE)</f>
        <v>8180859</v>
      </c>
      <c r="N61" s="683">
        <f>VLOOKUP($B61,'Comparisons-25'!$B$35:$AB$74, 2, FALSE)</f>
        <v>9437848</v>
      </c>
      <c r="O61" s="683">
        <f>VLOOKUP($B61,'Comparisons-26'!$B$35:$BR$72, 2, FALSE)</f>
        <v>10280105.257495381</v>
      </c>
      <c r="Q61" s="729">
        <f>VLOOKUP($B61,'S6C-Deadhead-24'!$B$11:$BY$50, 76, FALSE)</f>
        <v>8180859.2999999998</v>
      </c>
      <c r="R61" s="729">
        <f>VLOOKUP(B61, 'S6C-Deadhead-25'!$B$11:$BZ$50,77, FALSE)</f>
        <v>9608533.7999999989</v>
      </c>
      <c r="S61" s="729">
        <f>VLOOKUP(B61, 'S6C-Deadhead-26'!$B$12:$BZ$49, 77, FALSE)</f>
        <v>9937908.0590305198</v>
      </c>
    </row>
    <row r="62" spans="1:25" ht="15">
      <c r="A62" s="584" t="s">
        <v>206</v>
      </c>
      <c r="B62" s="585" t="s">
        <v>108</v>
      </c>
      <c r="C62" s="584"/>
      <c r="D62" s="609">
        <f t="shared" si="13"/>
        <v>1591498.2</v>
      </c>
      <c r="E62" s="706" t="s">
        <v>236</v>
      </c>
      <c r="F62" s="609">
        <f t="shared" si="14"/>
        <v>1617706.4646408809</v>
      </c>
      <c r="G62" s="689">
        <f t="shared" si="5"/>
        <v>26208.264640880981</v>
      </c>
      <c r="H62" s="707">
        <f t="shared" si="6"/>
        <v>1.6467668415132974E-2</v>
      </c>
      <c r="I62" s="572" t="s">
        <v>266</v>
      </c>
      <c r="K62" s="572" t="s">
        <v>411</v>
      </c>
      <c r="M62" s="683">
        <f>VLOOKUP($B62,'Comparisons-24'!$B$35:$P$74, 2, FALSE)</f>
        <v>1539916</v>
      </c>
      <c r="N62" s="683">
        <f>VLOOKUP($B62,'Comparisons-25'!$B$35:$AB$74, 2, FALSE)</f>
        <v>1598498</v>
      </c>
      <c r="O62" s="683">
        <f>VLOOKUP($B62,'Comparisons-26'!$B$35:$BR$72, 2, FALSE)</f>
        <v>1636080.5999999999</v>
      </c>
      <c r="Q62" s="729">
        <f>VLOOKUP($B62,'S6C-Deadhead-24'!$B$11:$BY$50, 76, FALSE)</f>
        <v>1618541.2939226434</v>
      </c>
      <c r="R62" s="729">
        <f>VLOOKUP(B62, 'S6C-Deadhead-25'!$B$11:$BZ$50,77, FALSE)</f>
        <v>1598497.5</v>
      </c>
      <c r="S62" s="729">
        <f>VLOOKUP(B62, 'S6C-Deadhead-26'!$B$12:$BZ$49, 77, FALSE)</f>
        <v>1636080.5999999999</v>
      </c>
    </row>
    <row r="63" spans="1:25" ht="15">
      <c r="A63" s="584" t="s">
        <v>206</v>
      </c>
      <c r="B63" s="585" t="s">
        <v>109</v>
      </c>
      <c r="C63" s="584"/>
      <c r="D63" s="609">
        <f t="shared" si="13"/>
        <v>25729693.491986766</v>
      </c>
      <c r="E63" s="706" t="s">
        <v>236</v>
      </c>
      <c r="F63" s="609">
        <f t="shared" si="14"/>
        <v>24079697.93119495</v>
      </c>
      <c r="G63" s="689">
        <f t="shared" si="5"/>
        <v>-1649995.5607918166</v>
      </c>
      <c r="H63" s="707">
        <f t="shared" si="6"/>
        <v>-6.4128069046204911E-2</v>
      </c>
      <c r="I63" s="572" t="s">
        <v>266</v>
      </c>
      <c r="K63" s="572" t="s">
        <v>412</v>
      </c>
      <c r="M63" s="683">
        <f>VLOOKUP($B63,'Comparisons-24'!$B$35:$P$74, 2, FALSE)</f>
        <v>26403560</v>
      </c>
      <c r="N63" s="683">
        <f>VLOOKUP($B63,'Comparisons-25'!$B$35:$AB$74, 2, FALSE)</f>
        <v>26810560</v>
      </c>
      <c r="O63" s="683">
        <f>VLOOKUP($B63,'Comparisons-26'!$B$35:$BR$72, 2, FALSE)</f>
        <v>23974960.475960296</v>
      </c>
      <c r="Q63" s="729">
        <f>VLOOKUP($B63,'S6C-Deadhead-24'!$B$11:$BY$50, 76, FALSE)</f>
        <v>24714435.274237197</v>
      </c>
      <c r="R63" s="729">
        <f>VLOOKUP(B63, 'S6C-Deadhead-25'!$B$11:$BZ$50,77, FALSE)</f>
        <v>24970091.300056033</v>
      </c>
      <c r="S63" s="729">
        <f>VLOOKUP(B63, 'S6C-Deadhead-26'!$B$12:$BZ$49, 77, FALSE)</f>
        <v>22554567.21929162</v>
      </c>
    </row>
    <row r="64" spans="1:25" ht="15">
      <c r="A64" s="584" t="s">
        <v>206</v>
      </c>
      <c r="B64" s="585" t="s">
        <v>110</v>
      </c>
      <c r="C64" s="584"/>
      <c r="D64" s="609">
        <f t="shared" si="13"/>
        <v>2245850</v>
      </c>
      <c r="E64" s="706" t="s">
        <v>236</v>
      </c>
      <c r="F64" s="609">
        <f>Q64/3</f>
        <v>2620490.3091972522</v>
      </c>
      <c r="G64" s="689">
        <f t="shared" si="5"/>
        <v>374640.30919725215</v>
      </c>
      <c r="H64" s="707">
        <f t="shared" si="6"/>
        <v>0.16681448413618546</v>
      </c>
      <c r="K64" s="572" t="e">
        <v>#N/A</v>
      </c>
      <c r="M64" s="683">
        <f>VLOOKUP($B64,'Comparisons-24'!$B$35:$P$74, 2, FALSE)</f>
        <v>6737550</v>
      </c>
      <c r="N64" s="683">
        <v>0</v>
      </c>
      <c r="O64" s="683">
        <v>0</v>
      </c>
      <c r="Q64" s="729">
        <f>VLOOKUP($B64,'S6C-Deadhead-24'!$B$11:$BY$50, 76, FALSE)</f>
        <v>7861470.9275917569</v>
      </c>
      <c r="R64" s="729">
        <f>VLOOKUP(B64, 'S6C-Deadhead-25'!$B$11:$BZ$50,77, FALSE)</f>
        <v>0</v>
      </c>
      <c r="S64" s="729"/>
    </row>
    <row r="65" spans="1:31" ht="15">
      <c r="A65" s="584" t="s">
        <v>206</v>
      </c>
      <c r="B65" s="585" t="s">
        <v>111</v>
      </c>
      <c r="C65" s="584"/>
      <c r="D65" s="609">
        <f t="shared" si="13"/>
        <v>8187109.5606905362</v>
      </c>
      <c r="E65" s="706" t="s">
        <v>236</v>
      </c>
      <c r="F65" s="609">
        <f t="shared" si="14"/>
        <v>7538434.8759400351</v>
      </c>
      <c r="G65" s="689">
        <f t="shared" si="5"/>
        <v>-648674.68475050107</v>
      </c>
      <c r="H65" s="707">
        <f t="shared" si="6"/>
        <v>-7.9231220730822741E-2</v>
      </c>
      <c r="I65" s="572" t="s">
        <v>266</v>
      </c>
      <c r="K65" s="572" t="s">
        <v>111</v>
      </c>
      <c r="M65" s="683">
        <f>VLOOKUP($B65,'Comparisons-24'!$B$35:$P$74, 2, FALSE)</f>
        <v>7934286</v>
      </c>
      <c r="N65" s="683">
        <f>VLOOKUP($B65,'Comparisons-25'!$B$35:$AB$74, 2, FALSE)</f>
        <v>7946250</v>
      </c>
      <c r="O65" s="683">
        <f>VLOOKUP($B65,'Comparisons-26'!$B$35:$BR$72, 2, FALSE)</f>
        <v>8680792.6820716076</v>
      </c>
      <c r="Q65" s="729">
        <f>VLOOKUP($B65,'S6C-Deadhead-24'!$B$11:$BY$50, 76, FALSE)</f>
        <v>7564092.6418245202</v>
      </c>
      <c r="R65" s="729">
        <f>VLOOKUP(B65, 'S6C-Deadhead-25'!$B$11:$BZ$50,77, FALSE)</f>
        <v>7520797.9936997872</v>
      </c>
      <c r="S65" s="729">
        <f>VLOOKUP(B65, 'S6C-Deadhead-26'!$B$12:$BZ$49, 77, FALSE)</f>
        <v>7530413.9922957961</v>
      </c>
    </row>
    <row r="66" spans="1:31" ht="15">
      <c r="A66" s="584" t="s">
        <v>112</v>
      </c>
      <c r="B66" s="585" t="s">
        <v>113</v>
      </c>
      <c r="C66" s="584"/>
      <c r="D66" s="609">
        <f t="shared" si="13"/>
        <v>1198958.8926709832</v>
      </c>
      <c r="E66" s="706" t="s">
        <v>236</v>
      </c>
      <c r="F66" s="609">
        <f t="shared" si="14"/>
        <v>1179958.6022367617</v>
      </c>
      <c r="G66" s="689">
        <f t="shared" si="5"/>
        <v>-19000.290434221504</v>
      </c>
      <c r="H66" s="707">
        <f t="shared" si="6"/>
        <v>-1.5847324333108342E-2</v>
      </c>
      <c r="I66" s="709"/>
      <c r="K66" s="572" t="s">
        <v>413</v>
      </c>
      <c r="M66" s="683">
        <f>VLOOKUP($B66,'Comparisons-24'!$B$35:$P$74, 2, FALSE)</f>
        <v>1224167</v>
      </c>
      <c r="N66" s="683">
        <f>VLOOKUP($B66,'Comparisons-25'!$B$35:$AB$74, 2, FALSE)</f>
        <v>1335726</v>
      </c>
      <c r="O66" s="683">
        <f>VLOOKUP($B66,'Comparisons-26'!$B$35:$BR$72, 2, FALSE)</f>
        <v>1036983.6780129499</v>
      </c>
      <c r="Q66" s="729">
        <f>VLOOKUP($B66,'S6C-Deadhead-24'!$B$11:$BY$50, 76, FALSE)</f>
        <v>1224166.8</v>
      </c>
      <c r="R66" s="729">
        <f>VLOOKUP(B66, 'S6C-Deadhead-25'!$B$11:$BZ$50,77, FALSE)</f>
        <v>1265471.7905469278</v>
      </c>
      <c r="S66" s="729">
        <f>VLOOKUP(B66, 'S6C-Deadhead-26'!$B$12:$BZ$49, 77, FALSE)</f>
        <v>1050237.216163357</v>
      </c>
      <c r="Z66" s="689">
        <f>Q66-M66</f>
        <v>-0.19999999995343387</v>
      </c>
      <c r="AA66" s="708">
        <f>Z66/M66</f>
        <v>-1.6337640203782153E-7</v>
      </c>
      <c r="AB66" s="689">
        <f>R66-N66</f>
        <v>-70254.209453072166</v>
      </c>
      <c r="AC66" s="708">
        <f>AB66/N66</f>
        <v>-5.259627307776607E-2</v>
      </c>
      <c r="AD66" s="689">
        <f>S66-O66</f>
        <v>13253.538150407141</v>
      </c>
      <c r="AE66" s="708">
        <f>AD66/O66</f>
        <v>1.2780855119921792E-2</v>
      </c>
    </row>
    <row r="67" spans="1:31" ht="15">
      <c r="A67" s="584" t="s">
        <v>112</v>
      </c>
      <c r="B67" s="585" t="s">
        <v>114</v>
      </c>
      <c r="C67" s="584"/>
      <c r="D67" s="609">
        <f t="shared" si="13"/>
        <v>18853131.91607457</v>
      </c>
      <c r="E67" s="706" t="s">
        <v>236</v>
      </c>
      <c r="F67" s="609">
        <f t="shared" si="14"/>
        <v>19596748.981238451</v>
      </c>
      <c r="G67" s="689">
        <f t="shared" si="5"/>
        <v>743617.06516388059</v>
      </c>
      <c r="H67" s="707">
        <f t="shared" si="6"/>
        <v>3.9442627807099638E-2</v>
      </c>
      <c r="I67" s="572" t="s">
        <v>266</v>
      </c>
      <c r="K67" s="572" t="s">
        <v>414</v>
      </c>
      <c r="M67" s="683">
        <f>VLOOKUP($B67,'Comparisons-24'!$B$35:$P$74, 2, FALSE)</f>
        <v>17510246</v>
      </c>
      <c r="N67" s="683">
        <f>VLOOKUP($B67,'Comparisons-25'!$B$35:$AB$74, 2, FALSE)</f>
        <v>20270143</v>
      </c>
      <c r="O67" s="683">
        <f>VLOOKUP($B67,'Comparisons-26'!$B$35:$BR$72, 2, FALSE)</f>
        <v>18779006.748223707</v>
      </c>
      <c r="Q67" s="729">
        <f>VLOOKUP($B67,'S6C-Deadhead-24'!$B$11:$BY$50, 76, FALSE)</f>
        <v>17510246.399999999</v>
      </c>
      <c r="R67" s="729">
        <f>VLOOKUP(B67, 'S6C-Deadhead-25'!$B$11:$BZ$50,77, FALSE)</f>
        <v>20640888.599999998</v>
      </c>
      <c r="S67" s="729">
        <f>VLOOKUP(B67, 'S6C-Deadhead-26'!$B$12:$BZ$49, 77, FALSE)</f>
        <v>20639111.943715345</v>
      </c>
    </row>
    <row r="68" spans="1:31" ht="15">
      <c r="A68" s="584" t="s">
        <v>115</v>
      </c>
      <c r="B68" s="585" t="s">
        <v>116</v>
      </c>
      <c r="C68" s="584"/>
      <c r="D68" s="609">
        <f t="shared" si="13"/>
        <v>3483121.4</v>
      </c>
      <c r="E68" s="706" t="s">
        <v>236</v>
      </c>
      <c r="F68" s="609">
        <f t="shared" si="14"/>
        <v>3483121.2999999993</v>
      </c>
      <c r="G68" s="689">
        <f t="shared" si="5"/>
        <v>-0.10000000055879354</v>
      </c>
      <c r="H68" s="707">
        <f t="shared" si="6"/>
        <v>-2.8709880901306956E-8</v>
      </c>
      <c r="I68" s="572" t="s">
        <v>266</v>
      </c>
      <c r="K68" s="572" t="s">
        <v>116</v>
      </c>
      <c r="M68" s="683">
        <f>VLOOKUP($B68,'Comparisons-24'!$B$35:$P$74, 2, FALSE)</f>
        <v>3000449</v>
      </c>
      <c r="N68" s="683">
        <f>VLOOKUP($B68,'Comparisons-25'!$B$35:$AB$74, 2, FALSE)</f>
        <v>3606217</v>
      </c>
      <c r="O68" s="683">
        <f>VLOOKUP($B68,'Comparisons-26'!$B$35:$BR$72, 2, FALSE)</f>
        <v>3842698.1999999997</v>
      </c>
      <c r="Q68" s="729">
        <f>VLOOKUP($B68,'S6C-Deadhead-24'!$B$11:$BY$50, 76, FALSE)</f>
        <v>3000448.5</v>
      </c>
      <c r="R68" s="729">
        <f>VLOOKUP(B68, 'S6C-Deadhead-25'!$B$11:$BZ$50,77, FALSE)</f>
        <v>3606217.1999999997</v>
      </c>
      <c r="S68" s="729">
        <f>VLOOKUP(B68, 'S6C-Deadhead-26'!$B$12:$BZ$49, 77, FALSE)</f>
        <v>3842698.1999999997</v>
      </c>
    </row>
    <row r="69" spans="1:31" ht="15">
      <c r="A69" s="584" t="s">
        <v>115</v>
      </c>
      <c r="B69" s="585" t="s">
        <v>117</v>
      </c>
      <c r="C69" s="584"/>
      <c r="D69" s="609">
        <f t="shared" si="13"/>
        <v>501123.76901444077</v>
      </c>
      <c r="E69" s="706" t="s">
        <v>236</v>
      </c>
      <c r="F69" s="609">
        <f t="shared" si="14"/>
        <v>556665.06460703246</v>
      </c>
      <c r="G69" s="689">
        <f t="shared" si="5"/>
        <v>55541.29559259169</v>
      </c>
      <c r="H69" s="707">
        <f t="shared" si="6"/>
        <v>0.11083348870444652</v>
      </c>
      <c r="I69" s="709"/>
      <c r="K69" s="572" t="s">
        <v>117</v>
      </c>
      <c r="M69" s="683">
        <f>VLOOKUP($B69,'Comparisons-24'!$B$35:$P$74, 2, FALSE)</f>
        <v>526130</v>
      </c>
      <c r="N69" s="683">
        <f>VLOOKUP($B69,'Comparisons-25'!$B$35:$AB$74, 2, FALSE)</f>
        <v>506115</v>
      </c>
      <c r="O69" s="683">
        <f>VLOOKUP($B69,'Comparisons-26'!$B$35:$BR$72, 2, FALSE)</f>
        <v>471126.30704332248</v>
      </c>
      <c r="Q69" s="729">
        <f>VLOOKUP($B69,'S6C-Deadhead-24'!$B$11:$BY$50, 76, FALSE)</f>
        <v>527425.19999999995</v>
      </c>
      <c r="R69" s="729">
        <f>VLOOKUP(B69, 'S6C-Deadhead-25'!$B$11:$BZ$50,77, FALSE)</f>
        <v>587644.57946449937</v>
      </c>
      <c r="S69" s="729">
        <f>VLOOKUP(B69, 'S6C-Deadhead-26'!$B$12:$BZ$49, 77, FALSE)</f>
        <v>554925.41435659816</v>
      </c>
    </row>
    <row r="70" spans="1:31" ht="15">
      <c r="A70" s="584" t="s">
        <v>115</v>
      </c>
      <c r="B70" s="585" t="s">
        <v>118</v>
      </c>
      <c r="C70" s="584"/>
      <c r="D70" s="609">
        <f t="shared" si="13"/>
        <v>3271539.9085863479</v>
      </c>
      <c r="E70" s="706" t="s">
        <v>236</v>
      </c>
      <c r="F70" s="609">
        <f t="shared" si="14"/>
        <v>3500132.9198045493</v>
      </c>
      <c r="G70" s="689">
        <f t="shared" si="5"/>
        <v>228593.01121820137</v>
      </c>
      <c r="H70" s="707">
        <f t="shared" si="6"/>
        <v>6.9873214940232159E-2</v>
      </c>
      <c r="I70" s="572" t="s">
        <v>266</v>
      </c>
      <c r="K70" s="572" t="s">
        <v>415</v>
      </c>
      <c r="M70" s="683">
        <f>VLOOKUP($B70,'Comparisons-24'!$B$35:$P$74, 2, FALSE)</f>
        <v>3187292</v>
      </c>
      <c r="N70" s="683">
        <f>VLOOKUP($B70,'Comparisons-25'!$B$35:$AB$74, 2, FALSE)</f>
        <v>3433985</v>
      </c>
      <c r="O70" s="683">
        <f>VLOOKUP($B70,'Comparisons-26'!$B$35:$BR$72, 2, FALSE)</f>
        <v>3193342.7257590448</v>
      </c>
      <c r="Q70" s="729">
        <f>VLOOKUP($B70,'S6C-Deadhead-24'!$B$11:$BY$50, 76, FALSE)</f>
        <v>3187292.4</v>
      </c>
      <c r="R70" s="729">
        <f>VLOOKUP(B70, 'S6C-Deadhead-25'!$B$11:$BZ$50,77, FALSE)</f>
        <v>3740254.6778761749</v>
      </c>
      <c r="S70" s="729">
        <f>VLOOKUP(B70, 'S6C-Deadhead-26'!$B$12:$BZ$49, 77, FALSE)</f>
        <v>3572851.6815374745</v>
      </c>
    </row>
    <row r="71" spans="1:31" ht="15">
      <c r="A71" s="584" t="s">
        <v>115</v>
      </c>
      <c r="B71" s="585" t="s">
        <v>119</v>
      </c>
      <c r="C71" s="584"/>
      <c r="D71" s="609">
        <f t="shared" si="13"/>
        <v>199411.47824592108</v>
      </c>
      <c r="E71" s="706" t="s">
        <v>236</v>
      </c>
      <c r="F71" s="609">
        <f t="shared" si="14"/>
        <v>224843.6514571541</v>
      </c>
      <c r="G71" s="689">
        <f t="shared" si="5"/>
        <v>25432.173211233021</v>
      </c>
      <c r="H71" s="707">
        <f t="shared" si="6"/>
        <v>0.12753615506460061</v>
      </c>
      <c r="K71" s="572" t="s">
        <v>119</v>
      </c>
      <c r="M71" s="683">
        <f>VLOOKUP($B71,'Comparisons-24'!$B$35:$P$74, 2, FALSE)</f>
        <v>211380</v>
      </c>
      <c r="N71" s="683">
        <f>VLOOKUP($B71,'Comparisons-25'!$B$35:$AB$74, 2, FALSE)</f>
        <v>204230</v>
      </c>
      <c r="O71" s="683">
        <f>VLOOKUP($B71,'Comparisons-26'!$B$35:$BR$72, 2, FALSE)</f>
        <v>182624.43473776325</v>
      </c>
      <c r="Q71" s="729">
        <f>VLOOKUP($B71,'S6C-Deadhead-24'!$B$11:$BY$50, 76, FALSE)</f>
        <v>236424.3</v>
      </c>
      <c r="R71" s="729">
        <f>VLOOKUP(B71, 'S6C-Deadhead-25'!$B$11:$BZ$50,77, FALSE)</f>
        <v>220944.3</v>
      </c>
      <c r="S71" s="729">
        <f>VLOOKUP(B71, 'S6C-Deadhead-26'!$B$12:$BZ$49, 77, FALSE)</f>
        <v>217162.35437146231</v>
      </c>
    </row>
    <row r="72" spans="1:31" ht="15">
      <c r="A72" s="584" t="s">
        <v>120</v>
      </c>
      <c r="B72" s="585" t="s">
        <v>121</v>
      </c>
      <c r="C72" s="584"/>
      <c r="D72" s="609">
        <f t="shared" si="13"/>
        <v>657710.18017678906</v>
      </c>
      <c r="E72" s="706" t="s">
        <v>236</v>
      </c>
      <c r="F72" s="609">
        <f t="shared" si="14"/>
        <v>744302.61058055703</v>
      </c>
      <c r="G72" s="689">
        <f t="shared" si="5"/>
        <v>86592.430403767969</v>
      </c>
      <c r="H72" s="707">
        <f t="shared" si="6"/>
        <v>0.13165742756253579</v>
      </c>
      <c r="I72" s="709"/>
      <c r="K72" s="572" t="s">
        <v>416</v>
      </c>
      <c r="M72" s="683">
        <f>VLOOKUP($B72,'Comparisons-24'!$B$35:$P$74, 2, FALSE)</f>
        <v>693794</v>
      </c>
      <c r="N72" s="683">
        <f>VLOOKUP($B72,'Comparisons-25'!$B$35:$AB$74, 2, FALSE)</f>
        <v>661136</v>
      </c>
      <c r="O72" s="683">
        <f>VLOOKUP($B72,'Comparisons-26'!$B$35:$BR$72, 2, FALSE)</f>
        <v>618200.54053036741</v>
      </c>
      <c r="Q72" s="729">
        <f>VLOOKUP($B72,'S6C-Deadhead-24'!$B$11:$BY$50, 76, FALSE)</f>
        <v>771546.30964623799</v>
      </c>
      <c r="R72" s="729">
        <f>VLOOKUP(B72, 'S6C-Deadhead-25'!$B$11:$BZ$50,77, FALSE)</f>
        <v>752746.11745087884</v>
      </c>
      <c r="S72" s="729">
        <f>VLOOKUP(B72, 'S6C-Deadhead-26'!$B$12:$BZ$49, 77, FALSE)</f>
        <v>708615.40464455425</v>
      </c>
    </row>
    <row r="73" spans="1:31" ht="15">
      <c r="A73" s="584" t="s">
        <v>120</v>
      </c>
      <c r="B73" s="585" t="s">
        <v>122</v>
      </c>
      <c r="C73" s="584"/>
      <c r="D73" s="609">
        <f t="shared" si="13"/>
        <v>1997492.8666666665</v>
      </c>
      <c r="E73" s="706" t="s">
        <v>236</v>
      </c>
      <c r="F73" s="609">
        <f t="shared" si="14"/>
        <v>1997493</v>
      </c>
      <c r="G73" s="689">
        <f t="shared" si="5"/>
        <v>0.13333333353511989</v>
      </c>
      <c r="H73" s="707">
        <f t="shared" si="6"/>
        <v>6.6750342772247821E-8</v>
      </c>
      <c r="I73" s="709"/>
      <c r="K73" s="572" t="s">
        <v>267</v>
      </c>
      <c r="M73" s="683">
        <f>VLOOKUP($B73,'Comparisons-24'!$B$35:$P$74, 2, FALSE)</f>
        <v>1788201</v>
      </c>
      <c r="N73" s="683">
        <f>VLOOKUP($B73,'Comparisons-25'!$B$35:$AB$74, 2, FALSE)</f>
        <v>1973597</v>
      </c>
      <c r="O73" s="683">
        <f>VLOOKUP($B73,'Comparisons-26'!$B$35:$BR$72, 2, FALSE)</f>
        <v>2230680.6</v>
      </c>
      <c r="Q73" s="729">
        <f>VLOOKUP($B73,'S6C-Deadhead-24'!$B$11:$BY$50, 76, FALSE)</f>
        <v>1788201</v>
      </c>
      <c r="R73" s="729">
        <f>VLOOKUP(B73, 'S6C-Deadhead-25'!$B$11:$BZ$50,77, FALSE)</f>
        <v>1973597.4</v>
      </c>
      <c r="S73" s="729">
        <f>VLOOKUP(B73, 'S6C-Deadhead-26'!$B$12:$BZ$49, 77, FALSE)</f>
        <v>2230680.6</v>
      </c>
    </row>
    <row r="74" spans="1:31" ht="15">
      <c r="A74" s="584" t="s">
        <v>120</v>
      </c>
      <c r="B74" s="585" t="s">
        <v>123</v>
      </c>
      <c r="C74" s="584"/>
      <c r="D74" s="609">
        <f t="shared" si="13"/>
        <v>487667.35765267425</v>
      </c>
      <c r="E74" s="706" t="s">
        <v>236</v>
      </c>
      <c r="F74" s="609">
        <f t="shared" si="14"/>
        <v>489883.67214135331</v>
      </c>
      <c r="G74" s="689">
        <f t="shared" si="5"/>
        <v>2216.3144886790542</v>
      </c>
      <c r="H74" s="707">
        <f t="shared" si="6"/>
        <v>4.5447259364395564E-3</v>
      </c>
      <c r="I74" s="709"/>
      <c r="K74" s="572" t="s">
        <v>123</v>
      </c>
      <c r="M74" s="683">
        <f>VLOOKUP($B74,'Comparisons-24'!$B$35:$P$74, 2, FALSE)</f>
        <v>427114</v>
      </c>
      <c r="N74" s="683">
        <f>VLOOKUP($B74,'Comparisons-25'!$B$35:$AB$74, 2, FALSE)</f>
        <v>522225</v>
      </c>
      <c r="O74" s="683">
        <f>VLOOKUP($B74,'Comparisons-26'!$B$35:$BR$72, 2, FALSE)</f>
        <v>513663.07295802294</v>
      </c>
      <c r="Q74" s="729">
        <f>VLOOKUP($B74,'S6C-Deadhead-24'!$B$11:$BY$50, 76, FALSE)</f>
        <v>427113.89999999997</v>
      </c>
      <c r="R74" s="729">
        <f>VLOOKUP(B74, 'S6C-Deadhead-25'!$B$11:$BZ$50,77, FALSE)</f>
        <v>509082.39879956475</v>
      </c>
      <c r="S74" s="729">
        <f>VLOOKUP(B74, 'S6C-Deadhead-26'!$B$12:$BZ$49, 77, FALSE)</f>
        <v>533454.71762449516</v>
      </c>
    </row>
    <row r="75" spans="1:31" ht="15">
      <c r="A75" s="584" t="s">
        <v>124</v>
      </c>
      <c r="B75" s="585" t="s">
        <v>125</v>
      </c>
      <c r="C75" s="584"/>
      <c r="D75" s="609">
        <f t="shared" si="13"/>
        <v>1190937.3236635181</v>
      </c>
      <c r="E75" s="706" t="s">
        <v>236</v>
      </c>
      <c r="F75" s="609">
        <f t="shared" si="14"/>
        <v>1185624.7139767034</v>
      </c>
      <c r="G75" s="689">
        <f t="shared" si="5"/>
        <v>-5312.6096868147142</v>
      </c>
      <c r="H75" s="707">
        <f t="shared" si="6"/>
        <v>-4.460864212796907E-3</v>
      </c>
      <c r="K75" s="572" t="s">
        <v>125</v>
      </c>
      <c r="M75" s="683">
        <f>VLOOKUP($B75,'Comparisons-24'!$B$35:$P$74, 2, FALSE)</f>
        <v>1391292</v>
      </c>
      <c r="N75" s="683">
        <f>VLOOKUP($B75,'Comparisons-25'!$B$35:$AB$74, 2, FALSE)</f>
        <v>1179698</v>
      </c>
      <c r="O75" s="683">
        <f>VLOOKUP($B75,'Comparisons-26'!$B$35:$BR$72, 2, FALSE)</f>
        <v>1001821.9709905545</v>
      </c>
      <c r="Q75" s="729">
        <f>VLOOKUP($B75,'S6C-Deadhead-24'!$B$11:$BY$50, 76, FALSE)</f>
        <v>1269013.99807437</v>
      </c>
      <c r="R75" s="729">
        <f>VLOOKUP(B75, 'S6C-Deadhead-25'!$B$11:$BZ$50,77, FALSE)</f>
        <v>1166689.2033670156</v>
      </c>
      <c r="S75" s="729">
        <f>VLOOKUP(B75, 'S6C-Deadhead-26'!$B$12:$BZ$49, 77, FALSE)</f>
        <v>1121170.9404887245</v>
      </c>
      <c r="T75" s="689">
        <f>Q75-M75</f>
        <v>-122278.00192563003</v>
      </c>
      <c r="U75" s="708">
        <f>T75/M75</f>
        <v>-8.788809389087987E-2</v>
      </c>
      <c r="V75" s="689">
        <f>R75-N75</f>
        <v>-13008.79663298442</v>
      </c>
      <c r="W75" s="708">
        <f>V75/N75</f>
        <v>-1.1027226148543458E-2</v>
      </c>
      <c r="X75" s="689">
        <f>S75-O75</f>
        <v>119348.96949816996</v>
      </c>
      <c r="Y75" s="708">
        <f>X75/O75</f>
        <v>0.11913191460570914</v>
      </c>
    </row>
    <row r="76" spans="1:31" ht="15">
      <c r="A76" s="584" t="s">
        <v>124</v>
      </c>
      <c r="B76" s="585" t="s">
        <v>126</v>
      </c>
      <c r="C76" s="584"/>
      <c r="D76" s="609">
        <f t="shared" si="13"/>
        <v>189467.63333333333</v>
      </c>
      <c r="E76" s="706" t="s">
        <v>236</v>
      </c>
      <c r="F76" s="609">
        <f t="shared" si="14"/>
        <v>189467.80000000002</v>
      </c>
      <c r="G76" s="689">
        <f t="shared" si="5"/>
        <v>0.16666666668606922</v>
      </c>
      <c r="H76" s="707">
        <f t="shared" si="6"/>
        <v>8.796577217642761E-7</v>
      </c>
      <c r="K76" s="572" t="s">
        <v>126</v>
      </c>
      <c r="M76" s="683">
        <f>VLOOKUP($B76,'Comparisons-24'!$B$35:$P$74, 2, FALSE)</f>
        <v>172014</v>
      </c>
      <c r="N76" s="683">
        <f>VLOOKUP($B76,'Comparisons-25'!$B$35:$AB$74, 2, FALSE)</f>
        <v>214936</v>
      </c>
      <c r="O76" s="683">
        <f>VLOOKUP($B76,'Comparisons-26'!$B$35:$BR$72, 2, FALSE)</f>
        <v>181452.9</v>
      </c>
      <c r="Q76" s="729">
        <f>VLOOKUP($B76,'S6C-Deadhead-24'!$B$11:$BY$50, 76, FALSE)</f>
        <v>172014.3</v>
      </c>
      <c r="R76" s="729">
        <f>VLOOKUP(B76, 'S6C-Deadhead-25'!$B$11:$BZ$50,77, FALSE)</f>
        <v>214936.19999999998</v>
      </c>
      <c r="S76" s="729">
        <f>VLOOKUP(B76, 'S6C-Deadhead-26'!$B$12:$BZ$49, 77, FALSE)</f>
        <v>181452.9</v>
      </c>
      <c r="T76" s="689">
        <f>Q76-M76</f>
        <v>0.29999999998835847</v>
      </c>
      <c r="U76" s="708">
        <f>T76/M76</f>
        <v>1.744044089366903E-6</v>
      </c>
      <c r="V76" s="689">
        <f>R76-N76</f>
        <v>0.1999999999825377</v>
      </c>
      <c r="W76" s="708">
        <f>V76/N76</f>
        <v>9.3050954694670832E-7</v>
      </c>
      <c r="X76" s="689">
        <f>S76-O76</f>
        <v>0</v>
      </c>
      <c r="Y76" s="708">
        <f>X76/O76</f>
        <v>0</v>
      </c>
    </row>
    <row r="77" spans="1:31" ht="15">
      <c r="A77" s="584" t="s">
        <v>124</v>
      </c>
      <c r="B77" s="585" t="s">
        <v>127</v>
      </c>
      <c r="C77" s="584"/>
      <c r="D77" s="609">
        <f t="shared" si="13"/>
        <v>1563531.1897689884</v>
      </c>
      <c r="E77" s="706" t="s">
        <v>236</v>
      </c>
      <c r="F77" s="609">
        <f t="shared" si="14"/>
        <v>1399645.3826540259</v>
      </c>
      <c r="G77" s="689">
        <f t="shared" si="5"/>
        <v>-163885.80711496249</v>
      </c>
      <c r="H77" s="707">
        <f t="shared" si="6"/>
        <v>-0.10481774088509012</v>
      </c>
      <c r="I77" s="709"/>
      <c r="K77" s="572" t="s">
        <v>127</v>
      </c>
      <c r="M77" s="683">
        <f>VLOOKUP($B77,'Comparisons-24'!$B$35:$P$74, 2, FALSE)</f>
        <v>1854386</v>
      </c>
      <c r="N77" s="683">
        <f>VLOOKUP($B77,'Comparisons-25'!$B$35:$AB$74, 2, FALSE)</f>
        <v>1873883</v>
      </c>
      <c r="O77" s="683">
        <f>VLOOKUP($B77,'Comparisons-26'!$B$35:$BR$72, 2, FALSE)</f>
        <v>962324.56930696522</v>
      </c>
      <c r="Q77" s="729">
        <f>VLOOKUP($B77,'S6C-Deadhead-24'!$B$11:$BY$50, 76, FALSE)</f>
        <v>1610040.1134656151</v>
      </c>
      <c r="R77" s="729">
        <f>VLOOKUP(B77, 'S6C-Deadhead-25'!$B$11:$BZ$50,77, FALSE)</f>
        <v>1690127.3354563033</v>
      </c>
      <c r="S77" s="729">
        <f>VLOOKUP(B77, 'S6C-Deadhead-26'!$B$12:$BZ$49, 77, FALSE)</f>
        <v>898768.69904015877</v>
      </c>
    </row>
    <row r="78" spans="1:31" ht="15">
      <c r="A78" s="584" t="s">
        <v>124</v>
      </c>
      <c r="B78" s="585" t="s">
        <v>128</v>
      </c>
      <c r="C78" s="584"/>
      <c r="D78" s="609">
        <f t="shared" si="13"/>
        <v>53872.552240582278</v>
      </c>
      <c r="E78" s="706" t="s">
        <v>236</v>
      </c>
      <c r="F78" s="609">
        <f t="shared" si="14"/>
        <v>60187.037093901657</v>
      </c>
      <c r="G78" s="689">
        <f t="shared" si="5"/>
        <v>6314.4848533193799</v>
      </c>
      <c r="H78" s="707">
        <f t="shared" si="6"/>
        <v>0.11721154076978496</v>
      </c>
      <c r="K78" s="572" t="s">
        <v>128</v>
      </c>
      <c r="M78" s="683">
        <f>VLOOKUP($B78,'Comparisons-24'!$B$35:$P$74, 2, FALSE)</f>
        <v>48603</v>
      </c>
      <c r="N78" s="683">
        <f>VLOOKUP($B78,'Comparisons-25'!$B$35:$AB$74, 2, FALSE)</f>
        <v>51181</v>
      </c>
      <c r="O78" s="683">
        <f>VLOOKUP($B78,'Comparisons-26'!$B$35:$BR$72, 2, FALSE)</f>
        <v>61833.656721746825</v>
      </c>
      <c r="Q78" s="729">
        <f>VLOOKUP($B78,'S6C-Deadhead-24'!$B$11:$BY$50, 76, FALSE)</f>
        <v>48603</v>
      </c>
      <c r="R78" s="729">
        <f>VLOOKUP(B78, 'S6C-Deadhead-25'!$B$11:$BZ$50,77, FALSE)</f>
        <v>51180.9</v>
      </c>
      <c r="S78" s="729">
        <f>VLOOKUP(B78, 'S6C-Deadhead-26'!$B$12:$BZ$49, 77, FALSE)</f>
        <v>80777.211281704978</v>
      </c>
      <c r="T78" s="689">
        <f>Q78-M78</f>
        <v>0</v>
      </c>
      <c r="U78" s="708">
        <f>T78/M78</f>
        <v>0</v>
      </c>
      <c r="V78" s="689">
        <f>R78-N78</f>
        <v>-9.9999999998544808E-2</v>
      </c>
      <c r="W78" s="708">
        <f>V78/N78</f>
        <v>-1.9538500615178447E-6</v>
      </c>
      <c r="X78" s="689">
        <f>S78-O78</f>
        <v>18943.554559958153</v>
      </c>
      <c r="Y78" s="708">
        <f>X78/O78</f>
        <v>0.30636316149317638</v>
      </c>
    </row>
    <row r="79" spans="1:31" ht="15">
      <c r="A79" s="584" t="s">
        <v>124</v>
      </c>
      <c r="B79" s="585" t="s">
        <v>129</v>
      </c>
      <c r="C79" s="584"/>
      <c r="D79" s="609">
        <f t="shared" si="13"/>
        <v>324336.18210457283</v>
      </c>
      <c r="E79" s="706" t="s">
        <v>236</v>
      </c>
      <c r="F79" s="609">
        <f t="shared" si="14"/>
        <v>328931.20014728681</v>
      </c>
      <c r="G79" s="689">
        <f t="shared" si="5"/>
        <v>4595.0180427139858</v>
      </c>
      <c r="H79" s="707">
        <f t="shared" si="6"/>
        <v>1.4167454315141612E-2</v>
      </c>
      <c r="K79" s="572" t="s">
        <v>129</v>
      </c>
      <c r="M79" s="683">
        <f>VLOOKUP($B79,'Comparisons-24'!$B$35:$P$74, 2, FALSE)</f>
        <v>358161</v>
      </c>
      <c r="N79" s="683">
        <f>VLOOKUP($B79,'Comparisons-25'!$B$35:$AB$74, 2, FALSE)</f>
        <v>324509</v>
      </c>
      <c r="O79" s="683">
        <f>VLOOKUP($B79,'Comparisons-26'!$B$35:$BR$72, 2, FALSE)</f>
        <v>290338.54631371854</v>
      </c>
      <c r="Q79" s="729">
        <f>VLOOKUP($B79,'S6C-Deadhead-24'!$B$11:$BY$50, 76, FALSE)</f>
        <v>352545.60703414364</v>
      </c>
      <c r="R79" s="729">
        <f>VLOOKUP(B79, 'S6C-Deadhead-25'!$B$11:$BZ$50,77, FALSE)</f>
        <v>330489.91851935763</v>
      </c>
      <c r="S79" s="729">
        <f>VLOOKUP(B79, 'S6C-Deadhead-26'!$B$12:$BZ$49, 77, FALSE)</f>
        <v>303758.07488835935</v>
      </c>
      <c r="T79" s="689">
        <f>Q79-M79</f>
        <v>-5615.3929658563575</v>
      </c>
      <c r="U79" s="708">
        <f>T79/M79</f>
        <v>-1.5678404309392584E-2</v>
      </c>
      <c r="V79" s="689">
        <f>R79-N79</f>
        <v>5980.9185193576268</v>
      </c>
      <c r="W79" s="708">
        <f>V79/N79</f>
        <v>1.8430670703609535E-2</v>
      </c>
      <c r="X79" s="689">
        <f>S79-O79</f>
        <v>13419.528574640804</v>
      </c>
      <c r="Y79" s="708">
        <f>X79/O79</f>
        <v>4.6220278860736069E-2</v>
      </c>
    </row>
    <row r="80" spans="1:31" ht="15.75" thickBot="1">
      <c r="A80" s="597" t="s">
        <v>124</v>
      </c>
      <c r="B80" s="598" t="s">
        <v>130</v>
      </c>
      <c r="C80" s="597"/>
      <c r="D80" s="710">
        <f t="shared" si="13"/>
        <v>1082498.9905717103</v>
      </c>
      <c r="E80" s="711" t="s">
        <v>236</v>
      </c>
      <c r="F80" s="710">
        <f t="shared" si="14"/>
        <v>1112050.3761870814</v>
      </c>
      <c r="G80" s="712">
        <f t="shared" si="5"/>
        <v>29551.385615371168</v>
      </c>
      <c r="H80" s="713">
        <f t="shared" si="6"/>
        <v>2.7299226948714214E-2</v>
      </c>
      <c r="K80" s="572" t="s">
        <v>130</v>
      </c>
      <c r="M80" s="683">
        <f>VLOOKUP($B80,'Comparisons-24'!$B$35:$P$74, 2, FALSE)</f>
        <v>1194300</v>
      </c>
      <c r="N80" s="683">
        <f>VLOOKUP($B80,'Comparisons-25'!$B$35:$AB$74, 2, FALSE)</f>
        <v>1086084</v>
      </c>
      <c r="O80" s="683">
        <f>VLOOKUP($B80,'Comparisons-26'!$B$35:$BR$72, 2, FALSE)</f>
        <v>967112.97171513084</v>
      </c>
      <c r="Q80" s="729">
        <f>VLOOKUP($B80,'S6C-Deadhead-24'!$B$11:$BY$50, 76, FALSE)</f>
        <v>1163848.8126827655</v>
      </c>
      <c r="R80" s="729">
        <f>VLOOKUP(B80, 'S6C-Deadhead-25'!$B$11:$BZ$50,77, FALSE)</f>
        <v>1123347.1371792876</v>
      </c>
      <c r="S80" s="729">
        <f>VLOOKUP(B80, 'S6C-Deadhead-26'!$B$12:$BZ$49, 77, FALSE)</f>
        <v>1048955.1786991914</v>
      </c>
      <c r="T80" s="689">
        <f>Q80-M80</f>
        <v>-30451.187317234464</v>
      </c>
      <c r="U80" s="708">
        <f>T80/M80</f>
        <v>-2.5497100659159729E-2</v>
      </c>
      <c r="V80" s="689">
        <f>R80-N80</f>
        <v>37263.137179287616</v>
      </c>
      <c r="W80" s="708">
        <f>V80/N80</f>
        <v>3.43096272289138E-2</v>
      </c>
      <c r="X80" s="689">
        <f>S80-O80</f>
        <v>81842.206984060584</v>
      </c>
      <c r="Y80" s="708">
        <f>X80/O80</f>
        <v>8.4625280993715926E-2</v>
      </c>
    </row>
    <row r="81" spans="1:25" ht="15.75" thickTop="1">
      <c r="A81" s="714"/>
      <c r="B81" s="714"/>
      <c r="C81" s="714"/>
      <c r="D81" s="715">
        <f>SUM(D42:D80)</f>
        <v>129548415.6666667</v>
      </c>
      <c r="E81" s="714"/>
      <c r="F81" s="715">
        <f>SUM(F42:F80)</f>
        <v>129548416</v>
      </c>
      <c r="G81" s="716">
        <f>MIN(G42:G80)</f>
        <v>-1649995.5607918166</v>
      </c>
      <c r="H81" s="717">
        <f>MIN(H42:H80)</f>
        <v>-0.10481774088509012</v>
      </c>
      <c r="M81" s="697">
        <f>SUM(M42:M80)</f>
        <v>133266168</v>
      </c>
      <c r="N81" s="697">
        <f>SUM(N42:N80)</f>
        <v>128674210</v>
      </c>
      <c r="O81" s="697">
        <f>SUM(O42:O80)</f>
        <v>126704869.00000003</v>
      </c>
      <c r="Q81" s="697">
        <f>SUM(Q42:Q80)</f>
        <v>133266167.99999993</v>
      </c>
      <c r="R81" s="697">
        <f t="shared" ref="R81:S81" si="39">SUM(R42:R80)</f>
        <v>128674210.99999999</v>
      </c>
      <c r="S81" s="697">
        <f t="shared" si="39"/>
        <v>126704869</v>
      </c>
    </row>
    <row r="83" spans="1:25" ht="15">
      <c r="B83" s="718" t="s">
        <v>268</v>
      </c>
      <c r="D83" s="588">
        <f>SUMIF($I$42:$I$80, "Urban", D42:D80)</f>
        <v>110880613.46744327</v>
      </c>
      <c r="F83" s="588">
        <f>SUMIF($I$42:$I$80, "Urban", F42:F80)</f>
        <v>110215712.33292356</v>
      </c>
      <c r="G83" s="689">
        <f t="shared" ref="G83:G84" si="40">F83-D83</f>
        <v>-664901.13451971114</v>
      </c>
      <c r="H83" s="708">
        <f>G83/D83</f>
        <v>-5.9965499263308023E-3</v>
      </c>
      <c r="M83" s="588">
        <f>SUMIF($I$42:$I$80, "Urban", M42:M80)</f>
        <v>109293911</v>
      </c>
      <c r="N83" s="588">
        <f>SUMIF($I$42:$I$80, "Urban", N42:N80)</f>
        <v>111816549</v>
      </c>
      <c r="O83" s="588">
        <f>SUMIF($I$42:$I$80, "Urban", O42:O80)</f>
        <v>111531380.4023298</v>
      </c>
      <c r="Q83" s="588">
        <f>SUMIF($I$42:$I$80, "Urban", Q42:Q80)</f>
        <v>108238928.0095731</v>
      </c>
      <c r="R83" s="588">
        <f>SUMIF($I$42:$I$80, "Urban", R42:R80)</f>
        <v>111632615.43698163</v>
      </c>
      <c r="S83" s="588">
        <f>SUMIF($I$42:$I$80, "Urban", S42:S80)</f>
        <v>110775593.55221596</v>
      </c>
      <c r="T83" s="689">
        <f>Q83-M83</f>
        <v>-1054982.990426898</v>
      </c>
      <c r="U83" s="708">
        <f>T83/M83</f>
        <v>-9.6527151492172142E-3</v>
      </c>
      <c r="V83" s="689">
        <f>R83-N83</f>
        <v>-183933.56301836669</v>
      </c>
      <c r="W83" s="708">
        <f>V83/N83</f>
        <v>-1.6449583238199088E-3</v>
      </c>
      <c r="X83" s="689">
        <f>S83-O83</f>
        <v>-755786.85011383891</v>
      </c>
      <c r="Y83" s="708">
        <f>X83/O83</f>
        <v>-6.7764502455494677E-3</v>
      </c>
    </row>
    <row r="84" spans="1:25" ht="15">
      <c r="B84" s="718" t="s">
        <v>269</v>
      </c>
      <c r="D84" s="588">
        <f>D81-D83</f>
        <v>18667802.199223429</v>
      </c>
      <c r="F84" s="588">
        <f>F81-F83</f>
        <v>19332703.667076439</v>
      </c>
      <c r="G84" s="689">
        <f t="shared" si="40"/>
        <v>664901.4678530097</v>
      </c>
      <c r="H84" s="708">
        <f>G84/D84</f>
        <v>3.561755480142538E-2</v>
      </c>
      <c r="M84" s="588">
        <f>M81-M83</f>
        <v>23972257</v>
      </c>
      <c r="N84" s="588">
        <f>N81-N83</f>
        <v>16857661</v>
      </c>
      <c r="O84" s="588">
        <f>O81-O83</f>
        <v>15173488.597670227</v>
      </c>
      <c r="Q84" s="588">
        <f>Q81-Q83</f>
        <v>25027239.990426823</v>
      </c>
      <c r="R84" s="588">
        <f>R81-R83</f>
        <v>17041595.563018352</v>
      </c>
      <c r="S84" s="588">
        <f>S81-S83</f>
        <v>15929275.447784036</v>
      </c>
      <c r="T84" s="689">
        <f>Q84-M84</f>
        <v>1054982.9904268235</v>
      </c>
      <c r="U84" s="708">
        <f t="shared" ref="U84" si="41">T84/M84</f>
        <v>4.4008496589487738E-2</v>
      </c>
      <c r="V84" s="689">
        <f t="shared" ref="V84" si="42">R84-N84</f>
        <v>183934.56301835179</v>
      </c>
      <c r="W84" s="708">
        <f t="shared" ref="W84" si="43">V84/N84</f>
        <v>1.0911037006756262E-2</v>
      </c>
      <c r="X84" s="689">
        <f t="shared" ref="X84" si="44">S84-O84</f>
        <v>755786.85011380911</v>
      </c>
      <c r="Y84" s="708">
        <f t="shared" ref="Y84" si="45">X84/O84</f>
        <v>4.9809695723490664E-2</v>
      </c>
    </row>
    <row r="88" spans="1:25" ht="15">
      <c r="R88" s="719">
        <f>(R42-Q42)/Q42</f>
        <v>-1.1660532865587095E-2</v>
      </c>
      <c r="S88" s="719">
        <f>(S42-R42)/R42</f>
        <v>-0.10217671899534642</v>
      </c>
    </row>
    <row r="89" spans="1:25" ht="15">
      <c r="B89" s="572" t="s">
        <v>171</v>
      </c>
      <c r="R89" s="719">
        <f t="shared" ref="R89:S104" si="46">(R43-Q43)/Q43</f>
        <v>-0.13259842132110114</v>
      </c>
      <c r="S89" s="719">
        <f t="shared" si="46"/>
        <v>-9.3442055695136111E-2</v>
      </c>
    </row>
    <row r="90" spans="1:25" ht="15">
      <c r="B90" s="572" t="s">
        <v>97</v>
      </c>
      <c r="D90" s="720">
        <v>17018.733333333334</v>
      </c>
      <c r="F90" s="721">
        <f t="shared" ref="F90:F127" si="47">VLOOKUP(B90, $B$42:$H$80, 5, FALSE)</f>
        <v>16360.00296974282</v>
      </c>
      <c r="G90" s="722">
        <f t="shared" ref="G90:G127" si="48">VLOOKUP(B90,$B$42:$H$80, 7, FALSE)</f>
        <v>-3.8706192211162227E-2</v>
      </c>
      <c r="H90" s="572" t="s">
        <v>404</v>
      </c>
      <c r="I90" s="722" t="str">
        <f>H90&amp; " [" &amp;TEXT(G90, "0%;[Red]-0%") &amp;"]"</f>
        <v>PONY Express [-4%]</v>
      </c>
      <c r="R90" s="719">
        <f t="shared" si="46"/>
        <v>-5.4568181458487963E-2</v>
      </c>
      <c r="S90" s="719">
        <f t="shared" si="46"/>
        <v>-2.3678081894539477E-2</v>
      </c>
    </row>
    <row r="91" spans="1:25" ht="15">
      <c r="B91" s="572" t="s">
        <v>103</v>
      </c>
      <c r="D91" s="720">
        <v>41041.693335279859</v>
      </c>
      <c r="F91" s="721">
        <f t="shared" si="47"/>
        <v>45079.69999999999</v>
      </c>
      <c r="G91" s="722">
        <f t="shared" si="48"/>
        <v>9.8387915716163191E-2</v>
      </c>
      <c r="H91" s="572" t="s">
        <v>103</v>
      </c>
      <c r="I91" s="722" t="str">
        <f t="shared" ref="I91:I127" si="49">H91&amp; " [" &amp;TEXT(G91, "0%;[Red]-0%") &amp;"]"</f>
        <v>Town of Altavista [10%]</v>
      </c>
      <c r="R91" s="719">
        <f t="shared" si="46"/>
        <v>-6.7678170340393735E-3</v>
      </c>
      <c r="S91" s="719">
        <f t="shared" si="46"/>
        <v>1.7242757205622166E-3</v>
      </c>
    </row>
    <row r="92" spans="1:25" ht="15">
      <c r="B92" s="572" t="s">
        <v>128</v>
      </c>
      <c r="D92" s="720">
        <v>53872.552240582278</v>
      </c>
      <c r="F92" s="721">
        <f t="shared" si="47"/>
        <v>60187.037093901657</v>
      </c>
      <c r="G92" s="722">
        <f t="shared" si="48"/>
        <v>0.11721154076978496</v>
      </c>
      <c r="H92" s="572" t="s">
        <v>128</v>
      </c>
      <c r="I92" s="722" t="str">
        <f t="shared" si="49"/>
        <v>Lake Area [12%]</v>
      </c>
      <c r="R92" s="719">
        <f t="shared" si="46"/>
        <v>-3.5039119251721533E-2</v>
      </c>
      <c r="S92" s="719">
        <f t="shared" si="46"/>
        <v>-5.1970466562270223E-2</v>
      </c>
    </row>
    <row r="93" spans="1:25" ht="15">
      <c r="B93" s="572" t="s">
        <v>94</v>
      </c>
      <c r="D93" s="720">
        <v>54768.189319748861</v>
      </c>
      <c r="F93" s="721">
        <f t="shared" si="47"/>
        <v>53321.454992696963</v>
      </c>
      <c r="G93" s="722">
        <f t="shared" si="48"/>
        <v>-2.6415595348707646E-2</v>
      </c>
      <c r="H93" s="572" t="s">
        <v>402</v>
      </c>
      <c r="I93" s="722" t="str">
        <f t="shared" si="49"/>
        <v>Greensville Co. [-3%]</v>
      </c>
      <c r="R93" s="719">
        <f t="shared" si="46"/>
        <v>-5.2061083641201378E-3</v>
      </c>
      <c r="S93" s="719">
        <f t="shared" si="46"/>
        <v>0.22235799251463789</v>
      </c>
    </row>
    <row r="94" spans="1:25" ht="15">
      <c r="B94" s="572" t="s">
        <v>84</v>
      </c>
      <c r="D94" s="720">
        <v>121343.8</v>
      </c>
      <c r="F94" s="721">
        <f t="shared" si="47"/>
        <v>122014.21177713049</v>
      </c>
      <c r="G94" s="722">
        <f t="shared" si="48"/>
        <v>5.5248951914353113E-3</v>
      </c>
      <c r="H94" s="572" t="s">
        <v>84</v>
      </c>
      <c r="I94" s="722" t="str">
        <f t="shared" si="49"/>
        <v>City of Bristol Virginia [1%]</v>
      </c>
      <c r="R94" s="719">
        <f t="shared" si="46"/>
        <v>-4.9629332123911477E-2</v>
      </c>
      <c r="S94" s="719">
        <f t="shared" si="46"/>
        <v>1.5517632976543249E-2</v>
      </c>
    </row>
    <row r="95" spans="1:25" ht="15">
      <c r="B95" s="572" t="s">
        <v>87</v>
      </c>
      <c r="D95" s="720">
        <v>125488.87472202133</v>
      </c>
      <c r="F95" s="721">
        <f t="shared" si="47"/>
        <v>137094.43984290899</v>
      </c>
      <c r="G95" s="722">
        <f t="shared" si="48"/>
        <v>9.2482820860382384E-2</v>
      </c>
      <c r="H95" s="572" t="s">
        <v>399</v>
      </c>
      <c r="I95" s="722" t="str">
        <f t="shared" si="49"/>
        <v>Bluefield-Graham  [9%]</v>
      </c>
      <c r="R95" s="719">
        <f t="shared" si="46"/>
        <v>-5.5920538507783189E-2</v>
      </c>
      <c r="S95" s="719">
        <f t="shared" si="46"/>
        <v>-2.375322627679179E-2</v>
      </c>
    </row>
    <row r="96" spans="1:25" ht="15">
      <c r="B96" s="572" t="s">
        <v>126</v>
      </c>
      <c r="D96" s="720">
        <v>189467.63333333333</v>
      </c>
      <c r="F96" s="721">
        <f t="shared" si="47"/>
        <v>189467.80000000002</v>
      </c>
      <c r="G96" s="722">
        <f t="shared" si="48"/>
        <v>8.796577217642761E-7</v>
      </c>
      <c r="H96" s="572" t="s">
        <v>126</v>
      </c>
      <c r="I96" s="722" t="str">
        <f t="shared" si="49"/>
        <v>Blackstone Area Bus [0%]</v>
      </c>
      <c r="R96" s="719">
        <f t="shared" si="46"/>
        <v>0.12191034167092563</v>
      </c>
      <c r="S96" s="719">
        <f t="shared" si="46"/>
        <v>-5.4525096538031344E-2</v>
      </c>
    </row>
    <row r="97" spans="2:19" ht="15">
      <c r="B97" s="572" t="s">
        <v>101</v>
      </c>
      <c r="D97" s="720">
        <v>196263.86435138655</v>
      </c>
      <c r="F97" s="721">
        <f t="shared" si="47"/>
        <v>200739.19999999998</v>
      </c>
      <c r="G97" s="722">
        <f t="shared" si="48"/>
        <v>2.2802647157710527E-2</v>
      </c>
      <c r="H97" s="572" t="s">
        <v>101</v>
      </c>
      <c r="I97" s="722" t="str">
        <f t="shared" si="49"/>
        <v>Farmville Area Bus [2%]</v>
      </c>
      <c r="R97" s="719">
        <f t="shared" si="46"/>
        <v>-6.0270294746307934E-2</v>
      </c>
      <c r="S97" s="719">
        <f t="shared" si="46"/>
        <v>-1.6793134983247818E-2</v>
      </c>
    </row>
    <row r="98" spans="2:19" ht="15">
      <c r="B98" s="572" t="s">
        <v>119</v>
      </c>
      <c r="D98" s="720">
        <v>199411.47824592108</v>
      </c>
      <c r="F98" s="721">
        <f t="shared" si="47"/>
        <v>224843.6514571541</v>
      </c>
      <c r="G98" s="722">
        <f t="shared" si="48"/>
        <v>0.12753615506460061</v>
      </c>
      <c r="H98" s="572" t="s">
        <v>119</v>
      </c>
      <c r="I98" s="722" t="str">
        <f t="shared" si="49"/>
        <v>Pulaski Area Transit [13%]</v>
      </c>
      <c r="R98" s="719">
        <f t="shared" si="46"/>
        <v>3.8156211906236887E-2</v>
      </c>
      <c r="S98" s="719">
        <f t="shared" si="46"/>
        <v>8.095385901128388E-2</v>
      </c>
    </row>
    <row r="99" spans="2:19" ht="15">
      <c r="B99" s="572" t="s">
        <v>129</v>
      </c>
      <c r="D99" s="720">
        <v>324336.18210457283</v>
      </c>
      <c r="F99" s="721">
        <f t="shared" si="47"/>
        <v>328931.20014728681</v>
      </c>
      <c r="G99" s="722">
        <f t="shared" si="48"/>
        <v>1.4167454315141612E-2</v>
      </c>
      <c r="H99" s="572" t="s">
        <v>129</v>
      </c>
      <c r="I99" s="722" t="str">
        <f t="shared" si="49"/>
        <v>RADAR [1%]</v>
      </c>
      <c r="R99" s="719">
        <f t="shared" si="46"/>
        <v>-0.33791634808223275</v>
      </c>
      <c r="S99" s="719">
        <f t="shared" si="46"/>
        <v>0.9389335428189628</v>
      </c>
    </row>
    <row r="100" spans="2:19" ht="15">
      <c r="B100" s="572" t="s">
        <v>96</v>
      </c>
      <c r="D100" s="720">
        <v>371186.63436863339</v>
      </c>
      <c r="F100" s="721">
        <f t="shared" si="47"/>
        <v>379553.60000000003</v>
      </c>
      <c r="G100" s="722">
        <f t="shared" si="48"/>
        <v>2.2541128523117123E-2</v>
      </c>
      <c r="H100" s="572" t="s">
        <v>96</v>
      </c>
      <c r="I100" s="722" t="str">
        <f t="shared" si="49"/>
        <v>STAR Transit [2%]</v>
      </c>
      <c r="R100" s="719">
        <f t="shared" si="46"/>
        <v>5.9803458710842201E-2</v>
      </c>
      <c r="S100" s="719">
        <f t="shared" si="46"/>
        <v>-1.779835700472536E-2</v>
      </c>
    </row>
    <row r="101" spans="2:19" ht="15">
      <c r="B101" s="572" t="s">
        <v>93</v>
      </c>
      <c r="D101" s="720">
        <v>430650.67377976741</v>
      </c>
      <c r="F101" s="721">
        <f t="shared" si="47"/>
        <v>467621.60897950083</v>
      </c>
      <c r="G101" s="722">
        <f t="shared" si="48"/>
        <v>8.5849012786266221E-2</v>
      </c>
      <c r="H101" s="572" t="s">
        <v>93</v>
      </c>
      <c r="I101" s="722" t="str">
        <f t="shared" si="49"/>
        <v>City of Suffolk [9%]</v>
      </c>
      <c r="R101" s="719">
        <f t="shared" si="46"/>
        <v>-0.18332580296659046</v>
      </c>
      <c r="S101" s="719">
        <f t="shared" si="46"/>
        <v>4.1085033884402877E-2</v>
      </c>
    </row>
    <row r="102" spans="2:19" ht="15">
      <c r="B102" s="572" t="s">
        <v>123</v>
      </c>
      <c r="D102" s="720">
        <v>487667.35765267425</v>
      </c>
      <c r="F102" s="721">
        <f t="shared" si="47"/>
        <v>489883.67214135331</v>
      </c>
      <c r="G102" s="722">
        <f t="shared" si="48"/>
        <v>4.5447259364395564E-3</v>
      </c>
      <c r="H102" s="572" t="s">
        <v>123</v>
      </c>
      <c r="I102" s="722" t="str">
        <f t="shared" si="49"/>
        <v>City of Winchester [0%]</v>
      </c>
      <c r="R102" s="719">
        <f t="shared" si="46"/>
        <v>0.1601516861720034</v>
      </c>
      <c r="S102" s="719">
        <f t="shared" si="46"/>
        <v>-6.6454444852198881E-3</v>
      </c>
    </row>
    <row r="103" spans="2:19" ht="15">
      <c r="B103" s="572" t="s">
        <v>117</v>
      </c>
      <c r="D103" s="720">
        <v>501123.76901444077</v>
      </c>
      <c r="F103" s="721">
        <f t="shared" si="47"/>
        <v>556665.06460703246</v>
      </c>
      <c r="G103" s="722">
        <f t="shared" si="48"/>
        <v>0.11083348870444652</v>
      </c>
      <c r="H103" s="572" t="s">
        <v>117</v>
      </c>
      <c r="I103" s="722" t="str">
        <f t="shared" si="49"/>
        <v>City of Radford [11%]</v>
      </c>
      <c r="R103" s="719">
        <f t="shared" si="46"/>
        <v>-7.208466717467843E-2</v>
      </c>
      <c r="S103" s="719">
        <f t="shared" si="46"/>
        <v>-6.3978697737522058E-2</v>
      </c>
    </row>
    <row r="104" spans="2:19" ht="15">
      <c r="B104" s="572" t="s">
        <v>83</v>
      </c>
      <c r="D104" s="720">
        <v>625122.73690211866</v>
      </c>
      <c r="F104" s="721">
        <f t="shared" si="47"/>
        <v>652778.86770464212</v>
      </c>
      <c r="G104" s="722">
        <f t="shared" si="48"/>
        <v>4.4241121254966993E-2</v>
      </c>
      <c r="H104" s="572" t="s">
        <v>396</v>
      </c>
      <c r="I104" s="722" t="str">
        <f t="shared" si="49"/>
        <v>AASC/ 4 County [4%]</v>
      </c>
      <c r="R104" s="719">
        <f t="shared" si="46"/>
        <v>0.64370896546607803</v>
      </c>
      <c r="S104" s="719">
        <f t="shared" si="46"/>
        <v>-6.5111057201369726E-2</v>
      </c>
    </row>
    <row r="105" spans="2:19" ht="15">
      <c r="B105" s="572" t="s">
        <v>86</v>
      </c>
      <c r="D105" s="720">
        <v>642599.53505679057</v>
      </c>
      <c r="F105" s="721">
        <f t="shared" si="47"/>
        <v>647500</v>
      </c>
      <c r="G105" s="722">
        <f t="shared" si="48"/>
        <v>7.6260013832352763E-3</v>
      </c>
      <c r="H105" s="572" t="s">
        <v>398</v>
      </c>
      <c r="I105" s="722" t="str">
        <f t="shared" si="49"/>
        <v>MEOC [1%]</v>
      </c>
      <c r="R105" s="719">
        <f t="shared" ref="R105:S109" si="50">(R59-Q59)/Q59</f>
        <v>5.7266701291630868E-2</v>
      </c>
      <c r="S105" s="719">
        <f t="shared" si="50"/>
        <v>0.26441775456672534</v>
      </c>
    </row>
    <row r="106" spans="2:19" ht="15">
      <c r="B106" s="572" t="s">
        <v>121</v>
      </c>
      <c r="D106" s="720">
        <v>657710.18017678906</v>
      </c>
      <c r="F106" s="721">
        <f t="shared" si="47"/>
        <v>744302.61058055703</v>
      </c>
      <c r="G106" s="722">
        <f t="shared" si="48"/>
        <v>0.13165742756253579</v>
      </c>
      <c r="H106" s="572" t="s">
        <v>416</v>
      </c>
      <c r="I106" s="722" t="str">
        <f t="shared" si="49"/>
        <v>CSPDC [13%]</v>
      </c>
      <c r="R106" s="719">
        <f t="shared" si="50"/>
        <v>-0.16668378813397952</v>
      </c>
      <c r="S106" s="719">
        <f t="shared" si="50"/>
        <v>1.5258998808046223E-2</v>
      </c>
    </row>
    <row r="107" spans="2:19" ht="15">
      <c r="B107" s="572" t="s">
        <v>85</v>
      </c>
      <c r="D107" s="720">
        <v>742893.1932213885</v>
      </c>
      <c r="F107" s="721">
        <f t="shared" si="47"/>
        <v>741658.74596510676</v>
      </c>
      <c r="G107" s="723">
        <f t="shared" si="48"/>
        <v>-1.6616752819188414E-3</v>
      </c>
      <c r="H107" s="572" t="s">
        <v>397</v>
      </c>
      <c r="I107" s="722" t="str">
        <f t="shared" si="49"/>
        <v>District Three [-0%]</v>
      </c>
      <c r="R107" s="719">
        <f t="shared" si="50"/>
        <v>0.17451400245937479</v>
      </c>
      <c r="S107" s="719">
        <f t="shared" si="50"/>
        <v>3.4279346452475504E-2</v>
      </c>
    </row>
    <row r="108" spans="2:19" ht="15">
      <c r="B108" s="724" t="s">
        <v>100</v>
      </c>
      <c r="C108" s="724"/>
      <c r="D108" s="725">
        <v>832018.76885929203</v>
      </c>
      <c r="E108" s="724"/>
      <c r="F108" s="726">
        <f t="shared" si="47"/>
        <v>869591.48788358935</v>
      </c>
      <c r="G108" s="727">
        <f t="shared" si="48"/>
        <v>4.5158499339876645E-2</v>
      </c>
      <c r="H108" s="572" t="s">
        <v>406</v>
      </c>
      <c r="I108" s="722" t="str">
        <f t="shared" si="49"/>
        <v>DTS [5%]</v>
      </c>
      <c r="R108" s="719">
        <f t="shared" si="50"/>
        <v>-1.2383863172292583E-2</v>
      </c>
      <c r="S108" s="719">
        <f t="shared" si="50"/>
        <v>2.3511516283259662E-2</v>
      </c>
    </row>
    <row r="109" spans="2:19" ht="15">
      <c r="B109" s="572" t="s">
        <v>91</v>
      </c>
      <c r="D109" s="720">
        <v>1071485.0448851464</v>
      </c>
      <c r="F109" s="721">
        <f t="shared" si="47"/>
        <v>990586.19445907464</v>
      </c>
      <c r="G109" s="723">
        <f t="shared" si="48"/>
        <v>-7.5501614149680846E-2</v>
      </c>
      <c r="H109" s="572" t="s">
        <v>401</v>
      </c>
      <c r="I109" s="722" t="str">
        <f t="shared" si="49"/>
        <v>FXBGO! [-8%]</v>
      </c>
      <c r="R109" s="719">
        <f t="shared" si="50"/>
        <v>1.0344400872689036E-2</v>
      </c>
      <c r="S109" s="719">
        <f t="shared" si="50"/>
        <v>-9.6736693980730162E-2</v>
      </c>
    </row>
    <row r="110" spans="2:19" ht="15">
      <c r="B110" s="572" t="s">
        <v>130</v>
      </c>
      <c r="D110" s="683">
        <v>1082498.9905717103</v>
      </c>
      <c r="F110" s="728">
        <f t="shared" si="47"/>
        <v>1112050.3761870814</v>
      </c>
      <c r="G110" s="722">
        <f t="shared" si="48"/>
        <v>2.7299226948714214E-2</v>
      </c>
      <c r="H110" s="572" t="s">
        <v>130</v>
      </c>
      <c r="I110" s="722" t="str">
        <f t="shared" si="49"/>
        <v>VRT [3%]</v>
      </c>
      <c r="R110" s="719"/>
      <c r="S110" s="719"/>
    </row>
    <row r="111" spans="2:19" ht="15">
      <c r="B111" s="572" t="s">
        <v>125</v>
      </c>
      <c r="D111" s="683">
        <v>1190937.3236635181</v>
      </c>
      <c r="F111" s="728">
        <f t="shared" si="47"/>
        <v>1185624.7139767034</v>
      </c>
      <c r="G111" s="722">
        <f t="shared" si="48"/>
        <v>-4.460864212796907E-3</v>
      </c>
      <c r="H111" s="572" t="s">
        <v>125</v>
      </c>
      <c r="I111" s="722" t="str">
        <f t="shared" si="49"/>
        <v>Bay Aging [-0%]</v>
      </c>
      <c r="R111" s="719">
        <f t="shared" ref="R111:S126" si="51">(R65-Q65)/Q65</f>
        <v>-5.7237067517314265E-3</v>
      </c>
      <c r="S111" s="719">
        <f t="shared" si="51"/>
        <v>1.278587538724513E-3</v>
      </c>
    </row>
    <row r="112" spans="2:19" ht="15">
      <c r="B112" s="572" t="s">
        <v>113</v>
      </c>
      <c r="D112" s="683">
        <v>1198958.8926709832</v>
      </c>
      <c r="F112" s="728">
        <f t="shared" si="47"/>
        <v>1179958.6022367617</v>
      </c>
      <c r="G112" s="722">
        <f t="shared" si="48"/>
        <v>-1.5847324333108342E-2</v>
      </c>
      <c r="H112" s="572" t="s">
        <v>413</v>
      </c>
      <c r="I112" s="722" t="str">
        <f t="shared" si="49"/>
        <v>PAT (Petersburg) [-2%]</v>
      </c>
      <c r="R112" s="719">
        <f t="shared" si="51"/>
        <v>3.3741309229206172E-2</v>
      </c>
      <c r="S112" s="719">
        <f t="shared" si="51"/>
        <v>-0.17008247516173236</v>
      </c>
    </row>
    <row r="113" spans="2:19" ht="15">
      <c r="B113" s="572" t="s">
        <v>127</v>
      </c>
      <c r="D113" s="683">
        <v>1563531.1897689884</v>
      </c>
      <c r="F113" s="728">
        <f t="shared" si="47"/>
        <v>1399645.3826540259</v>
      </c>
      <c r="G113" s="722">
        <f t="shared" si="48"/>
        <v>-0.10481774088509012</v>
      </c>
      <c r="H113" s="572" t="s">
        <v>127</v>
      </c>
      <c r="I113" s="722" t="str">
        <f t="shared" si="49"/>
        <v>JAUNT [-10%]</v>
      </c>
      <c r="R113" s="719">
        <f t="shared" si="51"/>
        <v>0.17878915741585449</v>
      </c>
      <c r="S113" s="719">
        <f t="shared" si="51"/>
        <v>-8.6074602653136287E-5</v>
      </c>
    </row>
    <row r="114" spans="2:19" ht="15">
      <c r="B114" s="572" t="s">
        <v>108</v>
      </c>
      <c r="D114" s="683">
        <v>1591498.2</v>
      </c>
      <c r="F114" s="728">
        <f t="shared" si="47"/>
        <v>1617706.4646408809</v>
      </c>
      <c r="G114" s="722">
        <f t="shared" si="48"/>
        <v>1.6467668415132974E-2</v>
      </c>
      <c r="H114" s="572" t="s">
        <v>411</v>
      </c>
      <c r="I114" s="722" t="str">
        <f t="shared" si="49"/>
        <v>City of Fairfax - CUE [2%]</v>
      </c>
      <c r="R114" s="719">
        <f t="shared" si="51"/>
        <v>0.2018927170388026</v>
      </c>
      <c r="S114" s="719">
        <f t="shared" si="51"/>
        <v>6.5575917057907662E-2</v>
      </c>
    </row>
    <row r="115" spans="2:19" ht="15">
      <c r="B115" s="572" t="s">
        <v>102</v>
      </c>
      <c r="D115" s="683">
        <v>1703062.0409783174</v>
      </c>
      <c r="F115" s="728">
        <f t="shared" si="47"/>
        <v>1919260.7322229024</v>
      </c>
      <c r="G115" s="722">
        <f t="shared" si="48"/>
        <v>0.12694704364404158</v>
      </c>
      <c r="H115" s="572" t="s">
        <v>407</v>
      </c>
      <c r="I115" s="722" t="str">
        <f t="shared" si="49"/>
        <v>GLTC (Lynchburg) [13%]</v>
      </c>
      <c r="R115" s="719">
        <f t="shared" si="51"/>
        <v>0.1141761513566273</v>
      </c>
      <c r="S115" s="719">
        <f t="shared" si="51"/>
        <v>-5.5678493857149292E-2</v>
      </c>
    </row>
    <row r="116" spans="2:19" ht="15">
      <c r="B116" s="572" t="s">
        <v>122</v>
      </c>
      <c r="D116" s="683">
        <v>1997492.8666666665</v>
      </c>
      <c r="F116" s="728">
        <f t="shared" si="47"/>
        <v>1997493</v>
      </c>
      <c r="G116" s="722">
        <f t="shared" si="48"/>
        <v>6.6750342772247821E-8</v>
      </c>
      <c r="H116" s="572" t="s">
        <v>267</v>
      </c>
      <c r="I116" s="722" t="str">
        <f t="shared" si="49"/>
        <v>HDPT (Harrisonburg) [0%]</v>
      </c>
      <c r="R116" s="719">
        <f t="shared" si="51"/>
        <v>0.17348966096620913</v>
      </c>
      <c r="S116" s="719">
        <f t="shared" si="51"/>
        <v>-4.4757111682500905E-2</v>
      </c>
    </row>
    <row r="117" spans="2:19" ht="15">
      <c r="B117" s="572" t="s">
        <v>98</v>
      </c>
      <c r="D117" s="683">
        <v>2281227.164313735</v>
      </c>
      <c r="F117" s="728">
        <f t="shared" si="47"/>
        <v>2314483.5</v>
      </c>
      <c r="G117" s="722">
        <f t="shared" si="48"/>
        <v>1.4578265683711327E-2</v>
      </c>
      <c r="H117" s="572" t="s">
        <v>405</v>
      </c>
      <c r="I117" s="722" t="str">
        <f t="shared" si="49"/>
        <v>WATA [1%]</v>
      </c>
      <c r="R117" s="719">
        <f t="shared" si="51"/>
        <v>-6.5475503152594719E-2</v>
      </c>
      <c r="S117" s="719">
        <f t="shared" si="51"/>
        <v>-1.7117190298811421E-2</v>
      </c>
    </row>
    <row r="118" spans="2:19" ht="15">
      <c r="B118" s="572" t="s">
        <v>89</v>
      </c>
      <c r="D118" s="683">
        <v>2971811.8341092449</v>
      </c>
      <c r="F118" s="728">
        <f t="shared" si="47"/>
        <v>2953080.3451393601</v>
      </c>
      <c r="G118" s="722">
        <f t="shared" si="48"/>
        <v>-6.3030534958143777E-3</v>
      </c>
      <c r="H118" s="572" t="s">
        <v>400</v>
      </c>
      <c r="I118" s="722" t="str">
        <f t="shared" si="49"/>
        <v>CAT [-1%]</v>
      </c>
      <c r="R118" s="719">
        <f t="shared" si="51"/>
        <v>-2.4366900548042587E-2</v>
      </c>
      <c r="S118" s="719">
        <f t="shared" si="51"/>
        <v>-5.8626290834644365E-2</v>
      </c>
    </row>
    <row r="119" spans="2:19" ht="15">
      <c r="B119" s="572" t="s">
        <v>118</v>
      </c>
      <c r="D119" s="683">
        <v>3271539.9085863479</v>
      </c>
      <c r="F119" s="728">
        <f t="shared" si="47"/>
        <v>3500132.9198045493</v>
      </c>
      <c r="G119" s="722">
        <f t="shared" si="48"/>
        <v>6.9873214940232159E-2</v>
      </c>
      <c r="H119" s="572" t="s">
        <v>415</v>
      </c>
      <c r="I119" s="722" t="str">
        <f t="shared" si="49"/>
        <v>GRTC (Valley Metro) [7%]</v>
      </c>
      <c r="R119" s="719">
        <f t="shared" si="51"/>
        <v>0.10367760671199709</v>
      </c>
      <c r="S119" s="719">
        <f t="shared" si="51"/>
        <v>0.13026121740938665</v>
      </c>
    </row>
    <row r="120" spans="2:19" ht="15">
      <c r="B120" s="572" t="s">
        <v>116</v>
      </c>
      <c r="D120" s="683">
        <v>3483121.4</v>
      </c>
      <c r="F120" s="728">
        <f t="shared" si="47"/>
        <v>3483121.2999999993</v>
      </c>
      <c r="G120" s="722">
        <f t="shared" si="48"/>
        <v>-2.8709880901306956E-8</v>
      </c>
      <c r="H120" s="572" t="s">
        <v>116</v>
      </c>
      <c r="I120" s="722" t="str">
        <f t="shared" si="49"/>
        <v>Blacksburg Transit [-0%]</v>
      </c>
      <c r="R120" s="719">
        <f t="shared" si="51"/>
        <v>0.19191250577320193</v>
      </c>
      <c r="S120" s="719">
        <f t="shared" si="51"/>
        <v>4.787499800111189E-2</v>
      </c>
    </row>
    <row r="121" spans="2:19" ht="15">
      <c r="B121" s="572" t="s">
        <v>105</v>
      </c>
      <c r="D121" s="683">
        <v>3666511.5935658314</v>
      </c>
      <c r="F121" s="728">
        <f t="shared" si="47"/>
        <v>3588946.7368603423</v>
      </c>
      <c r="G121" s="722">
        <f t="shared" si="48"/>
        <v>-2.1154946527812319E-2</v>
      </c>
      <c r="H121" s="572" t="s">
        <v>408</v>
      </c>
      <c r="I121" s="722" t="str">
        <f t="shared" si="49"/>
        <v>Loudoun Co. [-2%]</v>
      </c>
      <c r="R121" s="719">
        <f t="shared" si="51"/>
        <v>-8.0633306537693281E-2</v>
      </c>
      <c r="S121" s="719">
        <f t="shared" si="51"/>
        <v>-3.9014900238150227E-2</v>
      </c>
    </row>
    <row r="122" spans="2:19" ht="15">
      <c r="B122" s="572" t="s">
        <v>106</v>
      </c>
      <c r="D122" s="683">
        <v>6007985.0073328475</v>
      </c>
      <c r="F122" s="728">
        <f t="shared" si="47"/>
        <v>6295391.2203154787</v>
      </c>
      <c r="G122" s="722">
        <f t="shared" si="48"/>
        <v>4.7837371869578094E-2</v>
      </c>
      <c r="H122" s="572" t="s">
        <v>409</v>
      </c>
      <c r="I122" s="722" t="str">
        <f t="shared" si="49"/>
        <v>Arlington Co. - ART [5%]</v>
      </c>
      <c r="R122" s="719">
        <f t="shared" si="51"/>
        <v>0.24952518482475003</v>
      </c>
      <c r="S122" s="719">
        <f t="shared" si="51"/>
        <v>-0.1557825066228955</v>
      </c>
    </row>
    <row r="123" spans="2:19" ht="15">
      <c r="B123" s="572" t="s">
        <v>111</v>
      </c>
      <c r="D123" s="683">
        <v>8187109.5606905362</v>
      </c>
      <c r="F123" s="728">
        <f t="shared" si="47"/>
        <v>7538434.8759400351</v>
      </c>
      <c r="G123" s="722">
        <f t="shared" si="48"/>
        <v>-7.9231220730822741E-2</v>
      </c>
      <c r="H123" s="572" t="s">
        <v>111</v>
      </c>
      <c r="I123" s="722" t="str">
        <f t="shared" si="49"/>
        <v>PRTC [-8%]</v>
      </c>
      <c r="R123" s="719">
        <f t="shared" si="51"/>
        <v>4.9742376802215382E-2</v>
      </c>
      <c r="S123" s="719">
        <f t="shared" si="51"/>
        <v>-0.46822426915099402</v>
      </c>
    </row>
    <row r="124" spans="2:19" ht="15">
      <c r="B124" s="572" t="s">
        <v>107</v>
      </c>
      <c r="D124" s="683">
        <v>9299604.085831793</v>
      </c>
      <c r="F124" s="728">
        <f t="shared" si="47"/>
        <v>9242433.7196768392</v>
      </c>
      <c r="G124" s="722">
        <f t="shared" si="48"/>
        <v>-6.1476129120436951E-3</v>
      </c>
      <c r="H124" s="572" t="s">
        <v>410</v>
      </c>
      <c r="I124" s="722" t="str">
        <f t="shared" si="49"/>
        <v>Alexandria - DASH [-1%]</v>
      </c>
      <c r="R124" s="719">
        <f t="shared" si="51"/>
        <v>5.303993580643173E-2</v>
      </c>
      <c r="S124" s="719">
        <f t="shared" si="51"/>
        <v>0.57826867604330867</v>
      </c>
    </row>
    <row r="125" spans="2:19" ht="15">
      <c r="B125" s="572" t="s">
        <v>114</v>
      </c>
      <c r="D125" s="683">
        <v>18853131.91607457</v>
      </c>
      <c r="F125" s="728">
        <f t="shared" si="47"/>
        <v>19596748.981238451</v>
      </c>
      <c r="G125" s="722">
        <f t="shared" si="48"/>
        <v>3.9442627807099638E-2</v>
      </c>
      <c r="H125" s="572" t="s">
        <v>414</v>
      </c>
      <c r="I125" s="722" t="str">
        <f t="shared" si="49"/>
        <v>GRTC (Richmond) [4%]</v>
      </c>
      <c r="R125" s="719">
        <f t="shared" si="51"/>
        <v>-6.256123484372321E-2</v>
      </c>
      <c r="S125" s="719">
        <f t="shared" si="51"/>
        <v>-8.0885504014043097E-2</v>
      </c>
    </row>
    <row r="126" spans="2:19" ht="15">
      <c r="B126" s="572" t="s">
        <v>95</v>
      </c>
      <c r="D126" s="683">
        <v>25537379.304951597</v>
      </c>
      <c r="F126" s="728">
        <f t="shared" si="47"/>
        <v>26005534.338112682</v>
      </c>
      <c r="G126" s="722">
        <f t="shared" si="48"/>
        <v>1.8332148634778341E-2</v>
      </c>
      <c r="H126" s="572" t="s">
        <v>403</v>
      </c>
      <c r="I126" s="722" t="str">
        <f t="shared" si="49"/>
        <v>HRT [2%]</v>
      </c>
      <c r="R126" s="719">
        <f t="shared" si="51"/>
        <v>-3.4799773872792192E-2</v>
      </c>
      <c r="S126" s="719">
        <f t="shared" si="51"/>
        <v>-6.6223481609517063E-2</v>
      </c>
    </row>
    <row r="127" spans="2:19" ht="12" customHeight="1">
      <c r="B127" s="572" t="s">
        <v>109</v>
      </c>
      <c r="D127" s="683">
        <v>25729693.491986766</v>
      </c>
      <c r="F127" s="728">
        <f t="shared" si="47"/>
        <v>24079697.93119495</v>
      </c>
      <c r="G127" s="722">
        <f t="shared" si="48"/>
        <v>-6.4128069046204911E-2</v>
      </c>
      <c r="H127" s="572" t="s">
        <v>412</v>
      </c>
      <c r="I127" s="722" t="str">
        <f t="shared" si="49"/>
        <v>Fairfax Connector [-6%]</v>
      </c>
      <c r="R127" s="719">
        <f t="shared" ref="R127:S127" si="52">(R81-Q81)/Q81</f>
        <v>-3.4457034886753425E-2</v>
      </c>
      <c r="S127" s="719">
        <f t="shared" si="52"/>
        <v>-1.5304869442719842E-2</v>
      </c>
    </row>
    <row r="128" spans="2:19" s="604" customFormat="1">
      <c r="B128" s="604" t="s">
        <v>270</v>
      </c>
      <c r="D128" s="603">
        <f>MEDIAN(D90:D127)</f>
        <v>951751.90687221917</v>
      </c>
    </row>
  </sheetData>
  <conditionalFormatting sqref="C28:C37">
    <cfRule type="cellIs" dxfId="606" priority="79" operator="lessThan">
      <formula>-200000</formula>
    </cfRule>
    <cfRule type="cellIs" dxfId="605" priority="80" operator="greaterThan">
      <formula>200000</formula>
    </cfRule>
  </conditionalFormatting>
  <conditionalFormatting sqref="E8:E24">
    <cfRule type="cellIs" dxfId="604" priority="81" operator="equal">
      <formula>"S5"</formula>
    </cfRule>
    <cfRule type="cellIs" dxfId="603" priority="92" operator="equal">
      <formula>"S1"</formula>
    </cfRule>
    <cfRule type="cellIs" dxfId="602" priority="91" operator="equal">
      <formula>"S2"</formula>
    </cfRule>
    <cfRule type="cellIs" dxfId="601" priority="90" operator="equal">
      <formula>"S3"</formula>
    </cfRule>
    <cfRule type="cellIs" dxfId="600" priority="89" operator="equal">
      <formula>"S4"</formula>
    </cfRule>
    <cfRule type="cellIs" dxfId="599" priority="82" operator="equal">
      <formula>"S6"</formula>
    </cfRule>
  </conditionalFormatting>
  <conditionalFormatting sqref="E28:E37">
    <cfRule type="cellIs" dxfId="598" priority="71" operator="equal">
      <formula>"S5"</formula>
    </cfRule>
    <cfRule type="cellIs" dxfId="597" priority="74" operator="equal">
      <formula>"S3"</formula>
    </cfRule>
    <cfRule type="cellIs" dxfId="596" priority="75" operator="equal">
      <formula>"S2"</formula>
    </cfRule>
    <cfRule type="cellIs" dxfId="595" priority="76" operator="equal">
      <formula>"S1"</formula>
    </cfRule>
    <cfRule type="cellIs" dxfId="594" priority="73" operator="equal">
      <formula>"S4"</formula>
    </cfRule>
    <cfRule type="cellIs" dxfId="593" priority="72" operator="equal">
      <formula>"S6"</formula>
    </cfRule>
  </conditionalFormatting>
  <conditionalFormatting sqref="E42:E80">
    <cfRule type="cellIs" dxfId="592" priority="69" operator="equal">
      <formula>"S2"</formula>
    </cfRule>
    <cfRule type="cellIs" dxfId="591" priority="68" operator="equal">
      <formula>"S3"</formula>
    </cfRule>
    <cfRule type="cellIs" dxfId="590" priority="67" operator="equal">
      <formula>"S4"</formula>
    </cfRule>
    <cfRule type="cellIs" dxfId="589" priority="66" operator="equal">
      <formula>"S6"</formula>
    </cfRule>
    <cfRule type="cellIs" dxfId="588" priority="65" operator="equal">
      <formula>"S5"</formula>
    </cfRule>
    <cfRule type="cellIs" dxfId="587" priority="70" operator="equal">
      <formula>"S1"</formula>
    </cfRule>
  </conditionalFormatting>
  <conditionalFormatting sqref="F3:F7">
    <cfRule type="cellIs" dxfId="586" priority="86" operator="equal">
      <formula>"S3"</formula>
    </cfRule>
    <cfRule type="cellIs" dxfId="585" priority="85" operator="equal">
      <formula>"S4"</formula>
    </cfRule>
    <cfRule type="expression" dxfId="584" priority="84">
      <formula>#REF!=Y3</formula>
    </cfRule>
    <cfRule type="cellIs" dxfId="583" priority="88" operator="equal">
      <formula>"S1"</formula>
    </cfRule>
    <cfRule type="cellIs" dxfId="582" priority="87" operator="equal">
      <formula>"S2"</formula>
    </cfRule>
  </conditionalFormatting>
  <conditionalFormatting sqref="F8:F24">
    <cfRule type="cellIs" dxfId="581" priority="83" operator="notEqual">
      <formula>$D8</formula>
    </cfRule>
  </conditionalFormatting>
  <conditionalFormatting sqref="G28:G37">
    <cfRule type="cellIs" dxfId="580" priority="78" operator="greaterThan">
      <formula>200000</formula>
    </cfRule>
    <cfRule type="cellIs" dxfId="579" priority="77" operator="lessThan">
      <formula>-200000</formula>
    </cfRule>
  </conditionalFormatting>
  <conditionalFormatting sqref="G42:G80">
    <cfRule type="cellIs" dxfId="578" priority="63" operator="lessThan">
      <formula>-200000</formula>
    </cfRule>
    <cfRule type="cellIs" dxfId="577" priority="64" operator="greaterThan">
      <formula>200000</formula>
    </cfRule>
  </conditionalFormatting>
  <conditionalFormatting sqref="G83:G84">
    <cfRule type="cellIs" dxfId="576" priority="62" operator="greaterThan">
      <formula>200000</formula>
    </cfRule>
    <cfRule type="cellIs" dxfId="575" priority="61" operator="lessThan">
      <formula>-200000</formula>
    </cfRule>
  </conditionalFormatting>
  <conditionalFormatting sqref="T42">
    <cfRule type="cellIs" dxfId="574" priority="11" operator="lessThan">
      <formula>-200000</formula>
    </cfRule>
    <cfRule type="cellIs" dxfId="573" priority="12" operator="greaterThan">
      <formula>200000</formula>
    </cfRule>
  </conditionalFormatting>
  <conditionalFormatting sqref="T45:T46">
    <cfRule type="cellIs" dxfId="572" priority="18" operator="greaterThan">
      <formula>200000</formula>
    </cfRule>
    <cfRule type="cellIs" dxfId="571" priority="17" operator="lessThan">
      <formula>-200000</formula>
    </cfRule>
  </conditionalFormatting>
  <conditionalFormatting sqref="T50">
    <cfRule type="cellIs" dxfId="570" priority="23" operator="lessThan">
      <formula>-200000</formula>
    </cfRule>
    <cfRule type="cellIs" dxfId="569" priority="24" operator="greaterThan">
      <formula>200000</formula>
    </cfRule>
  </conditionalFormatting>
  <conditionalFormatting sqref="T52:T53">
    <cfRule type="cellIs" dxfId="568" priority="29" operator="lessThan">
      <formula>-200000</formula>
    </cfRule>
    <cfRule type="cellIs" dxfId="567" priority="30" operator="greaterThan">
      <formula>200000</formula>
    </cfRule>
  </conditionalFormatting>
  <conditionalFormatting sqref="T55:T56">
    <cfRule type="cellIs" dxfId="566" priority="35" operator="lessThan">
      <formula>-200000</formula>
    </cfRule>
    <cfRule type="cellIs" dxfId="565" priority="36" operator="greaterThan">
      <formula>200000</formula>
    </cfRule>
  </conditionalFormatting>
  <conditionalFormatting sqref="T58">
    <cfRule type="cellIs" dxfId="564" priority="41" operator="lessThan">
      <formula>-200000</formula>
    </cfRule>
    <cfRule type="cellIs" dxfId="563" priority="42" operator="greaterThan">
      <formula>200000</formula>
    </cfRule>
  </conditionalFormatting>
  <conditionalFormatting sqref="T75:T76">
    <cfRule type="cellIs" dxfId="562" priority="53" operator="lessThan">
      <formula>-200000</formula>
    </cfRule>
    <cfRule type="cellIs" dxfId="561" priority="54" operator="greaterThan">
      <formula>200000</formula>
    </cfRule>
  </conditionalFormatting>
  <conditionalFormatting sqref="T78:T80">
    <cfRule type="cellIs" dxfId="560" priority="47" operator="lessThan">
      <formula>-200000</formula>
    </cfRule>
    <cfRule type="cellIs" dxfId="559" priority="48" operator="greaterThan">
      <formula>200000</formula>
    </cfRule>
  </conditionalFormatting>
  <conditionalFormatting sqref="T83:T84">
    <cfRule type="cellIs" dxfId="558" priority="59" operator="lessThan">
      <formula>-200000</formula>
    </cfRule>
    <cfRule type="cellIs" dxfId="557" priority="60" operator="greaterThan">
      <formula>200000</formula>
    </cfRule>
  </conditionalFormatting>
  <conditionalFormatting sqref="V42">
    <cfRule type="cellIs" dxfId="556" priority="9" operator="lessThan">
      <formula>-200000</formula>
    </cfRule>
    <cfRule type="cellIs" dxfId="555" priority="10" operator="greaterThan">
      <formula>200000</formula>
    </cfRule>
  </conditionalFormatting>
  <conditionalFormatting sqref="V45:V46">
    <cfRule type="cellIs" dxfId="554" priority="15" operator="lessThan">
      <formula>-200000</formula>
    </cfRule>
    <cfRule type="cellIs" dxfId="553" priority="16" operator="greaterThan">
      <formula>200000</formula>
    </cfRule>
  </conditionalFormatting>
  <conditionalFormatting sqref="V50">
    <cfRule type="cellIs" dxfId="552" priority="21" operator="lessThan">
      <formula>-200000</formula>
    </cfRule>
    <cfRule type="cellIs" dxfId="551" priority="22" operator="greaterThan">
      <formula>200000</formula>
    </cfRule>
  </conditionalFormatting>
  <conditionalFormatting sqref="V52:V53">
    <cfRule type="cellIs" dxfId="550" priority="28" operator="greaterThan">
      <formula>200000</formula>
    </cfRule>
    <cfRule type="cellIs" dxfId="549" priority="27" operator="lessThan">
      <formula>-200000</formula>
    </cfRule>
  </conditionalFormatting>
  <conditionalFormatting sqref="V55:V56">
    <cfRule type="cellIs" dxfId="548" priority="34" operator="greaterThan">
      <formula>200000</formula>
    </cfRule>
    <cfRule type="cellIs" dxfId="547" priority="33" operator="lessThan">
      <formula>-200000</formula>
    </cfRule>
  </conditionalFormatting>
  <conditionalFormatting sqref="V58">
    <cfRule type="cellIs" dxfId="546" priority="40" operator="greaterThan">
      <formula>200000</formula>
    </cfRule>
    <cfRule type="cellIs" dxfId="545" priority="39" operator="lessThan">
      <formula>-200000</formula>
    </cfRule>
  </conditionalFormatting>
  <conditionalFormatting sqref="V75:V76">
    <cfRule type="cellIs" dxfId="544" priority="51" operator="lessThan">
      <formula>-200000</formula>
    </cfRule>
    <cfRule type="cellIs" dxfId="543" priority="52" operator="greaterThan">
      <formula>200000</formula>
    </cfRule>
  </conditionalFormatting>
  <conditionalFormatting sqref="V78:V80">
    <cfRule type="cellIs" dxfId="542" priority="46" operator="greaterThan">
      <formula>200000</formula>
    </cfRule>
    <cfRule type="cellIs" dxfId="541" priority="45" operator="lessThan">
      <formula>-200000</formula>
    </cfRule>
  </conditionalFormatting>
  <conditionalFormatting sqref="V83:V84">
    <cfRule type="cellIs" dxfId="540" priority="57" operator="lessThan">
      <formula>-200000</formula>
    </cfRule>
    <cfRule type="cellIs" dxfId="539" priority="58" operator="greaterThan">
      <formula>200000</formula>
    </cfRule>
  </conditionalFormatting>
  <conditionalFormatting sqref="X42">
    <cfRule type="cellIs" dxfId="538" priority="7" operator="lessThan">
      <formula>-200000</formula>
    </cfRule>
    <cfRule type="cellIs" dxfId="537" priority="8" operator="greaterThan">
      <formula>200000</formula>
    </cfRule>
  </conditionalFormatting>
  <conditionalFormatting sqref="X45:X46">
    <cfRule type="cellIs" dxfId="536" priority="14" operator="greaterThan">
      <formula>200000</formula>
    </cfRule>
    <cfRule type="cellIs" dxfId="535" priority="13" operator="lessThan">
      <formula>-200000</formula>
    </cfRule>
  </conditionalFormatting>
  <conditionalFormatting sqref="X50">
    <cfRule type="cellIs" dxfId="534" priority="20" operator="greaterThan">
      <formula>200000</formula>
    </cfRule>
    <cfRule type="cellIs" dxfId="533" priority="19" operator="lessThan">
      <formula>-200000</formula>
    </cfRule>
  </conditionalFormatting>
  <conditionalFormatting sqref="X52:X53">
    <cfRule type="cellIs" dxfId="532" priority="26" operator="greaterThan">
      <formula>200000</formula>
    </cfRule>
    <cfRule type="cellIs" dxfId="531" priority="25" operator="lessThan">
      <formula>-200000</formula>
    </cfRule>
  </conditionalFormatting>
  <conditionalFormatting sqref="X55:X56">
    <cfRule type="cellIs" dxfId="530" priority="32" operator="greaterThan">
      <formula>200000</formula>
    </cfRule>
    <cfRule type="cellIs" dxfId="529" priority="31" operator="lessThan">
      <formula>-200000</formula>
    </cfRule>
  </conditionalFormatting>
  <conditionalFormatting sqref="X58">
    <cfRule type="cellIs" dxfId="528" priority="37" operator="lessThan">
      <formula>-200000</formula>
    </cfRule>
    <cfRule type="cellIs" dxfId="527" priority="38" operator="greaterThan">
      <formula>200000</formula>
    </cfRule>
  </conditionalFormatting>
  <conditionalFormatting sqref="X75:X76">
    <cfRule type="cellIs" dxfId="526" priority="49" operator="lessThan">
      <formula>-200000</formula>
    </cfRule>
    <cfRule type="cellIs" dxfId="525" priority="50" operator="greaterThan">
      <formula>200000</formula>
    </cfRule>
  </conditionalFormatting>
  <conditionalFormatting sqref="X78:X80">
    <cfRule type="cellIs" dxfId="524" priority="44" operator="greaterThan">
      <formula>200000</formula>
    </cfRule>
    <cfRule type="cellIs" dxfId="523" priority="43" operator="lessThan">
      <formula>-200000</formula>
    </cfRule>
  </conditionalFormatting>
  <conditionalFormatting sqref="X83:X84">
    <cfRule type="cellIs" dxfId="522" priority="56" operator="greaterThan">
      <formula>200000</formula>
    </cfRule>
    <cfRule type="cellIs" dxfId="521" priority="55" operator="lessThan">
      <formula>-200000</formula>
    </cfRule>
  </conditionalFormatting>
  <conditionalFormatting sqref="Z66">
    <cfRule type="cellIs" dxfId="520" priority="5" operator="lessThan">
      <formula>-200000</formula>
    </cfRule>
    <cfRule type="cellIs" dxfId="519" priority="6" operator="greaterThan">
      <formula>200000</formula>
    </cfRule>
  </conditionalFormatting>
  <conditionalFormatting sqref="AB66">
    <cfRule type="cellIs" dxfId="518" priority="3" operator="lessThan">
      <formula>-200000</formula>
    </cfRule>
    <cfRule type="cellIs" dxfId="517" priority="4" operator="greaterThan">
      <formula>200000</formula>
    </cfRule>
  </conditionalFormatting>
  <conditionalFormatting sqref="AD66">
    <cfRule type="cellIs" dxfId="516" priority="1" operator="lessThan">
      <formula>-200000</formula>
    </cfRule>
    <cfRule type="cellIs" dxfId="515" priority="2" operator="greaterThan">
      <formula>200000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15708-BC14-41F6-BEB3-33D330E892C7}">
  <sheetPr>
    <tabColor rgb="FF7030A0"/>
  </sheetPr>
  <dimension ref="A1:AE128"/>
  <sheetViews>
    <sheetView showGridLines="0" zoomScale="80" zoomScaleNormal="80" workbookViewId="0"/>
  </sheetViews>
  <sheetFormatPr defaultColWidth="8.7109375" defaultRowHeight="12.75"/>
  <cols>
    <col min="1" max="1" width="20" style="572" customWidth="1"/>
    <col min="2" max="2" width="26.28515625" style="572" customWidth="1"/>
    <col min="3" max="3" width="32.85546875" style="572" hidden="1" customWidth="1"/>
    <col min="4" max="4" width="22.28515625" style="572" customWidth="1"/>
    <col min="5" max="5" width="19.7109375" style="572" hidden="1" customWidth="1"/>
    <col min="6" max="6" width="23.5703125" style="572" customWidth="1"/>
    <col min="7" max="7" width="15.42578125" style="572" customWidth="1"/>
    <col min="8" max="8" width="13.7109375" style="572" customWidth="1"/>
    <col min="9" max="9" width="8.7109375" style="572"/>
    <col min="10" max="10" width="0" style="572" hidden="1" customWidth="1"/>
    <col min="11" max="11" width="20.140625" style="572" customWidth="1"/>
    <col min="12" max="12" width="8.5703125" style="572" customWidth="1"/>
    <col min="13" max="15" width="16" style="572" customWidth="1"/>
    <col min="16" max="16" width="1.28515625" style="572" customWidth="1"/>
    <col min="17" max="18" width="16.85546875" style="572" customWidth="1"/>
    <col min="19" max="19" width="16.5703125" style="572" customWidth="1"/>
    <col min="20" max="20" width="14.7109375" style="572" customWidth="1"/>
    <col min="21" max="21" width="8.7109375" style="572"/>
    <col min="22" max="22" width="15.85546875" style="572" customWidth="1"/>
    <col min="23" max="23" width="8.7109375" style="572"/>
    <col min="24" max="24" width="11.85546875" style="572" customWidth="1"/>
    <col min="25" max="25" width="8.7109375" style="572"/>
    <col min="26" max="26" width="11.42578125" style="572" customWidth="1"/>
    <col min="27" max="16384" width="8.7109375" style="572"/>
  </cols>
  <sheetData>
    <row r="1" spans="1:6" ht="18.75" thickBot="1">
      <c r="A1" s="1138" t="s">
        <v>430</v>
      </c>
    </row>
    <row r="2" spans="1:6">
      <c r="B2" s="612" t="s">
        <v>222</v>
      </c>
      <c r="C2" s="613"/>
      <c r="D2" s="614" t="s">
        <v>223</v>
      </c>
      <c r="E2" s="615" t="s">
        <v>224</v>
      </c>
      <c r="F2" s="616" t="s">
        <v>225</v>
      </c>
    </row>
    <row r="3" spans="1:6">
      <c r="B3" s="617"/>
      <c r="C3" s="618"/>
      <c r="D3" s="619"/>
      <c r="E3" s="620" t="s">
        <v>226</v>
      </c>
      <c r="F3" s="621"/>
    </row>
    <row r="4" spans="1:6">
      <c r="B4" s="622"/>
      <c r="C4" s="623"/>
      <c r="D4" s="623"/>
      <c r="E4" s="624" t="s">
        <v>227</v>
      </c>
      <c r="F4" s="625" t="s">
        <v>228</v>
      </c>
    </row>
    <row r="5" spans="1:6">
      <c r="B5" s="622"/>
      <c r="C5" s="623"/>
      <c r="D5" s="623"/>
      <c r="E5" s="624" t="s">
        <v>229</v>
      </c>
      <c r="F5" s="625" t="s">
        <v>230</v>
      </c>
    </row>
    <row r="6" spans="1:6">
      <c r="B6" s="626"/>
      <c r="C6" s="627"/>
      <c r="D6" s="627"/>
      <c r="E6" s="628" t="s">
        <v>231</v>
      </c>
      <c r="F6" s="629" t="s">
        <v>232</v>
      </c>
    </row>
    <row r="7" spans="1:6">
      <c r="B7" s="622"/>
      <c r="C7" s="630"/>
      <c r="D7" s="630"/>
      <c r="E7" s="628" t="s">
        <v>233</v>
      </c>
      <c r="F7" s="629" t="s">
        <v>232</v>
      </c>
    </row>
    <row r="8" spans="1:6">
      <c r="B8" s="631" t="s">
        <v>234</v>
      </c>
      <c r="C8" s="632" t="s">
        <v>235</v>
      </c>
      <c r="D8" s="633">
        <v>0.5</v>
      </c>
      <c r="E8" s="634" t="s">
        <v>236</v>
      </c>
      <c r="F8" s="635">
        <v>0.35</v>
      </c>
    </row>
    <row r="9" spans="1:6">
      <c r="B9" s="636"/>
      <c r="C9" s="637" t="s">
        <v>133</v>
      </c>
      <c r="D9" s="638">
        <v>0.3</v>
      </c>
      <c r="E9" s="634" t="s">
        <v>236</v>
      </c>
      <c r="F9" s="639">
        <v>0.35</v>
      </c>
    </row>
    <row r="10" spans="1:6">
      <c r="B10" s="636"/>
      <c r="C10" s="640" t="s">
        <v>136</v>
      </c>
      <c r="D10" s="638">
        <v>0.1</v>
      </c>
      <c r="E10" s="634" t="s">
        <v>236</v>
      </c>
      <c r="F10" s="639">
        <v>0.15</v>
      </c>
    </row>
    <row r="11" spans="1:6" ht="13.5" thickBot="1">
      <c r="B11" s="641"/>
      <c r="C11" s="642" t="s">
        <v>137</v>
      </c>
      <c r="D11" s="643">
        <v>0.1</v>
      </c>
      <c r="E11" s="634" t="s">
        <v>236</v>
      </c>
      <c r="F11" s="644">
        <v>0.15</v>
      </c>
    </row>
    <row r="12" spans="1:6">
      <c r="B12" s="645" t="s">
        <v>237</v>
      </c>
      <c r="C12" s="646" t="s">
        <v>238</v>
      </c>
      <c r="D12" s="647">
        <v>0.2</v>
      </c>
      <c r="E12" s="634" t="s">
        <v>236</v>
      </c>
      <c r="F12" s="648">
        <v>0</v>
      </c>
    </row>
    <row r="13" spans="1:6">
      <c r="B13" s="631" t="s">
        <v>239</v>
      </c>
      <c r="C13" s="649" t="s">
        <v>240</v>
      </c>
      <c r="D13" s="650">
        <v>0.2</v>
      </c>
      <c r="E13" s="634" t="s">
        <v>236</v>
      </c>
      <c r="F13" s="639">
        <v>0</v>
      </c>
    </row>
    <row r="14" spans="1:6">
      <c r="B14" s="631" t="s">
        <v>241</v>
      </c>
      <c r="C14" s="649" t="s">
        <v>242</v>
      </c>
      <c r="D14" s="650">
        <v>0.2</v>
      </c>
      <c r="E14" s="634" t="s">
        <v>236</v>
      </c>
      <c r="F14" s="639">
        <v>0</v>
      </c>
    </row>
    <row r="15" spans="1:6">
      <c r="B15" s="636"/>
      <c r="C15" s="649" t="s">
        <v>243</v>
      </c>
      <c r="D15" s="650">
        <v>0.2</v>
      </c>
      <c r="E15" s="634" t="s">
        <v>236</v>
      </c>
      <c r="F15" s="639">
        <v>0</v>
      </c>
    </row>
    <row r="16" spans="1:6" ht="13.5" thickBot="1">
      <c r="B16" s="641"/>
      <c r="C16" s="651" t="s">
        <v>244</v>
      </c>
      <c r="D16" s="652">
        <v>0.2</v>
      </c>
      <c r="E16" s="634" t="s">
        <v>236</v>
      </c>
      <c r="F16" s="644">
        <v>0</v>
      </c>
    </row>
    <row r="17" spans="2:19" ht="24.75" thickBot="1">
      <c r="B17" s="653" t="s">
        <v>245</v>
      </c>
      <c r="C17" s="654"/>
      <c r="D17" s="655" t="s">
        <v>246</v>
      </c>
      <c r="E17" s="634" t="s">
        <v>236</v>
      </c>
      <c r="F17" s="656" t="s">
        <v>247</v>
      </c>
    </row>
    <row r="18" spans="2:19">
      <c r="B18" s="657" t="s">
        <v>248</v>
      </c>
      <c r="C18" s="646" t="s">
        <v>249</v>
      </c>
      <c r="D18" s="658" t="s">
        <v>155</v>
      </c>
      <c r="E18" s="634" t="s">
        <v>236</v>
      </c>
      <c r="F18" s="659" t="s">
        <v>250</v>
      </c>
    </row>
    <row r="19" spans="2:19">
      <c r="B19" s="660" t="s">
        <v>251</v>
      </c>
      <c r="C19" s="649" t="s">
        <v>252</v>
      </c>
      <c r="D19" s="661" t="s">
        <v>155</v>
      </c>
      <c r="E19" s="634" t="s">
        <v>236</v>
      </c>
      <c r="F19" s="662" t="s">
        <v>253</v>
      </c>
    </row>
    <row r="20" spans="2:19">
      <c r="B20" s="660" t="s">
        <v>254</v>
      </c>
      <c r="C20" s="649" t="s">
        <v>240</v>
      </c>
      <c r="D20" s="663" t="s">
        <v>155</v>
      </c>
      <c r="E20" s="634" t="s">
        <v>236</v>
      </c>
      <c r="F20" s="662">
        <v>0.25</v>
      </c>
    </row>
    <row r="21" spans="2:19">
      <c r="B21" s="660"/>
      <c r="C21" s="649" t="s">
        <v>238</v>
      </c>
      <c r="D21" s="663" t="s">
        <v>155</v>
      </c>
      <c r="E21" s="634" t="s">
        <v>236</v>
      </c>
      <c r="F21" s="662">
        <v>0.25</v>
      </c>
    </row>
    <row r="22" spans="2:19" ht="13.5" thickBot="1">
      <c r="B22" s="664"/>
      <c r="C22" s="665" t="s">
        <v>166</v>
      </c>
      <c r="D22" s="663" t="s">
        <v>155</v>
      </c>
      <c r="E22" s="634" t="s">
        <v>236</v>
      </c>
      <c r="F22" s="666">
        <v>0.5</v>
      </c>
    </row>
    <row r="23" spans="2:19">
      <c r="B23" s="657" t="s">
        <v>255</v>
      </c>
      <c r="C23" s="646" t="s">
        <v>256</v>
      </c>
      <c r="D23" s="647">
        <v>0.3</v>
      </c>
      <c r="E23" s="634" t="s">
        <v>236</v>
      </c>
      <c r="F23" s="667">
        <v>0.3</v>
      </c>
    </row>
    <row r="24" spans="2:19" ht="13.5" thickBot="1">
      <c r="B24" s="668"/>
      <c r="C24" s="651" t="s">
        <v>257</v>
      </c>
      <c r="D24" s="652">
        <v>0.3</v>
      </c>
      <c r="E24" s="634" t="s">
        <v>236</v>
      </c>
      <c r="F24" s="669">
        <v>0.3</v>
      </c>
    </row>
    <row r="26" spans="2:19" ht="37.5" customHeight="1">
      <c r="B26" s="670" t="s">
        <v>29</v>
      </c>
      <c r="C26" s="671"/>
      <c r="D26" s="672" t="s">
        <v>258</v>
      </c>
      <c r="E26" s="673"/>
      <c r="F26" s="672" t="s">
        <v>259</v>
      </c>
      <c r="G26" s="673" t="s">
        <v>260</v>
      </c>
      <c r="H26" s="673" t="s">
        <v>204</v>
      </c>
      <c r="M26" s="674" t="s">
        <v>261</v>
      </c>
      <c r="N26" s="674"/>
      <c r="O26" s="674"/>
      <c r="Q26" s="674" t="s">
        <v>262</v>
      </c>
      <c r="R26" s="674"/>
      <c r="S26" s="674"/>
    </row>
    <row r="27" spans="2:19" ht="15" thickBot="1">
      <c r="B27" s="605" t="s">
        <v>207</v>
      </c>
      <c r="C27" s="675"/>
      <c r="D27" s="588"/>
      <c r="E27" s="588"/>
      <c r="M27" s="572">
        <v>2024</v>
      </c>
      <c r="N27" s="572">
        <v>2025</v>
      </c>
      <c r="O27" s="572">
        <v>2026</v>
      </c>
      <c r="Q27" s="572">
        <v>2024</v>
      </c>
      <c r="R27" s="572">
        <v>2025</v>
      </c>
      <c r="S27" s="572">
        <v>2026</v>
      </c>
    </row>
    <row r="28" spans="2:19" ht="15">
      <c r="B28" s="676" t="s">
        <v>82</v>
      </c>
      <c r="C28" s="677"/>
      <c r="D28" s="678">
        <f>AVERAGE(M28:O28)</f>
        <v>2257448.1399023193</v>
      </c>
      <c r="E28" s="679" t="s">
        <v>236</v>
      </c>
      <c r="F28" s="680">
        <f>AVERAGE(Q28:S28)</f>
        <v>2302545.0132369325</v>
      </c>
      <c r="G28" s="681">
        <f t="shared" ref="G28:G37" si="0">F28-D28</f>
        <v>45096.873334613163</v>
      </c>
      <c r="H28" s="682">
        <f t="shared" ref="H28:H37" si="1">G28/D28</f>
        <v>1.9976925510485712E-2</v>
      </c>
      <c r="M28" s="683">
        <f>'Comparisons-24'!C80</f>
        <v>2393545</v>
      </c>
      <c r="N28" s="683">
        <f>'Comparisons-25'!C80</f>
        <v>2293801</v>
      </c>
      <c r="O28" s="683">
        <f>'Comparisons-26'!C78</f>
        <v>2084998.4197069572</v>
      </c>
      <c r="Q28" s="684">
        <f>'Comparisons-24'!N80</f>
        <v>2390535.8185383161</v>
      </c>
      <c r="R28" s="683">
        <f>'Comparisons-25'!Z80</f>
        <v>2310509.6305614091</v>
      </c>
      <c r="S28" s="683">
        <f>'Comparisons-26'!BJ78</f>
        <v>2206589.5906110718</v>
      </c>
    </row>
    <row r="29" spans="2:19" ht="15">
      <c r="B29" s="685" t="s">
        <v>88</v>
      </c>
      <c r="C29" s="686"/>
      <c r="D29" s="687">
        <f t="shared" ref="D29:D37" si="2">AVERAGE(M29:O29)</f>
        <v>2971811.8341092449</v>
      </c>
      <c r="E29" s="679" t="s">
        <v>236</v>
      </c>
      <c r="F29" s="688">
        <f t="shared" ref="F29:F37" si="3">AVERAGE(Q29:S29)</f>
        <v>2955605.5237816013</v>
      </c>
      <c r="G29" s="689">
        <f t="shared" si="0"/>
        <v>-16206.310327643529</v>
      </c>
      <c r="H29" s="690">
        <f t="shared" si="1"/>
        <v>-5.4533433582954699E-3</v>
      </c>
      <c r="M29" s="683">
        <f>'Comparisons-24'!C81</f>
        <v>2759211</v>
      </c>
      <c r="N29" s="683">
        <f>'Comparisons-25'!C81</f>
        <v>2600883</v>
      </c>
      <c r="O29" s="683">
        <f>'Comparisons-26'!C79</f>
        <v>3555341.5023277341</v>
      </c>
      <c r="Q29" s="684">
        <f>'Comparisons-24'!N81</f>
        <v>2759210.6999999997</v>
      </c>
      <c r="R29" s="683">
        <f>'Comparisons-25'!Z81</f>
        <v>2750081.8829921298</v>
      </c>
      <c r="S29" s="683">
        <f>'Comparisons-26'!BJ79</f>
        <v>3357523.9883526759</v>
      </c>
    </row>
    <row r="30" spans="2:19" ht="15">
      <c r="B30" s="685" t="s">
        <v>90</v>
      </c>
      <c r="C30" s="686"/>
      <c r="D30" s="687">
        <f t="shared" si="2"/>
        <v>1071485.0448851464</v>
      </c>
      <c r="E30" s="679" t="s">
        <v>236</v>
      </c>
      <c r="F30" s="688">
        <f t="shared" si="3"/>
        <v>991727.64516962832</v>
      </c>
      <c r="G30" s="689">
        <f t="shared" si="0"/>
        <v>-79757.399715518113</v>
      </c>
      <c r="H30" s="690">
        <f t="shared" si="1"/>
        <v>-7.4436316303478967E-2</v>
      </c>
      <c r="M30" s="683">
        <f>'Comparisons-24'!C82</f>
        <v>1083494</v>
      </c>
      <c r="N30" s="683">
        <f>'Comparisons-25'!C82</f>
        <v>1053666</v>
      </c>
      <c r="O30" s="683">
        <f>'Comparisons-26'!C80</f>
        <v>1077295.1346554393</v>
      </c>
      <c r="Q30" s="684">
        <f>'Comparisons-24'!N82</f>
        <v>1021327.0925876829</v>
      </c>
      <c r="R30" s="683">
        <f>'Comparisons-25'!Z82</f>
        <v>969664.9212815027</v>
      </c>
      <c r="S30" s="683">
        <f>'Comparisons-26'!BJ80</f>
        <v>984190.92163969937</v>
      </c>
    </row>
    <row r="31" spans="2:19" ht="15">
      <c r="B31" s="685" t="s">
        <v>263</v>
      </c>
      <c r="C31" s="686"/>
      <c r="D31" s="687">
        <f t="shared" si="2"/>
        <v>28692230.700066816</v>
      </c>
      <c r="E31" s="679" t="s">
        <v>236</v>
      </c>
      <c r="F31" s="688">
        <f t="shared" si="3"/>
        <v>29276880.127124388</v>
      </c>
      <c r="G31" s="689">
        <f t="shared" si="0"/>
        <v>584649.42705757171</v>
      </c>
      <c r="H31" s="690">
        <f t="shared" si="1"/>
        <v>2.0376576264466262E-2</v>
      </c>
      <c r="M31" s="683">
        <f>'Comparisons-24'!C83</f>
        <v>29989399</v>
      </c>
      <c r="N31" s="683">
        <f>'Comparisons-25'!C83</f>
        <v>28188865</v>
      </c>
      <c r="O31" s="683">
        <f>'Comparisons-26'!C81</f>
        <v>27898428.100200444</v>
      </c>
      <c r="Q31" s="684">
        <f>'Comparisons-24'!N83</f>
        <v>30483257.5740286</v>
      </c>
      <c r="R31" s="683">
        <f>'Comparisons-25'!Z83</f>
        <v>28902775.752657101</v>
      </c>
      <c r="S31" s="683">
        <f>'Comparisons-26'!BJ81</f>
        <v>28444607.054687466</v>
      </c>
    </row>
    <row r="32" spans="2:19" ht="15">
      <c r="B32" s="685" t="s">
        <v>99</v>
      </c>
      <c r="C32" s="686"/>
      <c r="D32" s="687">
        <f t="shared" si="2"/>
        <v>2772386.367524276</v>
      </c>
      <c r="E32" s="679" t="s">
        <v>236</v>
      </c>
      <c r="F32" s="688">
        <f t="shared" si="3"/>
        <v>3028554.3050672058</v>
      </c>
      <c r="G32" s="689">
        <f t="shared" si="0"/>
        <v>256167.93754292978</v>
      </c>
      <c r="H32" s="690">
        <f t="shared" si="1"/>
        <v>9.2399796992107625E-2</v>
      </c>
      <c r="M32" s="683">
        <f>'Comparisons-24'!C84</f>
        <v>2955096</v>
      </c>
      <c r="N32" s="683">
        <f>'Comparisons-25'!C84</f>
        <v>2698977</v>
      </c>
      <c r="O32" s="683">
        <f>'Comparisons-26'!C82</f>
        <v>2663086.1025728276</v>
      </c>
      <c r="Q32" s="684">
        <f>'Comparisons-24'!N84</f>
        <v>3229371.7141590426</v>
      </c>
      <c r="R32" s="683">
        <f>'Comparisons-25'!Z84</f>
        <v>2975974.1772576077</v>
      </c>
      <c r="S32" s="683">
        <f>'Comparisons-26'!BJ82</f>
        <v>2880317.0237849671</v>
      </c>
    </row>
    <row r="33" spans="1:31" ht="15">
      <c r="B33" s="685" t="s">
        <v>206</v>
      </c>
      <c r="C33" s="686"/>
      <c r="D33" s="687">
        <f t="shared" si="2"/>
        <v>56728251.939407773</v>
      </c>
      <c r="E33" s="679" t="s">
        <v>236</v>
      </c>
      <c r="F33" s="688">
        <f t="shared" si="3"/>
        <v>54932327.820781887</v>
      </c>
      <c r="G33" s="689">
        <f t="shared" si="0"/>
        <v>-1795924.1186258867</v>
      </c>
      <c r="H33" s="690">
        <f t="shared" si="1"/>
        <v>-3.1658372278845083E-2</v>
      </c>
      <c r="M33" s="683">
        <f>'Comparisons-24'!C85</f>
        <v>60497894</v>
      </c>
      <c r="N33" s="683">
        <f>'Comparisons-25'!C85</f>
        <v>54594353</v>
      </c>
      <c r="O33" s="683">
        <f>'Comparisons-26'!C83</f>
        <v>55092508.818223327</v>
      </c>
      <c r="Q33" s="684">
        <f>'Comparisons-24'!N85</f>
        <v>60085860.261911452</v>
      </c>
      <c r="R33" s="683">
        <f>'Comparisons-25'!Z85</f>
        <v>52881406.479438901</v>
      </c>
      <c r="S33" s="683">
        <f>'Comparisons-26'!BJ83</f>
        <v>51829716.720995307</v>
      </c>
    </row>
    <row r="34" spans="1:31" ht="15">
      <c r="B34" s="685" t="s">
        <v>112</v>
      </c>
      <c r="C34" s="686"/>
      <c r="D34" s="687">
        <f t="shared" si="2"/>
        <v>20052090.808745552</v>
      </c>
      <c r="E34" s="679" t="s">
        <v>236</v>
      </c>
      <c r="F34" s="688">
        <f t="shared" si="3"/>
        <v>20781993.808721017</v>
      </c>
      <c r="G34" s="689">
        <f t="shared" si="0"/>
        <v>729902.99997546524</v>
      </c>
      <c r="H34" s="690">
        <f t="shared" si="1"/>
        <v>3.6400343831333747E-2</v>
      </c>
      <c r="M34" s="683">
        <f>'Comparisons-24'!C86</f>
        <v>18734413</v>
      </c>
      <c r="N34" s="683">
        <f>'Comparisons-25'!C86</f>
        <v>21605869</v>
      </c>
      <c r="O34" s="683">
        <f>'Comparisons-26'!C84</f>
        <v>19815990.426236656</v>
      </c>
      <c r="Q34" s="684">
        <f>'Comparisons-24'!N86</f>
        <v>18734413.199999999</v>
      </c>
      <c r="R34" s="683">
        <f>'Comparisons-25'!Z86</f>
        <v>21908228.92442992</v>
      </c>
      <c r="S34" s="683">
        <f>'Comparisons-26'!BJ84</f>
        <v>21703339.301733125</v>
      </c>
    </row>
    <row r="35" spans="1:31" ht="15">
      <c r="B35" s="685" t="s">
        <v>115</v>
      </c>
      <c r="C35" s="686"/>
      <c r="D35" s="687">
        <f t="shared" si="2"/>
        <v>7455196.5558467098</v>
      </c>
      <c r="E35" s="679" t="s">
        <v>236</v>
      </c>
      <c r="F35" s="688">
        <f t="shared" si="3"/>
        <v>7767250.6118149497</v>
      </c>
      <c r="G35" s="689">
        <f t="shared" si="0"/>
        <v>312054.0559682399</v>
      </c>
      <c r="H35" s="690">
        <f t="shared" si="1"/>
        <v>4.1857254014786863E-2</v>
      </c>
      <c r="M35" s="683">
        <f>'Comparisons-24'!C87</f>
        <v>6925251</v>
      </c>
      <c r="N35" s="683">
        <f>'Comparisons-25'!C87</f>
        <v>7750547</v>
      </c>
      <c r="O35" s="683">
        <f>'Comparisons-26'!C85</f>
        <v>7689791.6675401302</v>
      </c>
      <c r="Q35" s="684">
        <f>'Comparisons-24'!N87</f>
        <v>6951590.3999999994</v>
      </c>
      <c r="R35" s="683">
        <f>'Comparisons-25'!Z87</f>
        <v>8160322.5251064673</v>
      </c>
      <c r="S35" s="683">
        <f>'Comparisons-26'!BJ85</f>
        <v>8189838.9103383832</v>
      </c>
    </row>
    <row r="36" spans="1:31" ht="15">
      <c r="B36" s="685" t="s">
        <v>120</v>
      </c>
      <c r="C36" s="686"/>
      <c r="D36" s="687">
        <f t="shared" si="2"/>
        <v>3142870.4044961301</v>
      </c>
      <c r="E36" s="679" t="s">
        <v>236</v>
      </c>
      <c r="F36" s="688">
        <f t="shared" si="3"/>
        <v>3232911.6544858101</v>
      </c>
      <c r="G36" s="689">
        <f t="shared" si="0"/>
        <v>90041.249989680015</v>
      </c>
      <c r="H36" s="690">
        <f t="shared" si="1"/>
        <v>2.8649367743852478E-2</v>
      </c>
      <c r="M36" s="683">
        <f>'Comparisons-24'!C88</f>
        <v>2909109</v>
      </c>
      <c r="N36" s="683">
        <f>'Comparisons-25'!C88</f>
        <v>3156958</v>
      </c>
      <c r="O36" s="683">
        <f>'Comparisons-26'!C86</f>
        <v>3362544.2134883902</v>
      </c>
      <c r="Q36" s="684">
        <f>'Comparisons-24'!N88</f>
        <v>2988767.1105974042</v>
      </c>
      <c r="R36" s="683">
        <f>'Comparisons-25'!Z88</f>
        <v>3236714.6824751543</v>
      </c>
      <c r="S36" s="683">
        <f>'Comparisons-26'!BJ86</f>
        <v>3473253.1703848708</v>
      </c>
    </row>
    <row r="37" spans="1:31" ht="15.75" thickBot="1">
      <c r="B37" s="691" t="s">
        <v>124</v>
      </c>
      <c r="C37" s="692"/>
      <c r="D37" s="693">
        <f t="shared" si="2"/>
        <v>4404643.8716827054</v>
      </c>
      <c r="E37" s="679" t="s">
        <v>236</v>
      </c>
      <c r="F37" s="694">
        <f t="shared" si="3"/>
        <v>4278619.4898165548</v>
      </c>
      <c r="G37" s="695">
        <f t="shared" si="0"/>
        <v>-126024.38186615054</v>
      </c>
      <c r="H37" s="696">
        <f t="shared" si="1"/>
        <v>-2.8611707447305033E-2</v>
      </c>
      <c r="M37" s="683">
        <f>'Comparisons-24'!C89</f>
        <v>5018756</v>
      </c>
      <c r="N37" s="683">
        <f>'Comparisons-25'!C89</f>
        <v>4730291</v>
      </c>
      <c r="O37" s="683">
        <f>'Comparisons-26'!C87</f>
        <v>3464884.6150481161</v>
      </c>
      <c r="Q37" s="684">
        <f>'Comparisons-24'!N89</f>
        <v>4621834.1281774295</v>
      </c>
      <c r="R37" s="683">
        <f>'Comparisons-25'!Z89</f>
        <v>4578532.0237998124</v>
      </c>
      <c r="S37" s="683">
        <f>'Comparisons-26'!BJ87</f>
        <v>3635492.3174724225</v>
      </c>
    </row>
    <row r="38" spans="1:31" ht="15">
      <c r="D38" s="588">
        <f>SUM(D28:D37)</f>
        <v>129548415.66666666</v>
      </c>
      <c r="F38" s="683">
        <f>SUM(F28:F37)</f>
        <v>129548415.99999999</v>
      </c>
      <c r="M38" s="697">
        <f>SUM(M28:M37)</f>
        <v>133266168</v>
      </c>
      <c r="N38" s="697">
        <f>SUM(N28:N37)</f>
        <v>128674210</v>
      </c>
      <c r="O38" s="697">
        <f>SUM(O28:O37)</f>
        <v>126704869.00000001</v>
      </c>
      <c r="Q38" s="698">
        <f>SUM(Q28:Q37)</f>
        <v>133266167.99999994</v>
      </c>
      <c r="R38" s="698">
        <f t="shared" ref="R38:S38" si="4">SUM(R28:R37)</f>
        <v>128674211</v>
      </c>
      <c r="S38" s="698">
        <f t="shared" si="4"/>
        <v>126704868.99999999</v>
      </c>
    </row>
    <row r="39" spans="1:31">
      <c r="T39" s="699" t="s">
        <v>264</v>
      </c>
      <c r="U39" s="700"/>
      <c r="V39" s="700"/>
      <c r="W39" s="700"/>
      <c r="X39" s="700"/>
      <c r="Y39" s="700"/>
      <c r="Z39" s="604" t="s">
        <v>265</v>
      </c>
    </row>
    <row r="40" spans="1:31" ht="50.45" customHeight="1">
      <c r="A40" s="701" t="s">
        <v>29</v>
      </c>
      <c r="B40" s="702" t="s">
        <v>171</v>
      </c>
      <c r="C40" s="671" t="s">
        <v>171</v>
      </c>
      <c r="D40" s="672" t="s">
        <v>258</v>
      </c>
      <c r="E40" s="673"/>
      <c r="F40" s="672" t="s">
        <v>259</v>
      </c>
      <c r="G40" s="673" t="s">
        <v>260</v>
      </c>
      <c r="H40" s="672" t="s">
        <v>204</v>
      </c>
      <c r="M40" s="674" t="s">
        <v>261</v>
      </c>
      <c r="N40" s="674"/>
      <c r="O40" s="674"/>
      <c r="Q40" s="674" t="s">
        <v>262</v>
      </c>
      <c r="R40" s="674"/>
      <c r="S40" s="674"/>
      <c r="T40" s="703">
        <v>2024</v>
      </c>
      <c r="U40" s="703"/>
      <c r="V40" s="703">
        <v>2025</v>
      </c>
      <c r="W40" s="703"/>
      <c r="X40" s="703">
        <v>2026</v>
      </c>
      <c r="Y40" s="703"/>
      <c r="Z40" s="703">
        <v>2024</v>
      </c>
      <c r="AA40" s="703"/>
      <c r="AB40" s="703">
        <v>2025</v>
      </c>
      <c r="AC40" s="703"/>
      <c r="AD40" s="703">
        <v>2026</v>
      </c>
      <c r="AE40" s="703"/>
    </row>
    <row r="41" spans="1:31" ht="0.6" customHeight="1">
      <c r="A41" s="704"/>
      <c r="B41" s="705"/>
      <c r="M41" s="584">
        <v>2024</v>
      </c>
      <c r="N41" s="584">
        <v>2025</v>
      </c>
      <c r="O41" s="584">
        <v>2026</v>
      </c>
      <c r="Q41" s="584">
        <v>2024</v>
      </c>
      <c r="R41" s="731">
        <v>2025</v>
      </c>
      <c r="S41" s="584">
        <v>2026</v>
      </c>
    </row>
    <row r="42" spans="1:31" ht="15">
      <c r="A42" s="584" t="s">
        <v>82</v>
      </c>
      <c r="B42" s="585" t="s">
        <v>83</v>
      </c>
      <c r="C42" s="584"/>
      <c r="D42" s="609">
        <f>AVERAGE(M42:O42)</f>
        <v>625122.73690211866</v>
      </c>
      <c r="E42" s="706" t="s">
        <v>236</v>
      </c>
      <c r="F42" s="609">
        <f>AVERAGE(Q42:S42)</f>
        <v>648782.54856320331</v>
      </c>
      <c r="G42" s="689">
        <f t="shared" ref="G42:G80" si="5">F42-D42</f>
        <v>23659.811661084648</v>
      </c>
      <c r="H42" s="707">
        <f t="shared" ref="H42:H80" si="6">G42/D42</f>
        <v>3.7848266051454291E-2</v>
      </c>
      <c r="K42" s="572" t="s">
        <v>396</v>
      </c>
      <c r="M42" s="683">
        <f>VLOOKUP($B42,'Comparisons-24'!$B$35:$P$74, 2, FALSE)</f>
        <v>679385</v>
      </c>
      <c r="N42" s="683">
        <f>VLOOKUP($B42,'Comparisons-25'!$B$35:$AB$74, 2, FALSE)</f>
        <v>641176</v>
      </c>
      <c r="O42" s="683">
        <f>VLOOKUP($B42,'Comparisons-26'!$B$35:$BR$72, 2, FALSE)</f>
        <v>554807.21070635587</v>
      </c>
      <c r="Q42" s="729">
        <f>VLOOKUP($B42,'S6C-Cost-24'!$B$11:$BY$50,76, FALSE)</f>
        <v>676506.71769061696</v>
      </c>
      <c r="R42" s="729">
        <f>VLOOKUP(B42, 'S6C-Cost-25'!$B$11:$BZ$50, 77, FALSE)</f>
        <v>669666.4642240312</v>
      </c>
      <c r="S42" s="729">
        <f>VLOOKUP(B42, 'S6C-Cost-26'!$B$12:$BZ$49, 77, FALSE)</f>
        <v>600174.46377496189</v>
      </c>
      <c r="T42" s="689">
        <f t="shared" ref="T42" si="7">Q42-M42</f>
        <v>-2878.2823093830375</v>
      </c>
      <c r="U42" s="708">
        <f t="shared" ref="U42" si="8">T42/M42</f>
        <v>-4.236599732674459E-3</v>
      </c>
      <c r="V42" s="689">
        <f t="shared" ref="V42" si="9">R42-N42</f>
        <v>28490.464224031195</v>
      </c>
      <c r="W42" s="708">
        <f t="shared" ref="W42" si="10">V42/N42</f>
        <v>4.4434701585884681E-2</v>
      </c>
      <c r="X42" s="689">
        <f t="shared" ref="X42" si="11">S42-O42</f>
        <v>45367.25306860602</v>
      </c>
      <c r="Y42" s="708">
        <f t="shared" ref="Y42" si="12">X42/O42</f>
        <v>8.1771203028970105E-2</v>
      </c>
    </row>
    <row r="43" spans="1:31" ht="15">
      <c r="A43" s="584" t="s">
        <v>82</v>
      </c>
      <c r="B43" s="585" t="s">
        <v>84</v>
      </c>
      <c r="C43" s="584"/>
      <c r="D43" s="609">
        <f t="shared" ref="D43:D80" si="13">AVERAGE(M43:O43)</f>
        <v>121343.8</v>
      </c>
      <c r="E43" s="706" t="s">
        <v>236</v>
      </c>
      <c r="F43" s="609">
        <f t="shared" ref="F43:F80" si="14">AVERAGE(Q43:S43)</f>
        <v>121344</v>
      </c>
      <c r="G43" s="689">
        <f t="shared" si="5"/>
        <v>0.19999999999708962</v>
      </c>
      <c r="H43" s="707">
        <f t="shared" si="6"/>
        <v>1.6482094676208395E-6</v>
      </c>
      <c r="I43" s="709"/>
      <c r="K43" s="572" t="s">
        <v>84</v>
      </c>
      <c r="M43" s="683">
        <f>VLOOKUP($B43,'Comparisons-24'!$B$35:$P$74, 2, FALSE)</f>
        <v>135923</v>
      </c>
      <c r="N43" s="683">
        <f>VLOOKUP($B43,'Comparisons-25'!$B$35:$AB$74, 2, FALSE)</f>
        <v>119644</v>
      </c>
      <c r="O43" s="683">
        <f>VLOOKUP($B43,'Comparisons-26'!$B$35:$BR$72, 2, FALSE)</f>
        <v>108464.4</v>
      </c>
      <c r="Q43" s="729">
        <f>VLOOKUP($B43,'S6C-Cost-24'!$B$11:$BY$50,76, FALSE)</f>
        <v>135923.4</v>
      </c>
      <c r="R43" s="729">
        <f>VLOOKUP(B43, 'S6C-Cost-25'!$B$11:$BZ$50, 77, FALSE)</f>
        <v>119644.2</v>
      </c>
      <c r="S43" s="729">
        <f>VLOOKUP(B43, 'S6C-Cost-26'!$B$12:$BZ$49, 77, FALSE)</f>
        <v>108464.4</v>
      </c>
    </row>
    <row r="44" spans="1:31" ht="15">
      <c r="A44" s="584" t="s">
        <v>82</v>
      </c>
      <c r="B44" s="585" t="s">
        <v>85</v>
      </c>
      <c r="C44" s="584"/>
      <c r="D44" s="609">
        <f t="shared" si="13"/>
        <v>742893.1932213885</v>
      </c>
      <c r="E44" s="706" t="s">
        <v>236</v>
      </c>
      <c r="F44" s="609">
        <f t="shared" si="14"/>
        <v>737238.34569833556</v>
      </c>
      <c r="G44" s="689">
        <f t="shared" si="5"/>
        <v>-5654.8475230529439</v>
      </c>
      <c r="H44" s="707">
        <f t="shared" si="6"/>
        <v>-7.6119253408851078E-3</v>
      </c>
      <c r="I44" s="709"/>
      <c r="K44" s="572" t="s">
        <v>397</v>
      </c>
      <c r="M44" s="683">
        <f>VLOOKUP($B44,'Comparisons-24'!$B$35:$P$74, 2, FALSE)</f>
        <v>787517</v>
      </c>
      <c r="N44" s="683">
        <f>VLOOKUP($B44,'Comparisons-25'!$B$35:$AB$74, 2, FALSE)</f>
        <v>760150</v>
      </c>
      <c r="O44" s="683">
        <f>VLOOKUP($B44,'Comparisons-26'!$B$35:$BR$72, 2, FALSE)</f>
        <v>681012.57966416562</v>
      </c>
      <c r="Q44" s="729">
        <f>VLOOKUP($B44,'S6C-Cost-24'!$B$11:$BY$50,76, FALSE)</f>
        <v>770626.03949587105</v>
      </c>
      <c r="R44" s="729">
        <f>VLOOKUP(B44, 'S6C-Cost-25'!$B$11:$BZ$50, 77, FALSE)</f>
        <v>729943.44402986451</v>
      </c>
      <c r="S44" s="729">
        <f>VLOOKUP(B44, 'S6C-Cost-26'!$B$12:$BZ$49, 77, FALSE)</f>
        <v>711145.55356927123</v>
      </c>
    </row>
    <row r="45" spans="1:31" ht="15">
      <c r="A45" s="584" t="s">
        <v>82</v>
      </c>
      <c r="B45" s="585" t="s">
        <v>86</v>
      </c>
      <c r="C45" s="584"/>
      <c r="D45" s="609">
        <f t="shared" si="13"/>
        <v>642599.53505679057</v>
      </c>
      <c r="E45" s="706" t="s">
        <v>236</v>
      </c>
      <c r="F45" s="609">
        <f t="shared" si="14"/>
        <v>647500</v>
      </c>
      <c r="G45" s="689">
        <f t="shared" si="5"/>
        <v>4900.4649432094302</v>
      </c>
      <c r="H45" s="707">
        <f t="shared" si="6"/>
        <v>7.6260013832352763E-3</v>
      </c>
      <c r="K45" s="572" t="s">
        <v>398</v>
      </c>
      <c r="M45" s="683">
        <f>VLOOKUP($B45,'Comparisons-24'!$B$35:$P$74, 2, FALSE)</f>
        <v>650062</v>
      </c>
      <c r="N45" s="683">
        <f>VLOOKUP($B45,'Comparisons-25'!$B$35:$AB$74, 2, FALSE)</f>
        <v>645662</v>
      </c>
      <c r="O45" s="683">
        <f>VLOOKUP($B45,'Comparisons-26'!$B$35:$BR$72, 2, FALSE)</f>
        <v>632074.60517037171</v>
      </c>
      <c r="Q45" s="729">
        <f>VLOOKUP($B45,'S6C-Cost-24'!$B$11:$BY$50,76, FALSE)</f>
        <v>650061.9</v>
      </c>
      <c r="R45" s="729">
        <f>VLOOKUP(B45, 'S6C-Cost-25'!$B$11:$BZ$50, 77, FALSE)</f>
        <v>645662.4</v>
      </c>
      <c r="S45" s="729">
        <f>VLOOKUP(B45, 'S6C-Cost-26'!$B$12:$BZ$49, 77, FALSE)</f>
        <v>646775.69999999995</v>
      </c>
      <c r="T45" s="689">
        <f t="shared" ref="T45:T46" si="15">Q45-M45</f>
        <v>-9.9999999976716936E-2</v>
      </c>
      <c r="U45" s="708">
        <f t="shared" ref="U45:U46" si="16">T45/M45</f>
        <v>-1.5383148065371755E-7</v>
      </c>
      <c r="V45" s="689">
        <f t="shared" ref="V45:V46" si="17">R45-N45</f>
        <v>0.40000000002328306</v>
      </c>
      <c r="W45" s="708">
        <f t="shared" ref="W45:W46" si="18">V45/N45</f>
        <v>6.195191911918048E-7</v>
      </c>
      <c r="X45" s="689">
        <f t="shared" ref="X45:X46" si="19">S45-O45</f>
        <v>14701.094829628244</v>
      </c>
      <c r="Y45" s="708">
        <f t="shared" ref="Y45:Y46" si="20">X45/O45</f>
        <v>2.3258480422047104E-2</v>
      </c>
    </row>
    <row r="46" spans="1:31" ht="15">
      <c r="A46" s="584" t="s">
        <v>82</v>
      </c>
      <c r="B46" s="585" t="s">
        <v>87</v>
      </c>
      <c r="C46" s="584"/>
      <c r="D46" s="609">
        <f t="shared" si="13"/>
        <v>125488.87472202133</v>
      </c>
      <c r="E46" s="706" t="s">
        <v>236</v>
      </c>
      <c r="F46" s="609">
        <f t="shared" si="14"/>
        <v>136762.04649188151</v>
      </c>
      <c r="G46" s="689">
        <f t="shared" si="5"/>
        <v>11273.171769860186</v>
      </c>
      <c r="H46" s="707">
        <f t="shared" si="6"/>
        <v>8.983403345381917E-2</v>
      </c>
      <c r="K46" s="572" t="s">
        <v>399</v>
      </c>
      <c r="M46" s="683">
        <f>VLOOKUP($B46,'Comparisons-24'!$B$35:$P$74, 2, FALSE)</f>
        <v>140658</v>
      </c>
      <c r="N46" s="683">
        <f>VLOOKUP($B46,'Comparisons-25'!$B$35:$AB$74, 2, FALSE)</f>
        <v>127169</v>
      </c>
      <c r="O46" s="683">
        <f>VLOOKUP($B46,'Comparisons-26'!$B$35:$BR$72, 2, FALSE)</f>
        <v>108639.62416606396</v>
      </c>
      <c r="Q46" s="729">
        <f>VLOOKUP($B46,'S6C-Cost-24'!$B$11:$BY$50,76, FALSE)</f>
        <v>142818</v>
      </c>
      <c r="R46" s="729">
        <f>VLOOKUP(B46, 'S6C-Cost-25'!$B$11:$BZ$50, 77, FALSE)</f>
        <v>137532.06913825872</v>
      </c>
      <c r="S46" s="729">
        <f>VLOOKUP(B46, 'S6C-Cost-26'!$B$12:$BZ$49, 77, FALSE)</f>
        <v>129936.07033738581</v>
      </c>
      <c r="T46" s="689">
        <f t="shared" si="15"/>
        <v>2160</v>
      </c>
      <c r="U46" s="708">
        <f t="shared" si="16"/>
        <v>1.535639636565286E-2</v>
      </c>
      <c r="V46" s="689">
        <f t="shared" si="17"/>
        <v>10363.069138258725</v>
      </c>
      <c r="W46" s="708">
        <f t="shared" si="18"/>
        <v>8.1490529439240109E-2</v>
      </c>
      <c r="X46" s="689">
        <f t="shared" si="19"/>
        <v>21296.446171321848</v>
      </c>
      <c r="Y46" s="708">
        <f t="shared" si="20"/>
        <v>0.19602834909267178</v>
      </c>
    </row>
    <row r="47" spans="1:31" ht="15">
      <c r="A47" s="584" t="s">
        <v>88</v>
      </c>
      <c r="B47" s="585" t="s">
        <v>89</v>
      </c>
      <c r="C47" s="584"/>
      <c r="D47" s="609">
        <f t="shared" si="13"/>
        <v>2971811.8341092449</v>
      </c>
      <c r="E47" s="706" t="s">
        <v>236</v>
      </c>
      <c r="F47" s="609">
        <f t="shared" si="14"/>
        <v>2941313.4815364797</v>
      </c>
      <c r="G47" s="689">
        <f t="shared" si="5"/>
        <v>-30498.352572765201</v>
      </c>
      <c r="H47" s="707">
        <f t="shared" si="6"/>
        <v>-1.0262544964226046E-2</v>
      </c>
      <c r="I47" s="572" t="s">
        <v>266</v>
      </c>
      <c r="K47" s="572" t="s">
        <v>400</v>
      </c>
      <c r="M47" s="683">
        <f>VLOOKUP($B47,'Comparisons-24'!$B$35:$P$74, 2, FALSE)</f>
        <v>2759211</v>
      </c>
      <c r="N47" s="683">
        <f>VLOOKUP($B47,'Comparisons-25'!$B$35:$AB$74, 2, FALSE)</f>
        <v>2600883</v>
      </c>
      <c r="O47" s="683">
        <f>VLOOKUP($B47,'Comparisons-26'!$B$35:$BR$72, 2, FALSE)</f>
        <v>3555341.5023277341</v>
      </c>
      <c r="Q47" s="729">
        <f>VLOOKUP($B47,'S6C-Cost-24'!$B$11:$BY$50,76, FALSE)</f>
        <v>2759210.6999999997</v>
      </c>
      <c r="R47" s="729">
        <f>VLOOKUP(B47, 'S6C-Cost-25'!$B$11:$BZ$50, 77, FALSE)</f>
        <v>2731865.9703010907</v>
      </c>
      <c r="S47" s="729">
        <f>VLOOKUP(B47, 'S6C-Cost-26'!$B$12:$BZ$49, 77, FALSE)</f>
        <v>3332863.7743083485</v>
      </c>
    </row>
    <row r="48" spans="1:31" ht="15">
      <c r="A48" s="584" t="s">
        <v>90</v>
      </c>
      <c r="B48" s="585" t="s">
        <v>91</v>
      </c>
      <c r="C48" s="584"/>
      <c r="D48" s="609">
        <f t="shared" si="13"/>
        <v>1071485.0448851464</v>
      </c>
      <c r="E48" s="706" t="s">
        <v>236</v>
      </c>
      <c r="F48" s="609">
        <f t="shared" si="14"/>
        <v>1007619.4542913459</v>
      </c>
      <c r="G48" s="689">
        <f t="shared" si="5"/>
        <v>-63865.590593800531</v>
      </c>
      <c r="H48" s="707">
        <f t="shared" si="6"/>
        <v>-5.9604742874079353E-2</v>
      </c>
      <c r="I48" s="709"/>
      <c r="K48" s="572" t="s">
        <v>401</v>
      </c>
      <c r="M48" s="683">
        <f>VLOOKUP($B48,'Comparisons-24'!$B$35:$P$74, 2, FALSE)</f>
        <v>1083494</v>
      </c>
      <c r="N48" s="683">
        <f>VLOOKUP($B48,'Comparisons-25'!$B$35:$AB$74, 2, FALSE)</f>
        <v>1053666</v>
      </c>
      <c r="O48" s="683">
        <f>VLOOKUP($B48,'Comparisons-26'!$B$35:$BR$72, 2, FALSE)</f>
        <v>1077295.1346554393</v>
      </c>
      <c r="Q48" s="729">
        <f>VLOOKUP($B48,'S6C-Cost-24'!$B$11:$BY$50,76, FALSE)</f>
        <v>1034240.3427058423</v>
      </c>
      <c r="R48" s="729">
        <f>VLOOKUP(B48, 'S6C-Cost-25'!$B$11:$BZ$50, 77, FALSE)</f>
        <v>998306.2318654462</v>
      </c>
      <c r="S48" s="729">
        <f>VLOOKUP(B48, 'S6C-Cost-26'!$B$12:$BZ$49, 77, FALSE)</f>
        <v>990311.78830274905</v>
      </c>
    </row>
    <row r="49" spans="1:25" ht="15">
      <c r="A49" s="584" t="s">
        <v>205</v>
      </c>
      <c r="B49" s="585" t="s">
        <v>93</v>
      </c>
      <c r="C49" s="584"/>
      <c r="D49" s="609">
        <f t="shared" si="13"/>
        <v>430650.67377976741</v>
      </c>
      <c r="E49" s="706" t="s">
        <v>236</v>
      </c>
      <c r="F49" s="609">
        <f t="shared" si="14"/>
        <v>464492.95841110352</v>
      </c>
      <c r="G49" s="689">
        <f t="shared" si="5"/>
        <v>33842.284631336108</v>
      </c>
      <c r="H49" s="707">
        <f t="shared" si="6"/>
        <v>7.8584074498958947E-2</v>
      </c>
      <c r="I49" s="709"/>
      <c r="K49" s="572" t="s">
        <v>93</v>
      </c>
      <c r="M49" s="683">
        <f>VLOOKUP($B49,'Comparisons-24'!$B$35:$P$74, 2, FALSE)</f>
        <v>484752</v>
      </c>
      <c r="N49" s="683">
        <f>VLOOKUP($B49,'Comparisons-25'!$B$35:$AB$74, 2, FALSE)</f>
        <v>434023</v>
      </c>
      <c r="O49" s="683">
        <f>VLOOKUP($B49,'Comparisons-26'!$B$35:$BR$72, 2, FALSE)</f>
        <v>373177.02133930218</v>
      </c>
      <c r="Q49" s="729">
        <f>VLOOKUP($B49,'S6C-Cost-24'!$B$11:$BY$50,76, FALSE)</f>
        <v>486536.69471800257</v>
      </c>
      <c r="R49" s="729">
        <f>VLOOKUP(B49, 'S6C-Cost-25'!$B$11:$BZ$50, 77, FALSE)</f>
        <v>459192.86478751362</v>
      </c>
      <c r="S49" s="729">
        <f>VLOOKUP(B49, 'S6C-Cost-26'!$B$12:$BZ$49, 77, FALSE)</f>
        <v>447749.31572779437</v>
      </c>
    </row>
    <row r="50" spans="1:25" ht="15">
      <c r="A50" s="584" t="s">
        <v>205</v>
      </c>
      <c r="B50" s="585" t="s">
        <v>94</v>
      </c>
      <c r="C50" s="584"/>
      <c r="D50" s="609">
        <f t="shared" si="13"/>
        <v>54768.189319748861</v>
      </c>
      <c r="E50" s="706" t="s">
        <v>236</v>
      </c>
      <c r="F50" s="609">
        <f t="shared" si="14"/>
        <v>53182.888491980964</v>
      </c>
      <c r="G50" s="689">
        <f t="shared" si="5"/>
        <v>-1585.3008277678964</v>
      </c>
      <c r="H50" s="707">
        <f t="shared" si="6"/>
        <v>-2.8945649791570757E-2</v>
      </c>
      <c r="K50" s="572" t="s">
        <v>402</v>
      </c>
      <c r="M50" s="683">
        <f>VLOOKUP($B50,'Comparisons-24'!$B$35:$P$74, 2, FALSE)</f>
        <v>50261</v>
      </c>
      <c r="N50" s="683">
        <f>VLOOKUP($B50,'Comparisons-25'!$B$35:$AB$74, 2, FALSE)</f>
        <v>57885</v>
      </c>
      <c r="O50" s="683">
        <f>VLOOKUP($B50,'Comparisons-26'!$B$35:$BR$72, 2, FALSE)</f>
        <v>56158.567959246582</v>
      </c>
      <c r="Q50" s="729">
        <f>VLOOKUP($B50,'S6C-Cost-24'!$B$11:$BY$50,76, FALSE)</f>
        <v>50261.4</v>
      </c>
      <c r="R50" s="729">
        <f>VLOOKUP(B50, 'S6C-Cost-25'!$B$11:$BZ$50, 77, FALSE)</f>
        <v>56336.772676086024</v>
      </c>
      <c r="S50" s="729">
        <f>VLOOKUP(B50, 'S6C-Cost-26'!$B$12:$BZ$49, 77, FALSE)</f>
        <v>52950.492799856882</v>
      </c>
      <c r="T50" s="689">
        <f t="shared" ref="T50" si="21">Q50-M50</f>
        <v>0.40000000000145519</v>
      </c>
      <c r="U50" s="708">
        <f t="shared" ref="U50" si="22">T50/M50</f>
        <v>7.9584568552447264E-6</v>
      </c>
      <c r="V50" s="689">
        <f t="shared" ref="V50" si="23">R50-N50</f>
        <v>-1548.2273239139759</v>
      </c>
      <c r="W50" s="708">
        <f t="shared" ref="W50" si="24">V50/N50</f>
        <v>-2.6746606615081211E-2</v>
      </c>
      <c r="X50" s="689">
        <f t="shared" ref="X50" si="25">S50-O50</f>
        <v>-3208.0751593897003</v>
      </c>
      <c r="Y50" s="708">
        <f t="shared" ref="Y50" si="26">X50/O50</f>
        <v>-5.7125302086010306E-2</v>
      </c>
    </row>
    <row r="51" spans="1:25" ht="15">
      <c r="A51" s="584" t="s">
        <v>205</v>
      </c>
      <c r="B51" s="585" t="s">
        <v>95</v>
      </c>
      <c r="C51" s="584"/>
      <c r="D51" s="609">
        <f t="shared" si="13"/>
        <v>25537379.304951597</v>
      </c>
      <c r="E51" s="706" t="s">
        <v>236</v>
      </c>
      <c r="F51" s="609">
        <f t="shared" si="14"/>
        <v>25850744.202855319</v>
      </c>
      <c r="G51" s="689">
        <f t="shared" si="5"/>
        <v>313364.89790372178</v>
      </c>
      <c r="H51" s="707">
        <f t="shared" si="6"/>
        <v>1.2270832263628616E-2</v>
      </c>
      <c r="I51" s="572" t="s">
        <v>266</v>
      </c>
      <c r="K51" s="572" t="s">
        <v>403</v>
      </c>
      <c r="M51" s="683">
        <f>VLOOKUP($B51,'Comparisons-24'!$B$35:$P$74, 2, FALSE)</f>
        <v>26837084</v>
      </c>
      <c r="N51" s="683">
        <f>VLOOKUP($B51,'Comparisons-25'!$B$35:$AB$74, 2, FALSE)</f>
        <v>24937766</v>
      </c>
      <c r="O51" s="683">
        <f>VLOOKUP($B51,'Comparisons-26'!$B$35:$BR$72, 2, FALSE)</f>
        <v>24837287.914854791</v>
      </c>
      <c r="Q51" s="729">
        <f>VLOOKUP($B51,'S6C-Cost-24'!$B$11:$BY$50,76, FALSE)</f>
        <v>27122488.652572729</v>
      </c>
      <c r="R51" s="729">
        <f>VLOOKUP(B51, 'S6C-Cost-25'!$B$11:$BZ$50, 77, FALSE)</f>
        <v>25450670.646483909</v>
      </c>
      <c r="S51" s="729">
        <f>VLOOKUP(B51, 'S6C-Cost-26'!$B$12:$BZ$49, 77, FALSE)</f>
        <v>24979073.309509326</v>
      </c>
    </row>
    <row r="52" spans="1:25" ht="15">
      <c r="A52" s="584" t="s">
        <v>205</v>
      </c>
      <c r="B52" s="585" t="s">
        <v>96</v>
      </c>
      <c r="C52" s="584"/>
      <c r="D52" s="609">
        <f t="shared" si="13"/>
        <v>371186.63436863339</v>
      </c>
      <c r="E52" s="706" t="s">
        <v>236</v>
      </c>
      <c r="F52" s="609">
        <f t="shared" si="14"/>
        <v>379553.60000000003</v>
      </c>
      <c r="G52" s="689">
        <f t="shared" si="5"/>
        <v>8366.9656313666492</v>
      </c>
      <c r="H52" s="707">
        <f t="shared" si="6"/>
        <v>2.2541128523117123E-2</v>
      </c>
      <c r="K52" s="572" t="s">
        <v>96</v>
      </c>
      <c r="M52" s="683">
        <f>VLOOKUP($B52,'Comparisons-24'!$B$35:$P$74, 2, FALSE)</f>
        <v>360295</v>
      </c>
      <c r="N52" s="683">
        <f>VLOOKUP($B52,'Comparisons-25'!$B$35:$AB$74, 2, FALSE)</f>
        <v>374043</v>
      </c>
      <c r="O52" s="683">
        <f>VLOOKUP($B52,'Comparisons-26'!$B$35:$BR$72, 2, FALSE)</f>
        <v>379221.9031059001</v>
      </c>
      <c r="Q52" s="729">
        <f>VLOOKUP($B52,'S6C-Cost-24'!$B$11:$BY$50,76, FALSE)</f>
        <v>360295.2</v>
      </c>
      <c r="R52" s="729">
        <f>VLOOKUP(B52, 'S6C-Cost-25'!$B$11:$BZ$50, 77, FALSE)</f>
        <v>374042.7</v>
      </c>
      <c r="S52" s="729">
        <f>VLOOKUP(B52, 'S6C-Cost-26'!$B$12:$BZ$49, 77, FALSE)</f>
        <v>404322.89999999997</v>
      </c>
      <c r="T52" s="689">
        <f t="shared" ref="T52:T53" si="27">Q52-M52</f>
        <v>0.20000000001164153</v>
      </c>
      <c r="U52" s="708">
        <f t="shared" ref="U52:U53" si="28">T52/M52</f>
        <v>5.5510068141839756E-7</v>
      </c>
      <c r="V52" s="689">
        <f t="shared" ref="V52:V53" si="29">R52-N52</f>
        <v>-0.29999999998835847</v>
      </c>
      <c r="W52" s="708">
        <f t="shared" ref="W52:W53" si="30">V52/N52</f>
        <v>-8.0204682346243205E-7</v>
      </c>
      <c r="X52" s="689">
        <f t="shared" ref="X52:X53" si="31">S52-O52</f>
        <v>25100.996894099866</v>
      </c>
      <c r="Y52" s="708">
        <f t="shared" ref="Y52:Y53" si="32">X52/O52</f>
        <v>6.619078879283577E-2</v>
      </c>
    </row>
    <row r="53" spans="1:25" ht="15">
      <c r="A53" s="584" t="s">
        <v>205</v>
      </c>
      <c r="B53" s="585" t="s">
        <v>97</v>
      </c>
      <c r="C53" s="584"/>
      <c r="D53" s="609">
        <f t="shared" si="13"/>
        <v>17018.733333333334</v>
      </c>
      <c r="E53" s="706" t="s">
        <v>236</v>
      </c>
      <c r="F53" s="609">
        <f t="shared" si="14"/>
        <v>16291.397016506244</v>
      </c>
      <c r="G53" s="689">
        <f t="shared" si="5"/>
        <v>-727.33631682708983</v>
      </c>
      <c r="H53" s="707">
        <f t="shared" si="6"/>
        <v>-4.2737394292588743E-2</v>
      </c>
      <c r="K53" s="572" t="s">
        <v>404</v>
      </c>
      <c r="M53" s="683">
        <f>VLOOKUP($B53,'Comparisons-24'!$B$35:$P$74, 2, FALSE)</f>
        <v>17722</v>
      </c>
      <c r="N53" s="683">
        <f>VLOOKUP($B53,'Comparisons-25'!$B$35:$AB$74, 2, FALSE)</f>
        <v>11946</v>
      </c>
      <c r="O53" s="683">
        <f>VLOOKUP($B53,'Comparisons-26'!$B$35:$BR$72, 2, FALSE)</f>
        <v>21388.2</v>
      </c>
      <c r="Q53" s="729">
        <f>VLOOKUP($B53,'S6C-Cost-24'!$B$11:$BY$50,76, FALSE)</f>
        <v>16527.899654911515</v>
      </c>
      <c r="R53" s="729">
        <f>VLOOKUP(B53, 'S6C-Cost-25'!$B$11:$BZ$50, 77, FALSE)</f>
        <v>10958.09139460722</v>
      </c>
      <c r="S53" s="729">
        <f>VLOOKUP(B53, 'S6C-Cost-26'!$B$12:$BZ$49, 77, FALSE)</f>
        <v>21388.2</v>
      </c>
      <c r="T53" s="689">
        <f t="shared" si="27"/>
        <v>-1194.1003450884855</v>
      </c>
      <c r="U53" s="708">
        <f t="shared" si="28"/>
        <v>-6.7379547742268675E-2</v>
      </c>
      <c r="V53" s="689">
        <f t="shared" si="29"/>
        <v>-987.90860539278037</v>
      </c>
      <c r="W53" s="708">
        <f t="shared" si="30"/>
        <v>-8.2697857474701181E-2</v>
      </c>
      <c r="X53" s="689">
        <f t="shared" si="31"/>
        <v>0</v>
      </c>
      <c r="Y53" s="708">
        <f t="shared" si="32"/>
        <v>0</v>
      </c>
    </row>
    <row r="54" spans="1:25" ht="15">
      <c r="A54" s="584" t="s">
        <v>205</v>
      </c>
      <c r="B54" s="585" t="s">
        <v>98</v>
      </c>
      <c r="C54" s="584"/>
      <c r="D54" s="609">
        <f t="shared" si="13"/>
        <v>2281227.164313735</v>
      </c>
      <c r="E54" s="706" t="s">
        <v>236</v>
      </c>
      <c r="F54" s="609">
        <f t="shared" si="14"/>
        <v>2314483.5</v>
      </c>
      <c r="G54" s="689">
        <f t="shared" si="5"/>
        <v>33256.335686265025</v>
      </c>
      <c r="H54" s="707">
        <f t="shared" si="6"/>
        <v>1.4578265683711327E-2</v>
      </c>
      <c r="I54" s="572" t="s">
        <v>266</v>
      </c>
      <c r="K54" s="572" t="s">
        <v>405</v>
      </c>
      <c r="M54" s="683">
        <f>VLOOKUP($B54,'Comparisons-24'!$B$35:$P$74, 2, FALSE)</f>
        <v>2239285</v>
      </c>
      <c r="N54" s="683">
        <f>VLOOKUP($B54,'Comparisons-25'!$B$35:$AB$74, 2, FALSE)</f>
        <v>2373202</v>
      </c>
      <c r="O54" s="683">
        <f>VLOOKUP($B54,'Comparisons-26'!$B$35:$BR$72, 2, FALSE)</f>
        <v>2231194.4929412054</v>
      </c>
      <c r="Q54" s="729">
        <f>VLOOKUP($B54,'S6C-Cost-24'!$B$11:$BY$50,76, FALSE)</f>
        <v>2239285.1999999997</v>
      </c>
      <c r="R54" s="729">
        <f>VLOOKUP(B54, 'S6C-Cost-25'!$B$11:$BZ$50, 77, FALSE)</f>
        <v>2373202.1999999997</v>
      </c>
      <c r="S54" s="729">
        <f>VLOOKUP(B54, 'S6C-Cost-26'!$B$12:$BZ$49, 77, FALSE)</f>
        <v>2330963.1</v>
      </c>
    </row>
    <row r="55" spans="1:25" ht="15">
      <c r="A55" s="584" t="s">
        <v>99</v>
      </c>
      <c r="B55" s="585" t="s">
        <v>100</v>
      </c>
      <c r="C55" s="584"/>
      <c r="D55" s="609">
        <f t="shared" si="13"/>
        <v>832018.76885929203</v>
      </c>
      <c r="E55" s="706" t="s">
        <v>236</v>
      </c>
      <c r="F55" s="609">
        <f t="shared" si="14"/>
        <v>871205.9674730046</v>
      </c>
      <c r="G55" s="689">
        <f t="shared" si="5"/>
        <v>39187.198613712564</v>
      </c>
      <c r="H55" s="707">
        <f t="shared" si="6"/>
        <v>4.7098935841842479E-2</v>
      </c>
      <c r="K55" s="572" t="s">
        <v>406</v>
      </c>
      <c r="M55" s="683">
        <f>VLOOKUP($B55,'Comparisons-24'!$B$35:$P$74, 2, FALSE)</f>
        <v>950704</v>
      </c>
      <c r="N55" s="683">
        <f>VLOOKUP($B55,'Comparisons-25'!$B$35:$AB$74, 2, FALSE)</f>
        <v>786477</v>
      </c>
      <c r="O55" s="683">
        <f>VLOOKUP($B55,'Comparisons-26'!$B$35:$BR$72, 2, FALSE)</f>
        <v>758875.30657787633</v>
      </c>
      <c r="Q55" s="729">
        <f>VLOOKUP($B55,'S6C-Cost-24'!$B$11:$BY$50,76, FALSE)</f>
        <v>972436.07292331429</v>
      </c>
      <c r="R55" s="729">
        <f>VLOOKUP(B55, 'S6C-Cost-25'!$B$11:$BZ$50, 77, FALSE)</f>
        <v>816081.5280985405</v>
      </c>
      <c r="S55" s="729">
        <f>VLOOKUP(B55, 'S6C-Cost-26'!$B$12:$BZ$49, 77, FALSE)</f>
        <v>825100.30139715935</v>
      </c>
      <c r="T55" s="689">
        <f t="shared" ref="T55:T56" si="33">Q55-M55</f>
        <v>21732.072923314292</v>
      </c>
      <c r="U55" s="708">
        <f t="shared" ref="U55:U56" si="34">T55/M55</f>
        <v>2.285892656737985E-2</v>
      </c>
      <c r="V55" s="689">
        <f t="shared" ref="V55:V56" si="35">R55-N55</f>
        <v>29604.528098540497</v>
      </c>
      <c r="W55" s="708">
        <f t="shared" ref="W55:W56" si="36">V55/N55</f>
        <v>3.7641950239537196E-2</v>
      </c>
      <c r="X55" s="689">
        <f t="shared" ref="X55:X56" si="37">S55-O55</f>
        <v>66224.99481928302</v>
      </c>
      <c r="Y55" s="708">
        <f t="shared" ref="Y55:Y56" si="38">X55/O55</f>
        <v>8.7267294435923196E-2</v>
      </c>
    </row>
    <row r="56" spans="1:25" ht="15">
      <c r="A56" s="584" t="s">
        <v>99</v>
      </c>
      <c r="B56" s="585" t="s">
        <v>101</v>
      </c>
      <c r="C56" s="584"/>
      <c r="D56" s="609">
        <f t="shared" si="13"/>
        <v>196263.86435138655</v>
      </c>
      <c r="E56" s="706" t="s">
        <v>236</v>
      </c>
      <c r="F56" s="609">
        <f t="shared" si="14"/>
        <v>200739.19999999998</v>
      </c>
      <c r="G56" s="689">
        <f t="shared" si="5"/>
        <v>4475.3356486134289</v>
      </c>
      <c r="H56" s="707">
        <f t="shared" si="6"/>
        <v>2.2802647157710527E-2</v>
      </c>
      <c r="K56" s="572" t="s">
        <v>101</v>
      </c>
      <c r="M56" s="683">
        <f>VLOOKUP($B56,'Comparisons-24'!$B$35:$P$74, 2, FALSE)</f>
        <v>181796</v>
      </c>
      <c r="N56" s="683">
        <f>VLOOKUP($B56,'Comparisons-25'!$B$35:$AB$74, 2, FALSE)</f>
        <v>210911</v>
      </c>
      <c r="O56" s="683">
        <f>VLOOKUP($B56,'Comparisons-26'!$B$35:$BR$72, 2, FALSE)</f>
        <v>196084.59305415963</v>
      </c>
      <c r="Q56" s="729">
        <f>VLOOKUP($B56,'S6C-Cost-24'!$B$11:$BY$50,76, FALSE)</f>
        <v>181796.4</v>
      </c>
      <c r="R56" s="729">
        <f>VLOOKUP(B56, 'S6C-Cost-25'!$B$11:$BZ$50, 77, FALSE)</f>
        <v>210911.4</v>
      </c>
      <c r="S56" s="729">
        <f>VLOOKUP(B56, 'S6C-Cost-26'!$B$12:$BZ$49, 77, FALSE)</f>
        <v>209509.8</v>
      </c>
      <c r="T56" s="689">
        <f t="shared" si="33"/>
        <v>0.39999999999417923</v>
      </c>
      <c r="U56" s="708">
        <f t="shared" si="34"/>
        <v>2.2002684327167773E-6</v>
      </c>
      <c r="V56" s="689">
        <f t="shared" si="35"/>
        <v>0.39999999999417923</v>
      </c>
      <c r="W56" s="708">
        <f t="shared" si="36"/>
        <v>1.8965345572027027E-6</v>
      </c>
      <c r="X56" s="689">
        <f t="shared" si="37"/>
        <v>13425.206945840357</v>
      </c>
      <c r="Y56" s="708">
        <f t="shared" si="38"/>
        <v>6.8466403896058486E-2</v>
      </c>
    </row>
    <row r="57" spans="1:25" ht="15">
      <c r="A57" s="584" t="s">
        <v>99</v>
      </c>
      <c r="B57" s="585" t="s">
        <v>102</v>
      </c>
      <c r="C57" s="584"/>
      <c r="D57" s="609">
        <f t="shared" si="13"/>
        <v>1703062.0409783174</v>
      </c>
      <c r="E57" s="706" t="s">
        <v>236</v>
      </c>
      <c r="F57" s="609">
        <f t="shared" si="14"/>
        <v>1933505.9157191899</v>
      </c>
      <c r="G57" s="689">
        <f t="shared" si="5"/>
        <v>230443.87474087253</v>
      </c>
      <c r="H57" s="707">
        <f t="shared" si="6"/>
        <v>0.13531149728902123</v>
      </c>
      <c r="I57" s="709"/>
      <c r="K57" s="572" t="s">
        <v>407</v>
      </c>
      <c r="M57" s="683">
        <f>VLOOKUP($B57,'Comparisons-24'!$B$35:$P$74, 2, FALSE)</f>
        <v>1790245</v>
      </c>
      <c r="N57" s="683">
        <f>VLOOKUP($B57,'Comparisons-25'!$B$35:$AB$74, 2, FALSE)</f>
        <v>1652305</v>
      </c>
      <c r="O57" s="683">
        <f>VLOOKUP($B57,'Comparisons-26'!$B$35:$BR$72, 2, FALSE)</f>
        <v>1666636.1229349524</v>
      </c>
      <c r="Q57" s="729">
        <f>VLOOKUP($B57,'S6C-Cost-24'!$B$11:$BY$50,76, FALSE)</f>
        <v>2049304.7016968213</v>
      </c>
      <c r="R57" s="729">
        <f>VLOOKUP(B57, 'S6C-Cost-25'!$B$11:$BZ$50, 77, FALSE)</f>
        <v>1929170.572184921</v>
      </c>
      <c r="S57" s="729">
        <f>VLOOKUP(B57, 'S6C-Cost-26'!$B$12:$BZ$49, 77, FALSE)</f>
        <v>1822042.4732758282</v>
      </c>
    </row>
    <row r="58" spans="1:25" ht="15">
      <c r="A58" s="584" t="s">
        <v>99</v>
      </c>
      <c r="B58" s="585" t="s">
        <v>103</v>
      </c>
      <c r="C58" s="584"/>
      <c r="D58" s="609">
        <f t="shared" si="13"/>
        <v>41041.693335279859</v>
      </c>
      <c r="E58" s="706" t="s">
        <v>236</v>
      </c>
      <c r="F58" s="609">
        <f t="shared" si="14"/>
        <v>45079.69999999999</v>
      </c>
      <c r="G58" s="689">
        <f t="shared" si="5"/>
        <v>4038.0066647201311</v>
      </c>
      <c r="H58" s="707">
        <f t="shared" si="6"/>
        <v>9.8387915716163191E-2</v>
      </c>
      <c r="K58" s="572" t="s">
        <v>103</v>
      </c>
      <c r="M58" s="683">
        <f>VLOOKUP($B58,'Comparisons-24'!$B$35:$P$74, 2, FALSE)</f>
        <v>32351</v>
      </c>
      <c r="N58" s="683">
        <f>VLOOKUP($B58,'Comparisons-25'!$B$35:$AB$74, 2, FALSE)</f>
        <v>49284</v>
      </c>
      <c r="O58" s="683">
        <f>VLOOKUP($B58,'Comparisons-26'!$B$35:$BR$72, 2, FALSE)</f>
        <v>41490.080005839591</v>
      </c>
      <c r="Q58" s="729">
        <f>VLOOKUP($B58,'S6C-Cost-24'!$B$11:$BY$50,76, FALSE)</f>
        <v>32350.799999999999</v>
      </c>
      <c r="R58" s="729">
        <f>VLOOKUP(B58, 'S6C-Cost-25'!$B$11:$BZ$50, 77, FALSE)</f>
        <v>53175.299999999996</v>
      </c>
      <c r="S58" s="729">
        <f>VLOOKUP(B58, 'S6C-Cost-26'!$B$12:$BZ$49, 77, FALSE)</f>
        <v>49713</v>
      </c>
      <c r="T58" s="689">
        <f>Q58-M58</f>
        <v>-0.2000000000007276</v>
      </c>
      <c r="U58" s="708">
        <f>T58/M58</f>
        <v>-6.1821891131874624E-6</v>
      </c>
      <c r="V58" s="689">
        <f>R58-N58</f>
        <v>3891.2999999999956</v>
      </c>
      <c r="W58" s="708">
        <f>V58/N58</f>
        <v>7.8956659362064682E-2</v>
      </c>
      <c r="X58" s="689">
        <f>S58-O58</f>
        <v>8222.9199941604093</v>
      </c>
      <c r="Y58" s="708">
        <f>X58/O58</f>
        <v>0.19819002501328176</v>
      </c>
    </row>
    <row r="59" spans="1:25" ht="15">
      <c r="A59" s="584" t="s">
        <v>206</v>
      </c>
      <c r="B59" s="585" t="s">
        <v>105</v>
      </c>
      <c r="C59" s="584"/>
      <c r="D59" s="609">
        <f t="shared" si="13"/>
        <v>3666511.5935658314</v>
      </c>
      <c r="E59" s="706" t="s">
        <v>236</v>
      </c>
      <c r="F59" s="609">
        <f t="shared" si="14"/>
        <v>3544484.4265535921</v>
      </c>
      <c r="G59" s="689">
        <f t="shared" si="5"/>
        <v>-122027.16701223934</v>
      </c>
      <c r="H59" s="707">
        <f t="shared" si="6"/>
        <v>-3.32815440230377E-2</v>
      </c>
      <c r="I59" s="572" t="s">
        <v>266</v>
      </c>
      <c r="K59" s="572" t="s">
        <v>408</v>
      </c>
      <c r="M59" s="683">
        <f>VLOOKUP($B59,'Comparisons-24'!$B$35:$P$74, 2, FALSE)</f>
        <v>3156033</v>
      </c>
      <c r="N59" s="683">
        <f>VLOOKUP($B59,'Comparisons-25'!$B$35:$AB$74, 2, FALSE)</f>
        <v>3226579</v>
      </c>
      <c r="O59" s="683">
        <f>VLOOKUP($B59,'Comparisons-26'!$B$35:$BR$72, 2, FALSE)</f>
        <v>4616922.7806974938</v>
      </c>
      <c r="Q59" s="729">
        <f>VLOOKUP($B59,'S6C-Cost-24'!$B$11:$BY$50,76, FALSE)</f>
        <v>3121402.6496130168</v>
      </c>
      <c r="R59" s="729">
        <f>VLOOKUP(B59, 'S6C-Cost-25'!$B$11:$BZ$50, 77, FALSE)</f>
        <v>3316960.3034628429</v>
      </c>
      <c r="S59" s="729">
        <f>VLOOKUP(B59, 'S6C-Cost-26'!$B$12:$BZ$49, 77, FALSE)</f>
        <v>4195090.3265849175</v>
      </c>
    </row>
    <row r="60" spans="1:25" ht="15">
      <c r="A60" s="584" t="s">
        <v>206</v>
      </c>
      <c r="B60" s="585" t="s">
        <v>106</v>
      </c>
      <c r="C60" s="584"/>
      <c r="D60" s="609">
        <f t="shared" si="13"/>
        <v>6007985.0073328475</v>
      </c>
      <c r="E60" s="706" t="s">
        <v>236</v>
      </c>
      <c r="F60" s="609">
        <f t="shared" si="14"/>
        <v>6252724.4686427424</v>
      </c>
      <c r="G60" s="689">
        <f t="shared" si="5"/>
        <v>244739.46130989492</v>
      </c>
      <c r="H60" s="707">
        <f t="shared" si="6"/>
        <v>4.0735697744116582E-2</v>
      </c>
      <c r="I60" s="572" t="s">
        <v>266</v>
      </c>
      <c r="K60" s="572" t="s">
        <v>409</v>
      </c>
      <c r="M60" s="683">
        <f>VLOOKUP($B60,'Comparisons-24'!$B$35:$P$74, 2, FALSE)</f>
        <v>6545690</v>
      </c>
      <c r="N60" s="683">
        <f>VLOOKUP($B60,'Comparisons-25'!$B$35:$AB$74, 2, FALSE)</f>
        <v>5574618</v>
      </c>
      <c r="O60" s="683">
        <f>VLOOKUP($B60,'Comparisons-26'!$B$35:$BR$72, 2, FALSE)</f>
        <v>5903647.0219985424</v>
      </c>
      <c r="Q60" s="729">
        <f>VLOOKUP($B60,'S6C-Cost-24'!$B$11:$BY$50,76, FALSE)</f>
        <v>6998863.7504175212</v>
      </c>
      <c r="R60" s="729">
        <f>VLOOKUP(B60, 'S6C-Cost-25'!$B$11:$BZ$50, 77, FALSE)</f>
        <v>5841901.6847690083</v>
      </c>
      <c r="S60" s="729">
        <f>VLOOKUP(B60, 'S6C-Cost-26'!$B$12:$BZ$49, 77, FALSE)</f>
        <v>5917407.9707416994</v>
      </c>
    </row>
    <row r="61" spans="1:25" ht="15">
      <c r="A61" s="584" t="s">
        <v>206</v>
      </c>
      <c r="B61" s="585" t="s">
        <v>107</v>
      </c>
      <c r="C61" s="584"/>
      <c r="D61" s="609">
        <f t="shared" si="13"/>
        <v>9299604.085831793</v>
      </c>
      <c r="E61" s="706" t="s">
        <v>236</v>
      </c>
      <c r="F61" s="609">
        <f t="shared" si="14"/>
        <v>9228699.62403691</v>
      </c>
      <c r="G61" s="689">
        <f t="shared" si="5"/>
        <v>-70904.461794883013</v>
      </c>
      <c r="H61" s="707">
        <f t="shared" si="6"/>
        <v>-7.6244602609381986E-3</v>
      </c>
      <c r="I61" s="572" t="s">
        <v>266</v>
      </c>
      <c r="K61" s="572" t="s">
        <v>410</v>
      </c>
      <c r="M61" s="683">
        <f>VLOOKUP($B61,'Comparisons-24'!$B$35:$P$74, 2, FALSE)</f>
        <v>8180859</v>
      </c>
      <c r="N61" s="683">
        <f>VLOOKUP($B61,'Comparisons-25'!$B$35:$AB$74, 2, FALSE)</f>
        <v>9437848</v>
      </c>
      <c r="O61" s="683">
        <f>VLOOKUP($B61,'Comparisons-26'!$B$35:$BR$72, 2, FALSE)</f>
        <v>10280105.257495381</v>
      </c>
      <c r="Q61" s="729">
        <f>VLOOKUP($B61,'S6C-Cost-24'!$B$11:$BY$50,76, FALSE)</f>
        <v>8180859.2999999998</v>
      </c>
      <c r="R61" s="729">
        <f>VLOOKUP(B61, 'S6C-Cost-25'!$B$11:$BZ$50, 77, FALSE)</f>
        <v>9608533.7999999989</v>
      </c>
      <c r="S61" s="729">
        <f>VLOOKUP(B61, 'S6C-Cost-26'!$B$12:$BZ$49, 77, FALSE)</f>
        <v>9896705.7721107341</v>
      </c>
    </row>
    <row r="62" spans="1:25" ht="15">
      <c r="A62" s="584" t="s">
        <v>206</v>
      </c>
      <c r="B62" s="585" t="s">
        <v>108</v>
      </c>
      <c r="C62" s="584"/>
      <c r="D62" s="609">
        <f t="shared" si="13"/>
        <v>1591498.2</v>
      </c>
      <c r="E62" s="706" t="s">
        <v>236</v>
      </c>
      <c r="F62" s="609">
        <f t="shared" si="14"/>
        <v>1618479.611078874</v>
      </c>
      <c r="G62" s="689">
        <f t="shared" si="5"/>
        <v>26981.411078874022</v>
      </c>
      <c r="H62" s="707">
        <f t="shared" si="6"/>
        <v>1.6953466286593364E-2</v>
      </c>
      <c r="I62" s="572" t="s">
        <v>266</v>
      </c>
      <c r="K62" s="572" t="s">
        <v>411</v>
      </c>
      <c r="M62" s="683">
        <f>VLOOKUP($B62,'Comparisons-24'!$B$35:$P$74, 2, FALSE)</f>
        <v>1539916</v>
      </c>
      <c r="N62" s="683">
        <f>VLOOKUP($B62,'Comparisons-25'!$B$35:$AB$74, 2, FALSE)</f>
        <v>1598498</v>
      </c>
      <c r="O62" s="683">
        <f>VLOOKUP($B62,'Comparisons-26'!$B$35:$BR$72, 2, FALSE)</f>
        <v>1636080.5999999999</v>
      </c>
      <c r="Q62" s="729">
        <f>VLOOKUP($B62,'S6C-Cost-24'!$B$11:$BY$50,76, FALSE)</f>
        <v>1620860.7332366221</v>
      </c>
      <c r="R62" s="729">
        <f>VLOOKUP(B62, 'S6C-Cost-25'!$B$11:$BZ$50, 77, FALSE)</f>
        <v>1598497.5</v>
      </c>
      <c r="S62" s="729">
        <f>VLOOKUP(B62, 'S6C-Cost-26'!$B$12:$BZ$49, 77, FALSE)</f>
        <v>1636080.5999999999</v>
      </c>
    </row>
    <row r="63" spans="1:25" ht="15">
      <c r="A63" s="584" t="s">
        <v>206</v>
      </c>
      <c r="B63" s="585" t="s">
        <v>109</v>
      </c>
      <c r="C63" s="584"/>
      <c r="D63" s="609">
        <f t="shared" si="13"/>
        <v>25729693.491986766</v>
      </c>
      <c r="E63" s="706" t="s">
        <v>236</v>
      </c>
      <c r="F63" s="609">
        <f t="shared" si="14"/>
        <v>23935371.790917862</v>
      </c>
      <c r="G63" s="689">
        <f t="shared" si="5"/>
        <v>-1794321.7010689043</v>
      </c>
      <c r="H63" s="707">
        <f t="shared" si="6"/>
        <v>-6.9737391221847481E-2</v>
      </c>
      <c r="I63" s="572" t="s">
        <v>266</v>
      </c>
      <c r="K63" s="572" t="s">
        <v>412</v>
      </c>
      <c r="M63" s="683">
        <f>VLOOKUP($B63,'Comparisons-24'!$B$35:$P$74, 2, FALSE)</f>
        <v>26403560</v>
      </c>
      <c r="N63" s="683">
        <f>VLOOKUP($B63,'Comparisons-25'!$B$35:$AB$74, 2, FALSE)</f>
        <v>26810560</v>
      </c>
      <c r="O63" s="683">
        <f>VLOOKUP($B63,'Comparisons-26'!$B$35:$BR$72, 2, FALSE)</f>
        <v>23974960.475960296</v>
      </c>
      <c r="Q63" s="729">
        <f>VLOOKUP($B63,'S6C-Cost-24'!$B$11:$BY$50,76, FALSE)</f>
        <v>24549534.850010071</v>
      </c>
      <c r="R63" s="729">
        <f>VLOOKUP(B63, 'S6C-Cost-25'!$B$11:$BZ$50, 77, FALSE)</f>
        <v>24852667.379906833</v>
      </c>
      <c r="S63" s="729">
        <f>VLOOKUP(B63, 'S6C-Cost-26'!$B$12:$BZ$49, 77, FALSE)</f>
        <v>22403913.142836694</v>
      </c>
    </row>
    <row r="64" spans="1:25" ht="15">
      <c r="A64" s="584" t="s">
        <v>206</v>
      </c>
      <c r="B64" s="585" t="s">
        <v>110</v>
      </c>
      <c r="C64" s="584"/>
      <c r="D64" s="609">
        <f t="shared" si="13"/>
        <v>2245850</v>
      </c>
      <c r="E64" s="706" t="s">
        <v>236</v>
      </c>
      <c r="F64" s="609">
        <f>Q64/3</f>
        <v>2623953.6350179198</v>
      </c>
      <c r="G64" s="689">
        <f t="shared" si="5"/>
        <v>378103.63501791982</v>
      </c>
      <c r="H64" s="707">
        <f t="shared" si="6"/>
        <v>0.16835658437469991</v>
      </c>
      <c r="K64" s="572" t="e">
        <v>#N/A</v>
      </c>
      <c r="M64" s="683">
        <f>VLOOKUP($B64,'Comparisons-24'!$B$35:$P$74, 2, FALSE)</f>
        <v>6737550</v>
      </c>
      <c r="N64" s="683">
        <v>0</v>
      </c>
      <c r="O64" s="683">
        <v>0</v>
      </c>
      <c r="Q64" s="729">
        <f>VLOOKUP($B64,'S6C-Cost-24'!$B$11:$BY$50,76, FALSE)</f>
        <v>7871860.9050537599</v>
      </c>
      <c r="R64" s="729">
        <f>VLOOKUP(B64, 'S6C-Cost-25'!$B$11:$BZ$50, 77, FALSE)</f>
        <v>0</v>
      </c>
      <c r="S64" s="729"/>
    </row>
    <row r="65" spans="1:31" ht="15">
      <c r="A65" s="584" t="s">
        <v>206</v>
      </c>
      <c r="B65" s="585" t="s">
        <v>111</v>
      </c>
      <c r="C65" s="584"/>
      <c r="D65" s="609">
        <f t="shared" si="13"/>
        <v>8187109.5606905362</v>
      </c>
      <c r="E65" s="706" t="s">
        <v>236</v>
      </c>
      <c r="F65" s="609">
        <f t="shared" si="14"/>
        <v>7837949.0877956115</v>
      </c>
      <c r="G65" s="689">
        <f t="shared" si="5"/>
        <v>-349160.47289492469</v>
      </c>
      <c r="H65" s="707">
        <f t="shared" si="6"/>
        <v>-4.2647587687280809E-2</v>
      </c>
      <c r="I65" s="572" t="s">
        <v>266</v>
      </c>
      <c r="K65" s="572" t="s">
        <v>111</v>
      </c>
      <c r="M65" s="683">
        <f>VLOOKUP($B65,'Comparisons-24'!$B$35:$P$74, 2, FALSE)</f>
        <v>7934286</v>
      </c>
      <c r="N65" s="683">
        <f>VLOOKUP($B65,'Comparisons-25'!$B$35:$AB$74, 2, FALSE)</f>
        <v>7946250</v>
      </c>
      <c r="O65" s="683">
        <f>VLOOKUP($B65,'Comparisons-26'!$B$35:$BR$72, 2, FALSE)</f>
        <v>8680792.6820716076</v>
      </c>
      <c r="Q65" s="729">
        <f>VLOOKUP($B65,'S6C-Cost-24'!$B$11:$BY$50,76, FALSE)</f>
        <v>7921433.620615921</v>
      </c>
      <c r="R65" s="729">
        <f>VLOOKUP(B65, 'S6C-Cost-25'!$B$11:$BZ$50, 77, FALSE)</f>
        <v>7715373.0367635647</v>
      </c>
      <c r="S65" s="729">
        <f>VLOOKUP(B65, 'S6C-Cost-26'!$B$12:$BZ$49, 77, FALSE)</f>
        <v>7877040.6060073497</v>
      </c>
    </row>
    <row r="66" spans="1:31" ht="15">
      <c r="A66" s="584" t="s">
        <v>112</v>
      </c>
      <c r="B66" s="585" t="s">
        <v>113</v>
      </c>
      <c r="C66" s="584"/>
      <c r="D66" s="609">
        <f t="shared" si="13"/>
        <v>1198958.8926709832</v>
      </c>
      <c r="E66" s="706" t="s">
        <v>236</v>
      </c>
      <c r="F66" s="609">
        <f t="shared" si="14"/>
        <v>1178082.8896040267</v>
      </c>
      <c r="G66" s="689">
        <f t="shared" si="5"/>
        <v>-20876.003066956531</v>
      </c>
      <c r="H66" s="707">
        <f t="shared" si="6"/>
        <v>-1.7411775495029667E-2</v>
      </c>
      <c r="I66" s="709"/>
      <c r="K66" s="572" t="s">
        <v>413</v>
      </c>
      <c r="M66" s="683">
        <f>VLOOKUP($B66,'Comparisons-24'!$B$35:$P$74, 2, FALSE)</f>
        <v>1224167</v>
      </c>
      <c r="N66" s="683">
        <f>VLOOKUP($B66,'Comparisons-25'!$B$35:$AB$74, 2, FALSE)</f>
        <v>1335726</v>
      </c>
      <c r="O66" s="683">
        <f>VLOOKUP($B66,'Comparisons-26'!$B$35:$BR$72, 2, FALSE)</f>
        <v>1036983.6780129499</v>
      </c>
      <c r="Q66" s="729">
        <f>VLOOKUP($B66,'S6C-Cost-24'!$B$11:$BY$50,76, FALSE)</f>
        <v>1224166.8</v>
      </c>
      <c r="R66" s="729">
        <f>VLOOKUP(B66, 'S6C-Cost-25'!$B$11:$BZ$50, 77, FALSE)</f>
        <v>1266158.8936182305</v>
      </c>
      <c r="S66" s="729">
        <f>VLOOKUP(B66, 'S6C-Cost-26'!$B$12:$BZ$49, 77, FALSE)</f>
        <v>1043922.9751938495</v>
      </c>
      <c r="Z66" s="689">
        <f>Q66-M66</f>
        <v>-0.19999999995343387</v>
      </c>
      <c r="AA66" s="708">
        <f>Z66/M66</f>
        <v>-1.6337640203782153E-7</v>
      </c>
      <c r="AB66" s="689">
        <f>R66-N66</f>
        <v>-69567.106381769525</v>
      </c>
      <c r="AC66" s="708">
        <f>AB66/N66</f>
        <v>-5.2081868872635197E-2</v>
      </c>
      <c r="AD66" s="689">
        <f>S66-O66</f>
        <v>6939.2971808996517</v>
      </c>
      <c r="AE66" s="708">
        <f>AD66/O66</f>
        <v>6.6918094547029055E-3</v>
      </c>
    </row>
    <row r="67" spans="1:31" ht="15">
      <c r="A67" s="584" t="s">
        <v>112</v>
      </c>
      <c r="B67" s="585" t="s">
        <v>114</v>
      </c>
      <c r="C67" s="584"/>
      <c r="D67" s="609">
        <f t="shared" si="13"/>
        <v>18853131.91607457</v>
      </c>
      <c r="E67" s="706" t="s">
        <v>236</v>
      </c>
      <c r="F67" s="609">
        <f t="shared" si="14"/>
        <v>19617599.199400354</v>
      </c>
      <c r="G67" s="689">
        <f t="shared" si="5"/>
        <v>764467.28332578391</v>
      </c>
      <c r="H67" s="707">
        <f t="shared" si="6"/>
        <v>4.0548556427061504E-2</v>
      </c>
      <c r="I67" s="572" t="s">
        <v>266</v>
      </c>
      <c r="K67" s="572" t="s">
        <v>414</v>
      </c>
      <c r="M67" s="683">
        <f>VLOOKUP($B67,'Comparisons-24'!$B$35:$P$74, 2, FALSE)</f>
        <v>17510246</v>
      </c>
      <c r="N67" s="683">
        <f>VLOOKUP($B67,'Comparisons-25'!$B$35:$AB$74, 2, FALSE)</f>
        <v>20270143</v>
      </c>
      <c r="O67" s="683">
        <f>VLOOKUP($B67,'Comparisons-26'!$B$35:$BR$72, 2, FALSE)</f>
        <v>18779006.748223707</v>
      </c>
      <c r="Q67" s="729">
        <f>VLOOKUP($B67,'S6C-Cost-24'!$B$11:$BY$50,76, FALSE)</f>
        <v>17510246.399999999</v>
      </c>
      <c r="R67" s="729">
        <f>VLOOKUP(B67, 'S6C-Cost-25'!$B$11:$BZ$50, 77, FALSE)</f>
        <v>20640888.599999998</v>
      </c>
      <c r="S67" s="729">
        <f>VLOOKUP(B67, 'S6C-Cost-26'!$B$12:$BZ$49, 77, FALSE)</f>
        <v>20701662.59820107</v>
      </c>
    </row>
    <row r="68" spans="1:31" ht="15">
      <c r="A68" s="584" t="s">
        <v>115</v>
      </c>
      <c r="B68" s="585" t="s">
        <v>116</v>
      </c>
      <c r="C68" s="584"/>
      <c r="D68" s="609">
        <f t="shared" si="13"/>
        <v>3483121.4</v>
      </c>
      <c r="E68" s="706" t="s">
        <v>236</v>
      </c>
      <c r="F68" s="609">
        <f t="shared" si="14"/>
        <v>3483121.2999999993</v>
      </c>
      <c r="G68" s="689">
        <f t="shared" si="5"/>
        <v>-0.10000000055879354</v>
      </c>
      <c r="H68" s="707">
        <f t="shared" si="6"/>
        <v>-2.8709880901306956E-8</v>
      </c>
      <c r="I68" s="572" t="s">
        <v>266</v>
      </c>
      <c r="K68" s="572" t="s">
        <v>116</v>
      </c>
      <c r="M68" s="683">
        <f>VLOOKUP($B68,'Comparisons-24'!$B$35:$P$74, 2, FALSE)</f>
        <v>3000449</v>
      </c>
      <c r="N68" s="683">
        <f>VLOOKUP($B68,'Comparisons-25'!$B$35:$AB$74, 2, FALSE)</f>
        <v>3606217</v>
      </c>
      <c r="O68" s="683">
        <f>VLOOKUP($B68,'Comparisons-26'!$B$35:$BR$72, 2, FALSE)</f>
        <v>3842698.1999999997</v>
      </c>
      <c r="Q68" s="729">
        <f>VLOOKUP($B68,'S6C-Cost-24'!$B$11:$BY$50,76, FALSE)</f>
        <v>3000448.5</v>
      </c>
      <c r="R68" s="729">
        <f>VLOOKUP(B68, 'S6C-Cost-25'!$B$11:$BZ$50, 77, FALSE)</f>
        <v>3606217.1999999997</v>
      </c>
      <c r="S68" s="729">
        <f>VLOOKUP(B68, 'S6C-Cost-26'!$B$12:$BZ$49, 77, FALSE)</f>
        <v>3842698.1999999997</v>
      </c>
    </row>
    <row r="69" spans="1:31" ht="15">
      <c r="A69" s="584" t="s">
        <v>115</v>
      </c>
      <c r="B69" s="585" t="s">
        <v>117</v>
      </c>
      <c r="C69" s="584"/>
      <c r="D69" s="609">
        <f t="shared" si="13"/>
        <v>501123.76901444077</v>
      </c>
      <c r="E69" s="706" t="s">
        <v>236</v>
      </c>
      <c r="F69" s="609">
        <f t="shared" si="14"/>
        <v>558918.09577236359</v>
      </c>
      <c r="G69" s="689">
        <f t="shared" si="5"/>
        <v>57794.326757922827</v>
      </c>
      <c r="H69" s="707">
        <f t="shared" si="6"/>
        <v>0.11532944619966207</v>
      </c>
      <c r="I69" s="709"/>
      <c r="K69" s="572" t="s">
        <v>117</v>
      </c>
      <c r="M69" s="683">
        <f>VLOOKUP($B69,'Comparisons-24'!$B$35:$P$74, 2, FALSE)</f>
        <v>526130</v>
      </c>
      <c r="N69" s="683">
        <f>VLOOKUP($B69,'Comparisons-25'!$B$35:$AB$74, 2, FALSE)</f>
        <v>506115</v>
      </c>
      <c r="O69" s="683">
        <f>VLOOKUP($B69,'Comparisons-26'!$B$35:$BR$72, 2, FALSE)</f>
        <v>471126.30704332248</v>
      </c>
      <c r="Q69" s="729">
        <f>VLOOKUP($B69,'S6C-Cost-24'!$B$11:$BY$50,76, FALSE)</f>
        <v>542240.78104154347</v>
      </c>
      <c r="R69" s="729">
        <f>VLOOKUP(B69, 'S6C-Cost-25'!$B$11:$BZ$50, 77, FALSE)</f>
        <v>584181.0311014019</v>
      </c>
      <c r="S69" s="729">
        <f>VLOOKUP(B69, 'S6C-Cost-26'!$B$12:$BZ$49, 77, FALSE)</f>
        <v>550332.47517414554</v>
      </c>
    </row>
    <row r="70" spans="1:31" ht="15">
      <c r="A70" s="584" t="s">
        <v>115</v>
      </c>
      <c r="B70" s="585" t="s">
        <v>118</v>
      </c>
      <c r="C70" s="584"/>
      <c r="D70" s="609">
        <f t="shared" si="13"/>
        <v>3271539.9085863479</v>
      </c>
      <c r="E70" s="706" t="s">
        <v>236</v>
      </c>
      <c r="F70" s="609">
        <f t="shared" si="14"/>
        <v>3488648.1659845058</v>
      </c>
      <c r="G70" s="689">
        <f t="shared" si="5"/>
        <v>217108.25739815785</v>
      </c>
      <c r="H70" s="707">
        <f t="shared" si="6"/>
        <v>6.6362710975447534E-2</v>
      </c>
      <c r="I70" s="572" t="s">
        <v>266</v>
      </c>
      <c r="K70" s="572" t="s">
        <v>415</v>
      </c>
      <c r="M70" s="683">
        <f>VLOOKUP($B70,'Comparisons-24'!$B$35:$P$74, 2, FALSE)</f>
        <v>3187292</v>
      </c>
      <c r="N70" s="683">
        <f>VLOOKUP($B70,'Comparisons-25'!$B$35:$AB$74, 2, FALSE)</f>
        <v>3433985</v>
      </c>
      <c r="O70" s="683">
        <f>VLOOKUP($B70,'Comparisons-26'!$B$35:$BR$72, 2, FALSE)</f>
        <v>3193342.7257590448</v>
      </c>
      <c r="Q70" s="729">
        <f>VLOOKUP($B70,'S6C-Cost-24'!$B$11:$BY$50,76, FALSE)</f>
        <v>3187292.4</v>
      </c>
      <c r="R70" s="729">
        <f>VLOOKUP(B70, 'S6C-Cost-25'!$B$11:$BZ$50, 77, FALSE)</f>
        <v>3723768.6099485573</v>
      </c>
      <c r="S70" s="729">
        <f>VLOOKUP(B70, 'S6C-Cost-26'!$B$12:$BZ$49, 77, FALSE)</f>
        <v>3554883.4880049606</v>
      </c>
    </row>
    <row r="71" spans="1:31" ht="15">
      <c r="A71" s="584" t="s">
        <v>115</v>
      </c>
      <c r="B71" s="585" t="s">
        <v>119</v>
      </c>
      <c r="C71" s="584"/>
      <c r="D71" s="609">
        <f t="shared" si="13"/>
        <v>199411.47824592108</v>
      </c>
      <c r="E71" s="706" t="s">
        <v>236</v>
      </c>
      <c r="F71" s="609">
        <f t="shared" si="14"/>
        <v>224446.21926888311</v>
      </c>
      <c r="G71" s="689">
        <f t="shared" si="5"/>
        <v>25034.741022962029</v>
      </c>
      <c r="H71" s="707">
        <f t="shared" si="6"/>
        <v>0.12554312942852933</v>
      </c>
      <c r="K71" s="572" t="s">
        <v>119</v>
      </c>
      <c r="M71" s="683">
        <f>VLOOKUP($B71,'Comparisons-24'!$B$35:$P$74, 2, FALSE)</f>
        <v>211380</v>
      </c>
      <c r="N71" s="683">
        <f>VLOOKUP($B71,'Comparisons-25'!$B$35:$AB$74, 2, FALSE)</f>
        <v>204230</v>
      </c>
      <c r="O71" s="683">
        <f>VLOOKUP($B71,'Comparisons-26'!$B$35:$BR$72, 2, FALSE)</f>
        <v>182624.43473776325</v>
      </c>
      <c r="Q71" s="729">
        <f>VLOOKUP($B71,'S6C-Cost-24'!$B$11:$BY$50,76, FALSE)</f>
        <v>236424.3</v>
      </c>
      <c r="R71" s="729">
        <f>VLOOKUP(B71, 'S6C-Cost-25'!$B$11:$BZ$50, 77, FALSE)</f>
        <v>220944.3</v>
      </c>
      <c r="S71" s="729">
        <f>VLOOKUP(B71, 'S6C-Cost-26'!$B$12:$BZ$49, 77, FALSE)</f>
        <v>215970.05780664936</v>
      </c>
    </row>
    <row r="72" spans="1:31" ht="15">
      <c r="A72" s="584" t="s">
        <v>120</v>
      </c>
      <c r="B72" s="585" t="s">
        <v>121</v>
      </c>
      <c r="C72" s="584"/>
      <c r="D72" s="609">
        <f t="shared" si="13"/>
        <v>657710.18017678906</v>
      </c>
      <c r="E72" s="706" t="s">
        <v>236</v>
      </c>
      <c r="F72" s="609">
        <f t="shared" si="14"/>
        <v>794578.29203594523</v>
      </c>
      <c r="G72" s="689">
        <f t="shared" si="5"/>
        <v>136868.11185915617</v>
      </c>
      <c r="H72" s="707">
        <f t="shared" si="6"/>
        <v>0.20809790692667512</v>
      </c>
      <c r="I72" s="709"/>
      <c r="K72" s="572" t="s">
        <v>416</v>
      </c>
      <c r="M72" s="683">
        <f>VLOOKUP($B72,'Comparisons-24'!$B$35:$P$74, 2, FALSE)</f>
        <v>693794</v>
      </c>
      <c r="N72" s="683">
        <f>VLOOKUP($B72,'Comparisons-25'!$B$35:$AB$74, 2, FALSE)</f>
        <v>661136</v>
      </c>
      <c r="O72" s="683">
        <f>VLOOKUP($B72,'Comparisons-26'!$B$35:$BR$72, 2, FALSE)</f>
        <v>618200.54053036741</v>
      </c>
      <c r="Q72" s="729">
        <f>VLOOKUP($B72,'S6C-Cost-24'!$B$11:$BY$50,76, FALSE)</f>
        <v>776092.21006034093</v>
      </c>
      <c r="R72" s="729">
        <f>VLOOKUP(B72, 'S6C-Cost-25'!$B$11:$BZ$50, 77, FALSE)</f>
        <v>832288.80094034073</v>
      </c>
      <c r="S72" s="729">
        <f>VLOOKUP(B72, 'S6C-Cost-26'!$B$12:$BZ$49, 77, FALSE)</f>
        <v>775353.86510715401</v>
      </c>
    </row>
    <row r="73" spans="1:31" ht="15">
      <c r="A73" s="584" t="s">
        <v>120</v>
      </c>
      <c r="B73" s="585" t="s">
        <v>122</v>
      </c>
      <c r="C73" s="584"/>
      <c r="D73" s="609">
        <f t="shared" si="13"/>
        <v>1997492.8666666665</v>
      </c>
      <c r="E73" s="706" t="s">
        <v>236</v>
      </c>
      <c r="F73" s="609">
        <f t="shared" si="14"/>
        <v>1997493</v>
      </c>
      <c r="G73" s="689">
        <f t="shared" si="5"/>
        <v>0.13333333353511989</v>
      </c>
      <c r="H73" s="707">
        <f t="shared" si="6"/>
        <v>6.6750342772247821E-8</v>
      </c>
      <c r="I73" s="709"/>
      <c r="K73" s="572" t="s">
        <v>267</v>
      </c>
      <c r="M73" s="683">
        <f>VLOOKUP($B73,'Comparisons-24'!$B$35:$P$74, 2, FALSE)</f>
        <v>1788201</v>
      </c>
      <c r="N73" s="683">
        <f>VLOOKUP($B73,'Comparisons-25'!$B$35:$AB$74, 2, FALSE)</f>
        <v>1973597</v>
      </c>
      <c r="O73" s="683">
        <f>VLOOKUP($B73,'Comparisons-26'!$B$35:$BR$72, 2, FALSE)</f>
        <v>2230680.6</v>
      </c>
      <c r="Q73" s="729">
        <f>VLOOKUP($B73,'S6C-Cost-24'!$B$11:$BY$50,76, FALSE)</f>
        <v>1788201</v>
      </c>
      <c r="R73" s="729">
        <f>VLOOKUP(B73, 'S6C-Cost-25'!$B$11:$BZ$50, 77, FALSE)</f>
        <v>1973597.4</v>
      </c>
      <c r="S73" s="729">
        <f>VLOOKUP(B73, 'S6C-Cost-26'!$B$12:$BZ$49, 77, FALSE)</f>
        <v>2230680.6</v>
      </c>
    </row>
    <row r="74" spans="1:31" ht="15">
      <c r="A74" s="584" t="s">
        <v>120</v>
      </c>
      <c r="B74" s="585" t="s">
        <v>123</v>
      </c>
      <c r="C74" s="584"/>
      <c r="D74" s="609">
        <f t="shared" si="13"/>
        <v>487667.35765267425</v>
      </c>
      <c r="E74" s="706" t="s">
        <v>236</v>
      </c>
      <c r="F74" s="609">
        <f t="shared" si="14"/>
        <v>488552.43305993848</v>
      </c>
      <c r="G74" s="689">
        <f t="shared" si="5"/>
        <v>885.07540726423031</v>
      </c>
      <c r="H74" s="707">
        <f t="shared" si="6"/>
        <v>1.8149162402922147E-3</v>
      </c>
      <c r="I74" s="709"/>
      <c r="K74" s="572" t="s">
        <v>123</v>
      </c>
      <c r="M74" s="683">
        <f>VLOOKUP($B74,'Comparisons-24'!$B$35:$P$74, 2, FALSE)</f>
        <v>427114</v>
      </c>
      <c r="N74" s="683">
        <f>VLOOKUP($B74,'Comparisons-25'!$B$35:$AB$74, 2, FALSE)</f>
        <v>522225</v>
      </c>
      <c r="O74" s="683">
        <f>VLOOKUP($B74,'Comparisons-26'!$B$35:$BR$72, 2, FALSE)</f>
        <v>513663.07295802294</v>
      </c>
      <c r="Q74" s="729">
        <f>VLOOKUP($B74,'S6C-Cost-24'!$B$11:$BY$50,76, FALSE)</f>
        <v>427113.89999999997</v>
      </c>
      <c r="R74" s="729">
        <f>VLOOKUP(B74, 'S6C-Cost-25'!$B$11:$BZ$50, 77, FALSE)</f>
        <v>508616.56559252262</v>
      </c>
      <c r="S74" s="729">
        <f>VLOOKUP(B74, 'S6C-Cost-26'!$B$12:$BZ$49, 77, FALSE)</f>
        <v>529926.83358729281</v>
      </c>
    </row>
    <row r="75" spans="1:31" ht="15">
      <c r="A75" s="584" t="s">
        <v>124</v>
      </c>
      <c r="B75" s="585" t="s">
        <v>125</v>
      </c>
      <c r="C75" s="584"/>
      <c r="D75" s="609">
        <f t="shared" si="13"/>
        <v>1190937.3236635181</v>
      </c>
      <c r="E75" s="706" t="s">
        <v>236</v>
      </c>
      <c r="F75" s="609">
        <f t="shared" si="14"/>
        <v>1209928.0052214533</v>
      </c>
      <c r="G75" s="689">
        <f t="shared" si="5"/>
        <v>18990.681557935197</v>
      </c>
      <c r="H75" s="707">
        <f t="shared" si="6"/>
        <v>1.5945995797257199E-2</v>
      </c>
      <c r="K75" s="572" t="s">
        <v>125</v>
      </c>
      <c r="M75" s="683">
        <f>VLOOKUP($B75,'Comparisons-24'!$B$35:$P$74, 2, FALSE)</f>
        <v>1391292</v>
      </c>
      <c r="N75" s="683">
        <f>VLOOKUP($B75,'Comparisons-25'!$B$35:$AB$74, 2, FALSE)</f>
        <v>1179698</v>
      </c>
      <c r="O75" s="683">
        <f>VLOOKUP($B75,'Comparisons-26'!$B$35:$BR$72, 2, FALSE)</f>
        <v>1001821.9709905545</v>
      </c>
      <c r="Q75" s="729">
        <f>VLOOKUP($B75,'S6C-Cost-24'!$B$11:$BY$50,76, FALSE)</f>
        <v>1274103.1713332569</v>
      </c>
      <c r="R75" s="729">
        <f>VLOOKUP(B75, 'S6C-Cost-25'!$B$11:$BZ$50, 77, FALSE)</f>
        <v>1196502.6009349939</v>
      </c>
      <c r="S75" s="729">
        <f>VLOOKUP(B75, 'S6C-Cost-26'!$B$12:$BZ$49, 77, FALSE)</f>
        <v>1159178.243396109</v>
      </c>
      <c r="T75" s="689">
        <f>Q75-M75</f>
        <v>-117188.82866674312</v>
      </c>
      <c r="U75" s="708">
        <f>T75/M75</f>
        <v>-8.4230218147407679E-2</v>
      </c>
      <c r="V75" s="689">
        <f>R75-N75</f>
        <v>16804.600934993941</v>
      </c>
      <c r="W75" s="708">
        <f>V75/N75</f>
        <v>1.4244832944528127E-2</v>
      </c>
      <c r="X75" s="689">
        <f>S75-O75</f>
        <v>157356.27240555442</v>
      </c>
      <c r="Y75" s="708">
        <f>X75/O75</f>
        <v>0.15707009524852797</v>
      </c>
    </row>
    <row r="76" spans="1:31" ht="15">
      <c r="A76" s="584" t="s">
        <v>124</v>
      </c>
      <c r="B76" s="585" t="s">
        <v>126</v>
      </c>
      <c r="C76" s="584"/>
      <c r="D76" s="609">
        <f t="shared" si="13"/>
        <v>189467.63333333333</v>
      </c>
      <c r="E76" s="706" t="s">
        <v>236</v>
      </c>
      <c r="F76" s="609">
        <f t="shared" si="14"/>
        <v>189467.80000000002</v>
      </c>
      <c r="G76" s="689">
        <f t="shared" si="5"/>
        <v>0.16666666668606922</v>
      </c>
      <c r="H76" s="707">
        <f t="shared" si="6"/>
        <v>8.796577217642761E-7</v>
      </c>
      <c r="K76" s="572" t="s">
        <v>126</v>
      </c>
      <c r="M76" s="683">
        <f>VLOOKUP($B76,'Comparisons-24'!$B$35:$P$74, 2, FALSE)</f>
        <v>172014</v>
      </c>
      <c r="N76" s="683">
        <f>VLOOKUP($B76,'Comparisons-25'!$B$35:$AB$74, 2, FALSE)</f>
        <v>214936</v>
      </c>
      <c r="O76" s="683">
        <f>VLOOKUP($B76,'Comparisons-26'!$B$35:$BR$72, 2, FALSE)</f>
        <v>181452.9</v>
      </c>
      <c r="Q76" s="729">
        <f>VLOOKUP($B76,'S6C-Cost-24'!$B$11:$BY$50,76, FALSE)</f>
        <v>172014.3</v>
      </c>
      <c r="R76" s="729">
        <f>VLOOKUP(B76, 'S6C-Cost-25'!$B$11:$BZ$50, 77, FALSE)</f>
        <v>214936.19999999998</v>
      </c>
      <c r="S76" s="729">
        <f>VLOOKUP(B76, 'S6C-Cost-26'!$B$12:$BZ$49, 77, FALSE)</f>
        <v>181452.9</v>
      </c>
      <c r="T76" s="689">
        <f>Q76-M76</f>
        <v>0.29999999998835847</v>
      </c>
      <c r="U76" s="708">
        <f>T76/M76</f>
        <v>1.744044089366903E-6</v>
      </c>
      <c r="V76" s="689">
        <f>R76-N76</f>
        <v>0.1999999999825377</v>
      </c>
      <c r="W76" s="708">
        <f>V76/N76</f>
        <v>9.3050954694670832E-7</v>
      </c>
      <c r="X76" s="689">
        <f>S76-O76</f>
        <v>0</v>
      </c>
      <c r="Y76" s="708">
        <f>X76/O76</f>
        <v>0</v>
      </c>
    </row>
    <row r="77" spans="1:31" ht="15">
      <c r="A77" s="584" t="s">
        <v>124</v>
      </c>
      <c r="B77" s="585" t="s">
        <v>127</v>
      </c>
      <c r="C77" s="584"/>
      <c r="D77" s="609">
        <f t="shared" si="13"/>
        <v>1563531.1897689884</v>
      </c>
      <c r="E77" s="706" t="s">
        <v>236</v>
      </c>
      <c r="F77" s="609">
        <f t="shared" si="14"/>
        <v>1398949.4624909705</v>
      </c>
      <c r="G77" s="689">
        <f t="shared" si="5"/>
        <v>-164581.7272780179</v>
      </c>
      <c r="H77" s="707">
        <f t="shared" si="6"/>
        <v>-0.1052628360437983</v>
      </c>
      <c r="I77" s="709"/>
      <c r="K77" s="572" t="s">
        <v>127</v>
      </c>
      <c r="M77" s="683">
        <f>VLOOKUP($B77,'Comparisons-24'!$B$35:$P$74, 2, FALSE)</f>
        <v>1854386</v>
      </c>
      <c r="N77" s="683">
        <f>VLOOKUP($B77,'Comparisons-25'!$B$35:$AB$74, 2, FALSE)</f>
        <v>1873883</v>
      </c>
      <c r="O77" s="683">
        <f>VLOOKUP($B77,'Comparisons-26'!$B$35:$BR$72, 2, FALSE)</f>
        <v>962324.56930696522</v>
      </c>
      <c r="Q77" s="729">
        <f>VLOOKUP($B77,'S6C-Cost-24'!$B$11:$BY$50,76, FALSE)</f>
        <v>1605141.4119005925</v>
      </c>
      <c r="R77" s="729">
        <f>VLOOKUP(B77, 'S6C-Cost-25'!$B$11:$BZ$50, 77, FALSE)</f>
        <v>1687581.4072245271</v>
      </c>
      <c r="S77" s="729">
        <f>VLOOKUP(B77, 'S6C-Cost-26'!$B$12:$BZ$49, 77, FALSE)</f>
        <v>904125.56834779226</v>
      </c>
    </row>
    <row r="78" spans="1:31" ht="15">
      <c r="A78" s="584" t="s">
        <v>124</v>
      </c>
      <c r="B78" s="585" t="s">
        <v>128</v>
      </c>
      <c r="C78" s="584"/>
      <c r="D78" s="609">
        <f t="shared" si="13"/>
        <v>53872.552240582278</v>
      </c>
      <c r="E78" s="706" t="s">
        <v>236</v>
      </c>
      <c r="F78" s="609">
        <f t="shared" si="14"/>
        <v>59940.904496674244</v>
      </c>
      <c r="G78" s="689">
        <f t="shared" si="5"/>
        <v>6068.3522560919664</v>
      </c>
      <c r="H78" s="707">
        <f t="shared" si="6"/>
        <v>0.11264274669950883</v>
      </c>
      <c r="K78" s="572" t="s">
        <v>128</v>
      </c>
      <c r="M78" s="683">
        <f>VLOOKUP($B78,'Comparisons-24'!$B$35:$P$74, 2, FALSE)</f>
        <v>48603</v>
      </c>
      <c r="N78" s="683">
        <f>VLOOKUP($B78,'Comparisons-25'!$B$35:$AB$74, 2, FALSE)</f>
        <v>51181</v>
      </c>
      <c r="O78" s="683">
        <f>VLOOKUP($B78,'Comparisons-26'!$B$35:$BR$72, 2, FALSE)</f>
        <v>61833.656721746825</v>
      </c>
      <c r="Q78" s="729">
        <f>VLOOKUP($B78,'S6C-Cost-24'!$B$11:$BY$50,76, FALSE)</f>
        <v>48603</v>
      </c>
      <c r="R78" s="729">
        <f>VLOOKUP(B78, 'S6C-Cost-25'!$B$11:$BZ$50, 77, FALSE)</f>
        <v>51180.9</v>
      </c>
      <c r="S78" s="729">
        <f>VLOOKUP(B78, 'S6C-Cost-26'!$B$12:$BZ$49, 77, FALSE)</f>
        <v>80038.813490022731</v>
      </c>
      <c r="T78" s="689">
        <f>Q78-M78</f>
        <v>0</v>
      </c>
      <c r="U78" s="708">
        <f>T78/M78</f>
        <v>0</v>
      </c>
      <c r="V78" s="689">
        <f>R78-N78</f>
        <v>-9.9999999998544808E-2</v>
      </c>
      <c r="W78" s="708">
        <f>V78/N78</f>
        <v>-1.9538500615178447E-6</v>
      </c>
      <c r="X78" s="689">
        <f>S78-O78</f>
        <v>18205.156768275905</v>
      </c>
      <c r="Y78" s="708">
        <f>X78/O78</f>
        <v>0.29442148068647495</v>
      </c>
    </row>
    <row r="79" spans="1:31" ht="15">
      <c r="A79" s="584" t="s">
        <v>124</v>
      </c>
      <c r="B79" s="585" t="s">
        <v>129</v>
      </c>
      <c r="C79" s="584"/>
      <c r="D79" s="609">
        <f t="shared" si="13"/>
        <v>324336.18210457283</v>
      </c>
      <c r="E79" s="706" t="s">
        <v>236</v>
      </c>
      <c r="F79" s="609">
        <f t="shared" si="14"/>
        <v>338620.63678907655</v>
      </c>
      <c r="G79" s="689">
        <f t="shared" si="5"/>
        <v>14284.454684503726</v>
      </c>
      <c r="H79" s="707">
        <f t="shared" si="6"/>
        <v>4.4042125031545559E-2</v>
      </c>
      <c r="K79" s="572" t="s">
        <v>129</v>
      </c>
      <c r="M79" s="683">
        <f>VLOOKUP($B79,'Comparisons-24'!$B$35:$P$74, 2, FALSE)</f>
        <v>358161</v>
      </c>
      <c r="N79" s="683">
        <f>VLOOKUP($B79,'Comparisons-25'!$B$35:$AB$74, 2, FALSE)</f>
        <v>324509</v>
      </c>
      <c r="O79" s="683">
        <f>VLOOKUP($B79,'Comparisons-26'!$B$35:$BR$72, 2, FALSE)</f>
        <v>290338.54631371854</v>
      </c>
      <c r="Q79" s="729">
        <f>VLOOKUP($B79,'S6C-Cost-24'!$B$11:$BY$50,76, FALSE)</f>
        <v>372605.50572460482</v>
      </c>
      <c r="R79" s="729">
        <f>VLOOKUP(B79, 'S6C-Cost-25'!$B$11:$BZ$50, 77, FALSE)</f>
        <v>340997.65780199121</v>
      </c>
      <c r="S79" s="729">
        <f>VLOOKUP(B79, 'S6C-Cost-26'!$B$12:$BZ$49, 77, FALSE)</f>
        <v>302258.74684063357</v>
      </c>
      <c r="T79" s="689">
        <f>Q79-M79</f>
        <v>14444.505724604824</v>
      </c>
      <c r="U79" s="708">
        <f>T79/M79</f>
        <v>4.032964427898298E-2</v>
      </c>
      <c r="V79" s="689">
        <f>R79-N79</f>
        <v>16488.657801991212</v>
      </c>
      <c r="W79" s="708">
        <f>V79/N79</f>
        <v>5.0811095538155222E-2</v>
      </c>
      <c r="X79" s="689">
        <f>S79-O79</f>
        <v>11920.200526915025</v>
      </c>
      <c r="Y79" s="708">
        <f>X79/O79</f>
        <v>4.1056210683217138E-2</v>
      </c>
    </row>
    <row r="80" spans="1:31" ht="15.75" thickBot="1">
      <c r="A80" s="597" t="s">
        <v>124</v>
      </c>
      <c r="B80" s="598" t="s">
        <v>130</v>
      </c>
      <c r="C80" s="597"/>
      <c r="D80" s="710">
        <f t="shared" si="13"/>
        <v>1082498.9905717103</v>
      </c>
      <c r="E80" s="711" t="s">
        <v>236</v>
      </c>
      <c r="F80" s="710">
        <f t="shared" si="14"/>
        <v>1108567.7452839427</v>
      </c>
      <c r="G80" s="712">
        <f t="shared" si="5"/>
        <v>26068.754712232389</v>
      </c>
      <c r="H80" s="713">
        <f t="shared" si="6"/>
        <v>2.4082012952699804E-2</v>
      </c>
      <c r="K80" s="572" t="s">
        <v>130</v>
      </c>
      <c r="M80" s="683">
        <f>VLOOKUP($B80,'Comparisons-24'!$B$35:$P$74, 2, FALSE)</f>
        <v>1194300</v>
      </c>
      <c r="N80" s="683">
        <f>VLOOKUP($B80,'Comparisons-25'!$B$35:$AB$74, 2, FALSE)</f>
        <v>1086084</v>
      </c>
      <c r="O80" s="683">
        <f>VLOOKUP($B80,'Comparisons-26'!$B$35:$BR$72, 2, FALSE)</f>
        <v>967112.97171513084</v>
      </c>
      <c r="Q80" s="729">
        <f>VLOOKUP($B80,'S6C-Cost-24'!$B$11:$BY$50,76, FALSE)</f>
        <v>1155988.389534649</v>
      </c>
      <c r="R80" s="729">
        <f>VLOOKUP(B80, 'S6C-Cost-25'!$B$11:$BZ$50, 77, FALSE)</f>
        <v>1126054.2727509246</v>
      </c>
      <c r="S80" s="729">
        <f>VLOOKUP(B80, 'S6C-Cost-26'!$B$12:$BZ$49, 77, FALSE)</f>
        <v>1043660.5735662541</v>
      </c>
      <c r="T80" s="689">
        <f>Q80-M80</f>
        <v>-38311.610465351027</v>
      </c>
      <c r="U80" s="708">
        <f>T80/M80</f>
        <v>-3.2078715955246612E-2</v>
      </c>
      <c r="V80" s="689">
        <f>R80-N80</f>
        <v>39970.272750924574</v>
      </c>
      <c r="W80" s="708">
        <f>V80/N80</f>
        <v>3.6802192787044621E-2</v>
      </c>
      <c r="X80" s="689">
        <f>S80-O80</f>
        <v>76547.601851123269</v>
      </c>
      <c r="Y80" s="708">
        <f>X80/O80</f>
        <v>7.9150630887898837E-2</v>
      </c>
    </row>
    <row r="81" spans="1:25" ht="15.75" thickTop="1">
      <c r="A81" s="714"/>
      <c r="B81" s="714"/>
      <c r="C81" s="714"/>
      <c r="D81" s="715">
        <f>SUM(D42:D80)</f>
        <v>129548415.6666667</v>
      </c>
      <c r="E81" s="714"/>
      <c r="F81" s="715">
        <f>SUM(F42:F80)</f>
        <v>129548416.00000004</v>
      </c>
      <c r="G81" s="716">
        <f>MIN(G42:G80)</f>
        <v>-1794321.7010689043</v>
      </c>
      <c r="H81" s="717">
        <f>MIN(H42:H80)</f>
        <v>-0.1052628360437983</v>
      </c>
      <c r="M81" s="697">
        <f>SUM(M42:M80)</f>
        <v>133266168</v>
      </c>
      <c r="N81" s="697">
        <f>SUM(N42:N80)</f>
        <v>128674210</v>
      </c>
      <c r="O81" s="697">
        <f>SUM(O42:O80)</f>
        <v>126704869.00000003</v>
      </c>
      <c r="Q81" s="697">
        <f>SUM(Q42:Q80)</f>
        <v>133266168.00000001</v>
      </c>
      <c r="R81" s="697">
        <f t="shared" ref="R81:S81" si="39">SUM(R42:R80)</f>
        <v>128674211</v>
      </c>
      <c r="S81" s="697">
        <f t="shared" si="39"/>
        <v>126704869.00000001</v>
      </c>
    </row>
    <row r="83" spans="1:25" ht="15">
      <c r="B83" s="718" t="s">
        <v>268</v>
      </c>
      <c r="D83" s="588">
        <f>SUMIF($I$42:$I$80, "Urban", D42:D80)</f>
        <v>110880613.46744327</v>
      </c>
      <c r="F83" s="588">
        <f>SUMIF($I$42:$I$80, "Urban", F42:F80)</f>
        <v>110113618.85880224</v>
      </c>
      <c r="G83" s="689">
        <f t="shared" ref="G83:G84" si="40">F83-D83</f>
        <v>-766994.6086410284</v>
      </c>
      <c r="H83" s="708">
        <f>G83/D83</f>
        <v>-6.9173012725640545E-3</v>
      </c>
      <c r="M83" s="588">
        <f>SUMIF($I$42:$I$80, "Urban", M42:M80)</f>
        <v>109293911</v>
      </c>
      <c r="N83" s="588">
        <f>SUMIF($I$42:$I$80, "Urban", N42:N80)</f>
        <v>111816549</v>
      </c>
      <c r="O83" s="588">
        <f>SUMIF($I$42:$I$80, "Urban", O42:O80)</f>
        <v>111531380.4023298</v>
      </c>
      <c r="Q83" s="588">
        <f>SUMIF($I$42:$I$80, "Urban", Q42:Q80)</f>
        <v>108211926.75646588</v>
      </c>
      <c r="R83" s="588">
        <f>SUMIF($I$42:$I$80, "Urban", R42:R80)</f>
        <v>111460546.9316358</v>
      </c>
      <c r="S83" s="588">
        <f>SUMIF($I$42:$I$80, "Urban", S42:S80)</f>
        <v>110668382.88830511</v>
      </c>
      <c r="T83" s="689">
        <f>Q83-M83</f>
        <v>-1081984.2435341179</v>
      </c>
      <c r="U83" s="708">
        <f>T83/M83</f>
        <v>-9.8997669095592881E-3</v>
      </c>
      <c r="V83" s="689">
        <f>R83-N83</f>
        <v>-356002.06836420298</v>
      </c>
      <c r="W83" s="708">
        <f>V83/N83</f>
        <v>-3.1838048262802583E-3</v>
      </c>
      <c r="X83" s="689">
        <f>S83-O83</f>
        <v>-862997.51402468979</v>
      </c>
      <c r="Y83" s="708">
        <f>X83/O83</f>
        <v>-7.7377103279057278E-3</v>
      </c>
    </row>
    <row r="84" spans="1:25" ht="15">
      <c r="B84" s="718" t="s">
        <v>269</v>
      </c>
      <c r="D84" s="588">
        <f>D81-D83</f>
        <v>18667802.199223429</v>
      </c>
      <c r="F84" s="588">
        <f>F81-F83</f>
        <v>19434797.141197801</v>
      </c>
      <c r="G84" s="689">
        <f t="shared" si="40"/>
        <v>766994.94197437167</v>
      </c>
      <c r="H84" s="708">
        <f>G84/D84</f>
        <v>4.108651536956387E-2</v>
      </c>
      <c r="M84" s="588">
        <f>M81-M83</f>
        <v>23972257</v>
      </c>
      <c r="N84" s="588">
        <f>N81-N83</f>
        <v>16857661</v>
      </c>
      <c r="O84" s="588">
        <f>O81-O83</f>
        <v>15173488.597670227</v>
      </c>
      <c r="Q84" s="588">
        <f>Q81-Q83</f>
        <v>25054241.243534133</v>
      </c>
      <c r="R84" s="588">
        <f>R81-R83</f>
        <v>17213664.068364203</v>
      </c>
      <c r="S84" s="588">
        <f>S81-S83</f>
        <v>16036486.111694902</v>
      </c>
      <c r="T84" s="689">
        <f>Q84-M84</f>
        <v>1081984.2435341328</v>
      </c>
      <c r="U84" s="708">
        <f t="shared" ref="U84" si="41">T84/M84</f>
        <v>4.5134850820852321E-2</v>
      </c>
      <c r="V84" s="689">
        <f t="shared" ref="V84" si="42">R84-N84</f>
        <v>356003.06836420298</v>
      </c>
      <c r="W84" s="708">
        <f t="shared" ref="W84" si="43">V84/N84</f>
        <v>2.1118176973911326E-2</v>
      </c>
      <c r="X84" s="689">
        <f t="shared" ref="X84" si="44">S84-O84</f>
        <v>862997.51402467489</v>
      </c>
      <c r="Y84" s="708">
        <f t="shared" ref="Y84" si="45">X84/O84</f>
        <v>5.6875352590780047E-2</v>
      </c>
    </row>
    <row r="88" spans="1:25" ht="15">
      <c r="R88" s="719">
        <f>(R42-Q42)/Q42</f>
        <v>-1.0111139014164206E-2</v>
      </c>
      <c r="S88" s="719">
        <f>(S42-R42)/R42</f>
        <v>-0.10377106240431558</v>
      </c>
    </row>
    <row r="89" spans="1:25" ht="15">
      <c r="B89" s="572" t="s">
        <v>171</v>
      </c>
      <c r="R89" s="719">
        <f t="shared" ref="R89:S104" si="46">(R43-Q43)/Q43</f>
        <v>-0.11976745725901498</v>
      </c>
      <c r="S89" s="719">
        <f t="shared" si="46"/>
        <v>-9.3442055695136111E-2</v>
      </c>
    </row>
    <row r="90" spans="1:25" ht="15">
      <c r="B90" s="572" t="s">
        <v>97</v>
      </c>
      <c r="D90" s="720">
        <v>17018.733333333334</v>
      </c>
      <c r="F90" s="721">
        <f t="shared" ref="F90:F127" si="47">VLOOKUP(B90, $B$42:$H$80, 5, FALSE)</f>
        <v>16291.397016506244</v>
      </c>
      <c r="G90" s="722">
        <f t="shared" ref="G90:G127" si="48">VLOOKUP(B90,$B$42:$H$80, 7, FALSE)</f>
        <v>-4.2737394292588743E-2</v>
      </c>
      <c r="H90" s="572" t="s">
        <v>404</v>
      </c>
      <c r="I90" s="722" t="str">
        <f>H90&amp; " [" &amp;TEXT(G90, "0%;[Red]-0%") &amp;"]"</f>
        <v>PONY Express [-4%]</v>
      </c>
      <c r="R90" s="719">
        <f t="shared" si="46"/>
        <v>-5.2791617958589006E-2</v>
      </c>
      <c r="S90" s="719">
        <f t="shared" si="46"/>
        <v>-2.5752530027277277E-2</v>
      </c>
    </row>
    <row r="91" spans="1:25" ht="15">
      <c r="B91" s="572" t="s">
        <v>103</v>
      </c>
      <c r="D91" s="720">
        <v>41041.693335279859</v>
      </c>
      <c r="F91" s="721">
        <f t="shared" si="47"/>
        <v>45079.69999999999</v>
      </c>
      <c r="G91" s="722">
        <f t="shared" si="48"/>
        <v>9.8387915716163191E-2</v>
      </c>
      <c r="H91" s="572" t="s">
        <v>103</v>
      </c>
      <c r="I91" s="722" t="str">
        <f t="shared" ref="I91:I127" si="49">H91&amp; " [" &amp;TEXT(G91, "0%;[Red]-0%") &amp;"]"</f>
        <v>Town of Altavista [10%]</v>
      </c>
      <c r="R91" s="719">
        <f t="shared" si="46"/>
        <v>-6.7678170340393735E-3</v>
      </c>
      <c r="S91" s="719">
        <f t="shared" si="46"/>
        <v>1.7242757205622166E-3</v>
      </c>
    </row>
    <row r="92" spans="1:25" ht="15">
      <c r="B92" s="572" t="s">
        <v>128</v>
      </c>
      <c r="D92" s="720">
        <v>53872.552240582278</v>
      </c>
      <c r="F92" s="721">
        <f t="shared" si="47"/>
        <v>59940.904496674244</v>
      </c>
      <c r="G92" s="722">
        <f t="shared" si="48"/>
        <v>0.11264274669950883</v>
      </c>
      <c r="H92" s="572" t="s">
        <v>128</v>
      </c>
      <c r="I92" s="722" t="str">
        <f t="shared" si="49"/>
        <v>Lake Area [11%]</v>
      </c>
      <c r="R92" s="719">
        <f t="shared" si="46"/>
        <v>-3.7011657226268924E-2</v>
      </c>
      <c r="S92" s="719">
        <f t="shared" si="46"/>
        <v>-5.5230746170457014E-2</v>
      </c>
    </row>
    <row r="93" spans="1:25" ht="15">
      <c r="B93" s="572" t="s">
        <v>94</v>
      </c>
      <c r="D93" s="720">
        <v>54768.189319748861</v>
      </c>
      <c r="F93" s="721">
        <f t="shared" si="47"/>
        <v>53182.888491980964</v>
      </c>
      <c r="G93" s="722">
        <f t="shared" si="48"/>
        <v>-2.8945649791570757E-2</v>
      </c>
      <c r="H93" s="572" t="s">
        <v>402</v>
      </c>
      <c r="I93" s="722" t="str">
        <f t="shared" si="49"/>
        <v>Greensville Co. [-3%]</v>
      </c>
      <c r="R93" s="719">
        <f t="shared" si="46"/>
        <v>-9.9103449036744406E-3</v>
      </c>
      <c r="S93" s="719">
        <f t="shared" si="46"/>
        <v>0.21999534770039222</v>
      </c>
    </row>
    <row r="94" spans="1:25" ht="15">
      <c r="B94" s="572" t="s">
        <v>84</v>
      </c>
      <c r="D94" s="720">
        <v>121343.8</v>
      </c>
      <c r="F94" s="721">
        <f t="shared" si="47"/>
        <v>121344</v>
      </c>
      <c r="G94" s="722">
        <f t="shared" si="48"/>
        <v>1.6482094676208395E-6</v>
      </c>
      <c r="H94" s="572" t="s">
        <v>84</v>
      </c>
      <c r="I94" s="722" t="str">
        <f t="shared" si="49"/>
        <v>City of Bristol Virginia [0%]</v>
      </c>
      <c r="R94" s="719">
        <f t="shared" si="46"/>
        <v>-3.4744448999526688E-2</v>
      </c>
      <c r="S94" s="719">
        <f t="shared" si="46"/>
        <v>-8.0080072702327487E-3</v>
      </c>
    </row>
    <row r="95" spans="1:25" ht="15">
      <c r="B95" s="572" t="s">
        <v>87</v>
      </c>
      <c r="D95" s="720">
        <v>125488.87472202133</v>
      </c>
      <c r="F95" s="721">
        <f t="shared" si="47"/>
        <v>136762.04649188151</v>
      </c>
      <c r="G95" s="722">
        <f t="shared" si="48"/>
        <v>8.983403345381917E-2</v>
      </c>
      <c r="H95" s="572" t="s">
        <v>399</v>
      </c>
      <c r="I95" s="722" t="str">
        <f t="shared" si="49"/>
        <v>Bluefield-Graham  [9%]</v>
      </c>
      <c r="R95" s="719">
        <f t="shared" si="46"/>
        <v>-5.6200961258096836E-2</v>
      </c>
      <c r="S95" s="719">
        <f t="shared" si="46"/>
        <v>-2.4921008006112268E-2</v>
      </c>
    </row>
    <row r="96" spans="1:25" ht="15">
      <c r="B96" s="572" t="s">
        <v>126</v>
      </c>
      <c r="D96" s="720">
        <v>189467.63333333333</v>
      </c>
      <c r="F96" s="721">
        <f t="shared" si="47"/>
        <v>189467.80000000002</v>
      </c>
      <c r="G96" s="722">
        <f t="shared" si="48"/>
        <v>8.796577217642761E-7</v>
      </c>
      <c r="H96" s="572" t="s">
        <v>126</v>
      </c>
      <c r="I96" s="722" t="str">
        <f t="shared" si="49"/>
        <v>Blackstone Area Bus [0%]</v>
      </c>
      <c r="R96" s="719">
        <f t="shared" si="46"/>
        <v>0.12087551632238701</v>
      </c>
      <c r="S96" s="719">
        <f t="shared" si="46"/>
        <v>-6.0107807305521406E-2</v>
      </c>
    </row>
    <row r="97" spans="2:19" ht="15">
      <c r="B97" s="572" t="s">
        <v>101</v>
      </c>
      <c r="D97" s="720">
        <v>196263.86435138655</v>
      </c>
      <c r="F97" s="721">
        <f t="shared" si="47"/>
        <v>200739.19999999998</v>
      </c>
      <c r="G97" s="722">
        <f t="shared" si="48"/>
        <v>2.2802647157710527E-2</v>
      </c>
      <c r="H97" s="572" t="s">
        <v>101</v>
      </c>
      <c r="I97" s="722" t="str">
        <f t="shared" si="49"/>
        <v>Farmville Area Bus [2%]</v>
      </c>
      <c r="R97" s="719">
        <f t="shared" si="46"/>
        <v>-6.1639550393184056E-2</v>
      </c>
      <c r="S97" s="719">
        <f t="shared" si="46"/>
        <v>-1.8529858938697012E-2</v>
      </c>
    </row>
    <row r="98" spans="2:19" ht="15">
      <c r="B98" s="572" t="s">
        <v>119</v>
      </c>
      <c r="D98" s="720">
        <v>199411.47824592108</v>
      </c>
      <c r="F98" s="721">
        <f t="shared" si="47"/>
        <v>224446.21926888311</v>
      </c>
      <c r="G98" s="722">
        <f t="shared" si="48"/>
        <v>0.12554312942852933</v>
      </c>
      <c r="H98" s="572" t="s">
        <v>119</v>
      </c>
      <c r="I98" s="722" t="str">
        <f t="shared" si="49"/>
        <v>Pulaski Area Transit [13%]</v>
      </c>
      <c r="R98" s="719">
        <f t="shared" si="46"/>
        <v>3.8156211906236887E-2</v>
      </c>
      <c r="S98" s="719">
        <f t="shared" si="46"/>
        <v>8.095385901128388E-2</v>
      </c>
    </row>
    <row r="99" spans="2:19" ht="15">
      <c r="B99" s="572" t="s">
        <v>129</v>
      </c>
      <c r="D99" s="720">
        <v>324336.18210457283</v>
      </c>
      <c r="F99" s="721">
        <f t="shared" si="47"/>
        <v>338620.63678907655</v>
      </c>
      <c r="G99" s="722">
        <f t="shared" si="48"/>
        <v>4.4042125031545559E-2</v>
      </c>
      <c r="H99" s="572" t="s">
        <v>129</v>
      </c>
      <c r="I99" s="722" t="str">
        <f t="shared" si="49"/>
        <v>RADAR [4%]</v>
      </c>
      <c r="R99" s="719">
        <f t="shared" si="46"/>
        <v>-0.33699431728151508</v>
      </c>
      <c r="S99" s="719">
        <f t="shared" si="46"/>
        <v>0.95181799729519745</v>
      </c>
    </row>
    <row r="100" spans="2:19" ht="15">
      <c r="B100" s="572" t="s">
        <v>96</v>
      </c>
      <c r="D100" s="720">
        <v>371186.63436863339</v>
      </c>
      <c r="F100" s="721">
        <f t="shared" si="47"/>
        <v>379553.60000000003</v>
      </c>
      <c r="G100" s="722">
        <f t="shared" si="48"/>
        <v>2.2541128523117123E-2</v>
      </c>
      <c r="H100" s="572" t="s">
        <v>96</v>
      </c>
      <c r="I100" s="722" t="str">
        <f t="shared" si="49"/>
        <v>STAR Transit [2%]</v>
      </c>
      <c r="R100" s="719">
        <f t="shared" si="46"/>
        <v>5.9803458710842201E-2</v>
      </c>
      <c r="S100" s="719">
        <f t="shared" si="46"/>
        <v>-1.779835700472536E-2</v>
      </c>
    </row>
    <row r="101" spans="2:19" ht="15">
      <c r="B101" s="572" t="s">
        <v>93</v>
      </c>
      <c r="D101" s="720">
        <v>430650.67377976741</v>
      </c>
      <c r="F101" s="721">
        <f t="shared" si="47"/>
        <v>464492.95841110352</v>
      </c>
      <c r="G101" s="722">
        <f t="shared" si="48"/>
        <v>7.8584074498958947E-2</v>
      </c>
      <c r="H101" s="572" t="s">
        <v>93</v>
      </c>
      <c r="I101" s="722" t="str">
        <f t="shared" si="49"/>
        <v>City of Suffolk [8%]</v>
      </c>
      <c r="R101" s="719">
        <f t="shared" si="46"/>
        <v>-0.16078645083038154</v>
      </c>
      <c r="S101" s="719">
        <f t="shared" si="46"/>
        <v>1.1051314100482676E-2</v>
      </c>
    </row>
    <row r="102" spans="2:19" ht="15">
      <c r="B102" s="572" t="s">
        <v>123</v>
      </c>
      <c r="D102" s="720">
        <v>487667.35765267425</v>
      </c>
      <c r="F102" s="721">
        <f t="shared" si="47"/>
        <v>488552.43305993848</v>
      </c>
      <c r="G102" s="722">
        <f t="shared" si="48"/>
        <v>1.8149162402922147E-3</v>
      </c>
      <c r="H102" s="572" t="s">
        <v>123</v>
      </c>
      <c r="I102" s="722" t="str">
        <f t="shared" si="49"/>
        <v>City of Winchester [0%]</v>
      </c>
      <c r="R102" s="719">
        <f t="shared" si="46"/>
        <v>0.1601516861720034</v>
      </c>
      <c r="S102" s="719">
        <f t="shared" si="46"/>
        <v>-6.6454444852198881E-3</v>
      </c>
    </row>
    <row r="103" spans="2:19" ht="15">
      <c r="B103" s="572" t="s">
        <v>117</v>
      </c>
      <c r="D103" s="720">
        <v>501123.76901444077</v>
      </c>
      <c r="F103" s="721">
        <f t="shared" si="47"/>
        <v>558918.09577236359</v>
      </c>
      <c r="G103" s="722">
        <f t="shared" si="48"/>
        <v>0.11532944619966207</v>
      </c>
      <c r="H103" s="572" t="s">
        <v>117</v>
      </c>
      <c r="I103" s="722" t="str">
        <f t="shared" si="49"/>
        <v>City of Radford [12%]</v>
      </c>
      <c r="R103" s="719">
        <f t="shared" si="46"/>
        <v>-5.862189717928689E-2</v>
      </c>
      <c r="S103" s="719">
        <f t="shared" si="46"/>
        <v>-5.5530651593841567E-2</v>
      </c>
    </row>
    <row r="104" spans="2:19" ht="15">
      <c r="B104" s="572" t="s">
        <v>83</v>
      </c>
      <c r="D104" s="720">
        <v>625122.73690211866</v>
      </c>
      <c r="F104" s="721">
        <f t="shared" si="47"/>
        <v>648782.54856320331</v>
      </c>
      <c r="G104" s="722">
        <f t="shared" si="48"/>
        <v>3.7848266051454291E-2</v>
      </c>
      <c r="H104" s="572" t="s">
        <v>396</v>
      </c>
      <c r="I104" s="722" t="str">
        <f t="shared" si="49"/>
        <v>AASC/ 4 County [4%]</v>
      </c>
      <c r="R104" s="719">
        <f t="shared" si="46"/>
        <v>0.64370896546607803</v>
      </c>
      <c r="S104" s="719">
        <f t="shared" si="46"/>
        <v>-6.5111057201369726E-2</v>
      </c>
    </row>
    <row r="105" spans="2:19" ht="15">
      <c r="B105" s="572" t="s">
        <v>86</v>
      </c>
      <c r="D105" s="720">
        <v>642599.53505679057</v>
      </c>
      <c r="F105" s="721">
        <f t="shared" si="47"/>
        <v>647500</v>
      </c>
      <c r="G105" s="722">
        <f t="shared" si="48"/>
        <v>7.6260013832352763E-3</v>
      </c>
      <c r="H105" s="572" t="s">
        <v>398</v>
      </c>
      <c r="I105" s="722" t="str">
        <f t="shared" si="49"/>
        <v>MEOC [1%]</v>
      </c>
      <c r="R105" s="719">
        <f t="shared" ref="R105:S109" si="50">(R59-Q59)/Q59</f>
        <v>6.2650569568162229E-2</v>
      </c>
      <c r="S105" s="719">
        <f t="shared" si="50"/>
        <v>0.26473938268279051</v>
      </c>
    </row>
    <row r="106" spans="2:19" ht="15">
      <c r="B106" s="572" t="s">
        <v>121</v>
      </c>
      <c r="D106" s="720">
        <v>657710.18017678906</v>
      </c>
      <c r="F106" s="721">
        <f t="shared" si="47"/>
        <v>794578.29203594523</v>
      </c>
      <c r="G106" s="722">
        <f t="shared" si="48"/>
        <v>0.20809790692667512</v>
      </c>
      <c r="H106" s="572" t="s">
        <v>416</v>
      </c>
      <c r="I106" s="722" t="str">
        <f t="shared" si="49"/>
        <v>CSPDC [21%]</v>
      </c>
      <c r="R106" s="719">
        <f t="shared" si="50"/>
        <v>-0.16530712797195027</v>
      </c>
      <c r="S106" s="719">
        <f t="shared" si="50"/>
        <v>1.292494979324129E-2</v>
      </c>
    </row>
    <row r="107" spans="2:19" ht="15">
      <c r="B107" s="572" t="s">
        <v>85</v>
      </c>
      <c r="D107" s="720">
        <v>742893.1932213885</v>
      </c>
      <c r="F107" s="721">
        <f t="shared" si="47"/>
        <v>737238.34569833556</v>
      </c>
      <c r="G107" s="723">
        <f t="shared" si="48"/>
        <v>-7.6119253408851078E-3</v>
      </c>
      <c r="H107" s="572" t="s">
        <v>397</v>
      </c>
      <c r="I107" s="722" t="str">
        <f t="shared" si="49"/>
        <v>District Three [-1%]</v>
      </c>
      <c r="R107" s="719">
        <f t="shared" si="50"/>
        <v>0.17451400245937479</v>
      </c>
      <c r="S107" s="719">
        <f t="shared" si="50"/>
        <v>2.9991253411705259E-2</v>
      </c>
    </row>
    <row r="108" spans="2:19" ht="15">
      <c r="B108" s="724" t="s">
        <v>100</v>
      </c>
      <c r="C108" s="724"/>
      <c r="D108" s="725">
        <v>832018.76885929203</v>
      </c>
      <c r="E108" s="724"/>
      <c r="F108" s="726">
        <f t="shared" si="47"/>
        <v>871205.9674730046</v>
      </c>
      <c r="G108" s="727">
        <f t="shared" si="48"/>
        <v>4.7098935841842479E-2</v>
      </c>
      <c r="H108" s="572" t="s">
        <v>406</v>
      </c>
      <c r="I108" s="722" t="str">
        <f t="shared" si="49"/>
        <v>DTS [5%]</v>
      </c>
      <c r="R108" s="719">
        <f t="shared" si="50"/>
        <v>-1.3797134311450654E-2</v>
      </c>
      <c r="S108" s="719">
        <f t="shared" si="50"/>
        <v>2.3511516283259662E-2</v>
      </c>
    </row>
    <row r="109" spans="2:19" ht="15">
      <c r="B109" s="572" t="s">
        <v>91</v>
      </c>
      <c r="D109" s="720">
        <v>1071485.0448851464</v>
      </c>
      <c r="F109" s="721">
        <f t="shared" si="47"/>
        <v>1007619.4542913459</v>
      </c>
      <c r="G109" s="723">
        <f t="shared" si="48"/>
        <v>-5.9604742874079353E-2</v>
      </c>
      <c r="H109" s="572" t="s">
        <v>401</v>
      </c>
      <c r="I109" s="722" t="str">
        <f t="shared" si="49"/>
        <v>FXBGO! [-6%]</v>
      </c>
      <c r="R109" s="719">
        <f t="shared" si="50"/>
        <v>1.2347791180110196E-2</v>
      </c>
      <c r="S109" s="719">
        <f t="shared" si="50"/>
        <v>-9.8530841765899796E-2</v>
      </c>
    </row>
    <row r="110" spans="2:19" ht="15">
      <c r="B110" s="572" t="s">
        <v>130</v>
      </c>
      <c r="D110" s="683">
        <v>1082498.9905717103</v>
      </c>
      <c r="F110" s="728">
        <f t="shared" si="47"/>
        <v>1108567.7452839427</v>
      </c>
      <c r="G110" s="722">
        <f t="shared" si="48"/>
        <v>2.4082012952699804E-2</v>
      </c>
      <c r="H110" s="572" t="s">
        <v>130</v>
      </c>
      <c r="I110" s="722" t="str">
        <f t="shared" si="49"/>
        <v>VRT [2%]</v>
      </c>
      <c r="R110" s="719"/>
      <c r="S110" s="719"/>
    </row>
    <row r="111" spans="2:19" ht="15">
      <c r="B111" s="572" t="s">
        <v>125</v>
      </c>
      <c r="D111" s="683">
        <v>1190937.3236635181</v>
      </c>
      <c r="F111" s="728">
        <f t="shared" si="47"/>
        <v>1209928.0052214533</v>
      </c>
      <c r="G111" s="722">
        <f t="shared" si="48"/>
        <v>1.5945995797257199E-2</v>
      </c>
      <c r="H111" s="572" t="s">
        <v>125</v>
      </c>
      <c r="I111" s="722" t="str">
        <f t="shared" si="49"/>
        <v>Bay Aging [2%]</v>
      </c>
      <c r="R111" s="719">
        <f t="shared" ref="R111:S126" si="51">(R65-Q65)/Q65</f>
        <v>-2.6013041795373188E-2</v>
      </c>
      <c r="S111" s="719">
        <f t="shared" si="51"/>
        <v>2.0953953680974718E-2</v>
      </c>
    </row>
    <row r="112" spans="2:19" ht="15">
      <c r="B112" s="572" t="s">
        <v>113</v>
      </c>
      <c r="D112" s="683">
        <v>1198958.8926709832</v>
      </c>
      <c r="F112" s="728">
        <f t="shared" si="47"/>
        <v>1178082.8896040267</v>
      </c>
      <c r="G112" s="722">
        <f t="shared" si="48"/>
        <v>-1.7411775495029667E-2</v>
      </c>
      <c r="H112" s="572" t="s">
        <v>413</v>
      </c>
      <c r="I112" s="722" t="str">
        <f t="shared" si="49"/>
        <v>PAT (Petersburg) [-2%]</v>
      </c>
      <c r="R112" s="719">
        <f t="shared" si="51"/>
        <v>3.4302591459129936E-2</v>
      </c>
      <c r="S112" s="719">
        <f t="shared" si="51"/>
        <v>-0.17551977049998044</v>
      </c>
    </row>
    <row r="113" spans="2:19" ht="15">
      <c r="B113" s="572" t="s">
        <v>127</v>
      </c>
      <c r="D113" s="683">
        <v>1563531.1897689884</v>
      </c>
      <c r="F113" s="728">
        <f t="shared" si="47"/>
        <v>1398949.4624909705</v>
      </c>
      <c r="G113" s="722">
        <f t="shared" si="48"/>
        <v>-0.1052628360437983</v>
      </c>
      <c r="H113" s="572" t="s">
        <v>127</v>
      </c>
      <c r="I113" s="722" t="str">
        <f t="shared" si="49"/>
        <v>JAUNT [-11%]</v>
      </c>
      <c r="R113" s="719">
        <f t="shared" si="51"/>
        <v>0.17878915741585449</v>
      </c>
      <c r="S113" s="719">
        <f t="shared" si="51"/>
        <v>2.9443498959183484E-3</v>
      </c>
    </row>
    <row r="114" spans="2:19" ht="15">
      <c r="B114" s="572" t="s">
        <v>108</v>
      </c>
      <c r="D114" s="683">
        <v>1591498.2</v>
      </c>
      <c r="F114" s="728">
        <f t="shared" si="47"/>
        <v>1618479.611078874</v>
      </c>
      <c r="G114" s="722">
        <f t="shared" si="48"/>
        <v>1.6953466286593364E-2</v>
      </c>
      <c r="H114" s="572" t="s">
        <v>411</v>
      </c>
      <c r="I114" s="722" t="str">
        <f t="shared" si="49"/>
        <v>City of Fairfax - CUE [2%]</v>
      </c>
      <c r="R114" s="719">
        <f t="shared" si="51"/>
        <v>0.2018927170388026</v>
      </c>
      <c r="S114" s="719">
        <f t="shared" si="51"/>
        <v>6.5575917057907662E-2</v>
      </c>
    </row>
    <row r="115" spans="2:19" ht="15">
      <c r="B115" s="572" t="s">
        <v>102</v>
      </c>
      <c r="D115" s="683">
        <v>1703062.0409783174</v>
      </c>
      <c r="F115" s="728">
        <f t="shared" si="47"/>
        <v>1933505.9157191899</v>
      </c>
      <c r="G115" s="722">
        <f t="shared" si="48"/>
        <v>0.13531149728902123</v>
      </c>
      <c r="H115" s="572" t="s">
        <v>407</v>
      </c>
      <c r="I115" s="722" t="str">
        <f t="shared" si="49"/>
        <v>GLTC (Lynchburg) [14%]</v>
      </c>
      <c r="R115" s="719">
        <f t="shared" si="51"/>
        <v>7.7346174478612667E-2</v>
      </c>
      <c r="S115" s="719">
        <f t="shared" si="51"/>
        <v>-5.7941894935272104E-2</v>
      </c>
    </row>
    <row r="116" spans="2:19" ht="15">
      <c r="B116" s="572" t="s">
        <v>122</v>
      </c>
      <c r="D116" s="683">
        <v>1997492.8666666665</v>
      </c>
      <c r="F116" s="728">
        <f t="shared" si="47"/>
        <v>1997493</v>
      </c>
      <c r="G116" s="722">
        <f t="shared" si="48"/>
        <v>6.6750342772247821E-8</v>
      </c>
      <c r="H116" s="572" t="s">
        <v>267</v>
      </c>
      <c r="I116" s="722" t="str">
        <f t="shared" si="49"/>
        <v>HDPT (Harrisonburg) [0%]</v>
      </c>
      <c r="R116" s="719">
        <f t="shared" si="51"/>
        <v>0.16831722434645702</v>
      </c>
      <c r="S116" s="719">
        <f t="shared" si="51"/>
        <v>-4.5353280408561646E-2</v>
      </c>
    </row>
    <row r="117" spans="2:19" ht="15">
      <c r="B117" s="572" t="s">
        <v>98</v>
      </c>
      <c r="D117" s="683">
        <v>2281227.164313735</v>
      </c>
      <c r="F117" s="728">
        <f t="shared" si="47"/>
        <v>2314483.5</v>
      </c>
      <c r="G117" s="722">
        <f t="shared" si="48"/>
        <v>1.4578265683711327E-2</v>
      </c>
      <c r="H117" s="572" t="s">
        <v>405</v>
      </c>
      <c r="I117" s="722" t="str">
        <f t="shared" si="49"/>
        <v>WATA [1%]</v>
      </c>
      <c r="R117" s="719">
        <f t="shared" si="51"/>
        <v>-6.5475503152594719E-2</v>
      </c>
      <c r="S117" s="719">
        <f t="shared" si="51"/>
        <v>-2.2513557459281037E-2</v>
      </c>
    </row>
    <row r="118" spans="2:19" ht="15">
      <c r="B118" s="572" t="s">
        <v>89</v>
      </c>
      <c r="D118" s="683">
        <v>2971811.8341092449</v>
      </c>
      <c r="F118" s="728">
        <f t="shared" si="47"/>
        <v>2941313.4815364797</v>
      </c>
      <c r="G118" s="722">
        <f t="shared" si="48"/>
        <v>-1.0262544964226046E-2</v>
      </c>
      <c r="H118" s="572" t="s">
        <v>400</v>
      </c>
      <c r="I118" s="722" t="str">
        <f t="shared" si="49"/>
        <v>CAT [-1%]</v>
      </c>
      <c r="R118" s="719">
        <f t="shared" si="51"/>
        <v>7.2409682962325486E-2</v>
      </c>
      <c r="S118" s="719">
        <f t="shared" si="51"/>
        <v>-6.8407667829796834E-2</v>
      </c>
    </row>
    <row r="119" spans="2:19" ht="15">
      <c r="B119" s="572" t="s">
        <v>118</v>
      </c>
      <c r="D119" s="683">
        <v>3271539.9085863479</v>
      </c>
      <c r="F119" s="728">
        <f t="shared" si="47"/>
        <v>3488648.1659845058</v>
      </c>
      <c r="G119" s="722">
        <f t="shared" si="48"/>
        <v>6.6362710975447534E-2</v>
      </c>
      <c r="H119" s="572" t="s">
        <v>415</v>
      </c>
      <c r="I119" s="722" t="str">
        <f t="shared" si="49"/>
        <v>GRTC (Valley Metro) [7%]</v>
      </c>
      <c r="R119" s="719">
        <f t="shared" si="51"/>
        <v>0.10367760671199709</v>
      </c>
      <c r="S119" s="719">
        <f t="shared" si="51"/>
        <v>0.13026121740938665</v>
      </c>
    </row>
    <row r="120" spans="2:19" ht="15">
      <c r="B120" s="572" t="s">
        <v>116</v>
      </c>
      <c r="D120" s="683">
        <v>3483121.4</v>
      </c>
      <c r="F120" s="728">
        <f t="shared" si="47"/>
        <v>3483121.2999999993</v>
      </c>
      <c r="G120" s="722">
        <f t="shared" si="48"/>
        <v>-2.8709880901306956E-8</v>
      </c>
      <c r="H120" s="572" t="s">
        <v>116</v>
      </c>
      <c r="I120" s="722" t="str">
        <f t="shared" si="49"/>
        <v>Blacksburg Transit [-0%]</v>
      </c>
      <c r="R120" s="719">
        <f t="shared" si="51"/>
        <v>0.19082185242044958</v>
      </c>
      <c r="S120" s="719">
        <f t="shared" si="51"/>
        <v>4.1898493750285919E-2</v>
      </c>
    </row>
    <row r="121" spans="2:19" ht="15">
      <c r="B121" s="572" t="s">
        <v>105</v>
      </c>
      <c r="D121" s="683">
        <v>3666511.5935658314</v>
      </c>
      <c r="F121" s="728">
        <f t="shared" si="47"/>
        <v>3544484.4265535921</v>
      </c>
      <c r="G121" s="722">
        <f t="shared" si="48"/>
        <v>-3.32815440230377E-2</v>
      </c>
      <c r="H121" s="572" t="s">
        <v>408</v>
      </c>
      <c r="I121" s="722" t="str">
        <f t="shared" si="49"/>
        <v>Loudoun Co. [-3%]</v>
      </c>
      <c r="R121" s="719">
        <f t="shared" si="51"/>
        <v>-6.0906033470632955E-2</v>
      </c>
      <c r="S121" s="719">
        <f t="shared" si="51"/>
        <v>-3.1194547767567124E-2</v>
      </c>
    </row>
    <row r="122" spans="2:19" ht="15">
      <c r="B122" s="572" t="s">
        <v>106</v>
      </c>
      <c r="D122" s="683">
        <v>6007985.0073328475</v>
      </c>
      <c r="F122" s="728">
        <f t="shared" si="47"/>
        <v>6252724.4686427424</v>
      </c>
      <c r="G122" s="722">
        <f t="shared" si="48"/>
        <v>4.0735697744116582E-2</v>
      </c>
      <c r="H122" s="572" t="s">
        <v>409</v>
      </c>
      <c r="I122" s="722" t="str">
        <f t="shared" si="49"/>
        <v>Arlington Co. - ART [4%]</v>
      </c>
      <c r="R122" s="719">
        <f t="shared" si="51"/>
        <v>0.24952518482475003</v>
      </c>
      <c r="S122" s="719">
        <f t="shared" si="51"/>
        <v>-0.1557825066228955</v>
      </c>
    </row>
    <row r="123" spans="2:19" ht="15">
      <c r="B123" s="572" t="s">
        <v>111</v>
      </c>
      <c r="D123" s="683">
        <v>8187109.5606905362</v>
      </c>
      <c r="F123" s="728">
        <f t="shared" si="47"/>
        <v>7837949.0877956115</v>
      </c>
      <c r="G123" s="722">
        <f t="shared" si="48"/>
        <v>-4.2647587687280809E-2</v>
      </c>
      <c r="H123" s="572" t="s">
        <v>111</v>
      </c>
      <c r="I123" s="722" t="str">
        <f t="shared" si="49"/>
        <v>PRTC [-4%]</v>
      </c>
      <c r="R123" s="719">
        <f t="shared" si="51"/>
        <v>5.1359957890763183E-2</v>
      </c>
      <c r="S123" s="719">
        <f t="shared" si="51"/>
        <v>-0.46424773081924492</v>
      </c>
    </row>
    <row r="124" spans="2:19" ht="15">
      <c r="B124" s="572" t="s">
        <v>107</v>
      </c>
      <c r="D124" s="683">
        <v>9299604.085831793</v>
      </c>
      <c r="F124" s="728">
        <f t="shared" si="47"/>
        <v>9228699.62403691</v>
      </c>
      <c r="G124" s="722">
        <f t="shared" si="48"/>
        <v>-7.6244602609381986E-3</v>
      </c>
      <c r="H124" s="572" t="s">
        <v>410</v>
      </c>
      <c r="I124" s="722" t="str">
        <f t="shared" si="49"/>
        <v>Alexandria - DASH [-1%]</v>
      </c>
      <c r="R124" s="719">
        <f t="shared" si="51"/>
        <v>5.303993580643173E-2</v>
      </c>
      <c r="S124" s="719">
        <f t="shared" si="51"/>
        <v>0.5638414621474559</v>
      </c>
    </row>
    <row r="125" spans="2:19" ht="15">
      <c r="B125" s="572" t="s">
        <v>114</v>
      </c>
      <c r="D125" s="683">
        <v>18853131.91607457</v>
      </c>
      <c r="F125" s="728">
        <f t="shared" si="47"/>
        <v>19617599.199400354</v>
      </c>
      <c r="G125" s="722">
        <f t="shared" si="48"/>
        <v>4.0548556427061504E-2</v>
      </c>
      <c r="H125" s="572" t="s">
        <v>414</v>
      </c>
      <c r="I125" s="722" t="str">
        <f t="shared" si="49"/>
        <v>GRTC (Richmond) [4%]</v>
      </c>
      <c r="R125" s="719">
        <f t="shared" si="51"/>
        <v>-8.4829256242861792E-2</v>
      </c>
      <c r="S125" s="719">
        <f t="shared" si="51"/>
        <v>-0.11360462476798699</v>
      </c>
    </row>
    <row r="126" spans="2:19" ht="15">
      <c r="B126" s="572" t="s">
        <v>95</v>
      </c>
      <c r="D126" s="683">
        <v>25537379.304951597</v>
      </c>
      <c r="F126" s="728">
        <f t="shared" si="47"/>
        <v>25850744.202855319</v>
      </c>
      <c r="G126" s="722">
        <f t="shared" si="48"/>
        <v>1.2270832263628616E-2</v>
      </c>
      <c r="H126" s="572" t="s">
        <v>403</v>
      </c>
      <c r="I126" s="722" t="str">
        <f t="shared" si="49"/>
        <v>HRT [1%]</v>
      </c>
      <c r="R126" s="719">
        <f t="shared" si="51"/>
        <v>-2.5894824770493225E-2</v>
      </c>
      <c r="S126" s="719">
        <f t="shared" si="51"/>
        <v>-7.3170273563621907E-2</v>
      </c>
    </row>
    <row r="127" spans="2:19" ht="12" customHeight="1">
      <c r="B127" s="572" t="s">
        <v>109</v>
      </c>
      <c r="D127" s="683">
        <v>25729693.491986766</v>
      </c>
      <c r="F127" s="728">
        <f t="shared" si="47"/>
        <v>23935371.790917862</v>
      </c>
      <c r="G127" s="722">
        <f t="shared" si="48"/>
        <v>-6.9737391221847481E-2</v>
      </c>
      <c r="H127" s="572" t="s">
        <v>412</v>
      </c>
      <c r="I127" s="722" t="str">
        <f t="shared" si="49"/>
        <v>Fairfax Connector [-7%]</v>
      </c>
      <c r="R127" s="719">
        <f t="shared" ref="R127:S127" si="52">(R81-Q81)/Q81</f>
        <v>-3.4457034886753959E-2</v>
      </c>
      <c r="S127" s="719">
        <f t="shared" si="52"/>
        <v>-1.530486944271984E-2</v>
      </c>
    </row>
    <row r="128" spans="2:19" s="604" customFormat="1">
      <c r="B128" s="604" t="s">
        <v>270</v>
      </c>
      <c r="D128" s="603">
        <f>MEDIAN(D90:D127)</f>
        <v>951751.90687221917</v>
      </c>
    </row>
  </sheetData>
  <conditionalFormatting sqref="C28:C37">
    <cfRule type="cellIs" dxfId="514" priority="79" operator="lessThan">
      <formula>-200000</formula>
    </cfRule>
    <cfRule type="cellIs" dxfId="513" priority="80" operator="greaterThan">
      <formula>200000</formula>
    </cfRule>
  </conditionalFormatting>
  <conditionalFormatting sqref="E8:E24">
    <cfRule type="cellIs" dxfId="512" priority="81" operator="equal">
      <formula>"S5"</formula>
    </cfRule>
    <cfRule type="cellIs" dxfId="511" priority="92" operator="equal">
      <formula>"S1"</formula>
    </cfRule>
    <cfRule type="cellIs" dxfId="510" priority="91" operator="equal">
      <formula>"S2"</formula>
    </cfRule>
    <cfRule type="cellIs" dxfId="509" priority="90" operator="equal">
      <formula>"S3"</formula>
    </cfRule>
    <cfRule type="cellIs" dxfId="508" priority="89" operator="equal">
      <formula>"S4"</formula>
    </cfRule>
    <cfRule type="cellIs" dxfId="507" priority="82" operator="equal">
      <formula>"S6"</formula>
    </cfRule>
  </conditionalFormatting>
  <conditionalFormatting sqref="E28:E37">
    <cfRule type="cellIs" dxfId="506" priority="71" operator="equal">
      <formula>"S5"</formula>
    </cfRule>
    <cfRule type="cellIs" dxfId="505" priority="74" operator="equal">
      <formula>"S3"</formula>
    </cfRule>
    <cfRule type="cellIs" dxfId="504" priority="75" operator="equal">
      <formula>"S2"</formula>
    </cfRule>
    <cfRule type="cellIs" dxfId="503" priority="76" operator="equal">
      <formula>"S1"</formula>
    </cfRule>
    <cfRule type="cellIs" dxfId="502" priority="73" operator="equal">
      <formula>"S4"</formula>
    </cfRule>
    <cfRule type="cellIs" dxfId="501" priority="72" operator="equal">
      <formula>"S6"</formula>
    </cfRule>
  </conditionalFormatting>
  <conditionalFormatting sqref="E42:E80">
    <cfRule type="cellIs" dxfId="500" priority="69" operator="equal">
      <formula>"S2"</formula>
    </cfRule>
    <cfRule type="cellIs" dxfId="499" priority="68" operator="equal">
      <formula>"S3"</formula>
    </cfRule>
    <cfRule type="cellIs" dxfId="498" priority="67" operator="equal">
      <formula>"S4"</formula>
    </cfRule>
    <cfRule type="cellIs" dxfId="497" priority="66" operator="equal">
      <formula>"S6"</formula>
    </cfRule>
    <cfRule type="cellIs" dxfId="496" priority="65" operator="equal">
      <formula>"S5"</formula>
    </cfRule>
    <cfRule type="cellIs" dxfId="495" priority="70" operator="equal">
      <formula>"S1"</formula>
    </cfRule>
  </conditionalFormatting>
  <conditionalFormatting sqref="F3:F7">
    <cfRule type="cellIs" dxfId="494" priority="86" operator="equal">
      <formula>"S3"</formula>
    </cfRule>
    <cfRule type="cellIs" dxfId="493" priority="85" operator="equal">
      <formula>"S4"</formula>
    </cfRule>
    <cfRule type="expression" dxfId="492" priority="84">
      <formula>#REF!=Y3</formula>
    </cfRule>
    <cfRule type="cellIs" dxfId="491" priority="88" operator="equal">
      <formula>"S1"</formula>
    </cfRule>
    <cfRule type="cellIs" dxfId="490" priority="87" operator="equal">
      <formula>"S2"</formula>
    </cfRule>
  </conditionalFormatting>
  <conditionalFormatting sqref="F8:F24">
    <cfRule type="cellIs" dxfId="489" priority="83" operator="notEqual">
      <formula>$D8</formula>
    </cfRule>
  </conditionalFormatting>
  <conditionalFormatting sqref="G28:G37">
    <cfRule type="cellIs" dxfId="488" priority="78" operator="greaterThan">
      <formula>200000</formula>
    </cfRule>
    <cfRule type="cellIs" dxfId="487" priority="77" operator="lessThan">
      <formula>-200000</formula>
    </cfRule>
  </conditionalFormatting>
  <conditionalFormatting sqref="G42:G80">
    <cfRule type="cellIs" dxfId="486" priority="63" operator="lessThan">
      <formula>-200000</formula>
    </cfRule>
    <cfRule type="cellIs" dxfId="485" priority="64" operator="greaterThan">
      <formula>200000</formula>
    </cfRule>
  </conditionalFormatting>
  <conditionalFormatting sqref="G83:G84">
    <cfRule type="cellIs" dxfId="484" priority="62" operator="greaterThan">
      <formula>200000</formula>
    </cfRule>
    <cfRule type="cellIs" dxfId="483" priority="61" operator="lessThan">
      <formula>-200000</formula>
    </cfRule>
  </conditionalFormatting>
  <conditionalFormatting sqref="T42">
    <cfRule type="cellIs" dxfId="482" priority="11" operator="lessThan">
      <formula>-200000</formula>
    </cfRule>
    <cfRule type="cellIs" dxfId="481" priority="12" operator="greaterThan">
      <formula>200000</formula>
    </cfRule>
  </conditionalFormatting>
  <conditionalFormatting sqref="T45:T46">
    <cfRule type="cellIs" dxfId="480" priority="18" operator="greaterThan">
      <formula>200000</formula>
    </cfRule>
    <cfRule type="cellIs" dxfId="479" priority="17" operator="lessThan">
      <formula>-200000</formula>
    </cfRule>
  </conditionalFormatting>
  <conditionalFormatting sqref="T50">
    <cfRule type="cellIs" dxfId="478" priority="23" operator="lessThan">
      <formula>-200000</formula>
    </cfRule>
    <cfRule type="cellIs" dxfId="477" priority="24" operator="greaterThan">
      <formula>200000</formula>
    </cfRule>
  </conditionalFormatting>
  <conditionalFormatting sqref="T52:T53">
    <cfRule type="cellIs" dxfId="476" priority="29" operator="lessThan">
      <formula>-200000</formula>
    </cfRule>
    <cfRule type="cellIs" dxfId="475" priority="30" operator="greaterThan">
      <formula>200000</formula>
    </cfRule>
  </conditionalFormatting>
  <conditionalFormatting sqref="T55:T56">
    <cfRule type="cellIs" dxfId="474" priority="35" operator="lessThan">
      <formula>-200000</formula>
    </cfRule>
    <cfRule type="cellIs" dxfId="473" priority="36" operator="greaterThan">
      <formula>200000</formula>
    </cfRule>
  </conditionalFormatting>
  <conditionalFormatting sqref="T58">
    <cfRule type="cellIs" dxfId="472" priority="41" operator="lessThan">
      <formula>-200000</formula>
    </cfRule>
    <cfRule type="cellIs" dxfId="471" priority="42" operator="greaterThan">
      <formula>200000</formula>
    </cfRule>
  </conditionalFormatting>
  <conditionalFormatting sqref="T75:T76">
    <cfRule type="cellIs" dxfId="470" priority="53" operator="lessThan">
      <formula>-200000</formula>
    </cfRule>
    <cfRule type="cellIs" dxfId="469" priority="54" operator="greaterThan">
      <formula>200000</formula>
    </cfRule>
  </conditionalFormatting>
  <conditionalFormatting sqref="T78:T80">
    <cfRule type="cellIs" dxfId="468" priority="47" operator="lessThan">
      <formula>-200000</formula>
    </cfRule>
    <cfRule type="cellIs" dxfId="467" priority="48" operator="greaterThan">
      <formula>200000</formula>
    </cfRule>
  </conditionalFormatting>
  <conditionalFormatting sqref="T83:T84">
    <cfRule type="cellIs" dxfId="466" priority="59" operator="lessThan">
      <formula>-200000</formula>
    </cfRule>
    <cfRule type="cellIs" dxfId="465" priority="60" operator="greaterThan">
      <formula>200000</formula>
    </cfRule>
  </conditionalFormatting>
  <conditionalFormatting sqref="V42">
    <cfRule type="cellIs" dxfId="464" priority="9" operator="lessThan">
      <formula>-200000</formula>
    </cfRule>
    <cfRule type="cellIs" dxfId="463" priority="10" operator="greaterThan">
      <formula>200000</formula>
    </cfRule>
  </conditionalFormatting>
  <conditionalFormatting sqref="V45:V46">
    <cfRule type="cellIs" dxfId="462" priority="15" operator="lessThan">
      <formula>-200000</formula>
    </cfRule>
    <cfRule type="cellIs" dxfId="461" priority="16" operator="greaterThan">
      <formula>200000</formula>
    </cfRule>
  </conditionalFormatting>
  <conditionalFormatting sqref="V50">
    <cfRule type="cellIs" dxfId="460" priority="21" operator="lessThan">
      <formula>-200000</formula>
    </cfRule>
    <cfRule type="cellIs" dxfId="459" priority="22" operator="greaterThan">
      <formula>200000</formula>
    </cfRule>
  </conditionalFormatting>
  <conditionalFormatting sqref="V52:V53">
    <cfRule type="cellIs" dxfId="458" priority="28" operator="greaterThan">
      <formula>200000</formula>
    </cfRule>
    <cfRule type="cellIs" dxfId="457" priority="27" operator="lessThan">
      <formula>-200000</formula>
    </cfRule>
  </conditionalFormatting>
  <conditionalFormatting sqref="V55:V56">
    <cfRule type="cellIs" dxfId="456" priority="34" operator="greaterThan">
      <formula>200000</formula>
    </cfRule>
    <cfRule type="cellIs" dxfId="455" priority="33" operator="lessThan">
      <formula>-200000</formula>
    </cfRule>
  </conditionalFormatting>
  <conditionalFormatting sqref="V58">
    <cfRule type="cellIs" dxfId="454" priority="40" operator="greaterThan">
      <formula>200000</formula>
    </cfRule>
    <cfRule type="cellIs" dxfId="453" priority="39" operator="lessThan">
      <formula>-200000</formula>
    </cfRule>
  </conditionalFormatting>
  <conditionalFormatting sqref="V75:V76">
    <cfRule type="cellIs" dxfId="452" priority="51" operator="lessThan">
      <formula>-200000</formula>
    </cfRule>
    <cfRule type="cellIs" dxfId="451" priority="52" operator="greaterThan">
      <formula>200000</formula>
    </cfRule>
  </conditionalFormatting>
  <conditionalFormatting sqref="V78:V80">
    <cfRule type="cellIs" dxfId="450" priority="46" operator="greaterThan">
      <formula>200000</formula>
    </cfRule>
    <cfRule type="cellIs" dxfId="449" priority="45" operator="lessThan">
      <formula>-200000</formula>
    </cfRule>
  </conditionalFormatting>
  <conditionalFormatting sqref="V83:V84">
    <cfRule type="cellIs" dxfId="448" priority="57" operator="lessThan">
      <formula>-200000</formula>
    </cfRule>
    <cfRule type="cellIs" dxfId="447" priority="58" operator="greaterThan">
      <formula>200000</formula>
    </cfRule>
  </conditionalFormatting>
  <conditionalFormatting sqref="X42">
    <cfRule type="cellIs" dxfId="446" priority="7" operator="lessThan">
      <formula>-200000</formula>
    </cfRule>
    <cfRule type="cellIs" dxfId="445" priority="8" operator="greaterThan">
      <formula>200000</formula>
    </cfRule>
  </conditionalFormatting>
  <conditionalFormatting sqref="X45:X46">
    <cfRule type="cellIs" dxfId="444" priority="14" operator="greaterThan">
      <formula>200000</formula>
    </cfRule>
    <cfRule type="cellIs" dxfId="443" priority="13" operator="lessThan">
      <formula>-200000</formula>
    </cfRule>
  </conditionalFormatting>
  <conditionalFormatting sqref="X50">
    <cfRule type="cellIs" dxfId="442" priority="20" operator="greaterThan">
      <formula>200000</formula>
    </cfRule>
    <cfRule type="cellIs" dxfId="441" priority="19" operator="lessThan">
      <formula>-200000</formula>
    </cfRule>
  </conditionalFormatting>
  <conditionalFormatting sqref="X52:X53">
    <cfRule type="cellIs" dxfId="440" priority="26" operator="greaterThan">
      <formula>200000</formula>
    </cfRule>
    <cfRule type="cellIs" dxfId="439" priority="25" operator="lessThan">
      <formula>-200000</formula>
    </cfRule>
  </conditionalFormatting>
  <conditionalFormatting sqref="X55:X56">
    <cfRule type="cellIs" dxfId="438" priority="32" operator="greaterThan">
      <formula>200000</formula>
    </cfRule>
    <cfRule type="cellIs" dxfId="437" priority="31" operator="lessThan">
      <formula>-200000</formula>
    </cfRule>
  </conditionalFormatting>
  <conditionalFormatting sqref="X58">
    <cfRule type="cellIs" dxfId="436" priority="37" operator="lessThan">
      <formula>-200000</formula>
    </cfRule>
    <cfRule type="cellIs" dxfId="435" priority="38" operator="greaterThan">
      <formula>200000</formula>
    </cfRule>
  </conditionalFormatting>
  <conditionalFormatting sqref="X75:X76">
    <cfRule type="cellIs" dxfId="434" priority="49" operator="lessThan">
      <formula>-200000</formula>
    </cfRule>
    <cfRule type="cellIs" dxfId="433" priority="50" operator="greaterThan">
      <formula>200000</formula>
    </cfRule>
  </conditionalFormatting>
  <conditionalFormatting sqref="X78:X80">
    <cfRule type="cellIs" dxfId="432" priority="44" operator="greaterThan">
      <formula>200000</formula>
    </cfRule>
    <cfRule type="cellIs" dxfId="431" priority="43" operator="lessThan">
      <formula>-200000</formula>
    </cfRule>
  </conditionalFormatting>
  <conditionalFormatting sqref="X83:X84">
    <cfRule type="cellIs" dxfId="430" priority="56" operator="greaterThan">
      <formula>200000</formula>
    </cfRule>
    <cfRule type="cellIs" dxfId="429" priority="55" operator="lessThan">
      <formula>-200000</formula>
    </cfRule>
  </conditionalFormatting>
  <conditionalFormatting sqref="Z66">
    <cfRule type="cellIs" dxfId="428" priority="5" operator="lessThan">
      <formula>-200000</formula>
    </cfRule>
    <cfRule type="cellIs" dxfId="427" priority="6" operator="greaterThan">
      <formula>200000</formula>
    </cfRule>
  </conditionalFormatting>
  <conditionalFormatting sqref="AB66">
    <cfRule type="cellIs" dxfId="426" priority="3" operator="lessThan">
      <formula>-200000</formula>
    </cfRule>
    <cfRule type="cellIs" dxfId="425" priority="4" operator="greaterThan">
      <formula>200000</formula>
    </cfRule>
  </conditionalFormatting>
  <conditionalFormatting sqref="AD66">
    <cfRule type="cellIs" dxfId="424" priority="1" operator="lessThan">
      <formula>-200000</formula>
    </cfRule>
    <cfRule type="cellIs" dxfId="423" priority="2" operator="greaterThan">
      <formula>200000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4D0E9-D32D-4FE5-9348-085E5E185E04}">
  <sheetPr>
    <tabColor rgb="FF7030A0"/>
  </sheetPr>
  <dimension ref="A1:AE128"/>
  <sheetViews>
    <sheetView showGridLines="0" zoomScale="80" zoomScaleNormal="80" workbookViewId="0"/>
  </sheetViews>
  <sheetFormatPr defaultColWidth="8.7109375" defaultRowHeight="12.75"/>
  <cols>
    <col min="1" max="1" width="20" style="572" customWidth="1"/>
    <col min="2" max="2" width="26.28515625" style="572" customWidth="1"/>
    <col min="3" max="3" width="32.85546875" style="572" hidden="1" customWidth="1"/>
    <col min="4" max="4" width="22.28515625" style="572" customWidth="1"/>
    <col min="5" max="5" width="19.7109375" style="572" hidden="1" customWidth="1"/>
    <col min="6" max="6" width="23.5703125" style="572" customWidth="1"/>
    <col min="7" max="7" width="15.42578125" style="572" customWidth="1"/>
    <col min="8" max="8" width="13.7109375" style="572" customWidth="1"/>
    <col min="9" max="9" width="8.7109375" style="572"/>
    <col min="10" max="10" width="0" style="572" hidden="1" customWidth="1"/>
    <col min="11" max="11" width="20.140625" style="572" customWidth="1"/>
    <col min="12" max="12" width="8.5703125" style="572" customWidth="1"/>
    <col min="13" max="15" width="16" style="572" customWidth="1"/>
    <col min="16" max="16" width="1.28515625" style="572" customWidth="1"/>
    <col min="17" max="18" width="16.85546875" style="572" customWidth="1"/>
    <col min="19" max="19" width="16.5703125" style="572" customWidth="1"/>
    <col min="20" max="20" width="14.7109375" style="572" customWidth="1"/>
    <col min="21" max="21" width="8.7109375" style="572"/>
    <col min="22" max="22" width="15.85546875" style="572" customWidth="1"/>
    <col min="23" max="23" width="8.7109375" style="572"/>
    <col min="24" max="24" width="11.85546875" style="572" customWidth="1"/>
    <col min="25" max="25" width="8.7109375" style="572"/>
    <col min="26" max="26" width="11.42578125" style="572" customWidth="1"/>
    <col min="27" max="16384" width="8.7109375" style="572"/>
  </cols>
  <sheetData>
    <row r="1" spans="1:6" ht="18.75" thickBot="1">
      <c r="A1" s="1138" t="s">
        <v>431</v>
      </c>
    </row>
    <row r="2" spans="1:6">
      <c r="B2" s="612" t="s">
        <v>222</v>
      </c>
      <c r="C2" s="613"/>
      <c r="D2" s="614" t="s">
        <v>223</v>
      </c>
      <c r="E2" s="615" t="s">
        <v>224</v>
      </c>
      <c r="F2" s="616" t="s">
        <v>225</v>
      </c>
    </row>
    <row r="3" spans="1:6">
      <c r="B3" s="617"/>
      <c r="C3" s="618"/>
      <c r="D3" s="619"/>
      <c r="E3" s="620" t="s">
        <v>226</v>
      </c>
      <c r="F3" s="621"/>
    </row>
    <row r="4" spans="1:6">
      <c r="B4" s="622"/>
      <c r="C4" s="623"/>
      <c r="D4" s="623"/>
      <c r="E4" s="624" t="s">
        <v>227</v>
      </c>
      <c r="F4" s="625" t="s">
        <v>228</v>
      </c>
    </row>
    <row r="5" spans="1:6">
      <c r="B5" s="622"/>
      <c r="C5" s="623"/>
      <c r="D5" s="623"/>
      <c r="E5" s="624" t="s">
        <v>229</v>
      </c>
      <c r="F5" s="625" t="s">
        <v>230</v>
      </c>
    </row>
    <row r="6" spans="1:6">
      <c r="B6" s="626"/>
      <c r="C6" s="627"/>
      <c r="D6" s="627"/>
      <c r="E6" s="628" t="s">
        <v>231</v>
      </c>
      <c r="F6" s="629" t="s">
        <v>232</v>
      </c>
    </row>
    <row r="7" spans="1:6">
      <c r="B7" s="622"/>
      <c r="C7" s="630"/>
      <c r="D7" s="630"/>
      <c r="E7" s="628" t="s">
        <v>233</v>
      </c>
      <c r="F7" s="629" t="s">
        <v>232</v>
      </c>
    </row>
    <row r="8" spans="1:6">
      <c r="B8" s="631" t="s">
        <v>234</v>
      </c>
      <c r="C8" s="632" t="s">
        <v>235</v>
      </c>
      <c r="D8" s="633">
        <v>0.5</v>
      </c>
      <c r="E8" s="634" t="s">
        <v>236</v>
      </c>
      <c r="F8" s="635">
        <v>0.35</v>
      </c>
    </row>
    <row r="9" spans="1:6">
      <c r="B9" s="636"/>
      <c r="C9" s="637" t="s">
        <v>133</v>
      </c>
      <c r="D9" s="638">
        <v>0.3</v>
      </c>
      <c r="E9" s="634" t="s">
        <v>236</v>
      </c>
      <c r="F9" s="639">
        <v>0.35</v>
      </c>
    </row>
    <row r="10" spans="1:6">
      <c r="B10" s="636"/>
      <c r="C10" s="640" t="s">
        <v>136</v>
      </c>
      <c r="D10" s="638">
        <v>0.1</v>
      </c>
      <c r="E10" s="634" t="s">
        <v>236</v>
      </c>
      <c r="F10" s="639">
        <v>0.15</v>
      </c>
    </row>
    <row r="11" spans="1:6" ht="13.5" thickBot="1">
      <c r="B11" s="641"/>
      <c r="C11" s="642" t="s">
        <v>137</v>
      </c>
      <c r="D11" s="643">
        <v>0.1</v>
      </c>
      <c r="E11" s="634" t="s">
        <v>236</v>
      </c>
      <c r="F11" s="644">
        <v>0.15</v>
      </c>
    </row>
    <row r="12" spans="1:6">
      <c r="B12" s="645" t="s">
        <v>237</v>
      </c>
      <c r="C12" s="646" t="s">
        <v>238</v>
      </c>
      <c r="D12" s="647">
        <v>0.2</v>
      </c>
      <c r="E12" s="634" t="s">
        <v>236</v>
      </c>
      <c r="F12" s="648">
        <v>0</v>
      </c>
    </row>
    <row r="13" spans="1:6">
      <c r="B13" s="631" t="s">
        <v>239</v>
      </c>
      <c r="C13" s="649" t="s">
        <v>240</v>
      </c>
      <c r="D13" s="650">
        <v>0.2</v>
      </c>
      <c r="E13" s="634" t="s">
        <v>236</v>
      </c>
      <c r="F13" s="639">
        <v>0</v>
      </c>
    </row>
    <row r="14" spans="1:6">
      <c r="B14" s="631" t="s">
        <v>241</v>
      </c>
      <c r="C14" s="649" t="s">
        <v>242</v>
      </c>
      <c r="D14" s="650">
        <v>0.2</v>
      </c>
      <c r="E14" s="634" t="s">
        <v>236</v>
      </c>
      <c r="F14" s="639">
        <v>0</v>
      </c>
    </row>
    <row r="15" spans="1:6">
      <c r="B15" s="636"/>
      <c r="C15" s="649" t="s">
        <v>243</v>
      </c>
      <c r="D15" s="650">
        <v>0.2</v>
      </c>
      <c r="E15" s="634" t="s">
        <v>236</v>
      </c>
      <c r="F15" s="639">
        <v>0</v>
      </c>
    </row>
    <row r="16" spans="1:6" ht="13.5" thickBot="1">
      <c r="B16" s="641"/>
      <c r="C16" s="651" t="s">
        <v>244</v>
      </c>
      <c r="D16" s="652">
        <v>0.2</v>
      </c>
      <c r="E16" s="634" t="s">
        <v>236</v>
      </c>
      <c r="F16" s="644">
        <v>0</v>
      </c>
    </row>
    <row r="17" spans="2:19" ht="24.75" thickBot="1">
      <c r="B17" s="653" t="s">
        <v>245</v>
      </c>
      <c r="C17" s="654"/>
      <c r="D17" s="655" t="s">
        <v>246</v>
      </c>
      <c r="E17" s="634" t="s">
        <v>236</v>
      </c>
      <c r="F17" s="656" t="s">
        <v>247</v>
      </c>
    </row>
    <row r="18" spans="2:19">
      <c r="B18" s="657" t="s">
        <v>248</v>
      </c>
      <c r="C18" s="646" t="s">
        <v>249</v>
      </c>
      <c r="D18" s="658" t="s">
        <v>155</v>
      </c>
      <c r="E18" s="634" t="s">
        <v>236</v>
      </c>
      <c r="F18" s="659" t="s">
        <v>250</v>
      </c>
    </row>
    <row r="19" spans="2:19">
      <c r="B19" s="660" t="s">
        <v>251</v>
      </c>
      <c r="C19" s="649" t="s">
        <v>252</v>
      </c>
      <c r="D19" s="661" t="s">
        <v>155</v>
      </c>
      <c r="E19" s="634" t="s">
        <v>236</v>
      </c>
      <c r="F19" s="662" t="s">
        <v>253</v>
      </c>
    </row>
    <row r="20" spans="2:19">
      <c r="B20" s="660" t="s">
        <v>254</v>
      </c>
      <c r="C20" s="649" t="s">
        <v>240</v>
      </c>
      <c r="D20" s="663" t="s">
        <v>155</v>
      </c>
      <c r="E20" s="634" t="s">
        <v>236</v>
      </c>
      <c r="F20" s="662">
        <v>0.25</v>
      </c>
    </row>
    <row r="21" spans="2:19">
      <c r="B21" s="660"/>
      <c r="C21" s="649" t="s">
        <v>238</v>
      </c>
      <c r="D21" s="663" t="s">
        <v>155</v>
      </c>
      <c r="E21" s="634" t="s">
        <v>236</v>
      </c>
      <c r="F21" s="662">
        <v>0.25</v>
      </c>
    </row>
    <row r="22" spans="2:19" ht="13.5" thickBot="1">
      <c r="B22" s="664"/>
      <c r="C22" s="665" t="s">
        <v>166</v>
      </c>
      <c r="D22" s="663" t="s">
        <v>155</v>
      </c>
      <c r="E22" s="634" t="s">
        <v>236</v>
      </c>
      <c r="F22" s="666">
        <v>0.5</v>
      </c>
    </row>
    <row r="23" spans="2:19">
      <c r="B23" s="657" t="s">
        <v>255</v>
      </c>
      <c r="C23" s="646" t="s">
        <v>256</v>
      </c>
      <c r="D23" s="647">
        <v>0.3</v>
      </c>
      <c r="E23" s="634" t="s">
        <v>236</v>
      </c>
      <c r="F23" s="667">
        <v>0.3</v>
      </c>
    </row>
    <row r="24" spans="2:19" ht="13.5" thickBot="1">
      <c r="B24" s="668"/>
      <c r="C24" s="651" t="s">
        <v>257</v>
      </c>
      <c r="D24" s="652">
        <v>0.3</v>
      </c>
      <c r="E24" s="634" t="s">
        <v>236</v>
      </c>
      <c r="F24" s="669">
        <v>0.3</v>
      </c>
    </row>
    <row r="26" spans="2:19" ht="37.5" customHeight="1">
      <c r="B26" s="670" t="s">
        <v>29</v>
      </c>
      <c r="C26" s="671"/>
      <c r="D26" s="672" t="s">
        <v>258</v>
      </c>
      <c r="E26" s="673"/>
      <c r="F26" s="672" t="s">
        <v>259</v>
      </c>
      <c r="G26" s="673" t="s">
        <v>260</v>
      </c>
      <c r="H26" s="673" t="s">
        <v>204</v>
      </c>
      <c r="M26" s="674" t="s">
        <v>261</v>
      </c>
      <c r="N26" s="674"/>
      <c r="O26" s="674"/>
      <c r="Q26" s="674" t="s">
        <v>262</v>
      </c>
      <c r="R26" s="674"/>
      <c r="S26" s="674"/>
    </row>
    <row r="27" spans="2:19" ht="15" thickBot="1">
      <c r="B27" s="605" t="s">
        <v>207</v>
      </c>
      <c r="C27" s="675"/>
      <c r="D27" s="588"/>
      <c r="E27" s="588"/>
      <c r="M27" s="572">
        <v>2024</v>
      </c>
      <c r="N27" s="572">
        <v>2025</v>
      </c>
      <c r="O27" s="572">
        <v>2026</v>
      </c>
      <c r="Q27" s="572">
        <v>2024</v>
      </c>
      <c r="R27" s="572">
        <v>2025</v>
      </c>
      <c r="S27" s="572">
        <v>2026</v>
      </c>
    </row>
    <row r="28" spans="2:19" ht="15">
      <c r="B28" s="676" t="s">
        <v>82</v>
      </c>
      <c r="C28" s="677"/>
      <c r="D28" s="678">
        <f>AVERAGE(M28:O28)</f>
        <v>2257448.1399023193</v>
      </c>
      <c r="E28" s="679" t="s">
        <v>236</v>
      </c>
      <c r="F28" s="680">
        <f>AVERAGE(Q28:S28)</f>
        <v>2302545.0132369325</v>
      </c>
      <c r="G28" s="681">
        <f t="shared" ref="G28:G37" si="0">F28-D28</f>
        <v>45096.873334613163</v>
      </c>
      <c r="H28" s="682">
        <f t="shared" ref="H28:H37" si="1">G28/D28</f>
        <v>1.9976925510485712E-2</v>
      </c>
      <c r="M28" s="683">
        <f>'Comparisons-24'!C80</f>
        <v>2393545</v>
      </c>
      <c r="N28" s="683">
        <f>'Comparisons-25'!C80</f>
        <v>2293801</v>
      </c>
      <c r="O28" s="683">
        <f>'Comparisons-26'!C78</f>
        <v>2084998.4197069572</v>
      </c>
      <c r="Q28" s="684">
        <f>'Comparisons-24'!N80</f>
        <v>2390535.8185383161</v>
      </c>
      <c r="R28" s="683">
        <f>'Comparisons-25'!Z80</f>
        <v>2310509.6305614091</v>
      </c>
      <c r="S28" s="683">
        <f>'Comparisons-26'!BJ78</f>
        <v>2206589.5906110718</v>
      </c>
    </row>
    <row r="29" spans="2:19" ht="15">
      <c r="B29" s="685" t="s">
        <v>88</v>
      </c>
      <c r="C29" s="686"/>
      <c r="D29" s="687">
        <f t="shared" ref="D29:D37" si="2">AVERAGE(M29:O29)</f>
        <v>2971811.8341092449</v>
      </c>
      <c r="E29" s="679" t="s">
        <v>236</v>
      </c>
      <c r="F29" s="688">
        <f t="shared" ref="F29:F37" si="3">AVERAGE(Q29:S29)</f>
        <v>2955605.5237816013</v>
      </c>
      <c r="G29" s="689">
        <f t="shared" si="0"/>
        <v>-16206.310327643529</v>
      </c>
      <c r="H29" s="690">
        <f t="shared" si="1"/>
        <v>-5.4533433582954699E-3</v>
      </c>
      <c r="M29" s="683">
        <f>'Comparisons-24'!C81</f>
        <v>2759211</v>
      </c>
      <c r="N29" s="683">
        <f>'Comparisons-25'!C81</f>
        <v>2600883</v>
      </c>
      <c r="O29" s="683">
        <f>'Comparisons-26'!C79</f>
        <v>3555341.5023277341</v>
      </c>
      <c r="Q29" s="684">
        <f>'Comparisons-24'!N81</f>
        <v>2759210.6999999997</v>
      </c>
      <c r="R29" s="683">
        <f>'Comparisons-25'!Z81</f>
        <v>2750081.8829921298</v>
      </c>
      <c r="S29" s="683">
        <f>'Comparisons-26'!BJ79</f>
        <v>3357523.9883526759</v>
      </c>
    </row>
    <row r="30" spans="2:19" ht="15">
      <c r="B30" s="685" t="s">
        <v>90</v>
      </c>
      <c r="C30" s="686"/>
      <c r="D30" s="687">
        <f t="shared" si="2"/>
        <v>1071485.0448851464</v>
      </c>
      <c r="E30" s="679" t="s">
        <v>236</v>
      </c>
      <c r="F30" s="688">
        <f t="shared" si="3"/>
        <v>991727.64516962832</v>
      </c>
      <c r="G30" s="689">
        <f t="shared" si="0"/>
        <v>-79757.399715518113</v>
      </c>
      <c r="H30" s="690">
        <f t="shared" si="1"/>
        <v>-7.4436316303478967E-2</v>
      </c>
      <c r="M30" s="683">
        <f>'Comparisons-24'!C82</f>
        <v>1083494</v>
      </c>
      <c r="N30" s="683">
        <f>'Comparisons-25'!C82</f>
        <v>1053666</v>
      </c>
      <c r="O30" s="683">
        <f>'Comparisons-26'!C80</f>
        <v>1077295.1346554393</v>
      </c>
      <c r="Q30" s="684">
        <f>'Comparisons-24'!N82</f>
        <v>1021327.0925876829</v>
      </c>
      <c r="R30" s="683">
        <f>'Comparisons-25'!Z82</f>
        <v>969664.9212815027</v>
      </c>
      <c r="S30" s="683">
        <f>'Comparisons-26'!BJ80</f>
        <v>984190.92163969937</v>
      </c>
    </row>
    <row r="31" spans="2:19" ht="15">
      <c r="B31" s="685" t="s">
        <v>263</v>
      </c>
      <c r="C31" s="686"/>
      <c r="D31" s="687">
        <f t="shared" si="2"/>
        <v>28692230.700066816</v>
      </c>
      <c r="E31" s="679" t="s">
        <v>236</v>
      </c>
      <c r="F31" s="688">
        <f t="shared" si="3"/>
        <v>29276880.127124388</v>
      </c>
      <c r="G31" s="689">
        <f t="shared" si="0"/>
        <v>584649.42705757171</v>
      </c>
      <c r="H31" s="690">
        <f t="shared" si="1"/>
        <v>2.0376576264466262E-2</v>
      </c>
      <c r="M31" s="683">
        <f>'Comparisons-24'!C83</f>
        <v>29989399</v>
      </c>
      <c r="N31" s="683">
        <f>'Comparisons-25'!C83</f>
        <v>28188865</v>
      </c>
      <c r="O31" s="683">
        <f>'Comparisons-26'!C81</f>
        <v>27898428.100200444</v>
      </c>
      <c r="Q31" s="684">
        <f>'Comparisons-24'!N83</f>
        <v>30483257.5740286</v>
      </c>
      <c r="R31" s="683">
        <f>'Comparisons-25'!Z83</f>
        <v>28902775.752657101</v>
      </c>
      <c r="S31" s="683">
        <f>'Comparisons-26'!BJ81</f>
        <v>28444607.054687466</v>
      </c>
    </row>
    <row r="32" spans="2:19" ht="15">
      <c r="B32" s="685" t="s">
        <v>99</v>
      </c>
      <c r="C32" s="686"/>
      <c r="D32" s="687">
        <f t="shared" si="2"/>
        <v>2772386.367524276</v>
      </c>
      <c r="E32" s="679" t="s">
        <v>236</v>
      </c>
      <c r="F32" s="688">
        <f t="shared" si="3"/>
        <v>3028554.3050672058</v>
      </c>
      <c r="G32" s="689">
        <f t="shared" si="0"/>
        <v>256167.93754292978</v>
      </c>
      <c r="H32" s="690">
        <f t="shared" si="1"/>
        <v>9.2399796992107625E-2</v>
      </c>
      <c r="M32" s="683">
        <f>'Comparisons-24'!C84</f>
        <v>2955096</v>
      </c>
      <c r="N32" s="683">
        <f>'Comparisons-25'!C84</f>
        <v>2698977</v>
      </c>
      <c r="O32" s="683">
        <f>'Comparisons-26'!C82</f>
        <v>2663086.1025728276</v>
      </c>
      <c r="Q32" s="684">
        <f>'Comparisons-24'!N84</f>
        <v>3229371.7141590426</v>
      </c>
      <c r="R32" s="683">
        <f>'Comparisons-25'!Z84</f>
        <v>2975974.1772576077</v>
      </c>
      <c r="S32" s="683">
        <f>'Comparisons-26'!BJ82</f>
        <v>2880317.0237849671</v>
      </c>
    </row>
    <row r="33" spans="1:31" ht="15">
      <c r="B33" s="685" t="s">
        <v>206</v>
      </c>
      <c r="C33" s="686"/>
      <c r="D33" s="687">
        <f t="shared" si="2"/>
        <v>56728251.939407773</v>
      </c>
      <c r="E33" s="679" t="s">
        <v>236</v>
      </c>
      <c r="F33" s="688">
        <f t="shared" si="3"/>
        <v>54932327.820781887</v>
      </c>
      <c r="G33" s="689">
        <f t="shared" si="0"/>
        <v>-1795924.1186258867</v>
      </c>
      <c r="H33" s="690">
        <f t="shared" si="1"/>
        <v>-3.1658372278845083E-2</v>
      </c>
      <c r="M33" s="683">
        <f>'Comparisons-24'!C85</f>
        <v>60497894</v>
      </c>
      <c r="N33" s="683">
        <f>'Comparisons-25'!C85</f>
        <v>54594353</v>
      </c>
      <c r="O33" s="683">
        <f>'Comparisons-26'!C83</f>
        <v>55092508.818223327</v>
      </c>
      <c r="Q33" s="684">
        <f>'Comparisons-24'!N85</f>
        <v>60085860.261911452</v>
      </c>
      <c r="R33" s="683">
        <f>'Comparisons-25'!Z85</f>
        <v>52881406.479438901</v>
      </c>
      <c r="S33" s="683">
        <f>'Comparisons-26'!BJ83</f>
        <v>51829716.720995307</v>
      </c>
    </row>
    <row r="34" spans="1:31" ht="15">
      <c r="B34" s="685" t="s">
        <v>112</v>
      </c>
      <c r="C34" s="686"/>
      <c r="D34" s="687">
        <f t="shared" si="2"/>
        <v>20052090.808745552</v>
      </c>
      <c r="E34" s="679" t="s">
        <v>236</v>
      </c>
      <c r="F34" s="688">
        <f t="shared" si="3"/>
        <v>20781993.808721017</v>
      </c>
      <c r="G34" s="689">
        <f t="shared" si="0"/>
        <v>729902.99997546524</v>
      </c>
      <c r="H34" s="690">
        <f t="shared" si="1"/>
        <v>3.6400343831333747E-2</v>
      </c>
      <c r="M34" s="683">
        <f>'Comparisons-24'!C86</f>
        <v>18734413</v>
      </c>
      <c r="N34" s="683">
        <f>'Comparisons-25'!C86</f>
        <v>21605869</v>
      </c>
      <c r="O34" s="683">
        <f>'Comparisons-26'!C84</f>
        <v>19815990.426236656</v>
      </c>
      <c r="Q34" s="684">
        <f>'Comparisons-24'!N86</f>
        <v>18734413.199999999</v>
      </c>
      <c r="R34" s="683">
        <f>'Comparisons-25'!Z86</f>
        <v>21908228.92442992</v>
      </c>
      <c r="S34" s="683">
        <f>'Comparisons-26'!BJ84</f>
        <v>21703339.301733125</v>
      </c>
    </row>
    <row r="35" spans="1:31" ht="15">
      <c r="B35" s="685" t="s">
        <v>115</v>
      </c>
      <c r="C35" s="686"/>
      <c r="D35" s="687">
        <f t="shared" si="2"/>
        <v>7455196.5558467098</v>
      </c>
      <c r="E35" s="679" t="s">
        <v>236</v>
      </c>
      <c r="F35" s="688">
        <f t="shared" si="3"/>
        <v>7767250.6118149497</v>
      </c>
      <c r="G35" s="689">
        <f t="shared" si="0"/>
        <v>312054.0559682399</v>
      </c>
      <c r="H35" s="690">
        <f t="shared" si="1"/>
        <v>4.1857254014786863E-2</v>
      </c>
      <c r="M35" s="683">
        <f>'Comparisons-24'!C87</f>
        <v>6925251</v>
      </c>
      <c r="N35" s="683">
        <f>'Comparisons-25'!C87</f>
        <v>7750547</v>
      </c>
      <c r="O35" s="683">
        <f>'Comparisons-26'!C85</f>
        <v>7689791.6675401302</v>
      </c>
      <c r="Q35" s="684">
        <f>'Comparisons-24'!N87</f>
        <v>6951590.3999999994</v>
      </c>
      <c r="R35" s="683">
        <f>'Comparisons-25'!Z87</f>
        <v>8160322.5251064673</v>
      </c>
      <c r="S35" s="683">
        <f>'Comparisons-26'!BJ85</f>
        <v>8189838.9103383832</v>
      </c>
    </row>
    <row r="36" spans="1:31" ht="15">
      <c r="B36" s="685" t="s">
        <v>120</v>
      </c>
      <c r="C36" s="686"/>
      <c r="D36" s="687">
        <f t="shared" si="2"/>
        <v>3142870.4044961301</v>
      </c>
      <c r="E36" s="679" t="s">
        <v>236</v>
      </c>
      <c r="F36" s="688">
        <f t="shared" si="3"/>
        <v>3232911.6544858101</v>
      </c>
      <c r="G36" s="689">
        <f t="shared" si="0"/>
        <v>90041.249989680015</v>
      </c>
      <c r="H36" s="690">
        <f t="shared" si="1"/>
        <v>2.8649367743852478E-2</v>
      </c>
      <c r="M36" s="683">
        <f>'Comparisons-24'!C88</f>
        <v>2909109</v>
      </c>
      <c r="N36" s="683">
        <f>'Comparisons-25'!C88</f>
        <v>3156958</v>
      </c>
      <c r="O36" s="683">
        <f>'Comparisons-26'!C86</f>
        <v>3362544.2134883902</v>
      </c>
      <c r="Q36" s="684">
        <f>'Comparisons-24'!N88</f>
        <v>2988767.1105974042</v>
      </c>
      <c r="R36" s="683">
        <f>'Comparisons-25'!Z88</f>
        <v>3236714.6824751543</v>
      </c>
      <c r="S36" s="683">
        <f>'Comparisons-26'!BJ86</f>
        <v>3473253.1703848708</v>
      </c>
    </row>
    <row r="37" spans="1:31" ht="15.75" thickBot="1">
      <c r="B37" s="691" t="s">
        <v>124</v>
      </c>
      <c r="C37" s="692"/>
      <c r="D37" s="693">
        <f t="shared" si="2"/>
        <v>4404643.8716827054</v>
      </c>
      <c r="E37" s="679" t="s">
        <v>236</v>
      </c>
      <c r="F37" s="694">
        <f t="shared" si="3"/>
        <v>4278619.4898165548</v>
      </c>
      <c r="G37" s="695">
        <f t="shared" si="0"/>
        <v>-126024.38186615054</v>
      </c>
      <c r="H37" s="696">
        <f t="shared" si="1"/>
        <v>-2.8611707447305033E-2</v>
      </c>
      <c r="M37" s="683">
        <f>'Comparisons-24'!C89</f>
        <v>5018756</v>
      </c>
      <c r="N37" s="683">
        <f>'Comparisons-25'!C89</f>
        <v>4730291</v>
      </c>
      <c r="O37" s="683">
        <f>'Comparisons-26'!C87</f>
        <v>3464884.6150481161</v>
      </c>
      <c r="Q37" s="684">
        <f>'Comparisons-24'!N89</f>
        <v>4621834.1281774295</v>
      </c>
      <c r="R37" s="683">
        <f>'Comparisons-25'!Z89</f>
        <v>4578532.0237998124</v>
      </c>
      <c r="S37" s="683">
        <f>'Comparisons-26'!BJ87</f>
        <v>3635492.3174724225</v>
      </c>
    </row>
    <row r="38" spans="1:31" ht="15">
      <c r="D38" s="588">
        <f>SUM(D28:D37)</f>
        <v>129548415.66666666</v>
      </c>
      <c r="F38" s="683">
        <f>SUM(F28:F37)</f>
        <v>129548415.99999999</v>
      </c>
      <c r="M38" s="697">
        <f>SUM(M28:M37)</f>
        <v>133266168</v>
      </c>
      <c r="N38" s="697">
        <f>SUM(N28:N37)</f>
        <v>128674210</v>
      </c>
      <c r="O38" s="697">
        <f>SUM(O28:O37)</f>
        <v>126704869.00000001</v>
      </c>
      <c r="Q38" s="698">
        <f>SUM(Q28:Q37)</f>
        <v>133266167.99999994</v>
      </c>
      <c r="R38" s="698">
        <f t="shared" ref="R38:S38" si="4">SUM(R28:R37)</f>
        <v>128674211</v>
      </c>
      <c r="S38" s="698">
        <f t="shared" si="4"/>
        <v>126704868.99999999</v>
      </c>
    </row>
    <row r="39" spans="1:31">
      <c r="T39" s="699" t="s">
        <v>264</v>
      </c>
      <c r="U39" s="700"/>
      <c r="V39" s="700"/>
      <c r="W39" s="700"/>
      <c r="X39" s="700"/>
      <c r="Y39" s="700"/>
      <c r="Z39" s="604" t="s">
        <v>265</v>
      </c>
    </row>
    <row r="40" spans="1:31" ht="50.45" customHeight="1">
      <c r="A40" s="701" t="s">
        <v>29</v>
      </c>
      <c r="B40" s="702" t="s">
        <v>171</v>
      </c>
      <c r="C40" s="671" t="s">
        <v>171</v>
      </c>
      <c r="D40" s="672" t="s">
        <v>258</v>
      </c>
      <c r="E40" s="673"/>
      <c r="F40" s="672" t="s">
        <v>259</v>
      </c>
      <c r="G40" s="673" t="s">
        <v>260</v>
      </c>
      <c r="H40" s="672" t="s">
        <v>204</v>
      </c>
      <c r="M40" s="674" t="s">
        <v>261</v>
      </c>
      <c r="N40" s="674"/>
      <c r="O40" s="674"/>
      <c r="Q40" s="674" t="s">
        <v>262</v>
      </c>
      <c r="R40" s="674"/>
      <c r="S40" s="674"/>
      <c r="T40" s="703">
        <v>2024</v>
      </c>
      <c r="U40" s="703"/>
      <c r="V40" s="703">
        <v>2025</v>
      </c>
      <c r="W40" s="703"/>
      <c r="X40" s="703">
        <v>2026</v>
      </c>
      <c r="Y40" s="703"/>
      <c r="Z40" s="703">
        <v>2024</v>
      </c>
      <c r="AA40" s="703"/>
      <c r="AB40" s="703">
        <v>2025</v>
      </c>
      <c r="AC40" s="703"/>
      <c r="AD40" s="703">
        <v>2026</v>
      </c>
      <c r="AE40" s="703"/>
    </row>
    <row r="41" spans="1:31" ht="0.6" customHeight="1">
      <c r="A41" s="704"/>
      <c r="B41" s="705"/>
      <c r="M41" s="584">
        <v>2024</v>
      </c>
      <c r="N41" s="584">
        <v>2025</v>
      </c>
      <c r="O41" s="584">
        <v>2026</v>
      </c>
      <c r="Q41" s="584">
        <v>2024</v>
      </c>
      <c r="R41" s="731">
        <v>2025</v>
      </c>
      <c r="S41" s="584">
        <v>2026</v>
      </c>
    </row>
    <row r="42" spans="1:31" ht="15">
      <c r="A42" s="584" t="s">
        <v>82</v>
      </c>
      <c r="B42" s="585" t="s">
        <v>83</v>
      </c>
      <c r="C42" s="584"/>
      <c r="D42" s="609">
        <f>AVERAGE(M42:O42)</f>
        <v>625122.73690211866</v>
      </c>
      <c r="E42" s="706" t="s">
        <v>236</v>
      </c>
      <c r="F42" s="609">
        <f>AVERAGE(Q42:S42)</f>
        <v>649026.803888942</v>
      </c>
      <c r="G42" s="689">
        <f t="shared" ref="G42:G80" si="5">F42-D42</f>
        <v>23904.066986823338</v>
      </c>
      <c r="H42" s="707">
        <f t="shared" ref="H42:H80" si="6">G42/D42</f>
        <v>3.8238997841101116E-2</v>
      </c>
      <c r="K42" s="572" t="s">
        <v>396</v>
      </c>
      <c r="M42" s="683">
        <f>VLOOKUP($B42,'Comparisons-24'!$B$35:$P$74, 2, FALSE)</f>
        <v>679385</v>
      </c>
      <c r="N42" s="683">
        <f>VLOOKUP($B42,'Comparisons-25'!$B$35:$AB$74, 2, FALSE)</f>
        <v>641176</v>
      </c>
      <c r="O42" s="683">
        <f>VLOOKUP($B42,'Comparisons-26'!$B$35:$BR$72, 2, FALSE)</f>
        <v>554807.21070635587</v>
      </c>
      <c r="Q42" s="729">
        <f>VLOOKUP($B42,'S6C-Combo-24'!$B$11:$BY$50,76, FALSE)</f>
        <v>675350.36892726668</v>
      </c>
      <c r="R42" s="729">
        <f>VLOOKUP(B42, 'S6C-Combo-25'!$B$11:$BZ$50, 77, FALSE)</f>
        <v>671560.41849638149</v>
      </c>
      <c r="S42" s="729">
        <f>VLOOKUP(B42, 'S6C-Combo-26'!$B$12:$BZ$49, 77, FALSE)</f>
        <v>600169.62424317782</v>
      </c>
      <c r="T42" s="689">
        <f t="shared" ref="T42" si="7">Q42-M42</f>
        <v>-4034.6310727333184</v>
      </c>
      <c r="U42" s="708">
        <f t="shared" ref="U42" si="8">T42/M42</f>
        <v>-5.9386519760273168E-3</v>
      </c>
      <c r="V42" s="689">
        <f t="shared" ref="V42" si="9">R42-N42</f>
        <v>30384.418496381491</v>
      </c>
      <c r="W42" s="708">
        <f t="shared" ref="W42" si="10">V42/N42</f>
        <v>4.7388577389642611E-2</v>
      </c>
      <c r="X42" s="689">
        <f t="shared" ref="X42" si="11">S42-O42</f>
        <v>45362.413536821958</v>
      </c>
      <c r="Y42" s="708">
        <f t="shared" ref="Y42" si="12">X42/O42</f>
        <v>8.1762480121822051E-2</v>
      </c>
    </row>
    <row r="43" spans="1:31" ht="15">
      <c r="A43" s="584" t="s">
        <v>82</v>
      </c>
      <c r="B43" s="585" t="s">
        <v>84</v>
      </c>
      <c r="C43" s="584"/>
      <c r="D43" s="609">
        <f t="shared" ref="D43:D80" si="13">AVERAGE(M43:O43)</f>
        <v>121343.8</v>
      </c>
      <c r="E43" s="706" t="s">
        <v>236</v>
      </c>
      <c r="F43" s="609">
        <f t="shared" ref="F43:F80" si="14">AVERAGE(Q43:S43)</f>
        <v>121344</v>
      </c>
      <c r="G43" s="689">
        <f t="shared" si="5"/>
        <v>0.19999999999708962</v>
      </c>
      <c r="H43" s="707">
        <f t="shared" si="6"/>
        <v>1.6482094676208395E-6</v>
      </c>
      <c r="I43" s="709"/>
      <c r="K43" s="572" t="s">
        <v>84</v>
      </c>
      <c r="M43" s="683">
        <f>VLOOKUP($B43,'Comparisons-24'!$B$35:$P$74, 2, FALSE)</f>
        <v>135923</v>
      </c>
      <c r="N43" s="683">
        <f>VLOOKUP($B43,'Comparisons-25'!$B$35:$AB$74, 2, FALSE)</f>
        <v>119644</v>
      </c>
      <c r="O43" s="683">
        <f>VLOOKUP($B43,'Comparisons-26'!$B$35:$BR$72, 2, FALSE)</f>
        <v>108464.4</v>
      </c>
      <c r="Q43" s="729">
        <f>VLOOKUP($B43,'S6C-Combo-24'!$B$11:$BY$50,76, FALSE)</f>
        <v>135923.4</v>
      </c>
      <c r="R43" s="729">
        <f>VLOOKUP(B43, 'S6C-Combo-25'!$B$11:$BZ$50, 77, FALSE)</f>
        <v>119644.2</v>
      </c>
      <c r="S43" s="729">
        <f>VLOOKUP(B43, 'S6C-Combo-26'!$B$12:$BZ$49, 77, FALSE)</f>
        <v>108464.4</v>
      </c>
    </row>
    <row r="44" spans="1:31" ht="15">
      <c r="A44" s="584" t="s">
        <v>82</v>
      </c>
      <c r="B44" s="585" t="s">
        <v>85</v>
      </c>
      <c r="C44" s="584"/>
      <c r="D44" s="609">
        <f t="shared" si="13"/>
        <v>742893.1932213885</v>
      </c>
      <c r="E44" s="706" t="s">
        <v>236</v>
      </c>
      <c r="F44" s="609">
        <f t="shared" si="14"/>
        <v>734214.38113835629</v>
      </c>
      <c r="G44" s="689">
        <f t="shared" si="5"/>
        <v>-8678.812083032215</v>
      </c>
      <c r="H44" s="707">
        <f t="shared" si="6"/>
        <v>-1.1682449324106076E-2</v>
      </c>
      <c r="I44" s="709"/>
      <c r="K44" s="572" t="s">
        <v>397</v>
      </c>
      <c r="M44" s="683">
        <f>VLOOKUP($B44,'Comparisons-24'!$B$35:$P$74, 2, FALSE)</f>
        <v>787517</v>
      </c>
      <c r="N44" s="683">
        <f>VLOOKUP($B44,'Comparisons-25'!$B$35:$AB$74, 2, FALSE)</f>
        <v>760150</v>
      </c>
      <c r="O44" s="683">
        <f>VLOOKUP($B44,'Comparisons-26'!$B$35:$BR$72, 2, FALSE)</f>
        <v>681012.57966416562</v>
      </c>
      <c r="Q44" s="729">
        <f>VLOOKUP($B44,'S6C-Combo-24'!$B$11:$BY$50,76, FALSE)</f>
        <v>759669.91314562282</v>
      </c>
      <c r="R44" s="729">
        <f>VLOOKUP(B44, 'S6C-Combo-25'!$B$11:$BZ$50, 77, FALSE)</f>
        <v>731381.77013127634</v>
      </c>
      <c r="S44" s="729">
        <f>VLOOKUP(B44, 'S6C-Combo-26'!$B$12:$BZ$49, 77, FALSE)</f>
        <v>711591.4601381697</v>
      </c>
    </row>
    <row r="45" spans="1:31" ht="15">
      <c r="A45" s="584" t="s">
        <v>82</v>
      </c>
      <c r="B45" s="585" t="s">
        <v>86</v>
      </c>
      <c r="C45" s="584"/>
      <c r="D45" s="609">
        <f t="shared" si="13"/>
        <v>642599.53505679057</v>
      </c>
      <c r="E45" s="706" t="s">
        <v>236</v>
      </c>
      <c r="F45" s="609">
        <f t="shared" si="14"/>
        <v>647500</v>
      </c>
      <c r="G45" s="689">
        <f t="shared" si="5"/>
        <v>4900.4649432094302</v>
      </c>
      <c r="H45" s="707">
        <f t="shared" si="6"/>
        <v>7.6260013832352763E-3</v>
      </c>
      <c r="K45" s="572" t="s">
        <v>398</v>
      </c>
      <c r="M45" s="683">
        <f>VLOOKUP($B45,'Comparisons-24'!$B$35:$P$74, 2, FALSE)</f>
        <v>650062</v>
      </c>
      <c r="N45" s="683">
        <f>VLOOKUP($B45,'Comparisons-25'!$B$35:$AB$74, 2, FALSE)</f>
        <v>645662</v>
      </c>
      <c r="O45" s="683">
        <f>VLOOKUP($B45,'Comparisons-26'!$B$35:$BR$72, 2, FALSE)</f>
        <v>632074.60517037171</v>
      </c>
      <c r="Q45" s="729">
        <f>VLOOKUP($B45,'S6C-Combo-24'!$B$11:$BY$50,76, FALSE)</f>
        <v>650061.9</v>
      </c>
      <c r="R45" s="729">
        <f>VLOOKUP(B45, 'S6C-Combo-25'!$B$11:$BZ$50, 77, FALSE)</f>
        <v>645662.4</v>
      </c>
      <c r="S45" s="729">
        <f>VLOOKUP(B45, 'S6C-Combo-26'!$B$12:$BZ$49, 77, FALSE)</f>
        <v>646775.69999999995</v>
      </c>
      <c r="T45" s="689">
        <f t="shared" ref="T45:T46" si="15">Q45-M45</f>
        <v>-9.9999999976716936E-2</v>
      </c>
      <c r="U45" s="708">
        <f t="shared" ref="U45:U46" si="16">T45/M45</f>
        <v>-1.5383148065371755E-7</v>
      </c>
      <c r="V45" s="689">
        <f t="shared" ref="V45:V46" si="17">R45-N45</f>
        <v>0.40000000002328306</v>
      </c>
      <c r="W45" s="708">
        <f t="shared" ref="W45:W46" si="18">V45/N45</f>
        <v>6.195191911918048E-7</v>
      </c>
      <c r="X45" s="689">
        <f t="shared" ref="X45:X46" si="19">S45-O45</f>
        <v>14701.094829628244</v>
      </c>
      <c r="Y45" s="708">
        <f t="shared" ref="Y45:Y46" si="20">X45/O45</f>
        <v>2.3258480422047104E-2</v>
      </c>
    </row>
    <row r="46" spans="1:31" ht="15">
      <c r="A46" s="584" t="s">
        <v>82</v>
      </c>
      <c r="B46" s="585" t="s">
        <v>87</v>
      </c>
      <c r="C46" s="584"/>
      <c r="D46" s="609">
        <f t="shared" si="13"/>
        <v>125488.87472202133</v>
      </c>
      <c r="E46" s="706" t="s">
        <v>236</v>
      </c>
      <c r="F46" s="609">
        <f t="shared" si="14"/>
        <v>136770.77673886347</v>
      </c>
      <c r="G46" s="689">
        <f t="shared" si="5"/>
        <v>11281.902016842141</v>
      </c>
      <c r="H46" s="707">
        <f t="shared" si="6"/>
        <v>8.990360334199686E-2</v>
      </c>
      <c r="K46" s="572" t="s">
        <v>399</v>
      </c>
      <c r="M46" s="683">
        <f>VLOOKUP($B46,'Comparisons-24'!$B$35:$P$74, 2, FALSE)</f>
        <v>140658</v>
      </c>
      <c r="N46" s="683">
        <f>VLOOKUP($B46,'Comparisons-25'!$B$35:$AB$74, 2, FALSE)</f>
        <v>127169</v>
      </c>
      <c r="O46" s="683">
        <f>VLOOKUP($B46,'Comparisons-26'!$B$35:$BR$72, 2, FALSE)</f>
        <v>108639.62416606396</v>
      </c>
      <c r="Q46" s="729">
        <f>VLOOKUP($B46,'S6C-Combo-24'!$B$11:$BY$50,76, FALSE)</f>
        <v>142818</v>
      </c>
      <c r="R46" s="729">
        <f>VLOOKUP(B46, 'S6C-Combo-25'!$B$11:$BZ$50, 77, FALSE)</f>
        <v>137666.05537483032</v>
      </c>
      <c r="S46" s="729">
        <f>VLOOKUP(B46, 'S6C-Combo-26'!$B$12:$BZ$49, 77, FALSE)</f>
        <v>129828.27484176004</v>
      </c>
      <c r="T46" s="689">
        <f t="shared" si="15"/>
        <v>2160</v>
      </c>
      <c r="U46" s="708">
        <f t="shared" si="16"/>
        <v>1.535639636565286E-2</v>
      </c>
      <c r="V46" s="689">
        <f t="shared" si="17"/>
        <v>10497.055374830321</v>
      </c>
      <c r="W46" s="708">
        <f t="shared" si="18"/>
        <v>8.2544137131142975E-2</v>
      </c>
      <c r="X46" s="689">
        <f t="shared" si="19"/>
        <v>21188.650675696073</v>
      </c>
      <c r="Y46" s="708">
        <f t="shared" si="20"/>
        <v>0.19503611908034221</v>
      </c>
    </row>
    <row r="47" spans="1:31" ht="15">
      <c r="A47" s="584" t="s">
        <v>88</v>
      </c>
      <c r="B47" s="585" t="s">
        <v>89</v>
      </c>
      <c r="C47" s="584"/>
      <c r="D47" s="609">
        <f t="shared" si="13"/>
        <v>2971811.8341092449</v>
      </c>
      <c r="E47" s="706" t="s">
        <v>236</v>
      </c>
      <c r="F47" s="609">
        <f t="shared" si="14"/>
        <v>2944165.9686593879</v>
      </c>
      <c r="G47" s="689">
        <f t="shared" si="5"/>
        <v>-27645.865449856967</v>
      </c>
      <c r="H47" s="707">
        <f t="shared" si="6"/>
        <v>-9.3026971400238037E-3</v>
      </c>
      <c r="I47" s="572" t="s">
        <v>266</v>
      </c>
      <c r="K47" s="572" t="s">
        <v>400</v>
      </c>
      <c r="M47" s="683">
        <f>VLOOKUP($B47,'Comparisons-24'!$B$35:$P$74, 2, FALSE)</f>
        <v>2759211</v>
      </c>
      <c r="N47" s="683">
        <f>VLOOKUP($B47,'Comparisons-25'!$B$35:$AB$74, 2, FALSE)</f>
        <v>2600883</v>
      </c>
      <c r="O47" s="683">
        <f>VLOOKUP($B47,'Comparisons-26'!$B$35:$BR$72, 2, FALSE)</f>
        <v>3555341.5023277341</v>
      </c>
      <c r="Q47" s="729">
        <f>VLOOKUP($B47,'S6C-Combo-24'!$B$11:$BY$50,76, FALSE)</f>
        <v>2759210.6999999997</v>
      </c>
      <c r="R47" s="729">
        <f>VLOOKUP(B47, 'S6C-Combo-25'!$B$11:$BZ$50, 77, FALSE)</f>
        <v>2730777.2680018512</v>
      </c>
      <c r="S47" s="729">
        <f>VLOOKUP(B47, 'S6C-Combo-26'!$B$12:$BZ$49, 77, FALSE)</f>
        <v>3342509.9379763133</v>
      </c>
    </row>
    <row r="48" spans="1:31" ht="15">
      <c r="A48" s="584" t="s">
        <v>90</v>
      </c>
      <c r="B48" s="585" t="s">
        <v>91</v>
      </c>
      <c r="C48" s="584"/>
      <c r="D48" s="609">
        <f t="shared" si="13"/>
        <v>1071485.0448851464</v>
      </c>
      <c r="E48" s="706" t="s">
        <v>236</v>
      </c>
      <c r="F48" s="609">
        <f t="shared" si="14"/>
        <v>996259.94143299304</v>
      </c>
      <c r="G48" s="689">
        <f t="shared" si="5"/>
        <v>-75225.103452153387</v>
      </c>
      <c r="H48" s="707">
        <f t="shared" si="6"/>
        <v>-7.0206396077340347E-2</v>
      </c>
      <c r="I48" s="709"/>
      <c r="K48" s="572" t="s">
        <v>401</v>
      </c>
      <c r="M48" s="683">
        <f>VLOOKUP($B48,'Comparisons-24'!$B$35:$P$74, 2, FALSE)</f>
        <v>1083494</v>
      </c>
      <c r="N48" s="683">
        <f>VLOOKUP($B48,'Comparisons-25'!$B$35:$AB$74, 2, FALSE)</f>
        <v>1053666</v>
      </c>
      <c r="O48" s="683">
        <f>VLOOKUP($B48,'Comparisons-26'!$B$35:$BR$72, 2, FALSE)</f>
        <v>1077295.1346554393</v>
      </c>
      <c r="Q48" s="729">
        <f>VLOOKUP($B48,'S6C-Combo-24'!$B$11:$BY$50,76, FALSE)</f>
        <v>1019808.8552419833</v>
      </c>
      <c r="R48" s="729">
        <f>VLOOKUP(B48, 'S6C-Combo-25'!$B$11:$BZ$50, 77, FALSE)</f>
        <v>984021.4624192703</v>
      </c>
      <c r="S48" s="729">
        <f>VLOOKUP(B48, 'S6C-Combo-26'!$B$12:$BZ$49, 77, FALSE)</f>
        <v>984949.50663772551</v>
      </c>
    </row>
    <row r="49" spans="1:25" ht="15">
      <c r="A49" s="584" t="s">
        <v>205</v>
      </c>
      <c r="B49" s="585" t="s">
        <v>93</v>
      </c>
      <c r="C49" s="584"/>
      <c r="D49" s="609">
        <f t="shared" si="13"/>
        <v>430650.67377976741</v>
      </c>
      <c r="E49" s="706" t="s">
        <v>236</v>
      </c>
      <c r="F49" s="609">
        <f t="shared" si="14"/>
        <v>471610.10120026255</v>
      </c>
      <c r="G49" s="689">
        <f t="shared" si="5"/>
        <v>40959.427420495136</v>
      </c>
      <c r="H49" s="707">
        <f t="shared" si="6"/>
        <v>9.5110561562575385E-2</v>
      </c>
      <c r="I49" s="709"/>
      <c r="K49" s="572" t="s">
        <v>93</v>
      </c>
      <c r="M49" s="683">
        <f>VLOOKUP($B49,'Comparisons-24'!$B$35:$P$74, 2, FALSE)</f>
        <v>484752</v>
      </c>
      <c r="N49" s="683">
        <f>VLOOKUP($B49,'Comparisons-25'!$B$35:$AB$74, 2, FALSE)</f>
        <v>434023</v>
      </c>
      <c r="O49" s="683">
        <f>VLOOKUP($B49,'Comparisons-26'!$B$35:$BR$72, 2, FALSE)</f>
        <v>373177.02133930218</v>
      </c>
      <c r="Q49" s="729">
        <f>VLOOKUP($B49,'S6C-Combo-24'!$B$11:$BY$50,76, FALSE)</f>
        <v>497548.95327274548</v>
      </c>
      <c r="R49" s="729">
        <f>VLOOKUP(B49, 'S6C-Combo-25'!$B$11:$BZ$50, 77, FALSE)</f>
        <v>468137.17929084162</v>
      </c>
      <c r="S49" s="729">
        <f>VLOOKUP(B49, 'S6C-Combo-26'!$B$12:$BZ$49, 77, FALSE)</f>
        <v>449144.17103720049</v>
      </c>
    </row>
    <row r="50" spans="1:25" ht="15">
      <c r="A50" s="584" t="s">
        <v>205</v>
      </c>
      <c r="B50" s="585" t="s">
        <v>94</v>
      </c>
      <c r="C50" s="584"/>
      <c r="D50" s="609">
        <f t="shared" si="13"/>
        <v>54768.189319748861</v>
      </c>
      <c r="E50" s="706" t="s">
        <v>236</v>
      </c>
      <c r="F50" s="609">
        <f t="shared" si="14"/>
        <v>52927.059423436644</v>
      </c>
      <c r="G50" s="689">
        <f t="shared" si="5"/>
        <v>-1841.1298963122172</v>
      </c>
      <c r="H50" s="707">
        <f t="shared" si="6"/>
        <v>-3.3616774977958314E-2</v>
      </c>
      <c r="K50" s="572" t="s">
        <v>402</v>
      </c>
      <c r="M50" s="683">
        <f>VLOOKUP($B50,'Comparisons-24'!$B$35:$P$74, 2, FALSE)</f>
        <v>50261</v>
      </c>
      <c r="N50" s="683">
        <f>VLOOKUP($B50,'Comparisons-25'!$B$35:$AB$74, 2, FALSE)</f>
        <v>57885</v>
      </c>
      <c r="O50" s="683">
        <f>VLOOKUP($B50,'Comparisons-26'!$B$35:$BR$72, 2, FALSE)</f>
        <v>56158.567959246582</v>
      </c>
      <c r="Q50" s="729">
        <f>VLOOKUP($B50,'S6C-Combo-24'!$B$11:$BY$50,76, FALSE)</f>
        <v>50261.4</v>
      </c>
      <c r="R50" s="729">
        <f>VLOOKUP(B50, 'S6C-Combo-25'!$B$11:$BZ$50, 77, FALSE)</f>
        <v>55737.315595349071</v>
      </c>
      <c r="S50" s="729">
        <f>VLOOKUP(B50, 'S6C-Combo-26'!$B$12:$BZ$49, 77, FALSE)</f>
        <v>52782.462674960872</v>
      </c>
      <c r="T50" s="689">
        <f t="shared" ref="T50" si="21">Q50-M50</f>
        <v>0.40000000000145519</v>
      </c>
      <c r="U50" s="708">
        <f t="shared" ref="U50" si="22">T50/M50</f>
        <v>7.9584568552447264E-6</v>
      </c>
      <c r="V50" s="689">
        <f t="shared" ref="V50" si="23">R50-N50</f>
        <v>-2147.6844046509286</v>
      </c>
      <c r="W50" s="708">
        <f t="shared" ref="W50" si="24">V50/N50</f>
        <v>-3.7102606973325188E-2</v>
      </c>
      <c r="X50" s="689">
        <f t="shared" ref="X50" si="25">S50-O50</f>
        <v>-3376.1052842857098</v>
      </c>
      <c r="Y50" s="708">
        <f t="shared" ref="Y50" si="26">X50/O50</f>
        <v>-6.0117367785013642E-2</v>
      </c>
    </row>
    <row r="51" spans="1:25" ht="15">
      <c r="A51" s="584" t="s">
        <v>205</v>
      </c>
      <c r="B51" s="585" t="s">
        <v>95</v>
      </c>
      <c r="C51" s="584"/>
      <c r="D51" s="609">
        <f t="shared" si="13"/>
        <v>25537379.304951597</v>
      </c>
      <c r="E51" s="706" t="s">
        <v>236</v>
      </c>
      <c r="F51" s="609">
        <f t="shared" si="14"/>
        <v>25865438.461442132</v>
      </c>
      <c r="G51" s="689">
        <f t="shared" si="5"/>
        <v>328059.15649053454</v>
      </c>
      <c r="H51" s="707">
        <f t="shared" si="6"/>
        <v>1.2846234242482555E-2</v>
      </c>
      <c r="I51" s="572" t="s">
        <v>266</v>
      </c>
      <c r="K51" s="572" t="s">
        <v>403</v>
      </c>
      <c r="M51" s="683">
        <f>VLOOKUP($B51,'Comparisons-24'!$B$35:$P$74, 2, FALSE)</f>
        <v>26837084</v>
      </c>
      <c r="N51" s="683">
        <f>VLOOKUP($B51,'Comparisons-25'!$B$35:$AB$74, 2, FALSE)</f>
        <v>24937766</v>
      </c>
      <c r="O51" s="683">
        <f>VLOOKUP($B51,'Comparisons-26'!$B$35:$BR$72, 2, FALSE)</f>
        <v>24837287.914854791</v>
      </c>
      <c r="Q51" s="729">
        <f>VLOOKUP($B51,'S6C-Combo-24'!$B$11:$BY$50,76, FALSE)</f>
        <v>26957728.761800312</v>
      </c>
      <c r="R51" s="729">
        <f>VLOOKUP(B51, 'S6C-Combo-25'!$B$11:$BZ$50, 77, FALSE)</f>
        <v>25672866.549088631</v>
      </c>
      <c r="S51" s="729">
        <f>VLOOKUP(B51, 'S6C-Combo-26'!$B$12:$BZ$49, 77, FALSE)</f>
        <v>24965720.073437456</v>
      </c>
    </row>
    <row r="52" spans="1:25" ht="15">
      <c r="A52" s="584" t="s">
        <v>205</v>
      </c>
      <c r="B52" s="585" t="s">
        <v>96</v>
      </c>
      <c r="C52" s="584"/>
      <c r="D52" s="609">
        <f t="shared" si="13"/>
        <v>371186.63436863339</v>
      </c>
      <c r="E52" s="706" t="s">
        <v>236</v>
      </c>
      <c r="F52" s="609">
        <f t="shared" si="14"/>
        <v>379553.60000000003</v>
      </c>
      <c r="G52" s="689">
        <f t="shared" si="5"/>
        <v>8366.9656313666492</v>
      </c>
      <c r="H52" s="707">
        <f t="shared" si="6"/>
        <v>2.2541128523117123E-2</v>
      </c>
      <c r="K52" s="572" t="s">
        <v>96</v>
      </c>
      <c r="M52" s="683">
        <f>VLOOKUP($B52,'Comparisons-24'!$B$35:$P$74, 2, FALSE)</f>
        <v>360295</v>
      </c>
      <c r="N52" s="683">
        <f>VLOOKUP($B52,'Comparisons-25'!$B$35:$AB$74, 2, FALSE)</f>
        <v>374043</v>
      </c>
      <c r="O52" s="683">
        <f>VLOOKUP($B52,'Comparisons-26'!$B$35:$BR$72, 2, FALSE)</f>
        <v>379221.9031059001</v>
      </c>
      <c r="Q52" s="729">
        <f>VLOOKUP($B52,'S6C-Combo-24'!$B$11:$BY$50,76, FALSE)</f>
        <v>360295.2</v>
      </c>
      <c r="R52" s="729">
        <f>VLOOKUP(B52, 'S6C-Combo-25'!$B$11:$BZ$50, 77, FALSE)</f>
        <v>374042.7</v>
      </c>
      <c r="S52" s="729">
        <f>VLOOKUP(B52, 'S6C-Combo-26'!$B$12:$BZ$49, 77, FALSE)</f>
        <v>404322.89999999997</v>
      </c>
      <c r="T52" s="689">
        <f t="shared" ref="T52:T53" si="27">Q52-M52</f>
        <v>0.20000000001164153</v>
      </c>
      <c r="U52" s="708">
        <f t="shared" ref="U52:U53" si="28">T52/M52</f>
        <v>5.5510068141839756E-7</v>
      </c>
      <c r="V52" s="689">
        <f t="shared" ref="V52:V53" si="29">R52-N52</f>
        <v>-0.29999999998835847</v>
      </c>
      <c r="W52" s="708">
        <f t="shared" ref="W52:W53" si="30">V52/N52</f>
        <v>-8.0204682346243205E-7</v>
      </c>
      <c r="X52" s="689">
        <f t="shared" ref="X52:X53" si="31">S52-O52</f>
        <v>25100.996894099866</v>
      </c>
      <c r="Y52" s="708">
        <f t="shared" ref="Y52:Y53" si="32">X52/O52</f>
        <v>6.619078879283577E-2</v>
      </c>
    </row>
    <row r="53" spans="1:25" ht="15">
      <c r="A53" s="584" t="s">
        <v>205</v>
      </c>
      <c r="B53" s="585" t="s">
        <v>97</v>
      </c>
      <c r="C53" s="584"/>
      <c r="D53" s="609">
        <f t="shared" si="13"/>
        <v>17018.733333333334</v>
      </c>
      <c r="E53" s="706" t="s">
        <v>236</v>
      </c>
      <c r="F53" s="609">
        <f t="shared" si="14"/>
        <v>16110.27787392842</v>
      </c>
      <c r="G53" s="689">
        <f t="shared" si="5"/>
        <v>-908.4554594049132</v>
      </c>
      <c r="H53" s="707">
        <f t="shared" si="6"/>
        <v>-5.337973406196974E-2</v>
      </c>
      <c r="K53" s="572" t="s">
        <v>404</v>
      </c>
      <c r="M53" s="683">
        <f>VLOOKUP($B53,'Comparisons-24'!$B$35:$P$74, 2, FALSE)</f>
        <v>17722</v>
      </c>
      <c r="N53" s="683">
        <f>VLOOKUP($B53,'Comparisons-25'!$B$35:$AB$74, 2, FALSE)</f>
        <v>11946</v>
      </c>
      <c r="O53" s="683">
        <f>VLOOKUP($B53,'Comparisons-26'!$B$35:$BR$72, 2, FALSE)</f>
        <v>21388.2</v>
      </c>
      <c r="Q53" s="729">
        <f>VLOOKUP($B53,'S6C-Combo-24'!$B$11:$BY$50,76, FALSE)</f>
        <v>16218.590451798733</v>
      </c>
      <c r="R53" s="729">
        <f>VLOOKUP(B53, 'S6C-Combo-25'!$B$11:$BZ$50, 77, FALSE)</f>
        <v>10724.043169986535</v>
      </c>
      <c r="S53" s="729">
        <f>VLOOKUP(B53, 'S6C-Combo-26'!$B$12:$BZ$49, 77, FALSE)</f>
        <v>21388.2</v>
      </c>
      <c r="T53" s="689">
        <f t="shared" si="27"/>
        <v>-1503.4095482012672</v>
      </c>
      <c r="U53" s="708">
        <f t="shared" si="28"/>
        <v>-8.4832950468415935E-2</v>
      </c>
      <c r="V53" s="689">
        <f t="shared" si="29"/>
        <v>-1221.9568300134652</v>
      </c>
      <c r="W53" s="708">
        <f t="shared" si="30"/>
        <v>-0.10229004101904111</v>
      </c>
      <c r="X53" s="689">
        <f t="shared" si="31"/>
        <v>0</v>
      </c>
      <c r="Y53" s="708">
        <f t="shared" si="32"/>
        <v>0</v>
      </c>
    </row>
    <row r="54" spans="1:25" ht="15">
      <c r="A54" s="584" t="s">
        <v>205</v>
      </c>
      <c r="B54" s="585" t="s">
        <v>98</v>
      </c>
      <c r="C54" s="584"/>
      <c r="D54" s="609">
        <f t="shared" si="13"/>
        <v>2281227.164313735</v>
      </c>
      <c r="E54" s="706" t="s">
        <v>236</v>
      </c>
      <c r="F54" s="609">
        <f t="shared" si="14"/>
        <v>2314483.5</v>
      </c>
      <c r="G54" s="689">
        <f t="shared" si="5"/>
        <v>33256.335686265025</v>
      </c>
      <c r="H54" s="707">
        <f t="shared" si="6"/>
        <v>1.4578265683711327E-2</v>
      </c>
      <c r="I54" s="572" t="s">
        <v>266</v>
      </c>
      <c r="K54" s="572" t="s">
        <v>405</v>
      </c>
      <c r="M54" s="683">
        <f>VLOOKUP($B54,'Comparisons-24'!$B$35:$P$74, 2, FALSE)</f>
        <v>2239285</v>
      </c>
      <c r="N54" s="683">
        <f>VLOOKUP($B54,'Comparisons-25'!$B$35:$AB$74, 2, FALSE)</f>
        <v>2373202</v>
      </c>
      <c r="O54" s="683">
        <f>VLOOKUP($B54,'Comparisons-26'!$B$35:$BR$72, 2, FALSE)</f>
        <v>2231194.4929412054</v>
      </c>
      <c r="Q54" s="729">
        <f>VLOOKUP($B54,'S6C-Combo-24'!$B$11:$BY$50,76, FALSE)</f>
        <v>2239285.1999999997</v>
      </c>
      <c r="R54" s="729">
        <f>VLOOKUP(B54, 'S6C-Combo-25'!$B$11:$BZ$50, 77, FALSE)</f>
        <v>2373202.1999999997</v>
      </c>
      <c r="S54" s="729">
        <f>VLOOKUP(B54, 'S6C-Combo-26'!$B$12:$BZ$49, 77, FALSE)</f>
        <v>2330963.1</v>
      </c>
    </row>
    <row r="55" spans="1:25" ht="15">
      <c r="A55" s="584" t="s">
        <v>99</v>
      </c>
      <c r="B55" s="585" t="s">
        <v>100</v>
      </c>
      <c r="C55" s="584"/>
      <c r="D55" s="609">
        <f t="shared" si="13"/>
        <v>832018.76885929203</v>
      </c>
      <c r="E55" s="706" t="s">
        <v>236</v>
      </c>
      <c r="F55" s="609">
        <f t="shared" si="14"/>
        <v>869964.8939436489</v>
      </c>
      <c r="G55" s="689">
        <f t="shared" si="5"/>
        <v>37946.125084356871</v>
      </c>
      <c r="H55" s="707">
        <f t="shared" si="6"/>
        <v>4.5607294576276776E-2</v>
      </c>
      <c r="K55" s="572" t="s">
        <v>406</v>
      </c>
      <c r="M55" s="683">
        <f>VLOOKUP($B55,'Comparisons-24'!$B$35:$P$74, 2, FALSE)</f>
        <v>950704</v>
      </c>
      <c r="N55" s="683">
        <f>VLOOKUP($B55,'Comparisons-25'!$B$35:$AB$74, 2, FALSE)</f>
        <v>786477</v>
      </c>
      <c r="O55" s="683">
        <f>VLOOKUP($B55,'Comparisons-26'!$B$35:$BR$72, 2, FALSE)</f>
        <v>758875.30657787633</v>
      </c>
      <c r="Q55" s="729">
        <f>VLOOKUP($B55,'S6C-Combo-24'!$B$11:$BY$50,76, FALSE)</f>
        <v>957417.39289715711</v>
      </c>
      <c r="R55" s="729">
        <f>VLOOKUP(B55, 'S6C-Combo-25'!$B$11:$BZ$50, 77, FALSE)</f>
        <v>823936.26769713929</v>
      </c>
      <c r="S55" s="729">
        <f>VLOOKUP(B55, 'S6C-Combo-26'!$B$12:$BZ$49, 77, FALSE)</f>
        <v>828541.02123665041</v>
      </c>
      <c r="T55" s="689">
        <f t="shared" ref="T55:T56" si="33">Q55-M55</f>
        <v>6713.3928971571149</v>
      </c>
      <c r="U55" s="708">
        <f t="shared" ref="U55:U56" si="34">T55/M55</f>
        <v>7.0614964249199694E-3</v>
      </c>
      <c r="V55" s="689">
        <f t="shared" ref="V55:V56" si="35">R55-N55</f>
        <v>37459.267697139294</v>
      </c>
      <c r="W55" s="708">
        <f t="shared" ref="W55:W56" si="36">V55/N55</f>
        <v>4.7629196654370431E-2</v>
      </c>
      <c r="X55" s="689">
        <f t="shared" ref="X55:X56" si="37">S55-O55</f>
        <v>69665.714658774086</v>
      </c>
      <c r="Y55" s="708">
        <f t="shared" ref="Y55:Y56" si="38">X55/O55</f>
        <v>9.1801267026238309E-2</v>
      </c>
    </row>
    <row r="56" spans="1:25" ht="15">
      <c r="A56" s="584" t="s">
        <v>99</v>
      </c>
      <c r="B56" s="585" t="s">
        <v>101</v>
      </c>
      <c r="C56" s="584"/>
      <c r="D56" s="609">
        <f t="shared" si="13"/>
        <v>196263.86435138655</v>
      </c>
      <c r="E56" s="706" t="s">
        <v>236</v>
      </c>
      <c r="F56" s="609">
        <f t="shared" si="14"/>
        <v>200739.19999999998</v>
      </c>
      <c r="G56" s="689">
        <f t="shared" si="5"/>
        <v>4475.3356486134289</v>
      </c>
      <c r="H56" s="707">
        <f t="shared" si="6"/>
        <v>2.2802647157710527E-2</v>
      </c>
      <c r="K56" s="572" t="s">
        <v>101</v>
      </c>
      <c r="M56" s="683">
        <f>VLOOKUP($B56,'Comparisons-24'!$B$35:$P$74, 2, FALSE)</f>
        <v>181796</v>
      </c>
      <c r="N56" s="683">
        <f>VLOOKUP($B56,'Comparisons-25'!$B$35:$AB$74, 2, FALSE)</f>
        <v>210911</v>
      </c>
      <c r="O56" s="683">
        <f>VLOOKUP($B56,'Comparisons-26'!$B$35:$BR$72, 2, FALSE)</f>
        <v>196084.59305415963</v>
      </c>
      <c r="Q56" s="729">
        <f>VLOOKUP($B56,'S6C-Combo-24'!$B$11:$BY$50,76, FALSE)</f>
        <v>181796.4</v>
      </c>
      <c r="R56" s="729">
        <f>VLOOKUP(B56, 'S6C-Combo-25'!$B$11:$BZ$50, 77, FALSE)</f>
        <v>210911.4</v>
      </c>
      <c r="S56" s="729">
        <f>VLOOKUP(B56, 'S6C-Combo-26'!$B$12:$BZ$49, 77, FALSE)</f>
        <v>209509.8</v>
      </c>
      <c r="T56" s="689">
        <f t="shared" si="33"/>
        <v>0.39999999999417923</v>
      </c>
      <c r="U56" s="708">
        <f t="shared" si="34"/>
        <v>2.2002684327167773E-6</v>
      </c>
      <c r="V56" s="689">
        <f t="shared" si="35"/>
        <v>0.39999999999417923</v>
      </c>
      <c r="W56" s="708">
        <f t="shared" si="36"/>
        <v>1.8965345572027027E-6</v>
      </c>
      <c r="X56" s="689">
        <f t="shared" si="37"/>
        <v>13425.206945840357</v>
      </c>
      <c r="Y56" s="708">
        <f t="shared" si="38"/>
        <v>6.8466403896058486E-2</v>
      </c>
    </row>
    <row r="57" spans="1:25" ht="15">
      <c r="A57" s="584" t="s">
        <v>99</v>
      </c>
      <c r="B57" s="585" t="s">
        <v>102</v>
      </c>
      <c r="C57" s="584"/>
      <c r="D57" s="609">
        <f t="shared" si="13"/>
        <v>1703062.0409783174</v>
      </c>
      <c r="E57" s="706" t="s">
        <v>236</v>
      </c>
      <c r="F57" s="609">
        <f t="shared" si="14"/>
        <v>1973520.1457007106</v>
      </c>
      <c r="G57" s="689">
        <f t="shared" si="5"/>
        <v>270458.10472239321</v>
      </c>
      <c r="H57" s="707">
        <f t="shared" si="6"/>
        <v>0.15880695959087293</v>
      </c>
      <c r="I57" s="709"/>
      <c r="K57" s="572" t="s">
        <v>407</v>
      </c>
      <c r="M57" s="683">
        <f>VLOOKUP($B57,'Comparisons-24'!$B$35:$P$74, 2, FALSE)</f>
        <v>1790245</v>
      </c>
      <c r="N57" s="683">
        <f>VLOOKUP($B57,'Comparisons-25'!$B$35:$AB$74, 2, FALSE)</f>
        <v>1652305</v>
      </c>
      <c r="O57" s="683">
        <f>VLOOKUP($B57,'Comparisons-26'!$B$35:$BR$72, 2, FALSE)</f>
        <v>1666636.1229349524</v>
      </c>
      <c r="Q57" s="729">
        <f>VLOOKUP($B57,'S6C-Combo-24'!$B$11:$BY$50,76, FALSE)</f>
        <v>2151573.5196380164</v>
      </c>
      <c r="R57" s="729">
        <f>VLOOKUP(B57, 'S6C-Combo-25'!$B$11:$BZ$50, 77, FALSE)</f>
        <v>1947874.8422583465</v>
      </c>
      <c r="S57" s="729">
        <f>VLOOKUP(B57, 'S6C-Combo-26'!$B$12:$BZ$49, 77, FALSE)</f>
        <v>1821112.0752057685</v>
      </c>
    </row>
    <row r="58" spans="1:25" ht="15">
      <c r="A58" s="584" t="s">
        <v>99</v>
      </c>
      <c r="B58" s="585" t="s">
        <v>103</v>
      </c>
      <c r="C58" s="584"/>
      <c r="D58" s="609">
        <f t="shared" si="13"/>
        <v>41041.693335279859</v>
      </c>
      <c r="E58" s="706" t="s">
        <v>236</v>
      </c>
      <c r="F58" s="609">
        <f t="shared" si="14"/>
        <v>45079.69999999999</v>
      </c>
      <c r="G58" s="689">
        <f t="shared" si="5"/>
        <v>4038.0066647201311</v>
      </c>
      <c r="H58" s="707">
        <f t="shared" si="6"/>
        <v>9.8387915716163191E-2</v>
      </c>
      <c r="K58" s="572" t="s">
        <v>103</v>
      </c>
      <c r="M58" s="683">
        <f>VLOOKUP($B58,'Comparisons-24'!$B$35:$P$74, 2, FALSE)</f>
        <v>32351</v>
      </c>
      <c r="N58" s="683">
        <f>VLOOKUP($B58,'Comparisons-25'!$B$35:$AB$74, 2, FALSE)</f>
        <v>49284</v>
      </c>
      <c r="O58" s="683">
        <f>VLOOKUP($B58,'Comparisons-26'!$B$35:$BR$72, 2, FALSE)</f>
        <v>41490.080005839591</v>
      </c>
      <c r="Q58" s="729">
        <f>VLOOKUP($B58,'S6C-Combo-24'!$B$11:$BY$50,76, FALSE)</f>
        <v>32350.799999999999</v>
      </c>
      <c r="R58" s="729">
        <f>VLOOKUP(B58, 'S6C-Combo-25'!$B$11:$BZ$50, 77, FALSE)</f>
        <v>53175.299999999996</v>
      </c>
      <c r="S58" s="729">
        <f>VLOOKUP(B58, 'S6C-Combo-26'!$B$12:$BZ$49, 77, FALSE)</f>
        <v>49713</v>
      </c>
      <c r="T58" s="689">
        <f>Q58-M58</f>
        <v>-0.2000000000007276</v>
      </c>
      <c r="U58" s="708">
        <f>T58/M58</f>
        <v>-6.1821891131874624E-6</v>
      </c>
      <c r="V58" s="689">
        <f>R58-N58</f>
        <v>3891.2999999999956</v>
      </c>
      <c r="W58" s="708">
        <f>V58/N58</f>
        <v>7.8956659362064682E-2</v>
      </c>
      <c r="X58" s="689">
        <f>S58-O58</f>
        <v>8222.9199941604093</v>
      </c>
      <c r="Y58" s="708">
        <f>X58/O58</f>
        <v>0.19819002501328176</v>
      </c>
    </row>
    <row r="59" spans="1:25" ht="15">
      <c r="A59" s="584" t="s">
        <v>206</v>
      </c>
      <c r="B59" s="585" t="s">
        <v>105</v>
      </c>
      <c r="C59" s="584"/>
      <c r="D59" s="609">
        <f t="shared" si="13"/>
        <v>3666511.5935658314</v>
      </c>
      <c r="E59" s="706" t="s">
        <v>236</v>
      </c>
      <c r="F59" s="609">
        <f t="shared" si="14"/>
        <v>3558990.8146652873</v>
      </c>
      <c r="G59" s="689">
        <f t="shared" si="5"/>
        <v>-107520.77890054416</v>
      </c>
      <c r="H59" s="707">
        <f t="shared" si="6"/>
        <v>-2.9325089027190512E-2</v>
      </c>
      <c r="I59" s="572" t="s">
        <v>266</v>
      </c>
      <c r="K59" s="572" t="s">
        <v>408</v>
      </c>
      <c r="M59" s="683">
        <f>VLOOKUP($B59,'Comparisons-24'!$B$35:$P$74, 2, FALSE)</f>
        <v>3156033</v>
      </c>
      <c r="N59" s="683">
        <f>VLOOKUP($B59,'Comparisons-25'!$B$35:$AB$74, 2, FALSE)</f>
        <v>3226579</v>
      </c>
      <c r="O59" s="683">
        <f>VLOOKUP($B59,'Comparisons-26'!$B$35:$BR$72, 2, FALSE)</f>
        <v>4616922.7806974938</v>
      </c>
      <c r="Q59" s="729">
        <f>VLOOKUP($B59,'S6C-Combo-24'!$B$11:$BY$50,76, FALSE)</f>
        <v>3139413.8674055855</v>
      </c>
      <c r="R59" s="729">
        <f>VLOOKUP(B59, 'S6C-Combo-25'!$B$11:$BZ$50, 77, FALSE)</f>
        <v>3326100.5747201885</v>
      </c>
      <c r="S59" s="729">
        <f>VLOOKUP(B59, 'S6C-Combo-26'!$B$12:$BZ$49, 77, FALSE)</f>
        <v>4211458.0018700873</v>
      </c>
    </row>
    <row r="60" spans="1:25" ht="15">
      <c r="A60" s="584" t="s">
        <v>206</v>
      </c>
      <c r="B60" s="585" t="s">
        <v>106</v>
      </c>
      <c r="C60" s="584"/>
      <c r="D60" s="609">
        <f t="shared" si="13"/>
        <v>6007985.0073328475</v>
      </c>
      <c r="E60" s="706" t="s">
        <v>236</v>
      </c>
      <c r="F60" s="609">
        <f t="shared" si="14"/>
        <v>6232255.6578226192</v>
      </c>
      <c r="G60" s="689">
        <f t="shared" si="5"/>
        <v>224270.65048977174</v>
      </c>
      <c r="H60" s="707">
        <f t="shared" si="6"/>
        <v>3.7328763340129113E-2</v>
      </c>
      <c r="I60" s="572" t="s">
        <v>266</v>
      </c>
      <c r="K60" s="572" t="s">
        <v>409</v>
      </c>
      <c r="M60" s="683">
        <f>VLOOKUP($B60,'Comparisons-24'!$B$35:$P$74, 2, FALSE)</f>
        <v>6545690</v>
      </c>
      <c r="N60" s="683">
        <f>VLOOKUP($B60,'Comparisons-25'!$B$35:$AB$74, 2, FALSE)</f>
        <v>5574618</v>
      </c>
      <c r="O60" s="683">
        <f>VLOOKUP($B60,'Comparisons-26'!$B$35:$BR$72, 2, FALSE)</f>
        <v>5903647.0219985424</v>
      </c>
      <c r="Q60" s="729">
        <f>VLOOKUP($B60,'S6C-Combo-24'!$B$11:$BY$50,76, FALSE)</f>
        <v>6940942.3177133016</v>
      </c>
      <c r="R60" s="729">
        <f>VLOOKUP(B60, 'S6C-Combo-25'!$B$11:$BZ$50, 77, FALSE)</f>
        <v>5840554.7476211106</v>
      </c>
      <c r="S60" s="729">
        <f>VLOOKUP(B60, 'S6C-Combo-26'!$B$12:$BZ$49, 77, FALSE)</f>
        <v>5915269.9081334444</v>
      </c>
    </row>
    <row r="61" spans="1:25" ht="15">
      <c r="A61" s="584" t="s">
        <v>206</v>
      </c>
      <c r="B61" s="585" t="s">
        <v>107</v>
      </c>
      <c r="C61" s="584"/>
      <c r="D61" s="609">
        <f t="shared" si="13"/>
        <v>9299604.085831793</v>
      </c>
      <c r="E61" s="706" t="s">
        <v>236</v>
      </c>
      <c r="F61" s="609">
        <f t="shared" si="14"/>
        <v>9200264.1907354463</v>
      </c>
      <c r="G61" s="689">
        <f t="shared" si="5"/>
        <v>-99339.895096346736</v>
      </c>
      <c r="H61" s="707">
        <f t="shared" si="6"/>
        <v>-1.0682163904987508E-2</v>
      </c>
      <c r="I61" s="572" t="s">
        <v>266</v>
      </c>
      <c r="K61" s="572" t="s">
        <v>410</v>
      </c>
      <c r="M61" s="683">
        <f>VLOOKUP($B61,'Comparisons-24'!$B$35:$P$74, 2, FALSE)</f>
        <v>8180859</v>
      </c>
      <c r="N61" s="683">
        <f>VLOOKUP($B61,'Comparisons-25'!$B$35:$AB$74, 2, FALSE)</f>
        <v>9437848</v>
      </c>
      <c r="O61" s="683">
        <f>VLOOKUP($B61,'Comparisons-26'!$B$35:$BR$72, 2, FALSE)</f>
        <v>10280105.257495381</v>
      </c>
      <c r="Q61" s="729">
        <f>VLOOKUP($B61,'S6C-Combo-24'!$B$11:$BY$50,76, FALSE)</f>
        <v>8180859.2999999998</v>
      </c>
      <c r="R61" s="729">
        <f>VLOOKUP(B61, 'S6C-Combo-25'!$B$11:$BZ$50, 77, FALSE)</f>
        <v>9608533.7999999989</v>
      </c>
      <c r="S61" s="729">
        <f>VLOOKUP(B61, 'S6C-Combo-26'!$B$12:$BZ$49, 77, FALSE)</f>
        <v>9811399.4722063448</v>
      </c>
    </row>
    <row r="62" spans="1:25" ht="15">
      <c r="A62" s="584" t="s">
        <v>206</v>
      </c>
      <c r="B62" s="585" t="s">
        <v>108</v>
      </c>
      <c r="C62" s="584"/>
      <c r="D62" s="609">
        <f t="shared" si="13"/>
        <v>1591498.2</v>
      </c>
      <c r="E62" s="706" t="s">
        <v>236</v>
      </c>
      <c r="F62" s="609">
        <f t="shared" si="14"/>
        <v>1593222.7603526365</v>
      </c>
      <c r="G62" s="689">
        <f t="shared" si="5"/>
        <v>1724.5603526365012</v>
      </c>
      <c r="H62" s="707">
        <f t="shared" si="6"/>
        <v>1.0836081075281778E-3</v>
      </c>
      <c r="I62" s="572" t="s">
        <v>266</v>
      </c>
      <c r="K62" s="572" t="s">
        <v>411</v>
      </c>
      <c r="M62" s="683">
        <f>VLOOKUP($B62,'Comparisons-24'!$B$35:$P$74, 2, FALSE)</f>
        <v>1539916</v>
      </c>
      <c r="N62" s="683">
        <f>VLOOKUP($B62,'Comparisons-25'!$B$35:$AB$74, 2, FALSE)</f>
        <v>1598498</v>
      </c>
      <c r="O62" s="683">
        <f>VLOOKUP($B62,'Comparisons-26'!$B$35:$BR$72, 2, FALSE)</f>
        <v>1636080.5999999999</v>
      </c>
      <c r="Q62" s="729">
        <f>VLOOKUP($B62,'S6C-Combo-24'!$B$11:$BY$50,76, FALSE)</f>
        <v>1549260.6215749593</v>
      </c>
      <c r="R62" s="729">
        <f>VLOOKUP(B62, 'S6C-Combo-25'!$B$11:$BZ$50, 77, FALSE)</f>
        <v>1598497.5</v>
      </c>
      <c r="S62" s="729">
        <f>VLOOKUP(B62, 'S6C-Combo-26'!$B$12:$BZ$49, 77, FALSE)</f>
        <v>1631910.1594829499</v>
      </c>
    </row>
    <row r="63" spans="1:25" ht="15">
      <c r="A63" s="584" t="s">
        <v>206</v>
      </c>
      <c r="B63" s="585" t="s">
        <v>109</v>
      </c>
      <c r="C63" s="584"/>
      <c r="D63" s="609">
        <f t="shared" si="13"/>
        <v>25729693.491986766</v>
      </c>
      <c r="E63" s="706" t="s">
        <v>236</v>
      </c>
      <c r="F63" s="609">
        <f t="shared" si="14"/>
        <v>23741772.329846274</v>
      </c>
      <c r="G63" s="689">
        <f t="shared" si="5"/>
        <v>-1987921.1621404923</v>
      </c>
      <c r="H63" s="707">
        <f t="shared" si="6"/>
        <v>-7.7261750621304873E-2</v>
      </c>
      <c r="I63" s="572" t="s">
        <v>266</v>
      </c>
      <c r="K63" s="572" t="s">
        <v>412</v>
      </c>
      <c r="M63" s="683">
        <f>VLOOKUP($B63,'Comparisons-24'!$B$35:$P$74, 2, FALSE)</f>
        <v>26403560</v>
      </c>
      <c r="N63" s="683">
        <f>VLOOKUP($B63,'Comparisons-25'!$B$35:$AB$74, 2, FALSE)</f>
        <v>26810560</v>
      </c>
      <c r="O63" s="683">
        <f>VLOOKUP($B63,'Comparisons-26'!$B$35:$BR$72, 2, FALSE)</f>
        <v>23974960.475960296</v>
      </c>
      <c r="Q63" s="729">
        <f>VLOOKUP($B63,'S6C-Combo-24'!$B$11:$BY$50,76, FALSE)</f>
        <v>24415425.97582908</v>
      </c>
      <c r="R63" s="729">
        <f>VLOOKUP(B63, 'S6C-Combo-25'!$B$11:$BZ$50, 77, FALSE)</f>
        <v>24523254.679268364</v>
      </c>
      <c r="S63" s="729">
        <f>VLOOKUP(B63, 'S6C-Combo-26'!$B$12:$BZ$49, 77, FALSE)</f>
        <v>22286636.334441375</v>
      </c>
    </row>
    <row r="64" spans="1:25" ht="15">
      <c r="A64" s="584" t="s">
        <v>206</v>
      </c>
      <c r="B64" s="585" t="s">
        <v>110</v>
      </c>
      <c r="C64" s="584"/>
      <c r="D64" s="609">
        <f t="shared" si="13"/>
        <v>2245850</v>
      </c>
      <c r="E64" s="706" t="s">
        <v>236</v>
      </c>
      <c r="F64" s="609">
        <f>Q64/3</f>
        <v>2727730.835505418</v>
      </c>
      <c r="G64" s="689">
        <f t="shared" si="5"/>
        <v>481880.83550541801</v>
      </c>
      <c r="H64" s="707">
        <f t="shared" si="6"/>
        <v>0.21456501347170026</v>
      </c>
      <c r="K64" s="572" t="e">
        <v>#N/A</v>
      </c>
      <c r="M64" s="683">
        <f>VLOOKUP($B64,'Comparisons-24'!$B$35:$P$74, 2, FALSE)</f>
        <v>6737550</v>
      </c>
      <c r="N64" s="683">
        <v>0</v>
      </c>
      <c r="O64" s="683">
        <v>0</v>
      </c>
      <c r="Q64" s="729">
        <f>VLOOKUP($B64,'S6C-Combo-24'!$B$11:$BY$50,76, FALSE)</f>
        <v>8183192.5065162545</v>
      </c>
      <c r="R64" s="729">
        <f>VLOOKUP(B64, 'S6C-Combo-25'!$B$11:$BZ$50, 77, FALSE)</f>
        <v>0</v>
      </c>
      <c r="S64" s="729" t="e">
        <f>VLOOKUP(B64, 'S6C-Combo-26'!$B$12:$BZ$49, 77, FALSE)</f>
        <v>#N/A</v>
      </c>
    </row>
    <row r="65" spans="1:31" ht="15">
      <c r="A65" s="584" t="s">
        <v>206</v>
      </c>
      <c r="B65" s="585" t="s">
        <v>111</v>
      </c>
      <c r="C65" s="584"/>
      <c r="D65" s="609">
        <f t="shared" si="13"/>
        <v>8187109.5606905362</v>
      </c>
      <c r="E65" s="706" t="s">
        <v>236</v>
      </c>
      <c r="F65" s="609">
        <f t="shared" si="14"/>
        <v>7886314.5334388902</v>
      </c>
      <c r="G65" s="689">
        <f t="shared" si="5"/>
        <v>-300795.02725164592</v>
      </c>
      <c r="H65" s="707">
        <f t="shared" si="6"/>
        <v>-3.6740075972096262E-2</v>
      </c>
      <c r="I65" s="572" t="s">
        <v>266</v>
      </c>
      <c r="K65" s="572" t="s">
        <v>111</v>
      </c>
      <c r="M65" s="683">
        <f>VLOOKUP($B65,'Comparisons-24'!$B$35:$P$74, 2, FALSE)</f>
        <v>7934286</v>
      </c>
      <c r="N65" s="683">
        <f>VLOOKUP($B65,'Comparisons-25'!$B$35:$AB$74, 2, FALSE)</f>
        <v>7946250</v>
      </c>
      <c r="O65" s="683">
        <f>VLOOKUP($B65,'Comparisons-26'!$B$35:$BR$72, 2, FALSE)</f>
        <v>8680792.6820716076</v>
      </c>
      <c r="Q65" s="729">
        <f>VLOOKUP($B65,'S6C-Combo-24'!$B$11:$BY$50,76, FALSE)</f>
        <v>7995267.0183153059</v>
      </c>
      <c r="R65" s="729">
        <f>VLOOKUP(B65, 'S6C-Combo-25'!$B$11:$BZ$50, 77, FALSE)</f>
        <v>7736608.838889488</v>
      </c>
      <c r="S65" s="729">
        <f>VLOOKUP(B65, 'S6C-Combo-26'!$B$12:$BZ$49, 77, FALSE)</f>
        <v>7927067.743111874</v>
      </c>
    </row>
    <row r="66" spans="1:31" ht="15">
      <c r="A66" s="584" t="s">
        <v>112</v>
      </c>
      <c r="B66" s="585" t="s">
        <v>113</v>
      </c>
      <c r="C66" s="584"/>
      <c r="D66" s="609">
        <f t="shared" si="13"/>
        <v>1198958.8926709832</v>
      </c>
      <c r="E66" s="706" t="s">
        <v>236</v>
      </c>
      <c r="F66" s="609">
        <f t="shared" si="14"/>
        <v>1176233.1534954421</v>
      </c>
      <c r="G66" s="689">
        <f t="shared" si="5"/>
        <v>-22725.739175541094</v>
      </c>
      <c r="H66" s="707">
        <f t="shared" si="6"/>
        <v>-1.8954560756385717E-2</v>
      </c>
      <c r="I66" s="709"/>
      <c r="K66" s="572" t="s">
        <v>413</v>
      </c>
      <c r="M66" s="683">
        <f>VLOOKUP($B66,'Comparisons-24'!$B$35:$P$74, 2, FALSE)</f>
        <v>1224167</v>
      </c>
      <c r="N66" s="683">
        <f>VLOOKUP($B66,'Comparisons-25'!$B$35:$AB$74, 2, FALSE)</f>
        <v>1335726</v>
      </c>
      <c r="O66" s="683">
        <f>VLOOKUP($B66,'Comparisons-26'!$B$35:$BR$72, 2, FALSE)</f>
        <v>1036983.6780129499</v>
      </c>
      <c r="Q66" s="729">
        <f>VLOOKUP($B66,'S6C-Combo-24'!$B$11:$BY$50,76, FALSE)</f>
        <v>1224166.8</v>
      </c>
      <c r="R66" s="729">
        <f>VLOOKUP(B66, 'S6C-Combo-25'!$B$11:$BZ$50, 77, FALSE)</f>
        <v>1263215.2370264928</v>
      </c>
      <c r="S66" s="729">
        <f>VLOOKUP(B66, 'S6C-Combo-26'!$B$12:$BZ$49, 77, FALSE)</f>
        <v>1041317.4234598334</v>
      </c>
      <c r="Z66" s="689">
        <f>Q66-M66</f>
        <v>-0.19999999995343387</v>
      </c>
      <c r="AA66" s="708">
        <f>Z66/M66</f>
        <v>-1.6337640203782153E-7</v>
      </c>
      <c r="AB66" s="689">
        <f>R66-N66</f>
        <v>-72510.762973507168</v>
      </c>
      <c r="AC66" s="708">
        <f>AB66/N66</f>
        <v>-5.4285656619326994E-2</v>
      </c>
      <c r="AD66" s="689">
        <f>S66-O66</f>
        <v>4333.7454468834912</v>
      </c>
      <c r="AE66" s="708">
        <f>AD66/O66</f>
        <v>4.1791838567678706E-3</v>
      </c>
    </row>
    <row r="67" spans="1:31" ht="15">
      <c r="A67" s="584" t="s">
        <v>112</v>
      </c>
      <c r="B67" s="585" t="s">
        <v>114</v>
      </c>
      <c r="C67" s="584"/>
      <c r="D67" s="609">
        <f t="shared" si="13"/>
        <v>18853131.91607457</v>
      </c>
      <c r="E67" s="706" t="s">
        <v>236</v>
      </c>
      <c r="F67" s="609">
        <f t="shared" si="14"/>
        <v>19657682.222010825</v>
      </c>
      <c r="G67" s="689">
        <f t="shared" si="5"/>
        <v>804550.30593625456</v>
      </c>
      <c r="H67" s="707">
        <f t="shared" si="6"/>
        <v>4.2674623479947028E-2</v>
      </c>
      <c r="I67" s="572" t="s">
        <v>266</v>
      </c>
      <c r="K67" s="572" t="s">
        <v>414</v>
      </c>
      <c r="M67" s="683">
        <f>VLOOKUP($B67,'Comparisons-24'!$B$35:$P$74, 2, FALSE)</f>
        <v>17510246</v>
      </c>
      <c r="N67" s="683">
        <f>VLOOKUP($B67,'Comparisons-25'!$B$35:$AB$74, 2, FALSE)</f>
        <v>20270143</v>
      </c>
      <c r="O67" s="683">
        <f>VLOOKUP($B67,'Comparisons-26'!$B$35:$BR$72, 2, FALSE)</f>
        <v>18779006.748223707</v>
      </c>
      <c r="Q67" s="729">
        <f>VLOOKUP($B67,'S6C-Combo-24'!$B$11:$BY$50,76, FALSE)</f>
        <v>17510246.399999999</v>
      </c>
      <c r="R67" s="729">
        <f>VLOOKUP(B67, 'S6C-Combo-25'!$B$11:$BZ$50, 77, FALSE)</f>
        <v>20640888.599999998</v>
      </c>
      <c r="S67" s="729">
        <f>VLOOKUP(B67, 'S6C-Combo-26'!$B$12:$BZ$49, 77, FALSE)</f>
        <v>20821911.666032482</v>
      </c>
    </row>
    <row r="68" spans="1:31" ht="15">
      <c r="A68" s="584" t="s">
        <v>115</v>
      </c>
      <c r="B68" s="585" t="s">
        <v>116</v>
      </c>
      <c r="C68" s="584"/>
      <c r="D68" s="609">
        <f t="shared" si="13"/>
        <v>3483121.4</v>
      </c>
      <c r="E68" s="706" t="s">
        <v>236</v>
      </c>
      <c r="F68" s="609">
        <f t="shared" si="14"/>
        <v>3483121.2999999993</v>
      </c>
      <c r="G68" s="689">
        <f t="shared" si="5"/>
        <v>-0.10000000055879354</v>
      </c>
      <c r="H68" s="707">
        <f t="shared" si="6"/>
        <v>-2.8709880901306956E-8</v>
      </c>
      <c r="I68" s="572" t="s">
        <v>266</v>
      </c>
      <c r="K68" s="572" t="s">
        <v>116</v>
      </c>
      <c r="M68" s="683">
        <f>VLOOKUP($B68,'Comparisons-24'!$B$35:$P$74, 2, FALSE)</f>
        <v>3000449</v>
      </c>
      <c r="N68" s="683">
        <f>VLOOKUP($B68,'Comparisons-25'!$B$35:$AB$74, 2, FALSE)</f>
        <v>3606217</v>
      </c>
      <c r="O68" s="683">
        <f>VLOOKUP($B68,'Comparisons-26'!$B$35:$BR$72, 2, FALSE)</f>
        <v>3842698.1999999997</v>
      </c>
      <c r="Q68" s="729">
        <f>VLOOKUP($B68,'S6C-Combo-24'!$B$11:$BY$50,76, FALSE)</f>
        <v>3000448.5</v>
      </c>
      <c r="R68" s="729">
        <f>VLOOKUP(B68, 'S6C-Combo-25'!$B$11:$BZ$50, 77, FALSE)</f>
        <v>3606217.1999999997</v>
      </c>
      <c r="S68" s="729">
        <f>VLOOKUP(B68, 'S6C-Combo-26'!$B$12:$BZ$49, 77, FALSE)</f>
        <v>3842698.1999999997</v>
      </c>
    </row>
    <row r="69" spans="1:31" ht="15">
      <c r="A69" s="584" t="s">
        <v>115</v>
      </c>
      <c r="B69" s="585" t="s">
        <v>117</v>
      </c>
      <c r="C69" s="584"/>
      <c r="D69" s="609">
        <f t="shared" si="13"/>
        <v>501123.76901444077</v>
      </c>
      <c r="E69" s="706" t="s">
        <v>236</v>
      </c>
      <c r="F69" s="609">
        <f t="shared" si="14"/>
        <v>562495.16333001666</v>
      </c>
      <c r="G69" s="689">
        <f t="shared" si="5"/>
        <v>61371.39431557589</v>
      </c>
      <c r="H69" s="707">
        <f t="shared" si="6"/>
        <v>0.12246753818178471</v>
      </c>
      <c r="I69" s="709"/>
      <c r="K69" s="572" t="s">
        <v>117</v>
      </c>
      <c r="M69" s="683">
        <f>VLOOKUP($B69,'Comparisons-24'!$B$35:$P$74, 2, FALSE)</f>
        <v>526130</v>
      </c>
      <c r="N69" s="683">
        <f>VLOOKUP($B69,'Comparisons-25'!$B$35:$AB$74, 2, FALSE)</f>
        <v>506115</v>
      </c>
      <c r="O69" s="683">
        <f>VLOOKUP($B69,'Comparisons-26'!$B$35:$BR$72, 2, FALSE)</f>
        <v>471126.30704332248</v>
      </c>
      <c r="Q69" s="729">
        <f>VLOOKUP($B69,'S6C-Combo-24'!$B$11:$BY$50,76, FALSE)</f>
        <v>537600.3509749372</v>
      </c>
      <c r="R69" s="729">
        <f>VLOOKUP(B69, 'S6C-Combo-25'!$B$11:$BZ$50, 77, FALSE)</f>
        <v>592907.50581809005</v>
      </c>
      <c r="S69" s="729">
        <f>VLOOKUP(B69, 'S6C-Combo-26'!$B$12:$BZ$49, 77, FALSE)</f>
        <v>556977.63319702272</v>
      </c>
    </row>
    <row r="70" spans="1:31" ht="15">
      <c r="A70" s="584" t="s">
        <v>115</v>
      </c>
      <c r="B70" s="585" t="s">
        <v>118</v>
      </c>
      <c r="C70" s="584"/>
      <c r="D70" s="609">
        <f t="shared" si="13"/>
        <v>3271539.9085863479</v>
      </c>
      <c r="E70" s="706" t="s">
        <v>236</v>
      </c>
      <c r="F70" s="609">
        <f t="shared" si="14"/>
        <v>3503914.8334668074</v>
      </c>
      <c r="G70" s="689">
        <f t="shared" si="5"/>
        <v>232374.92488045944</v>
      </c>
      <c r="H70" s="707">
        <f t="shared" si="6"/>
        <v>7.1029219075267228E-2</v>
      </c>
      <c r="I70" s="572" t="s">
        <v>266</v>
      </c>
      <c r="K70" s="572" t="s">
        <v>415</v>
      </c>
      <c r="M70" s="683">
        <f>VLOOKUP($B70,'Comparisons-24'!$B$35:$P$74, 2, FALSE)</f>
        <v>3187292</v>
      </c>
      <c r="N70" s="683">
        <f>VLOOKUP($B70,'Comparisons-25'!$B$35:$AB$74, 2, FALSE)</f>
        <v>3433985</v>
      </c>
      <c r="O70" s="683">
        <f>VLOOKUP($B70,'Comparisons-26'!$B$35:$BR$72, 2, FALSE)</f>
        <v>3193342.7257590448</v>
      </c>
      <c r="Q70" s="729">
        <f>VLOOKUP($B70,'S6C-Combo-24'!$B$11:$BY$50,76, FALSE)</f>
        <v>3187292.4</v>
      </c>
      <c r="R70" s="729">
        <f>VLOOKUP(B70, 'S6C-Combo-25'!$B$11:$BZ$50, 77, FALSE)</f>
        <v>3759420.9465803183</v>
      </c>
      <c r="S70" s="729">
        <f>VLOOKUP(B70, 'S6C-Combo-26'!$B$12:$BZ$49, 77, FALSE)</f>
        <v>3565031.1538201035</v>
      </c>
    </row>
    <row r="71" spans="1:31" ht="15">
      <c r="A71" s="584" t="s">
        <v>115</v>
      </c>
      <c r="B71" s="585" t="s">
        <v>119</v>
      </c>
      <c r="C71" s="584"/>
      <c r="D71" s="609">
        <f t="shared" si="13"/>
        <v>199411.47824592108</v>
      </c>
      <c r="E71" s="706" t="s">
        <v>236</v>
      </c>
      <c r="F71" s="609">
        <f t="shared" si="14"/>
        <v>224517.25357945592</v>
      </c>
      <c r="G71" s="689">
        <f t="shared" si="5"/>
        <v>25105.775333534839</v>
      </c>
      <c r="H71" s="707">
        <f t="shared" si="6"/>
        <v>0.1258993491968077</v>
      </c>
      <c r="K71" s="572" t="s">
        <v>119</v>
      </c>
      <c r="M71" s="683">
        <f>VLOOKUP($B71,'Comparisons-24'!$B$35:$P$74, 2, FALSE)</f>
        <v>211380</v>
      </c>
      <c r="N71" s="683">
        <f>VLOOKUP($B71,'Comparisons-25'!$B$35:$AB$74, 2, FALSE)</f>
        <v>204230</v>
      </c>
      <c r="O71" s="683">
        <f>VLOOKUP($B71,'Comparisons-26'!$B$35:$BR$72, 2, FALSE)</f>
        <v>182624.43473776325</v>
      </c>
      <c r="Q71" s="729">
        <f>VLOOKUP($B71,'S6C-Combo-24'!$B$11:$BY$50,76, FALSE)</f>
        <v>236424.3</v>
      </c>
      <c r="R71" s="729">
        <f>VLOOKUP(B71, 'S6C-Combo-25'!$B$11:$BZ$50, 77, FALSE)</f>
        <v>220944.3</v>
      </c>
      <c r="S71" s="729">
        <f>VLOOKUP(B71, 'S6C-Combo-26'!$B$12:$BZ$49, 77, FALSE)</f>
        <v>216183.16073836779</v>
      </c>
    </row>
    <row r="72" spans="1:31" ht="15">
      <c r="A72" s="584" t="s">
        <v>120</v>
      </c>
      <c r="B72" s="585" t="s">
        <v>121</v>
      </c>
      <c r="C72" s="584"/>
      <c r="D72" s="609">
        <f t="shared" si="13"/>
        <v>657710.18017678906</v>
      </c>
      <c r="E72" s="706" t="s">
        <v>236</v>
      </c>
      <c r="F72" s="609">
        <f t="shared" si="14"/>
        <v>794735.60483024083</v>
      </c>
      <c r="G72" s="689">
        <f t="shared" si="5"/>
        <v>137025.42465345177</v>
      </c>
      <c r="H72" s="707">
        <f t="shared" si="6"/>
        <v>0.20833708947095825</v>
      </c>
      <c r="I72" s="709"/>
      <c r="K72" s="572" t="s">
        <v>416</v>
      </c>
      <c r="M72" s="683">
        <f>VLOOKUP($B72,'Comparisons-24'!$B$35:$P$74, 2, FALSE)</f>
        <v>693794</v>
      </c>
      <c r="N72" s="683">
        <f>VLOOKUP($B72,'Comparisons-25'!$B$35:$AB$74, 2, FALSE)</f>
        <v>661136</v>
      </c>
      <c r="O72" s="683">
        <f>VLOOKUP($B72,'Comparisons-26'!$B$35:$BR$72, 2, FALSE)</f>
        <v>618200.54053036741</v>
      </c>
      <c r="Q72" s="729">
        <f>VLOOKUP($B72,'S6C-Combo-24'!$B$11:$BY$50,76, FALSE)</f>
        <v>770302.31758331496</v>
      </c>
      <c r="R72" s="729">
        <f>VLOOKUP(B72, 'S6C-Combo-25'!$B$11:$BZ$50, 77, FALSE)</f>
        <v>837759.22382720502</v>
      </c>
      <c r="S72" s="729">
        <f>VLOOKUP(B72, 'S6C-Combo-26'!$B$12:$BZ$49, 77, FALSE)</f>
        <v>776145.27308020263</v>
      </c>
    </row>
    <row r="73" spans="1:31" ht="15">
      <c r="A73" s="584" t="s">
        <v>120</v>
      </c>
      <c r="B73" s="585" t="s">
        <v>122</v>
      </c>
      <c r="C73" s="584"/>
      <c r="D73" s="609">
        <f t="shared" si="13"/>
        <v>1997492.8666666665</v>
      </c>
      <c r="E73" s="706" t="s">
        <v>236</v>
      </c>
      <c r="F73" s="609">
        <f t="shared" si="14"/>
        <v>1997493</v>
      </c>
      <c r="G73" s="689">
        <f t="shared" si="5"/>
        <v>0.13333333353511989</v>
      </c>
      <c r="H73" s="707">
        <f t="shared" si="6"/>
        <v>6.6750342772247821E-8</v>
      </c>
      <c r="I73" s="709"/>
      <c r="K73" s="572" t="s">
        <v>267</v>
      </c>
      <c r="M73" s="683">
        <f>VLOOKUP($B73,'Comparisons-24'!$B$35:$P$74, 2, FALSE)</f>
        <v>1788201</v>
      </c>
      <c r="N73" s="683">
        <f>VLOOKUP($B73,'Comparisons-25'!$B$35:$AB$74, 2, FALSE)</f>
        <v>1973597</v>
      </c>
      <c r="O73" s="683">
        <f>VLOOKUP($B73,'Comparisons-26'!$B$35:$BR$72, 2, FALSE)</f>
        <v>2230680.6</v>
      </c>
      <c r="Q73" s="729">
        <f>VLOOKUP($B73,'S6C-Combo-24'!$B$11:$BY$50,76, FALSE)</f>
        <v>1788201</v>
      </c>
      <c r="R73" s="729">
        <f>VLOOKUP(B73, 'S6C-Combo-25'!$B$11:$BZ$50, 77, FALSE)</f>
        <v>1973597.4</v>
      </c>
      <c r="S73" s="729">
        <f>VLOOKUP(B73, 'S6C-Combo-26'!$B$12:$BZ$49, 77, FALSE)</f>
        <v>2230680.6</v>
      </c>
    </row>
    <row r="74" spans="1:31" ht="15">
      <c r="A74" s="584" t="s">
        <v>120</v>
      </c>
      <c r="B74" s="585" t="s">
        <v>123</v>
      </c>
      <c r="C74" s="584"/>
      <c r="D74" s="609">
        <f t="shared" si="13"/>
        <v>487667.35765267425</v>
      </c>
      <c r="E74" s="706" t="s">
        <v>236</v>
      </c>
      <c r="F74" s="609">
        <f t="shared" si="14"/>
        <v>490468.2512099336</v>
      </c>
      <c r="G74" s="689">
        <f t="shared" si="5"/>
        <v>2800.8935572593473</v>
      </c>
      <c r="H74" s="707">
        <f t="shared" si="6"/>
        <v>5.7434509677684754E-3</v>
      </c>
      <c r="I74" s="709"/>
      <c r="K74" s="572" t="s">
        <v>123</v>
      </c>
      <c r="M74" s="683">
        <f>VLOOKUP($B74,'Comparisons-24'!$B$35:$P$74, 2, FALSE)</f>
        <v>427114</v>
      </c>
      <c r="N74" s="683">
        <f>VLOOKUP($B74,'Comparisons-25'!$B$35:$AB$74, 2, FALSE)</f>
        <v>522225</v>
      </c>
      <c r="O74" s="683">
        <f>VLOOKUP($B74,'Comparisons-26'!$B$35:$BR$72, 2, FALSE)</f>
        <v>513663.07295802294</v>
      </c>
      <c r="Q74" s="729">
        <f>VLOOKUP($B74,'S6C-Combo-24'!$B$11:$BY$50,76, FALSE)</f>
        <v>427113.89999999997</v>
      </c>
      <c r="R74" s="729">
        <f>VLOOKUP(B74, 'S6C-Combo-25'!$B$11:$BZ$50, 77, FALSE)</f>
        <v>507612.11179567844</v>
      </c>
      <c r="S74" s="729">
        <f>VLOOKUP(B74, 'S6C-Combo-26'!$B$12:$BZ$49, 77, FALSE)</f>
        <v>536678.74183412245</v>
      </c>
    </row>
    <row r="75" spans="1:31" ht="15">
      <c r="A75" s="584" t="s">
        <v>124</v>
      </c>
      <c r="B75" s="585" t="s">
        <v>125</v>
      </c>
      <c r="C75" s="584"/>
      <c r="D75" s="609">
        <f t="shared" si="13"/>
        <v>1190937.3236635181</v>
      </c>
      <c r="E75" s="706" t="s">
        <v>236</v>
      </c>
      <c r="F75" s="609">
        <f t="shared" si="14"/>
        <v>1208907.012607916</v>
      </c>
      <c r="G75" s="689">
        <f t="shared" si="5"/>
        <v>17969.68894439796</v>
      </c>
      <c r="H75" s="707">
        <f t="shared" si="6"/>
        <v>1.5088694079315826E-2</v>
      </c>
      <c r="K75" s="572" t="s">
        <v>125</v>
      </c>
      <c r="M75" s="683">
        <f>VLOOKUP($B75,'Comparisons-24'!$B$35:$P$74, 2, FALSE)</f>
        <v>1391292</v>
      </c>
      <c r="N75" s="683">
        <f>VLOOKUP($B75,'Comparisons-25'!$B$35:$AB$74, 2, FALSE)</f>
        <v>1179698</v>
      </c>
      <c r="O75" s="683">
        <f>VLOOKUP($B75,'Comparisons-26'!$B$35:$BR$72, 2, FALSE)</f>
        <v>1001821.9709905545</v>
      </c>
      <c r="Q75" s="729">
        <f>VLOOKUP($B75,'S6C-Combo-24'!$B$11:$BY$50,76, FALSE)</f>
        <v>1264122.8158251578</v>
      </c>
      <c r="R75" s="729">
        <f>VLOOKUP(B75, 'S6C-Combo-25'!$B$11:$BZ$50, 77, FALSE)</f>
        <v>1201131.2048783908</v>
      </c>
      <c r="S75" s="729">
        <f>VLOOKUP(B75, 'S6C-Combo-26'!$B$12:$BZ$49, 77, FALSE)</f>
        <v>1161467.0171201997</v>
      </c>
      <c r="T75" s="689">
        <f>Q75-M75</f>
        <v>-127169.1841748422</v>
      </c>
      <c r="U75" s="708">
        <f>T75/M75</f>
        <v>-9.1403662333171043E-2</v>
      </c>
      <c r="V75" s="689">
        <f>R75-N75</f>
        <v>21433.204878390767</v>
      </c>
      <c r="W75" s="708">
        <f>V75/N75</f>
        <v>1.816838282203646E-2</v>
      </c>
      <c r="X75" s="689">
        <f>S75-O75</f>
        <v>159645.0461296452</v>
      </c>
      <c r="Y75" s="708">
        <f>X75/O75</f>
        <v>0.15935470647723535</v>
      </c>
    </row>
    <row r="76" spans="1:31" ht="15">
      <c r="A76" s="584" t="s">
        <v>124</v>
      </c>
      <c r="B76" s="585" t="s">
        <v>126</v>
      </c>
      <c r="C76" s="584"/>
      <c r="D76" s="609">
        <f t="shared" si="13"/>
        <v>189467.63333333333</v>
      </c>
      <c r="E76" s="706" t="s">
        <v>236</v>
      </c>
      <c r="F76" s="609">
        <f t="shared" si="14"/>
        <v>189467.80000000002</v>
      </c>
      <c r="G76" s="689">
        <f t="shared" si="5"/>
        <v>0.16666666668606922</v>
      </c>
      <c r="H76" s="707">
        <f t="shared" si="6"/>
        <v>8.796577217642761E-7</v>
      </c>
      <c r="K76" s="572" t="s">
        <v>126</v>
      </c>
      <c r="M76" s="683">
        <f>VLOOKUP($B76,'Comparisons-24'!$B$35:$P$74, 2, FALSE)</f>
        <v>172014</v>
      </c>
      <c r="N76" s="683">
        <f>VLOOKUP($B76,'Comparisons-25'!$B$35:$AB$74, 2, FALSE)</f>
        <v>214936</v>
      </c>
      <c r="O76" s="683">
        <f>VLOOKUP($B76,'Comparisons-26'!$B$35:$BR$72, 2, FALSE)</f>
        <v>181452.9</v>
      </c>
      <c r="Q76" s="729">
        <f>VLOOKUP($B76,'S6C-Combo-24'!$B$11:$BY$50,76, FALSE)</f>
        <v>172014.3</v>
      </c>
      <c r="R76" s="729">
        <f>VLOOKUP(B76, 'S6C-Combo-25'!$B$11:$BZ$50, 77, FALSE)</f>
        <v>214936.19999999998</v>
      </c>
      <c r="S76" s="729">
        <f>VLOOKUP(B76, 'S6C-Combo-26'!$B$12:$BZ$49, 77, FALSE)</f>
        <v>181452.9</v>
      </c>
      <c r="T76" s="689">
        <f>Q76-M76</f>
        <v>0.29999999998835847</v>
      </c>
      <c r="U76" s="708">
        <f>T76/M76</f>
        <v>1.744044089366903E-6</v>
      </c>
      <c r="V76" s="689">
        <f>R76-N76</f>
        <v>0.1999999999825377</v>
      </c>
      <c r="W76" s="708">
        <f>V76/N76</f>
        <v>9.3050954694670832E-7</v>
      </c>
      <c r="X76" s="689">
        <f>S76-O76</f>
        <v>0</v>
      </c>
      <c r="Y76" s="708">
        <f>X76/O76</f>
        <v>0</v>
      </c>
    </row>
    <row r="77" spans="1:31" ht="15">
      <c r="A77" s="584" t="s">
        <v>124</v>
      </c>
      <c r="B77" s="585" t="s">
        <v>127</v>
      </c>
      <c r="C77" s="584"/>
      <c r="D77" s="609">
        <f t="shared" si="13"/>
        <v>1563531.1897689884</v>
      </c>
      <c r="E77" s="706" t="s">
        <v>236</v>
      </c>
      <c r="F77" s="609">
        <f t="shared" si="14"/>
        <v>1393835.827061676</v>
      </c>
      <c r="G77" s="689">
        <f t="shared" si="5"/>
        <v>-169695.36270731245</v>
      </c>
      <c r="H77" s="707">
        <f t="shared" si="6"/>
        <v>-0.10853340426959114</v>
      </c>
      <c r="I77" s="709"/>
      <c r="K77" s="572" t="s">
        <v>127</v>
      </c>
      <c r="M77" s="683">
        <f>VLOOKUP($B77,'Comparisons-24'!$B$35:$P$74, 2, FALSE)</f>
        <v>1854386</v>
      </c>
      <c r="N77" s="683">
        <f>VLOOKUP($B77,'Comparisons-25'!$B$35:$AB$74, 2, FALSE)</f>
        <v>1873883</v>
      </c>
      <c r="O77" s="683">
        <f>VLOOKUP($B77,'Comparisons-26'!$B$35:$BR$72, 2, FALSE)</f>
        <v>962324.56930696522</v>
      </c>
      <c r="Q77" s="729">
        <f>VLOOKUP($B77,'S6C-Combo-24'!$B$11:$BY$50,76, FALSE)</f>
        <v>1589540.8630416887</v>
      </c>
      <c r="R77" s="729">
        <f>VLOOKUP(B77, 'S6C-Combo-25'!$B$11:$BZ$50, 77, FALSE)</f>
        <v>1687134.8208303447</v>
      </c>
      <c r="S77" s="729">
        <f>VLOOKUP(B77, 'S6C-Combo-26'!$B$12:$BZ$49, 77, FALSE)</f>
        <v>904831.7973129946</v>
      </c>
    </row>
    <row r="78" spans="1:31" ht="15">
      <c r="A78" s="584" t="s">
        <v>124</v>
      </c>
      <c r="B78" s="585" t="s">
        <v>128</v>
      </c>
      <c r="C78" s="584"/>
      <c r="D78" s="609">
        <f t="shared" si="13"/>
        <v>53872.552240582278</v>
      </c>
      <c r="E78" s="706" t="s">
        <v>236</v>
      </c>
      <c r="F78" s="609">
        <f t="shared" si="14"/>
        <v>60280.510021783157</v>
      </c>
      <c r="G78" s="689">
        <f t="shared" si="5"/>
        <v>6407.9577812008793</v>
      </c>
      <c r="H78" s="707">
        <f t="shared" si="6"/>
        <v>0.1189466159424642</v>
      </c>
      <c r="K78" s="572" t="s">
        <v>128</v>
      </c>
      <c r="M78" s="683">
        <f>VLOOKUP($B78,'Comparisons-24'!$B$35:$P$74, 2, FALSE)</f>
        <v>48603</v>
      </c>
      <c r="N78" s="683">
        <f>VLOOKUP($B78,'Comparisons-25'!$B$35:$AB$74, 2, FALSE)</f>
        <v>51181</v>
      </c>
      <c r="O78" s="683">
        <f>VLOOKUP($B78,'Comparisons-26'!$B$35:$BR$72, 2, FALSE)</f>
        <v>61833.656721746825</v>
      </c>
      <c r="Q78" s="729">
        <f>VLOOKUP($B78,'S6C-Combo-24'!$B$11:$BY$50,76, FALSE)</f>
        <v>48603</v>
      </c>
      <c r="R78" s="729">
        <f>VLOOKUP(B78, 'S6C-Combo-25'!$B$11:$BZ$50, 77, FALSE)</f>
        <v>51180.9</v>
      </c>
      <c r="S78" s="729">
        <f>VLOOKUP(B78, 'S6C-Combo-26'!$B$12:$BZ$49, 77, FALSE)</f>
        <v>81057.630065349484</v>
      </c>
      <c r="T78" s="689">
        <f>Q78-M78</f>
        <v>0</v>
      </c>
      <c r="U78" s="708">
        <f>T78/M78</f>
        <v>0</v>
      </c>
      <c r="V78" s="689">
        <f>R78-N78</f>
        <v>-9.9999999998544808E-2</v>
      </c>
      <c r="W78" s="708">
        <f>V78/N78</f>
        <v>-1.9538500615178447E-6</v>
      </c>
      <c r="X78" s="689">
        <f>S78-O78</f>
        <v>19223.973343602658</v>
      </c>
      <c r="Y78" s="708">
        <f>X78/O78</f>
        <v>0.31089821244295923</v>
      </c>
    </row>
    <row r="79" spans="1:31" ht="15">
      <c r="A79" s="584" t="s">
        <v>124</v>
      </c>
      <c r="B79" s="585" t="s">
        <v>129</v>
      </c>
      <c r="C79" s="584"/>
      <c r="D79" s="609">
        <f t="shared" si="13"/>
        <v>324336.18210457283</v>
      </c>
      <c r="E79" s="706" t="s">
        <v>236</v>
      </c>
      <c r="F79" s="609">
        <f t="shared" si="14"/>
        <v>337189.70962190785</v>
      </c>
      <c r="G79" s="689">
        <f t="shared" si="5"/>
        <v>12853.527517335024</v>
      </c>
      <c r="H79" s="707">
        <f t="shared" si="6"/>
        <v>3.9630260903764279E-2</v>
      </c>
      <c r="K79" s="572" t="s">
        <v>129</v>
      </c>
      <c r="M79" s="683">
        <f>VLOOKUP($B79,'Comparisons-24'!$B$35:$P$74, 2, FALSE)</f>
        <v>358161</v>
      </c>
      <c r="N79" s="683">
        <f>VLOOKUP($B79,'Comparisons-25'!$B$35:$AB$74, 2, FALSE)</f>
        <v>324509</v>
      </c>
      <c r="O79" s="683">
        <f>VLOOKUP($B79,'Comparisons-26'!$B$35:$BR$72, 2, FALSE)</f>
        <v>290338.54631371854</v>
      </c>
      <c r="Q79" s="729">
        <f>VLOOKUP($B79,'S6C-Combo-24'!$B$11:$BY$50,76, FALSE)</f>
        <v>369669.65467525565</v>
      </c>
      <c r="R79" s="729">
        <f>VLOOKUP(B79, 'S6C-Combo-25'!$B$11:$BZ$50, 77, FALSE)</f>
        <v>340187.67942508718</v>
      </c>
      <c r="S79" s="729">
        <f>VLOOKUP(B79, 'S6C-Combo-26'!$B$12:$BZ$49, 77, FALSE)</f>
        <v>301711.79476538062</v>
      </c>
      <c r="T79" s="689">
        <f>Q79-M79</f>
        <v>11508.654675255646</v>
      </c>
      <c r="U79" s="708">
        <f>T79/M79</f>
        <v>3.2132629390848377E-2</v>
      </c>
      <c r="V79" s="689">
        <f>R79-N79</f>
        <v>15678.679425087175</v>
      </c>
      <c r="W79" s="708">
        <f>V79/N79</f>
        <v>4.8315083480233757E-2</v>
      </c>
      <c r="X79" s="689">
        <f>S79-O79</f>
        <v>11373.248451662075</v>
      </c>
      <c r="Y79" s="708">
        <f>X79/O79</f>
        <v>3.9172368244115185E-2</v>
      </c>
    </row>
    <row r="80" spans="1:31" ht="15.75" thickBot="1">
      <c r="A80" s="597" t="s">
        <v>124</v>
      </c>
      <c r="B80" s="598" t="s">
        <v>130</v>
      </c>
      <c r="C80" s="597"/>
      <c r="D80" s="710">
        <f t="shared" si="13"/>
        <v>1082498.9905717103</v>
      </c>
      <c r="E80" s="711" t="s">
        <v>236</v>
      </c>
      <c r="F80" s="710">
        <f t="shared" si="14"/>
        <v>1108814.4249547664</v>
      </c>
      <c r="G80" s="712">
        <f t="shared" si="5"/>
        <v>26315.434383056127</v>
      </c>
      <c r="H80" s="713">
        <f t="shared" si="6"/>
        <v>2.430989276872943E-2</v>
      </c>
      <c r="K80" s="572" t="s">
        <v>130</v>
      </c>
      <c r="M80" s="683">
        <f>VLOOKUP($B80,'Comparisons-24'!$B$35:$P$74, 2, FALSE)</f>
        <v>1194300</v>
      </c>
      <c r="N80" s="683">
        <f>VLOOKUP($B80,'Comparisons-25'!$B$35:$AB$74, 2, FALSE)</f>
        <v>1086084</v>
      </c>
      <c r="O80" s="683">
        <f>VLOOKUP($B80,'Comparisons-26'!$B$35:$BR$72, 2, FALSE)</f>
        <v>967112.97171513084</v>
      </c>
      <c r="Q80" s="729">
        <f>VLOOKUP($B80,'S6C-Combo-24'!$B$11:$BY$50,76, FALSE)</f>
        <v>1148740.4351702591</v>
      </c>
      <c r="R80" s="729">
        <f>VLOOKUP(B80, 'S6C-Combo-25'!$B$11:$BZ$50, 77, FALSE)</f>
        <v>1132206.1577953494</v>
      </c>
      <c r="S80" s="729">
        <f>VLOOKUP(B80, 'S6C-Combo-26'!$B$12:$BZ$49, 77, FALSE)</f>
        <v>1045496.6818986906</v>
      </c>
      <c r="T80" s="689">
        <f>Q80-M80</f>
        <v>-45559.564829740906</v>
      </c>
      <c r="U80" s="708">
        <f>T80/M80</f>
        <v>-3.8147504671975974E-2</v>
      </c>
      <c r="V80" s="689">
        <f>R80-N80</f>
        <v>46122.157795349369</v>
      </c>
      <c r="W80" s="708">
        <f>V80/N80</f>
        <v>4.2466473859618013E-2</v>
      </c>
      <c r="X80" s="689">
        <f>S80-O80</f>
        <v>78383.7101835598</v>
      </c>
      <c r="Y80" s="708">
        <f>X80/O80</f>
        <v>8.1049176751863697E-2</v>
      </c>
    </row>
    <row r="81" spans="1:25" ht="15.75" thickTop="1">
      <c r="A81" s="714"/>
      <c r="B81" s="714"/>
      <c r="C81" s="714"/>
      <c r="D81" s="715">
        <f>SUM(D42:D80)</f>
        <v>129548415.6666667</v>
      </c>
      <c r="E81" s="714"/>
      <c r="F81" s="715">
        <f>SUM(F42:F80)</f>
        <v>129548416</v>
      </c>
      <c r="G81" s="716">
        <f>MIN(G42:G80)</f>
        <v>-1987921.1621404923</v>
      </c>
      <c r="H81" s="717">
        <f>MIN(H42:H80)</f>
        <v>-0.10853340426959114</v>
      </c>
      <c r="M81" s="697">
        <f>SUM(M42:M80)</f>
        <v>133266168</v>
      </c>
      <c r="N81" s="697">
        <f>SUM(N42:N80)</f>
        <v>128674210</v>
      </c>
      <c r="O81" s="697">
        <f>SUM(O42:O80)</f>
        <v>126704869.00000003</v>
      </c>
      <c r="Q81" s="697">
        <f>SUM(Q42:Q80)</f>
        <v>133266168</v>
      </c>
      <c r="R81" s="697">
        <f t="shared" ref="R81:S81" si="39">SUM(R42:R80)</f>
        <v>128674211.00000003</v>
      </c>
      <c r="S81" s="697" t="e">
        <f t="shared" si="39"/>
        <v>#N/A</v>
      </c>
    </row>
    <row r="83" spans="1:25" ht="15">
      <c r="B83" s="718" t="s">
        <v>268</v>
      </c>
      <c r="D83" s="588">
        <f>SUMIF($I$42:$I$80, "Urban", D42:D80)</f>
        <v>110880613.46744327</v>
      </c>
      <c r="F83" s="588">
        <f>SUMIF($I$42:$I$80, "Urban", F42:F80)</f>
        <v>109981626.5724403</v>
      </c>
      <c r="G83" s="689">
        <f t="shared" ref="G83:G84" si="40">F83-D83</f>
        <v>-898986.89500297606</v>
      </c>
      <c r="H83" s="708">
        <f>G83/D83</f>
        <v>-8.1077013094533086E-3</v>
      </c>
      <c r="M83" s="588">
        <f>SUMIF($I$42:$I$80, "Urban", M42:M80)</f>
        <v>109293911</v>
      </c>
      <c r="N83" s="588">
        <f>SUMIF($I$42:$I$80, "Urban", N42:N80)</f>
        <v>111816549</v>
      </c>
      <c r="O83" s="588">
        <f>SUMIF($I$42:$I$80, "Urban", O42:O80)</f>
        <v>111531380.4023298</v>
      </c>
      <c r="Q83" s="588">
        <f>SUMIF($I$42:$I$80, "Urban", Q42:Q80)</f>
        <v>107875381.06263852</v>
      </c>
      <c r="R83" s="588">
        <f>SUMIF($I$42:$I$80, "Urban", R42:R80)</f>
        <v>111416922.90416995</v>
      </c>
      <c r="S83" s="588">
        <f>SUMIF($I$42:$I$80, "Urban", S42:S80)</f>
        <v>110652575.75051244</v>
      </c>
      <c r="T83" s="689">
        <f>Q83-M83</f>
        <v>-1418529.9373614788</v>
      </c>
      <c r="U83" s="708">
        <f>T83/M83</f>
        <v>-1.2979039036872591E-2</v>
      </c>
      <c r="V83" s="689">
        <f>R83-N83</f>
        <v>-399626.09583005309</v>
      </c>
      <c r="W83" s="708">
        <f>V83/N83</f>
        <v>-3.5739441022281334E-3</v>
      </c>
      <c r="X83" s="689">
        <f>S83-O83</f>
        <v>-878804.65181736648</v>
      </c>
      <c r="Y83" s="708">
        <f>X83/O83</f>
        <v>-7.8794384920838744E-3</v>
      </c>
    </row>
    <row r="84" spans="1:25" ht="15">
      <c r="B84" s="718" t="s">
        <v>269</v>
      </c>
      <c r="D84" s="588">
        <f>D81-D83</f>
        <v>18667802.199223429</v>
      </c>
      <c r="F84" s="588">
        <f>F81-F83</f>
        <v>19566789.427559704</v>
      </c>
      <c r="G84" s="689">
        <f t="shared" si="40"/>
        <v>898987.22833627462</v>
      </c>
      <c r="H84" s="708">
        <f>G84/D84</f>
        <v>4.8157100591823931E-2</v>
      </c>
      <c r="M84" s="588">
        <f>M81-M83</f>
        <v>23972257</v>
      </c>
      <c r="N84" s="588">
        <f>N81-N83</f>
        <v>16857661</v>
      </c>
      <c r="O84" s="588">
        <f>O81-O83</f>
        <v>15173488.597670227</v>
      </c>
      <c r="Q84" s="588">
        <f>Q81-Q83</f>
        <v>25390786.937361479</v>
      </c>
      <c r="R84" s="588">
        <f>R81-R83</f>
        <v>17257288.095830083</v>
      </c>
      <c r="S84" s="588" t="e">
        <f>S81-S83</f>
        <v>#N/A</v>
      </c>
      <c r="T84" s="689">
        <f>Q84-M84</f>
        <v>1418529.9373614788</v>
      </c>
      <c r="U84" s="708">
        <f t="shared" ref="U84" si="41">T84/M84</f>
        <v>5.9173816523053244E-2</v>
      </c>
      <c r="V84" s="689">
        <f t="shared" ref="V84" si="42">R84-N84</f>
        <v>399627.09583008289</v>
      </c>
      <c r="W84" s="708">
        <f t="shared" ref="W84" si="43">V84/N84</f>
        <v>2.3705963468483731E-2</v>
      </c>
      <c r="X84" s="689" t="e">
        <f t="shared" ref="X84" si="44">S84-O84</f>
        <v>#N/A</v>
      </c>
      <c r="Y84" s="708" t="e">
        <f t="shared" ref="Y84" si="45">X84/O84</f>
        <v>#N/A</v>
      </c>
    </row>
    <row r="88" spans="1:25" ht="15">
      <c r="R88" s="719">
        <f>(R42-Q42)/Q42</f>
        <v>-5.6118284749073072E-3</v>
      </c>
      <c r="S88" s="719">
        <f>(S42-R42)/R42</f>
        <v>-0.1063058397828852</v>
      </c>
    </row>
    <row r="89" spans="1:25" ht="15">
      <c r="B89" s="572" t="s">
        <v>171</v>
      </c>
      <c r="R89" s="719">
        <f t="shared" ref="R89:S104" si="46">(R43-Q43)/Q43</f>
        <v>-0.11976745725901498</v>
      </c>
      <c r="S89" s="719">
        <f t="shared" si="46"/>
        <v>-9.3442055695136111E-2</v>
      </c>
    </row>
    <row r="90" spans="1:25" ht="15">
      <c r="B90" s="572" t="s">
        <v>97</v>
      </c>
      <c r="D90" s="720">
        <v>17018.733333333334</v>
      </c>
      <c r="F90" s="721">
        <f t="shared" ref="F90:F127" si="47">VLOOKUP(B90, $B$42:$H$80, 5, FALSE)</f>
        <v>16110.27787392842</v>
      </c>
      <c r="G90" s="722">
        <f t="shared" ref="G90:G127" si="48">VLOOKUP(B90,$B$42:$H$80, 7, FALSE)</f>
        <v>-5.337973406196974E-2</v>
      </c>
      <c r="H90" s="572" t="s">
        <v>404</v>
      </c>
      <c r="I90" s="722" t="str">
        <f>H90&amp; " [" &amp;TEXT(G90, "0%;[Red]-0%") &amp;"]"</f>
        <v>PONY Express [-5%]</v>
      </c>
      <c r="R90" s="719">
        <f t="shared" si="46"/>
        <v>-3.7237413941025546E-2</v>
      </c>
      <c r="S90" s="719">
        <f t="shared" si="46"/>
        <v>-2.7058795831832752E-2</v>
      </c>
    </row>
    <row r="91" spans="1:25" ht="15">
      <c r="B91" s="572" t="s">
        <v>103</v>
      </c>
      <c r="D91" s="720">
        <v>41041.693335279859</v>
      </c>
      <c r="F91" s="721">
        <f t="shared" si="47"/>
        <v>45079.69999999999</v>
      </c>
      <c r="G91" s="722">
        <f t="shared" si="48"/>
        <v>9.8387915716163191E-2</v>
      </c>
      <c r="H91" s="572" t="s">
        <v>103</v>
      </c>
      <c r="I91" s="722" t="str">
        <f t="shared" ref="I91:I127" si="49">H91&amp; " [" &amp;TEXT(G91, "0%;[Red]-0%") &amp;"]"</f>
        <v>Town of Altavista [10%]</v>
      </c>
      <c r="R91" s="719">
        <f t="shared" si="46"/>
        <v>-6.7678170340393735E-3</v>
      </c>
      <c r="S91" s="719">
        <f t="shared" si="46"/>
        <v>1.7242757205622166E-3</v>
      </c>
    </row>
    <row r="92" spans="1:25" ht="15">
      <c r="B92" s="572" t="s">
        <v>128</v>
      </c>
      <c r="D92" s="720">
        <v>53872.552240582278</v>
      </c>
      <c r="F92" s="721">
        <f t="shared" si="47"/>
        <v>60280.510021783157</v>
      </c>
      <c r="G92" s="722">
        <f t="shared" si="48"/>
        <v>0.1189466159424642</v>
      </c>
      <c r="H92" s="572" t="s">
        <v>128</v>
      </c>
      <c r="I92" s="722" t="str">
        <f t="shared" si="49"/>
        <v>Lake Area [12%]</v>
      </c>
      <c r="R92" s="719">
        <f t="shared" si="46"/>
        <v>-3.6073496514232653E-2</v>
      </c>
      <c r="S92" s="719">
        <f t="shared" si="46"/>
        <v>-5.693328331177909E-2</v>
      </c>
    </row>
    <row r="93" spans="1:25" ht="15">
      <c r="B93" s="572" t="s">
        <v>94</v>
      </c>
      <c r="D93" s="720">
        <v>54768.189319748861</v>
      </c>
      <c r="F93" s="721">
        <f t="shared" si="47"/>
        <v>52927.059423436644</v>
      </c>
      <c r="G93" s="722">
        <f t="shared" si="48"/>
        <v>-3.3616774977958314E-2</v>
      </c>
      <c r="H93" s="572" t="s">
        <v>402</v>
      </c>
      <c r="I93" s="722" t="str">
        <f t="shared" si="49"/>
        <v>Greensville Co. [-3%]</v>
      </c>
      <c r="R93" s="719">
        <f t="shared" si="46"/>
        <v>-1.0304915096969059E-2</v>
      </c>
      <c r="S93" s="719">
        <f t="shared" si="46"/>
        <v>0.2240141212329908</v>
      </c>
    </row>
    <row r="94" spans="1:25" ht="15">
      <c r="B94" s="572" t="s">
        <v>84</v>
      </c>
      <c r="D94" s="720">
        <v>121343.8</v>
      </c>
      <c r="F94" s="721">
        <f t="shared" si="47"/>
        <v>121344</v>
      </c>
      <c r="G94" s="722">
        <f t="shared" si="48"/>
        <v>1.6482094676208395E-6</v>
      </c>
      <c r="H94" s="572" t="s">
        <v>84</v>
      </c>
      <c r="I94" s="722" t="str">
        <f t="shared" si="49"/>
        <v>City of Bristol Virginia [0%]</v>
      </c>
      <c r="R94" s="719">
        <f t="shared" si="46"/>
        <v>-3.5092255415080965E-2</v>
      </c>
      <c r="S94" s="719">
        <f t="shared" si="46"/>
        <v>9.4311379771490074E-4</v>
      </c>
    </row>
    <row r="95" spans="1:25" ht="15">
      <c r="B95" s="572" t="s">
        <v>87</v>
      </c>
      <c r="D95" s="720">
        <v>125488.87472202133</v>
      </c>
      <c r="F95" s="721">
        <f t="shared" si="47"/>
        <v>136770.77673886347</v>
      </c>
      <c r="G95" s="722">
        <f t="shared" si="48"/>
        <v>8.990360334199686E-2</v>
      </c>
      <c r="H95" s="572" t="s">
        <v>399</v>
      </c>
      <c r="I95" s="722" t="str">
        <f t="shared" si="49"/>
        <v>Bluefield-Graham  [9%]</v>
      </c>
      <c r="R95" s="719">
        <f t="shared" si="46"/>
        <v>-5.9113327017253241E-2</v>
      </c>
      <c r="S95" s="719">
        <f t="shared" si="46"/>
        <v>-4.0571458738681523E-2</v>
      </c>
    </row>
    <row r="96" spans="1:25" ht="15">
      <c r="B96" s="572" t="s">
        <v>126</v>
      </c>
      <c r="D96" s="720">
        <v>189467.63333333333</v>
      </c>
      <c r="F96" s="721">
        <f t="shared" si="47"/>
        <v>189467.80000000002</v>
      </c>
      <c r="G96" s="722">
        <f t="shared" si="48"/>
        <v>8.796577217642761E-7</v>
      </c>
      <c r="H96" s="572" t="s">
        <v>126</v>
      </c>
      <c r="I96" s="722" t="str">
        <f t="shared" si="49"/>
        <v>Blackstone Area Bus [0%]</v>
      </c>
      <c r="R96" s="719">
        <f t="shared" si="46"/>
        <v>0.10894872795722105</v>
      </c>
      <c r="S96" s="719">
        <f t="shared" si="46"/>
        <v>-5.3013907986533222E-2</v>
      </c>
    </row>
    <row r="97" spans="2:19" ht="15">
      <c r="B97" s="572" t="s">
        <v>101</v>
      </c>
      <c r="D97" s="720">
        <v>196263.86435138655</v>
      </c>
      <c r="F97" s="721">
        <f t="shared" si="47"/>
        <v>200739.19999999998</v>
      </c>
      <c r="G97" s="722">
        <f t="shared" si="48"/>
        <v>2.2802647157710527E-2</v>
      </c>
      <c r="H97" s="572" t="s">
        <v>101</v>
      </c>
      <c r="I97" s="722" t="str">
        <f t="shared" si="49"/>
        <v>Farmville Area Bus [2%]</v>
      </c>
      <c r="R97" s="719">
        <f t="shared" si="46"/>
        <v>-4.7662109225327556E-2</v>
      </c>
      <c r="S97" s="719">
        <f t="shared" si="46"/>
        <v>-2.754450790678371E-2</v>
      </c>
    </row>
    <row r="98" spans="2:19" ht="15">
      <c r="B98" s="572" t="s">
        <v>119</v>
      </c>
      <c r="D98" s="720">
        <v>199411.47824592108</v>
      </c>
      <c r="F98" s="721">
        <f t="shared" si="47"/>
        <v>224517.25357945592</v>
      </c>
      <c r="G98" s="722">
        <f t="shared" si="48"/>
        <v>0.1258993491968077</v>
      </c>
      <c r="H98" s="572" t="s">
        <v>119</v>
      </c>
      <c r="I98" s="722" t="str">
        <f t="shared" si="49"/>
        <v>Pulaski Area Transit [13%]</v>
      </c>
      <c r="R98" s="719">
        <f t="shared" si="46"/>
        <v>3.8156211906236887E-2</v>
      </c>
      <c r="S98" s="719">
        <f t="shared" si="46"/>
        <v>8.095385901128388E-2</v>
      </c>
    </row>
    <row r="99" spans="2:19" ht="15">
      <c r="B99" s="572" t="s">
        <v>129</v>
      </c>
      <c r="D99" s="720">
        <v>324336.18210457283</v>
      </c>
      <c r="F99" s="721">
        <f t="shared" si="47"/>
        <v>337189.70962190785</v>
      </c>
      <c r="G99" s="722">
        <f t="shared" si="48"/>
        <v>3.9630260903764279E-2</v>
      </c>
      <c r="H99" s="572" t="s">
        <v>129</v>
      </c>
      <c r="I99" s="722" t="str">
        <f t="shared" si="49"/>
        <v>RADAR [4%]</v>
      </c>
      <c r="R99" s="719">
        <f t="shared" si="46"/>
        <v>-0.33878081440812396</v>
      </c>
      <c r="S99" s="719">
        <f t="shared" si="46"/>
        <v>0.99441569387368067</v>
      </c>
    </row>
    <row r="100" spans="2:19" ht="15">
      <c r="B100" s="572" t="s">
        <v>96</v>
      </c>
      <c r="D100" s="720">
        <v>371186.63436863339</v>
      </c>
      <c r="F100" s="721">
        <f t="shared" si="47"/>
        <v>379553.60000000003</v>
      </c>
      <c r="G100" s="722">
        <f t="shared" si="48"/>
        <v>2.2541128523117123E-2</v>
      </c>
      <c r="H100" s="572" t="s">
        <v>96</v>
      </c>
      <c r="I100" s="722" t="str">
        <f t="shared" si="49"/>
        <v>STAR Transit [2%]</v>
      </c>
      <c r="R100" s="719">
        <f t="shared" si="46"/>
        <v>5.9803458710842201E-2</v>
      </c>
      <c r="S100" s="719">
        <f t="shared" si="46"/>
        <v>-1.779835700472536E-2</v>
      </c>
    </row>
    <row r="101" spans="2:19" ht="15">
      <c r="B101" s="572" t="s">
        <v>93</v>
      </c>
      <c r="D101" s="720">
        <v>430650.67377976741</v>
      </c>
      <c r="F101" s="721">
        <f t="shared" si="47"/>
        <v>471610.10120026255</v>
      </c>
      <c r="G101" s="722">
        <f t="shared" si="48"/>
        <v>9.5110561562575385E-2</v>
      </c>
      <c r="H101" s="572" t="s">
        <v>93</v>
      </c>
      <c r="I101" s="722" t="str">
        <f t="shared" si="49"/>
        <v>City of Suffolk [10%]</v>
      </c>
      <c r="R101" s="719">
        <f t="shared" si="46"/>
        <v>-0.13941790298597173</v>
      </c>
      <c r="S101" s="719">
        <f t="shared" si="46"/>
        <v>5.588725390595046E-3</v>
      </c>
    </row>
    <row r="102" spans="2:19" ht="15">
      <c r="B102" s="572" t="s">
        <v>123</v>
      </c>
      <c r="D102" s="720">
        <v>487667.35765267425</v>
      </c>
      <c r="F102" s="721">
        <f t="shared" si="47"/>
        <v>490468.2512099336</v>
      </c>
      <c r="G102" s="722">
        <f t="shared" si="48"/>
        <v>5.7434509677684754E-3</v>
      </c>
      <c r="H102" s="572" t="s">
        <v>123</v>
      </c>
      <c r="I102" s="722" t="str">
        <f t="shared" si="49"/>
        <v>City of Winchester [1%]</v>
      </c>
      <c r="R102" s="719">
        <f t="shared" si="46"/>
        <v>0.1601516861720034</v>
      </c>
      <c r="S102" s="719">
        <f t="shared" si="46"/>
        <v>-6.6454444852198881E-3</v>
      </c>
    </row>
    <row r="103" spans="2:19" ht="15">
      <c r="B103" s="572" t="s">
        <v>117</v>
      </c>
      <c r="D103" s="720">
        <v>501123.76901444077</v>
      </c>
      <c r="F103" s="721">
        <f t="shared" si="47"/>
        <v>562495.16333001666</v>
      </c>
      <c r="G103" s="722">
        <f t="shared" si="48"/>
        <v>0.12246753818178471</v>
      </c>
      <c r="H103" s="572" t="s">
        <v>117</v>
      </c>
      <c r="I103" s="722" t="str">
        <f t="shared" si="49"/>
        <v>City of Radford [12%]</v>
      </c>
      <c r="R103" s="719">
        <f t="shared" si="46"/>
        <v>-9.4674281645714065E-2</v>
      </c>
      <c r="S103" s="719">
        <f t="shared" si="46"/>
        <v>-6.5077470226788572E-2</v>
      </c>
    </row>
    <row r="104" spans="2:19" ht="15">
      <c r="B104" s="572" t="s">
        <v>83</v>
      </c>
      <c r="D104" s="720">
        <v>625122.73690211866</v>
      </c>
      <c r="F104" s="721">
        <f t="shared" si="47"/>
        <v>649026.803888942</v>
      </c>
      <c r="G104" s="722">
        <f t="shared" si="48"/>
        <v>3.8238997841101116E-2</v>
      </c>
      <c r="H104" s="572" t="s">
        <v>396</v>
      </c>
      <c r="I104" s="722" t="str">
        <f t="shared" si="49"/>
        <v>AASC/ 4 County [4%]</v>
      </c>
      <c r="R104" s="719">
        <f t="shared" si="46"/>
        <v>0.64370896546607803</v>
      </c>
      <c r="S104" s="719">
        <f t="shared" si="46"/>
        <v>-6.5111057201369726E-2</v>
      </c>
    </row>
    <row r="105" spans="2:19" ht="15">
      <c r="B105" s="572" t="s">
        <v>86</v>
      </c>
      <c r="D105" s="720">
        <v>642599.53505679057</v>
      </c>
      <c r="F105" s="721">
        <f t="shared" si="47"/>
        <v>647500</v>
      </c>
      <c r="G105" s="722">
        <f t="shared" si="48"/>
        <v>7.6260013832352763E-3</v>
      </c>
      <c r="H105" s="572" t="s">
        <v>398</v>
      </c>
      <c r="I105" s="722" t="str">
        <f t="shared" si="49"/>
        <v>MEOC [1%]</v>
      </c>
      <c r="R105" s="719">
        <f t="shared" ref="R105:S109" si="50">(R59-Q59)/Q59</f>
        <v>5.9465465593066612E-2</v>
      </c>
      <c r="S105" s="719">
        <f t="shared" si="50"/>
        <v>0.26618480327353916</v>
      </c>
    </row>
    <row r="106" spans="2:19" ht="15">
      <c r="B106" s="572" t="s">
        <v>121</v>
      </c>
      <c r="D106" s="720">
        <v>657710.18017678906</v>
      </c>
      <c r="F106" s="721">
        <f t="shared" si="47"/>
        <v>794735.60483024083</v>
      </c>
      <c r="G106" s="722">
        <f t="shared" si="48"/>
        <v>0.20833708947095825</v>
      </c>
      <c r="H106" s="572" t="s">
        <v>416</v>
      </c>
      <c r="I106" s="722" t="str">
        <f t="shared" si="49"/>
        <v>CSPDC [21%]</v>
      </c>
      <c r="R106" s="719">
        <f t="shared" si="50"/>
        <v>-0.15853576066811551</v>
      </c>
      <c r="S106" s="719">
        <f t="shared" si="50"/>
        <v>1.2792476697999556E-2</v>
      </c>
    </row>
    <row r="107" spans="2:19" ht="15">
      <c r="B107" s="572" t="s">
        <v>85</v>
      </c>
      <c r="D107" s="720">
        <v>742893.1932213885</v>
      </c>
      <c r="F107" s="721">
        <f t="shared" si="47"/>
        <v>734214.38113835629</v>
      </c>
      <c r="G107" s="723">
        <f t="shared" si="48"/>
        <v>-1.1682449324106076E-2</v>
      </c>
      <c r="H107" s="572" t="s">
        <v>397</v>
      </c>
      <c r="I107" s="722" t="str">
        <f t="shared" si="49"/>
        <v>District Three [-1%]</v>
      </c>
      <c r="R107" s="719">
        <f t="shared" si="50"/>
        <v>0.17451400245937479</v>
      </c>
      <c r="S107" s="719">
        <f t="shared" si="50"/>
        <v>2.1113072652806399E-2</v>
      </c>
    </row>
    <row r="108" spans="2:19" ht="15">
      <c r="B108" s="724" t="s">
        <v>100</v>
      </c>
      <c r="C108" s="724"/>
      <c r="D108" s="725">
        <v>832018.76885929203</v>
      </c>
      <c r="E108" s="724"/>
      <c r="F108" s="726">
        <f t="shared" si="47"/>
        <v>869964.8939436489</v>
      </c>
      <c r="G108" s="727">
        <f t="shared" si="48"/>
        <v>4.5607294576276776E-2</v>
      </c>
      <c r="H108" s="572" t="s">
        <v>406</v>
      </c>
      <c r="I108" s="722" t="str">
        <f t="shared" si="49"/>
        <v>DTS [5%]</v>
      </c>
      <c r="R108" s="719">
        <f t="shared" si="50"/>
        <v>3.1780888082592031E-2</v>
      </c>
      <c r="S108" s="719">
        <f t="shared" si="50"/>
        <v>2.0902540969222585E-2</v>
      </c>
    </row>
    <row r="109" spans="2:19" ht="15">
      <c r="B109" s="572" t="s">
        <v>91</v>
      </c>
      <c r="D109" s="720">
        <v>1071485.0448851464</v>
      </c>
      <c r="F109" s="721">
        <f t="shared" si="47"/>
        <v>996259.94143299304</v>
      </c>
      <c r="G109" s="723">
        <f t="shared" si="48"/>
        <v>-7.0206396077340347E-2</v>
      </c>
      <c r="H109" s="572" t="s">
        <v>401</v>
      </c>
      <c r="I109" s="722" t="str">
        <f t="shared" si="49"/>
        <v>FXBGO! [-7%]</v>
      </c>
      <c r="R109" s="719">
        <f t="shared" si="50"/>
        <v>4.4164170449466243E-3</v>
      </c>
      <c r="S109" s="719">
        <f t="shared" si="50"/>
        <v>-9.1203976555273333E-2</v>
      </c>
    </row>
    <row r="110" spans="2:19" ht="15">
      <c r="B110" s="572" t="s">
        <v>130</v>
      </c>
      <c r="D110" s="683">
        <v>1082498.9905717103</v>
      </c>
      <c r="F110" s="728">
        <f t="shared" si="47"/>
        <v>1108814.4249547664</v>
      </c>
      <c r="G110" s="722">
        <f t="shared" si="48"/>
        <v>2.430989276872943E-2</v>
      </c>
      <c r="H110" s="572" t="s">
        <v>130</v>
      </c>
      <c r="I110" s="722" t="str">
        <f t="shared" si="49"/>
        <v>VRT [2%]</v>
      </c>
      <c r="R110" s="719"/>
      <c r="S110" s="719"/>
    </row>
    <row r="111" spans="2:19" ht="15">
      <c r="B111" s="572" t="s">
        <v>125</v>
      </c>
      <c r="D111" s="683">
        <v>1190937.3236635181</v>
      </c>
      <c r="F111" s="728">
        <f t="shared" si="47"/>
        <v>1208907.012607916</v>
      </c>
      <c r="G111" s="722">
        <f t="shared" si="48"/>
        <v>1.5088694079315826E-2</v>
      </c>
      <c r="H111" s="572" t="s">
        <v>125</v>
      </c>
      <c r="I111" s="722" t="str">
        <f t="shared" si="49"/>
        <v>Bay Aging [2%]</v>
      </c>
      <c r="R111" s="719">
        <f t="shared" ref="R111:S126" si="51">(R65-Q65)/Q65</f>
        <v>-3.2351412258438884E-2</v>
      </c>
      <c r="S111" s="719">
        <f t="shared" si="51"/>
        <v>2.4617879511370566E-2</v>
      </c>
    </row>
    <row r="112" spans="2:19" ht="15">
      <c r="B112" s="572" t="s">
        <v>113</v>
      </c>
      <c r="D112" s="683">
        <v>1198958.8926709832</v>
      </c>
      <c r="F112" s="728">
        <f t="shared" si="47"/>
        <v>1176233.1534954421</v>
      </c>
      <c r="G112" s="722">
        <f t="shared" si="48"/>
        <v>-1.8954560756385717E-2</v>
      </c>
      <c r="H112" s="572" t="s">
        <v>413</v>
      </c>
      <c r="I112" s="722" t="str">
        <f t="shared" si="49"/>
        <v>PAT (Petersburg) [-2%]</v>
      </c>
      <c r="R112" s="719">
        <f t="shared" si="51"/>
        <v>3.1897970951746756E-2</v>
      </c>
      <c r="S112" s="719">
        <f t="shared" si="51"/>
        <v>-0.17566112809800258</v>
      </c>
    </row>
    <row r="113" spans="2:19" ht="15">
      <c r="B113" s="572" t="s">
        <v>127</v>
      </c>
      <c r="D113" s="683">
        <v>1563531.1897689884</v>
      </c>
      <c r="F113" s="728">
        <f t="shared" si="47"/>
        <v>1393835.827061676</v>
      </c>
      <c r="G113" s="722">
        <f t="shared" si="48"/>
        <v>-0.10853340426959114</v>
      </c>
      <c r="H113" s="572" t="s">
        <v>127</v>
      </c>
      <c r="I113" s="722" t="str">
        <f t="shared" si="49"/>
        <v>JAUNT [-11%]</v>
      </c>
      <c r="R113" s="719">
        <f t="shared" si="51"/>
        <v>0.17878915741585449</v>
      </c>
      <c r="S113" s="719">
        <f t="shared" si="51"/>
        <v>8.7701198112412754E-3</v>
      </c>
    </row>
    <row r="114" spans="2:19" ht="15">
      <c r="B114" s="572" t="s">
        <v>108</v>
      </c>
      <c r="D114" s="683">
        <v>1591498.2</v>
      </c>
      <c r="F114" s="728">
        <f t="shared" si="47"/>
        <v>1593222.7603526365</v>
      </c>
      <c r="G114" s="722">
        <f t="shared" si="48"/>
        <v>1.0836081075281778E-3</v>
      </c>
      <c r="H114" s="572" t="s">
        <v>411</v>
      </c>
      <c r="I114" s="722" t="str">
        <f t="shared" si="49"/>
        <v>City of Fairfax - CUE [0%]</v>
      </c>
      <c r="R114" s="719">
        <f t="shared" si="51"/>
        <v>0.2018927170388026</v>
      </c>
      <c r="S114" s="719">
        <f t="shared" si="51"/>
        <v>6.5575917057907662E-2</v>
      </c>
    </row>
    <row r="115" spans="2:19" ht="15">
      <c r="B115" s="572" t="s">
        <v>102</v>
      </c>
      <c r="D115" s="683">
        <v>1703062.0409783174</v>
      </c>
      <c r="F115" s="728">
        <f t="shared" si="47"/>
        <v>1973520.1457007106</v>
      </c>
      <c r="G115" s="722">
        <f t="shared" si="48"/>
        <v>0.15880695959087293</v>
      </c>
      <c r="H115" s="572" t="s">
        <v>407</v>
      </c>
      <c r="I115" s="722" t="str">
        <f t="shared" si="49"/>
        <v>GLTC (Lynchburg) [16%]</v>
      </c>
      <c r="R115" s="719">
        <f t="shared" si="51"/>
        <v>0.10287782502904515</v>
      </c>
      <c r="S115" s="719">
        <f t="shared" si="51"/>
        <v>-6.0599456523141026E-2</v>
      </c>
    </row>
    <row r="116" spans="2:19" ht="15">
      <c r="B116" s="572" t="s">
        <v>122</v>
      </c>
      <c r="D116" s="683">
        <v>1997492.8666666665</v>
      </c>
      <c r="F116" s="728">
        <f t="shared" si="47"/>
        <v>1997493</v>
      </c>
      <c r="G116" s="722">
        <f t="shared" si="48"/>
        <v>6.6750342772247821E-8</v>
      </c>
      <c r="H116" s="572" t="s">
        <v>267</v>
      </c>
      <c r="I116" s="722" t="str">
        <f t="shared" si="49"/>
        <v>HDPT (Harrisonburg) [0%]</v>
      </c>
      <c r="R116" s="719">
        <f t="shared" si="51"/>
        <v>0.17950299965585786</v>
      </c>
      <c r="S116" s="719">
        <f t="shared" si="51"/>
        <v>-5.1707376088606823E-2</v>
      </c>
    </row>
    <row r="117" spans="2:19" ht="15">
      <c r="B117" s="572" t="s">
        <v>98</v>
      </c>
      <c r="D117" s="683">
        <v>2281227.164313735</v>
      </c>
      <c r="F117" s="728">
        <f t="shared" si="47"/>
        <v>2314483.5</v>
      </c>
      <c r="G117" s="722">
        <f t="shared" si="48"/>
        <v>1.4578265683711327E-2</v>
      </c>
      <c r="H117" s="572" t="s">
        <v>405</v>
      </c>
      <c r="I117" s="722" t="str">
        <f t="shared" si="49"/>
        <v>WATA [1%]</v>
      </c>
      <c r="R117" s="719">
        <f t="shared" si="51"/>
        <v>-6.5475503152594719E-2</v>
      </c>
      <c r="S117" s="719">
        <f t="shared" si="51"/>
        <v>-2.1549047708550064E-2</v>
      </c>
    </row>
    <row r="118" spans="2:19" ht="15">
      <c r="B118" s="572" t="s">
        <v>89</v>
      </c>
      <c r="D118" s="683">
        <v>2971811.8341092449</v>
      </c>
      <c r="F118" s="728">
        <f t="shared" si="47"/>
        <v>2944165.9686593879</v>
      </c>
      <c r="G118" s="722">
        <f t="shared" si="48"/>
        <v>-9.3026971400238037E-3</v>
      </c>
      <c r="H118" s="572" t="s">
        <v>400</v>
      </c>
      <c r="I118" s="722" t="str">
        <f t="shared" si="49"/>
        <v>CAT [-1%]</v>
      </c>
      <c r="R118" s="719">
        <f t="shared" si="51"/>
        <v>8.7571989210059722E-2</v>
      </c>
      <c r="S118" s="719">
        <f t="shared" si="51"/>
        <v>-7.3546132342806395E-2</v>
      </c>
    </row>
    <row r="119" spans="2:19" ht="15">
      <c r="B119" s="572" t="s">
        <v>118</v>
      </c>
      <c r="D119" s="683">
        <v>3271539.9085863479</v>
      </c>
      <c r="F119" s="728">
        <f t="shared" si="47"/>
        <v>3503914.8334668074</v>
      </c>
      <c r="G119" s="722">
        <f t="shared" si="48"/>
        <v>7.1029219075267228E-2</v>
      </c>
      <c r="H119" s="572" t="s">
        <v>415</v>
      </c>
      <c r="I119" s="722" t="str">
        <f t="shared" si="49"/>
        <v>GRTC (Valley Metro) [7%]</v>
      </c>
      <c r="R119" s="719">
        <f t="shared" si="51"/>
        <v>0.10367760671199709</v>
      </c>
      <c r="S119" s="719">
        <f t="shared" si="51"/>
        <v>0.13026121740938665</v>
      </c>
    </row>
    <row r="120" spans="2:19" ht="15">
      <c r="B120" s="572" t="s">
        <v>116</v>
      </c>
      <c r="D120" s="683">
        <v>3483121.4</v>
      </c>
      <c r="F120" s="728">
        <f t="shared" si="47"/>
        <v>3483121.2999999993</v>
      </c>
      <c r="G120" s="722">
        <f t="shared" si="48"/>
        <v>-2.8709880901306956E-8</v>
      </c>
      <c r="H120" s="572" t="s">
        <v>116</v>
      </c>
      <c r="I120" s="722" t="str">
        <f t="shared" si="49"/>
        <v>Blacksburg Transit [-0%]</v>
      </c>
      <c r="R120" s="719">
        <f t="shared" si="51"/>
        <v>0.18847012891802042</v>
      </c>
      <c r="S120" s="719">
        <f t="shared" si="51"/>
        <v>5.726149822473852E-2</v>
      </c>
    </row>
    <row r="121" spans="2:19" ht="15">
      <c r="B121" s="572" t="s">
        <v>105</v>
      </c>
      <c r="D121" s="683">
        <v>3666511.5935658314</v>
      </c>
      <c r="F121" s="728">
        <f t="shared" si="47"/>
        <v>3558990.8146652873</v>
      </c>
      <c r="G121" s="722">
        <f t="shared" si="48"/>
        <v>-2.9325089027190512E-2</v>
      </c>
      <c r="H121" s="572" t="s">
        <v>408</v>
      </c>
      <c r="I121" s="722" t="str">
        <f t="shared" si="49"/>
        <v>Loudoun Co. [-3%]</v>
      </c>
      <c r="R121" s="719">
        <f t="shared" si="51"/>
        <v>-4.9830293511195889E-2</v>
      </c>
      <c r="S121" s="719">
        <f t="shared" si="51"/>
        <v>-3.3022360585667113E-2</v>
      </c>
    </row>
    <row r="122" spans="2:19" ht="15">
      <c r="B122" s="572" t="s">
        <v>106</v>
      </c>
      <c r="D122" s="683">
        <v>6007985.0073328475</v>
      </c>
      <c r="F122" s="728">
        <f t="shared" si="47"/>
        <v>6232255.6578226192</v>
      </c>
      <c r="G122" s="722">
        <f t="shared" si="48"/>
        <v>3.7328763340129113E-2</v>
      </c>
      <c r="H122" s="572" t="s">
        <v>409</v>
      </c>
      <c r="I122" s="722" t="str">
        <f t="shared" si="49"/>
        <v>Arlington Co. - ART [4%]</v>
      </c>
      <c r="R122" s="719">
        <f t="shared" si="51"/>
        <v>0.24952518482475003</v>
      </c>
      <c r="S122" s="719">
        <f t="shared" si="51"/>
        <v>-0.1557825066228955</v>
      </c>
    </row>
    <row r="123" spans="2:19" ht="15">
      <c r="B123" s="572" t="s">
        <v>111</v>
      </c>
      <c r="D123" s="683">
        <v>8187109.5606905362</v>
      </c>
      <c r="F123" s="728">
        <f t="shared" si="47"/>
        <v>7886314.5334388902</v>
      </c>
      <c r="G123" s="722">
        <f t="shared" si="48"/>
        <v>-3.6740075972096262E-2</v>
      </c>
      <c r="H123" s="572" t="s">
        <v>111</v>
      </c>
      <c r="I123" s="722" t="str">
        <f t="shared" si="49"/>
        <v>PRTC [-4%]</v>
      </c>
      <c r="R123" s="719">
        <f t="shared" si="51"/>
        <v>6.1397577160680027E-2</v>
      </c>
      <c r="S123" s="719">
        <f t="shared" si="51"/>
        <v>-0.46368731998094248</v>
      </c>
    </row>
    <row r="124" spans="2:19" ht="15">
      <c r="B124" s="572" t="s">
        <v>107</v>
      </c>
      <c r="D124" s="683">
        <v>9299604.085831793</v>
      </c>
      <c r="F124" s="728">
        <f t="shared" si="47"/>
        <v>9200264.1907354463</v>
      </c>
      <c r="G124" s="722">
        <f t="shared" si="48"/>
        <v>-1.0682163904987508E-2</v>
      </c>
      <c r="H124" s="572" t="s">
        <v>410</v>
      </c>
      <c r="I124" s="722" t="str">
        <f t="shared" si="49"/>
        <v>Alexandria - DASH [-1%]</v>
      </c>
      <c r="R124" s="719">
        <f t="shared" si="51"/>
        <v>5.303993580643173E-2</v>
      </c>
      <c r="S124" s="719">
        <f t="shared" si="51"/>
        <v>0.58374764932522638</v>
      </c>
    </row>
    <row r="125" spans="2:19" ht="15">
      <c r="B125" s="572" t="s">
        <v>114</v>
      </c>
      <c r="D125" s="683">
        <v>18853131.91607457</v>
      </c>
      <c r="F125" s="728">
        <f t="shared" si="47"/>
        <v>19657682.222010825</v>
      </c>
      <c r="G125" s="722">
        <f t="shared" si="48"/>
        <v>4.2674623479947028E-2</v>
      </c>
      <c r="H125" s="572" t="s">
        <v>414</v>
      </c>
      <c r="I125" s="722" t="str">
        <f t="shared" si="49"/>
        <v>GRTC (Richmond) [4%]</v>
      </c>
      <c r="R125" s="719">
        <f t="shared" si="51"/>
        <v>-7.9752218980666811E-2</v>
      </c>
      <c r="S125" s="719">
        <f t="shared" si="51"/>
        <v>-0.11310193456955969</v>
      </c>
    </row>
    <row r="126" spans="2:19" ht="15">
      <c r="B126" s="572" t="s">
        <v>95</v>
      </c>
      <c r="D126" s="683">
        <v>25537379.304951597</v>
      </c>
      <c r="F126" s="728">
        <f t="shared" si="47"/>
        <v>25865438.461442132</v>
      </c>
      <c r="G126" s="722">
        <f t="shared" si="48"/>
        <v>1.2846234242482555E-2</v>
      </c>
      <c r="H126" s="572" t="s">
        <v>403</v>
      </c>
      <c r="I126" s="722" t="str">
        <f t="shared" si="49"/>
        <v>HRT [1%]</v>
      </c>
      <c r="R126" s="719">
        <f t="shared" si="51"/>
        <v>-1.4393397210275025E-2</v>
      </c>
      <c r="S126" s="719">
        <f t="shared" si="51"/>
        <v>-7.6584529504327065E-2</v>
      </c>
    </row>
    <row r="127" spans="2:19" ht="12" customHeight="1">
      <c r="B127" s="572" t="s">
        <v>109</v>
      </c>
      <c r="D127" s="683">
        <v>25729693.491986766</v>
      </c>
      <c r="F127" s="728">
        <f t="shared" si="47"/>
        <v>23741772.329846274</v>
      </c>
      <c r="G127" s="722">
        <f t="shared" si="48"/>
        <v>-7.7261750621304873E-2</v>
      </c>
      <c r="H127" s="572" t="s">
        <v>412</v>
      </c>
      <c r="I127" s="722" t="str">
        <f t="shared" si="49"/>
        <v>Fairfax Connector [-8%]</v>
      </c>
      <c r="R127" s="719">
        <f t="shared" ref="R127:S127" si="52">(R81-Q81)/Q81</f>
        <v>-3.4457034886753626E-2</v>
      </c>
      <c r="S127" s="719" t="e">
        <f t="shared" si="52"/>
        <v>#N/A</v>
      </c>
    </row>
    <row r="128" spans="2:19" s="604" customFormat="1">
      <c r="B128" s="604" t="s">
        <v>270</v>
      </c>
      <c r="D128" s="603">
        <f>MEDIAN(D90:D127)</f>
        <v>951751.90687221917</v>
      </c>
    </row>
  </sheetData>
  <conditionalFormatting sqref="C28:C37">
    <cfRule type="cellIs" dxfId="422" priority="79" operator="lessThan">
      <formula>-200000</formula>
    </cfRule>
    <cfRule type="cellIs" dxfId="421" priority="80" operator="greaterThan">
      <formula>200000</formula>
    </cfRule>
  </conditionalFormatting>
  <conditionalFormatting sqref="E8:E24">
    <cfRule type="cellIs" dxfId="420" priority="81" operator="equal">
      <formula>"S5"</formula>
    </cfRule>
    <cfRule type="cellIs" dxfId="419" priority="92" operator="equal">
      <formula>"S1"</formula>
    </cfRule>
    <cfRule type="cellIs" dxfId="418" priority="91" operator="equal">
      <formula>"S2"</formula>
    </cfRule>
    <cfRule type="cellIs" dxfId="417" priority="90" operator="equal">
      <formula>"S3"</formula>
    </cfRule>
    <cfRule type="cellIs" dxfId="416" priority="89" operator="equal">
      <formula>"S4"</formula>
    </cfRule>
    <cfRule type="cellIs" dxfId="415" priority="82" operator="equal">
      <formula>"S6"</formula>
    </cfRule>
  </conditionalFormatting>
  <conditionalFormatting sqref="E28:E37">
    <cfRule type="cellIs" dxfId="414" priority="71" operator="equal">
      <formula>"S5"</formula>
    </cfRule>
    <cfRule type="cellIs" dxfId="413" priority="74" operator="equal">
      <formula>"S3"</formula>
    </cfRule>
    <cfRule type="cellIs" dxfId="412" priority="75" operator="equal">
      <formula>"S2"</formula>
    </cfRule>
    <cfRule type="cellIs" dxfId="411" priority="76" operator="equal">
      <formula>"S1"</formula>
    </cfRule>
    <cfRule type="cellIs" dxfId="410" priority="73" operator="equal">
      <formula>"S4"</formula>
    </cfRule>
    <cfRule type="cellIs" dxfId="409" priority="72" operator="equal">
      <formula>"S6"</formula>
    </cfRule>
  </conditionalFormatting>
  <conditionalFormatting sqref="E42:E80">
    <cfRule type="cellIs" dxfId="408" priority="69" operator="equal">
      <formula>"S2"</formula>
    </cfRule>
    <cfRule type="cellIs" dxfId="407" priority="68" operator="equal">
      <formula>"S3"</formula>
    </cfRule>
    <cfRule type="cellIs" dxfId="406" priority="67" operator="equal">
      <formula>"S4"</formula>
    </cfRule>
    <cfRule type="cellIs" dxfId="405" priority="66" operator="equal">
      <formula>"S6"</formula>
    </cfRule>
    <cfRule type="cellIs" dxfId="404" priority="65" operator="equal">
      <formula>"S5"</formula>
    </cfRule>
    <cfRule type="cellIs" dxfId="403" priority="70" operator="equal">
      <formula>"S1"</formula>
    </cfRule>
  </conditionalFormatting>
  <conditionalFormatting sqref="F3:F7">
    <cfRule type="cellIs" dxfId="402" priority="86" operator="equal">
      <formula>"S3"</formula>
    </cfRule>
    <cfRule type="cellIs" dxfId="401" priority="85" operator="equal">
      <formula>"S4"</formula>
    </cfRule>
    <cfRule type="expression" dxfId="400" priority="84">
      <formula>#REF!=Y3</formula>
    </cfRule>
    <cfRule type="cellIs" dxfId="399" priority="88" operator="equal">
      <formula>"S1"</formula>
    </cfRule>
    <cfRule type="cellIs" dxfId="398" priority="87" operator="equal">
      <formula>"S2"</formula>
    </cfRule>
  </conditionalFormatting>
  <conditionalFormatting sqref="F8:F24">
    <cfRule type="cellIs" dxfId="397" priority="83" operator="notEqual">
      <formula>$D8</formula>
    </cfRule>
  </conditionalFormatting>
  <conditionalFormatting sqref="G28:G37">
    <cfRule type="cellIs" dxfId="396" priority="78" operator="greaterThan">
      <formula>200000</formula>
    </cfRule>
    <cfRule type="cellIs" dxfId="395" priority="77" operator="lessThan">
      <formula>-200000</formula>
    </cfRule>
  </conditionalFormatting>
  <conditionalFormatting sqref="G42:G80">
    <cfRule type="cellIs" dxfId="394" priority="63" operator="lessThan">
      <formula>-200000</formula>
    </cfRule>
    <cfRule type="cellIs" dxfId="393" priority="64" operator="greaterThan">
      <formula>200000</formula>
    </cfRule>
  </conditionalFormatting>
  <conditionalFormatting sqref="G83:G84">
    <cfRule type="cellIs" dxfId="392" priority="62" operator="greaterThan">
      <formula>200000</formula>
    </cfRule>
    <cfRule type="cellIs" dxfId="391" priority="61" operator="lessThan">
      <formula>-200000</formula>
    </cfRule>
  </conditionalFormatting>
  <conditionalFormatting sqref="T42">
    <cfRule type="cellIs" dxfId="390" priority="11" operator="lessThan">
      <formula>-200000</formula>
    </cfRule>
    <cfRule type="cellIs" dxfId="389" priority="12" operator="greaterThan">
      <formula>200000</formula>
    </cfRule>
  </conditionalFormatting>
  <conditionalFormatting sqref="T45:T46">
    <cfRule type="cellIs" dxfId="388" priority="18" operator="greaterThan">
      <formula>200000</formula>
    </cfRule>
    <cfRule type="cellIs" dxfId="387" priority="17" operator="lessThan">
      <formula>-200000</formula>
    </cfRule>
  </conditionalFormatting>
  <conditionalFormatting sqref="T50">
    <cfRule type="cellIs" dxfId="386" priority="23" operator="lessThan">
      <formula>-200000</formula>
    </cfRule>
    <cfRule type="cellIs" dxfId="385" priority="24" operator="greaterThan">
      <formula>200000</formula>
    </cfRule>
  </conditionalFormatting>
  <conditionalFormatting sqref="T52:T53">
    <cfRule type="cellIs" dxfId="384" priority="29" operator="lessThan">
      <formula>-200000</formula>
    </cfRule>
    <cfRule type="cellIs" dxfId="383" priority="30" operator="greaterThan">
      <formula>200000</formula>
    </cfRule>
  </conditionalFormatting>
  <conditionalFormatting sqref="T55:T56">
    <cfRule type="cellIs" dxfId="382" priority="35" operator="lessThan">
      <formula>-200000</formula>
    </cfRule>
    <cfRule type="cellIs" dxfId="381" priority="36" operator="greaterThan">
      <formula>200000</formula>
    </cfRule>
  </conditionalFormatting>
  <conditionalFormatting sqref="T58">
    <cfRule type="cellIs" dxfId="380" priority="41" operator="lessThan">
      <formula>-200000</formula>
    </cfRule>
    <cfRule type="cellIs" dxfId="379" priority="42" operator="greaterThan">
      <formula>200000</formula>
    </cfRule>
  </conditionalFormatting>
  <conditionalFormatting sqref="T75:T76">
    <cfRule type="cellIs" dxfId="378" priority="53" operator="lessThan">
      <formula>-200000</formula>
    </cfRule>
    <cfRule type="cellIs" dxfId="377" priority="54" operator="greaterThan">
      <formula>200000</formula>
    </cfRule>
  </conditionalFormatting>
  <conditionalFormatting sqref="T78:T80">
    <cfRule type="cellIs" dxfId="376" priority="47" operator="lessThan">
      <formula>-200000</formula>
    </cfRule>
    <cfRule type="cellIs" dxfId="375" priority="48" operator="greaterThan">
      <formula>200000</formula>
    </cfRule>
  </conditionalFormatting>
  <conditionalFormatting sqref="T83:T84">
    <cfRule type="cellIs" dxfId="374" priority="59" operator="lessThan">
      <formula>-200000</formula>
    </cfRule>
    <cfRule type="cellIs" dxfId="373" priority="60" operator="greaterThan">
      <formula>200000</formula>
    </cfRule>
  </conditionalFormatting>
  <conditionalFormatting sqref="V42">
    <cfRule type="cellIs" dxfId="372" priority="9" operator="lessThan">
      <formula>-200000</formula>
    </cfRule>
    <cfRule type="cellIs" dxfId="371" priority="10" operator="greaterThan">
      <formula>200000</formula>
    </cfRule>
  </conditionalFormatting>
  <conditionalFormatting sqref="V45:V46">
    <cfRule type="cellIs" dxfId="370" priority="15" operator="lessThan">
      <formula>-200000</formula>
    </cfRule>
    <cfRule type="cellIs" dxfId="369" priority="16" operator="greaterThan">
      <formula>200000</formula>
    </cfRule>
  </conditionalFormatting>
  <conditionalFormatting sqref="V50">
    <cfRule type="cellIs" dxfId="368" priority="21" operator="lessThan">
      <formula>-200000</formula>
    </cfRule>
    <cfRule type="cellIs" dxfId="367" priority="22" operator="greaterThan">
      <formula>200000</formula>
    </cfRule>
  </conditionalFormatting>
  <conditionalFormatting sqref="V52:V53">
    <cfRule type="cellIs" dxfId="366" priority="28" operator="greaterThan">
      <formula>200000</formula>
    </cfRule>
    <cfRule type="cellIs" dxfId="365" priority="27" operator="lessThan">
      <formula>-200000</formula>
    </cfRule>
  </conditionalFormatting>
  <conditionalFormatting sqref="V55:V56">
    <cfRule type="cellIs" dxfId="364" priority="34" operator="greaterThan">
      <formula>200000</formula>
    </cfRule>
    <cfRule type="cellIs" dxfId="363" priority="33" operator="lessThan">
      <formula>-200000</formula>
    </cfRule>
  </conditionalFormatting>
  <conditionalFormatting sqref="V58">
    <cfRule type="cellIs" dxfId="362" priority="40" operator="greaterThan">
      <formula>200000</formula>
    </cfRule>
    <cfRule type="cellIs" dxfId="361" priority="39" operator="lessThan">
      <formula>-200000</formula>
    </cfRule>
  </conditionalFormatting>
  <conditionalFormatting sqref="V75:V76">
    <cfRule type="cellIs" dxfId="360" priority="51" operator="lessThan">
      <formula>-200000</formula>
    </cfRule>
    <cfRule type="cellIs" dxfId="359" priority="52" operator="greaterThan">
      <formula>200000</formula>
    </cfRule>
  </conditionalFormatting>
  <conditionalFormatting sqref="V78:V80">
    <cfRule type="cellIs" dxfId="358" priority="46" operator="greaterThan">
      <formula>200000</formula>
    </cfRule>
    <cfRule type="cellIs" dxfId="357" priority="45" operator="lessThan">
      <formula>-200000</formula>
    </cfRule>
  </conditionalFormatting>
  <conditionalFormatting sqref="V83:V84">
    <cfRule type="cellIs" dxfId="356" priority="57" operator="lessThan">
      <formula>-200000</formula>
    </cfRule>
    <cfRule type="cellIs" dxfId="355" priority="58" operator="greaterThan">
      <formula>200000</formula>
    </cfRule>
  </conditionalFormatting>
  <conditionalFormatting sqref="X42">
    <cfRule type="cellIs" dxfId="354" priority="7" operator="lessThan">
      <formula>-200000</formula>
    </cfRule>
    <cfRule type="cellIs" dxfId="353" priority="8" operator="greaterThan">
      <formula>200000</formula>
    </cfRule>
  </conditionalFormatting>
  <conditionalFormatting sqref="X45:X46">
    <cfRule type="cellIs" dxfId="352" priority="14" operator="greaterThan">
      <formula>200000</formula>
    </cfRule>
    <cfRule type="cellIs" dxfId="351" priority="13" operator="lessThan">
      <formula>-200000</formula>
    </cfRule>
  </conditionalFormatting>
  <conditionalFormatting sqref="X50">
    <cfRule type="cellIs" dxfId="350" priority="20" operator="greaterThan">
      <formula>200000</formula>
    </cfRule>
    <cfRule type="cellIs" dxfId="349" priority="19" operator="lessThan">
      <formula>-200000</formula>
    </cfRule>
  </conditionalFormatting>
  <conditionalFormatting sqref="X52:X53">
    <cfRule type="cellIs" dxfId="348" priority="26" operator="greaterThan">
      <formula>200000</formula>
    </cfRule>
    <cfRule type="cellIs" dxfId="347" priority="25" operator="lessThan">
      <formula>-200000</formula>
    </cfRule>
  </conditionalFormatting>
  <conditionalFormatting sqref="X55:X56">
    <cfRule type="cellIs" dxfId="346" priority="32" operator="greaterThan">
      <formula>200000</formula>
    </cfRule>
    <cfRule type="cellIs" dxfId="345" priority="31" operator="lessThan">
      <formula>-200000</formula>
    </cfRule>
  </conditionalFormatting>
  <conditionalFormatting sqref="X58">
    <cfRule type="cellIs" dxfId="344" priority="37" operator="lessThan">
      <formula>-200000</formula>
    </cfRule>
    <cfRule type="cellIs" dxfId="343" priority="38" operator="greaterThan">
      <formula>200000</formula>
    </cfRule>
  </conditionalFormatting>
  <conditionalFormatting sqref="X75:X76">
    <cfRule type="cellIs" dxfId="342" priority="49" operator="lessThan">
      <formula>-200000</formula>
    </cfRule>
    <cfRule type="cellIs" dxfId="341" priority="50" operator="greaterThan">
      <formula>200000</formula>
    </cfRule>
  </conditionalFormatting>
  <conditionalFormatting sqref="X78:X80">
    <cfRule type="cellIs" dxfId="340" priority="44" operator="greaterThan">
      <formula>200000</formula>
    </cfRule>
    <cfRule type="cellIs" dxfId="339" priority="43" operator="lessThan">
      <formula>-200000</formula>
    </cfRule>
  </conditionalFormatting>
  <conditionalFormatting sqref="X83:X84">
    <cfRule type="cellIs" dxfId="338" priority="56" operator="greaterThan">
      <formula>200000</formula>
    </cfRule>
    <cfRule type="cellIs" dxfId="337" priority="55" operator="lessThan">
      <formula>-200000</formula>
    </cfRule>
  </conditionalFormatting>
  <conditionalFormatting sqref="Z66">
    <cfRule type="cellIs" dxfId="336" priority="5" operator="lessThan">
      <formula>-200000</formula>
    </cfRule>
    <cfRule type="cellIs" dxfId="335" priority="6" operator="greaterThan">
      <formula>200000</formula>
    </cfRule>
  </conditionalFormatting>
  <conditionalFormatting sqref="AB66">
    <cfRule type="cellIs" dxfId="334" priority="3" operator="lessThan">
      <formula>-200000</formula>
    </cfRule>
    <cfRule type="cellIs" dxfId="333" priority="4" operator="greaterThan">
      <formula>200000</formula>
    </cfRule>
  </conditionalFormatting>
  <conditionalFormatting sqref="AD66">
    <cfRule type="cellIs" dxfId="332" priority="1" operator="lessThan">
      <formula>-200000</formula>
    </cfRule>
    <cfRule type="cellIs" dxfId="331" priority="2" operator="greaterThan">
      <formula>200000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44240-FE63-4F49-833D-763C11185A88}">
  <sheetPr>
    <tabColor theme="0" tint="-0.14999847407452621"/>
  </sheetPr>
  <dimension ref="A1:BT104"/>
  <sheetViews>
    <sheetView topLeftCell="A5" zoomScale="80" zoomScaleNormal="80" workbookViewId="0">
      <pane xSplit="4" ySplit="7" topLeftCell="E12" activePane="bottomRight" state="frozen"/>
      <selection pane="topRight"/>
      <selection pane="bottomLeft"/>
      <selection pane="bottomRight" activeCell="A5" sqref="A5"/>
    </sheetView>
  </sheetViews>
  <sheetFormatPr defaultColWidth="8.7109375" defaultRowHeight="14.25"/>
  <cols>
    <col min="1" max="1" width="14.5703125" style="10" customWidth="1"/>
    <col min="2" max="2" width="43.85546875" style="1" customWidth="1"/>
    <col min="3" max="3" width="17.5703125" style="572" customWidth="1"/>
    <col min="4" max="4" width="26.140625" style="572" customWidth="1"/>
    <col min="5" max="6" width="18.42578125" style="572" customWidth="1"/>
    <col min="7" max="7" width="6" style="572" customWidth="1"/>
    <col min="8" max="9" width="17.5703125" style="572" customWidth="1"/>
    <col min="10" max="10" width="6.140625" style="572" customWidth="1"/>
    <col min="11" max="12" width="18.85546875" style="572" customWidth="1"/>
    <col min="13" max="13" width="6.140625" style="572" customWidth="1"/>
    <col min="14" max="15" width="19.85546875" style="572" customWidth="1"/>
    <col min="16" max="16" width="7" style="572" customWidth="1"/>
    <col min="17" max="18" width="17.140625" style="572" customWidth="1"/>
    <col min="19" max="19" width="7" style="572" customWidth="1"/>
    <col min="20" max="20" width="16.28515625" style="572" customWidth="1"/>
    <col min="21" max="22" width="12.5703125" style="572" customWidth="1"/>
    <col min="23" max="23" width="18.42578125" style="572" customWidth="1"/>
    <col min="24" max="24" width="17.42578125" style="572" customWidth="1"/>
    <col min="25" max="25" width="5.85546875" style="572" customWidth="1"/>
    <col min="26" max="27" width="18.28515625" style="572" customWidth="1"/>
    <col min="28" max="28" width="5.7109375" style="572" customWidth="1"/>
    <col min="29" max="29" width="18.85546875" style="572" customWidth="1"/>
    <col min="30" max="30" width="17" style="572" customWidth="1"/>
    <col min="31" max="31" width="5.7109375" style="572" customWidth="1"/>
    <col min="32" max="32" width="21.28515625" style="572" customWidth="1"/>
    <col min="33" max="33" width="17.85546875" style="572" customWidth="1"/>
    <col min="34" max="34" width="7.42578125" style="572" customWidth="1"/>
    <col min="35" max="36" width="19.85546875" style="572" customWidth="1"/>
    <col min="37" max="37" width="5.7109375" style="572" customWidth="1"/>
    <col min="38" max="38" width="18.5703125" style="572" customWidth="1"/>
    <col min="39" max="39" width="17.85546875" style="572" customWidth="1"/>
    <col min="40" max="40" width="5.7109375" style="572" customWidth="1"/>
    <col min="41" max="41" width="15" style="572" customWidth="1"/>
    <col min="42" max="42" width="11.85546875" style="572" customWidth="1"/>
    <col min="43" max="43" width="5.7109375" style="572" customWidth="1"/>
    <col min="44" max="44" width="14.28515625" style="572" customWidth="1"/>
    <col min="45" max="45" width="16.5703125" style="572" customWidth="1"/>
    <col min="46" max="46" width="5.7109375" style="572" customWidth="1"/>
    <col min="47" max="52" width="14.140625" style="572" customWidth="1"/>
    <col min="53" max="53" width="16.42578125" style="572" customWidth="1"/>
    <col min="54" max="55" width="14.140625" style="572" customWidth="1"/>
    <col min="56" max="57" width="19.28515625" style="572" customWidth="1"/>
    <col min="58" max="58" width="7.42578125" style="572" customWidth="1"/>
    <col min="59" max="60" width="19.28515625" style="572" customWidth="1"/>
    <col min="61" max="61" width="6" style="572" customWidth="1"/>
    <col min="62" max="62" width="19.42578125" style="572" customWidth="1"/>
    <col min="63" max="63" width="17.140625" style="572" customWidth="1"/>
    <col min="64" max="64" width="8.42578125" style="572" customWidth="1"/>
    <col min="65" max="65" width="16.42578125" style="572" customWidth="1"/>
    <col min="66" max="66" width="16.85546875" style="572" customWidth="1"/>
    <col min="67" max="67" width="8.7109375" style="572"/>
    <col min="68" max="68" width="19.85546875" style="572" customWidth="1"/>
    <col min="69" max="69" width="16.140625" style="572" customWidth="1"/>
    <col min="70" max="71" width="8.7109375" style="572"/>
    <col min="72" max="72" width="33.28515625" style="572" customWidth="1"/>
    <col min="73" max="16384" width="8.7109375" style="572"/>
  </cols>
  <sheetData>
    <row r="1" spans="1:72" ht="23.25">
      <c r="B1" s="732" t="s">
        <v>271</v>
      </c>
    </row>
    <row r="2" spans="1:72" ht="3" customHeight="1">
      <c r="B2" s="732"/>
    </row>
    <row r="3" spans="1:72" ht="20.25">
      <c r="A3" s="370" t="s">
        <v>438</v>
      </c>
      <c r="B3" s="371"/>
    </row>
    <row r="4" spans="1:72">
      <c r="B4" s="11"/>
    </row>
    <row r="5" spans="1:72" ht="18">
      <c r="A5" s="1138" t="s">
        <v>435</v>
      </c>
      <c r="B5" s="383"/>
    </row>
    <row r="6" spans="1:72">
      <c r="A6" s="9"/>
      <c r="B6" s="383"/>
    </row>
    <row r="7" spans="1:72">
      <c r="B7" s="11"/>
      <c r="H7" s="733"/>
    </row>
    <row r="8" spans="1:72">
      <c r="B8" s="26"/>
      <c r="BD8" s="604"/>
      <c r="BE8" s="604"/>
      <c r="BG8" s="604"/>
      <c r="BH8" s="604"/>
    </row>
    <row r="9" spans="1:72" ht="15" thickBot="1">
      <c r="A9" s="734" t="s">
        <v>272</v>
      </c>
      <c r="B9" s="735"/>
      <c r="C9" s="736" t="s">
        <v>273</v>
      </c>
      <c r="D9" s="1141"/>
      <c r="E9" s="737" t="s">
        <v>274</v>
      </c>
      <c r="F9" s="737"/>
      <c r="G9" s="738"/>
      <c r="H9" s="737" t="s">
        <v>275</v>
      </c>
      <c r="I9" s="737"/>
      <c r="J9" s="738"/>
      <c r="K9" s="739" t="s">
        <v>276</v>
      </c>
      <c r="L9" s="737"/>
      <c r="M9" s="738"/>
      <c r="N9" s="737" t="s">
        <v>277</v>
      </c>
      <c r="O9" s="737"/>
      <c r="P9" s="738"/>
      <c r="Q9" s="739" t="s">
        <v>278</v>
      </c>
      <c r="R9" s="740"/>
      <c r="S9" s="738"/>
      <c r="T9" s="741" t="s">
        <v>279</v>
      </c>
      <c r="U9" s="742"/>
      <c r="V9" s="742"/>
      <c r="W9" s="743" t="s">
        <v>280</v>
      </c>
      <c r="X9" s="743"/>
      <c r="Y9" s="744"/>
      <c r="Z9" s="743" t="s">
        <v>281</v>
      </c>
      <c r="AA9" s="743"/>
      <c r="AB9" s="744"/>
      <c r="AC9" s="745" t="s">
        <v>282</v>
      </c>
      <c r="AD9" s="745"/>
      <c r="AE9" s="746"/>
      <c r="AF9" s="747" t="s">
        <v>283</v>
      </c>
      <c r="AG9" s="745"/>
      <c r="AH9" s="746"/>
      <c r="AI9" s="748" t="s">
        <v>284</v>
      </c>
      <c r="AJ9" s="749"/>
      <c r="AK9" s="746"/>
      <c r="AL9" s="750" t="s">
        <v>285</v>
      </c>
      <c r="AM9" s="751"/>
      <c r="AN9" s="752"/>
      <c r="AO9" s="753" t="s">
        <v>286</v>
      </c>
      <c r="AP9" s="753"/>
      <c r="AQ9" s="753"/>
      <c r="AR9" s="753" t="s">
        <v>287</v>
      </c>
      <c r="AS9" s="753"/>
      <c r="AT9" s="753"/>
      <c r="AU9" s="753" t="s">
        <v>288</v>
      </c>
      <c r="AV9" s="753"/>
      <c r="AW9" s="753"/>
      <c r="AX9" s="753" t="s">
        <v>289</v>
      </c>
      <c r="AY9" s="753"/>
      <c r="AZ9" s="753"/>
      <c r="BA9" s="754" t="s">
        <v>290</v>
      </c>
      <c r="BB9" s="754"/>
      <c r="BC9" s="754"/>
      <c r="BD9" s="755" t="s">
        <v>291</v>
      </c>
      <c r="BE9" s="755"/>
      <c r="BF9" s="756"/>
      <c r="BG9" s="755" t="s">
        <v>292</v>
      </c>
      <c r="BH9" s="755"/>
      <c r="BI9" s="756"/>
      <c r="BJ9" s="755" t="s">
        <v>225</v>
      </c>
      <c r="BK9" s="757"/>
      <c r="BL9" s="758"/>
      <c r="BM9" s="757" t="s">
        <v>293</v>
      </c>
      <c r="BN9" s="759"/>
      <c r="BO9" s="759"/>
      <c r="BP9" s="757" t="s">
        <v>294</v>
      </c>
      <c r="BQ9" s="759"/>
      <c r="BR9" s="759"/>
      <c r="BS9" s="760"/>
      <c r="BT9" s="572" t="s">
        <v>295</v>
      </c>
    </row>
    <row r="10" spans="1:72" ht="145.5" customHeight="1" thickBot="1">
      <c r="A10" s="734" t="s">
        <v>296</v>
      </c>
      <c r="B10" s="735"/>
      <c r="C10" s="989"/>
      <c r="D10" s="1141" t="s">
        <v>297</v>
      </c>
      <c r="E10" s="761" t="s">
        <v>298</v>
      </c>
      <c r="F10" s="762"/>
      <c r="G10" s="763"/>
      <c r="H10" s="761" t="s">
        <v>299</v>
      </c>
      <c r="I10" s="762"/>
      <c r="J10" s="763"/>
      <c r="K10" s="762" t="s">
        <v>300</v>
      </c>
      <c r="L10" s="762"/>
      <c r="M10" s="764"/>
      <c r="N10" s="761" t="s">
        <v>301</v>
      </c>
      <c r="O10" s="762"/>
      <c r="P10" s="763"/>
      <c r="Q10" s="761" t="s">
        <v>302</v>
      </c>
      <c r="R10" s="765"/>
      <c r="S10" s="766"/>
      <c r="T10" s="767" t="s">
        <v>303</v>
      </c>
      <c r="U10" s="768"/>
      <c r="V10" s="768"/>
      <c r="W10" s="769" t="s">
        <v>304</v>
      </c>
      <c r="X10" s="769"/>
      <c r="Y10" s="770"/>
      <c r="Z10" s="771" t="s">
        <v>305</v>
      </c>
      <c r="AA10" s="769"/>
      <c r="AB10" s="772"/>
      <c r="AC10" s="773" t="s">
        <v>306</v>
      </c>
      <c r="AD10" s="774"/>
      <c r="AE10" s="775"/>
      <c r="AF10" s="773" t="s">
        <v>307</v>
      </c>
      <c r="AG10" s="774"/>
      <c r="AH10" s="776"/>
      <c r="AI10" s="777" t="s">
        <v>308</v>
      </c>
      <c r="AJ10" s="778"/>
      <c r="AK10" s="775"/>
      <c r="AL10" s="779" t="s">
        <v>309</v>
      </c>
      <c r="AM10" s="780"/>
      <c r="AN10" s="781"/>
      <c r="AO10" s="779" t="s">
        <v>310</v>
      </c>
      <c r="AP10" s="780"/>
      <c r="AQ10" s="780"/>
      <c r="AR10" s="779" t="s">
        <v>311</v>
      </c>
      <c r="AS10" s="780"/>
      <c r="AT10" s="780"/>
      <c r="AU10" s="779" t="s">
        <v>312</v>
      </c>
      <c r="AV10" s="780"/>
      <c r="AW10" s="780"/>
      <c r="AX10" s="779" t="s">
        <v>313</v>
      </c>
      <c r="AY10" s="780"/>
      <c r="AZ10" s="780"/>
      <c r="BA10" s="782" t="s">
        <v>314</v>
      </c>
      <c r="BB10" s="782"/>
      <c r="BC10" s="782"/>
      <c r="BD10" s="783" t="s">
        <v>315</v>
      </c>
      <c r="BE10" s="783"/>
      <c r="BF10" s="784"/>
      <c r="BG10" s="783"/>
      <c r="BH10" s="783"/>
      <c r="BI10" s="785"/>
      <c r="BJ10" s="783"/>
      <c r="BK10" s="783"/>
      <c r="BL10" s="786"/>
      <c r="BM10" s="787"/>
      <c r="BN10" s="788"/>
      <c r="BO10" s="788"/>
      <c r="BP10" s="787"/>
      <c r="BQ10" s="788"/>
      <c r="BR10" s="788"/>
      <c r="BS10" s="789" t="s">
        <v>315</v>
      </c>
    </row>
    <row r="11" spans="1:72" ht="1.5" customHeight="1">
      <c r="A11" s="790"/>
      <c r="B11" s="790"/>
      <c r="C11" s="1007"/>
      <c r="D11" s="1142"/>
      <c r="E11" s="791"/>
      <c r="F11" s="791"/>
      <c r="G11" s="791"/>
      <c r="H11" s="791"/>
      <c r="I11" s="791"/>
      <c r="J11" s="791"/>
      <c r="K11" s="791"/>
      <c r="L11" s="791"/>
      <c r="M11" s="791"/>
      <c r="N11" s="791"/>
      <c r="O11" s="791"/>
      <c r="P11" s="791"/>
      <c r="Q11" s="791"/>
      <c r="R11" s="791"/>
      <c r="S11" s="791"/>
      <c r="T11" s="791"/>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c r="AT11" s="791"/>
      <c r="AU11" s="791"/>
      <c r="AV11" s="791"/>
      <c r="AW11" s="791"/>
      <c r="AX11" s="791"/>
      <c r="AY11" s="791"/>
      <c r="AZ11" s="791"/>
      <c r="BA11" s="791"/>
      <c r="BB11" s="791"/>
      <c r="BC11" s="791"/>
      <c r="BD11" s="791"/>
      <c r="BE11" s="791"/>
      <c r="BF11" s="791"/>
      <c r="BG11" s="791"/>
      <c r="BH11" s="791"/>
      <c r="BI11" s="791"/>
      <c r="BJ11" s="791"/>
      <c r="BK11" s="791"/>
      <c r="BL11" s="792"/>
      <c r="BP11" s="705"/>
    </row>
    <row r="12" spans="1:72" ht="12.6" customHeight="1">
      <c r="A12" s="1150" t="s">
        <v>29</v>
      </c>
      <c r="B12" s="1152" t="s">
        <v>171</v>
      </c>
      <c r="C12" s="1009"/>
      <c r="D12" s="1010"/>
      <c r="E12" s="793"/>
      <c r="F12" s="793"/>
      <c r="G12" s="793"/>
      <c r="H12" s="793"/>
      <c r="I12" s="793"/>
      <c r="J12" s="793"/>
      <c r="K12" s="793"/>
      <c r="L12" s="793"/>
      <c r="M12" s="793"/>
      <c r="N12" s="793"/>
      <c r="O12" s="793"/>
      <c r="P12" s="793"/>
      <c r="Q12" s="793"/>
      <c r="R12" s="793"/>
      <c r="S12" s="793"/>
      <c r="T12" s="793"/>
      <c r="U12" s="793"/>
      <c r="V12" s="793"/>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c r="AT12" s="794"/>
      <c r="AU12" s="794"/>
      <c r="AV12" s="794"/>
      <c r="AW12" s="794"/>
      <c r="AX12" s="794"/>
      <c r="AY12" s="794"/>
      <c r="AZ12" s="794"/>
      <c r="BA12" s="794"/>
      <c r="BB12" s="794"/>
      <c r="BC12" s="794"/>
      <c r="BD12" s="794"/>
      <c r="BE12" s="794"/>
      <c r="BF12" s="795"/>
      <c r="BG12" s="794"/>
      <c r="BH12" s="794"/>
      <c r="BI12" s="795"/>
      <c r="BJ12" s="794"/>
      <c r="BK12" s="794"/>
      <c r="BL12" s="796"/>
      <c r="BM12" s="794"/>
      <c r="BN12" s="794"/>
      <c r="BO12" s="794"/>
      <c r="BP12" s="794"/>
      <c r="BQ12" s="794"/>
      <c r="BR12" s="794"/>
      <c r="BS12" s="794"/>
    </row>
    <row r="13" spans="1:72" ht="12.6" customHeight="1">
      <c r="A13" s="1150"/>
      <c r="B13" s="1152"/>
      <c r="C13" s="1139"/>
      <c r="D13" s="1143" t="s">
        <v>316</v>
      </c>
      <c r="E13" s="740"/>
      <c r="F13" s="740"/>
      <c r="G13" s="797"/>
      <c r="H13" s="740"/>
      <c r="I13" s="740"/>
      <c r="J13" s="740"/>
      <c r="K13" s="740"/>
      <c r="L13" s="740"/>
      <c r="M13" s="797"/>
      <c r="N13" s="740"/>
      <c r="O13" s="740"/>
      <c r="P13" s="797"/>
      <c r="Q13" s="740"/>
      <c r="R13" s="740"/>
      <c r="S13" s="797"/>
      <c r="T13" s="797"/>
      <c r="U13" s="797"/>
      <c r="V13" s="797"/>
      <c r="W13" s="798"/>
      <c r="X13" s="798"/>
      <c r="Y13" s="799"/>
      <c r="Z13" s="798"/>
      <c r="AA13" s="798"/>
      <c r="AB13" s="800"/>
      <c r="AC13" s="801"/>
      <c r="AD13" s="801"/>
      <c r="AE13" s="802"/>
      <c r="AF13" s="801"/>
      <c r="AG13" s="801"/>
      <c r="AH13" s="802"/>
      <c r="AI13" s="803"/>
      <c r="AJ13" s="804"/>
      <c r="AK13" s="802"/>
      <c r="AL13" s="805"/>
      <c r="AM13" s="805"/>
      <c r="AN13" s="806"/>
      <c r="AO13" s="807"/>
      <c r="AP13" s="807"/>
      <c r="AQ13" s="806"/>
      <c r="AR13" s="807"/>
      <c r="AS13" s="807"/>
      <c r="AT13" s="807"/>
      <c r="AU13" s="807"/>
      <c r="AV13" s="807"/>
      <c r="AW13" s="807"/>
      <c r="AX13" s="807"/>
      <c r="AY13" s="807"/>
      <c r="AZ13" s="807"/>
      <c r="BA13" s="808"/>
      <c r="BB13" s="809"/>
      <c r="BC13" s="809"/>
      <c r="BD13" s="810"/>
      <c r="BE13" s="810"/>
      <c r="BF13" s="811"/>
      <c r="BG13" s="810"/>
      <c r="BH13" s="810"/>
      <c r="BI13" s="811"/>
      <c r="BJ13" s="810"/>
      <c r="BK13" s="810"/>
      <c r="BL13" s="812"/>
      <c r="BM13" s="811"/>
      <c r="BN13" s="811"/>
      <c r="BO13" s="811"/>
      <c r="BP13" s="811"/>
      <c r="BQ13" s="811"/>
      <c r="BR13" s="811"/>
      <c r="BS13" s="813"/>
      <c r="BT13" s="572" t="s">
        <v>315</v>
      </c>
    </row>
    <row r="14" spans="1:72" ht="12.6" customHeight="1">
      <c r="A14" s="1150"/>
      <c r="B14" s="1152"/>
      <c r="C14" s="1039">
        <v>0.5</v>
      </c>
      <c r="D14" s="1022" t="s">
        <v>235</v>
      </c>
      <c r="E14" s="814">
        <v>0.3</v>
      </c>
      <c r="F14" s="814"/>
      <c r="G14" s="815"/>
      <c r="H14" s="814">
        <v>0.2</v>
      </c>
      <c r="I14" s="814"/>
      <c r="J14" s="814"/>
      <c r="K14" s="814">
        <v>0.35</v>
      </c>
      <c r="L14" s="814"/>
      <c r="M14" s="815"/>
      <c r="N14" s="814">
        <v>0.4</v>
      </c>
      <c r="O14" s="814"/>
      <c r="P14" s="815"/>
      <c r="Q14" s="814">
        <v>0</v>
      </c>
      <c r="R14" s="814"/>
      <c r="S14" s="815"/>
      <c r="T14" s="814">
        <v>0.5</v>
      </c>
      <c r="U14" s="815"/>
      <c r="V14" s="815"/>
      <c r="W14" s="816">
        <v>0.5</v>
      </c>
      <c r="X14" s="816"/>
      <c r="Y14" s="817"/>
      <c r="Z14" s="816">
        <v>0.5</v>
      </c>
      <c r="AA14" s="816"/>
      <c r="AB14" s="818"/>
      <c r="AC14" s="819">
        <v>0.5</v>
      </c>
      <c r="AD14" s="820"/>
      <c r="AE14" s="821"/>
      <c r="AF14" s="819">
        <v>0.5</v>
      </c>
      <c r="AG14" s="822"/>
      <c r="AH14" s="821"/>
      <c r="AI14" s="819">
        <v>0.5</v>
      </c>
      <c r="AJ14" s="823"/>
      <c r="AK14" s="821"/>
      <c r="AL14" s="824">
        <v>0.5</v>
      </c>
      <c r="AM14" s="824"/>
      <c r="AN14" s="825"/>
      <c r="AO14" s="824">
        <v>0.5</v>
      </c>
      <c r="AP14" s="826"/>
      <c r="AQ14" s="825"/>
      <c r="AR14" s="824">
        <v>0.5</v>
      </c>
      <c r="AS14" s="826"/>
      <c r="AT14" s="826"/>
      <c r="AU14" s="824">
        <v>0.5</v>
      </c>
      <c r="AV14" s="826"/>
      <c r="AW14" s="826"/>
      <c r="AX14" s="824">
        <v>0.5</v>
      </c>
      <c r="AY14" s="826"/>
      <c r="AZ14" s="826"/>
      <c r="BA14" s="827">
        <v>0.5</v>
      </c>
      <c r="BB14" s="828"/>
      <c r="BC14" s="828"/>
      <c r="BD14" s="829">
        <v>0.35</v>
      </c>
      <c r="BE14" s="830"/>
      <c r="BF14" s="831"/>
      <c r="BG14" s="829">
        <v>0.35</v>
      </c>
      <c r="BH14" s="830"/>
      <c r="BI14" s="831"/>
      <c r="BJ14" s="829">
        <v>0.35</v>
      </c>
      <c r="BK14" s="830"/>
      <c r="BL14" s="832"/>
      <c r="BM14" s="829">
        <v>0.4</v>
      </c>
      <c r="BN14" s="831"/>
      <c r="BO14" s="831"/>
      <c r="BP14" s="829">
        <v>0.35</v>
      </c>
      <c r="BQ14" s="831"/>
      <c r="BR14" s="831"/>
      <c r="BS14" s="833"/>
      <c r="BT14" s="572" t="s">
        <v>315</v>
      </c>
    </row>
    <row r="15" spans="1:72" ht="12.6" customHeight="1">
      <c r="A15" s="1150"/>
      <c r="B15" s="1152"/>
      <c r="C15" s="1039">
        <v>0.3</v>
      </c>
      <c r="D15" s="1034" t="s">
        <v>133</v>
      </c>
      <c r="E15" s="814">
        <v>0.5</v>
      </c>
      <c r="F15" s="814"/>
      <c r="G15" s="815"/>
      <c r="H15" s="814">
        <v>0.6</v>
      </c>
      <c r="I15" s="814"/>
      <c r="J15" s="814"/>
      <c r="K15" s="814">
        <v>0.35</v>
      </c>
      <c r="L15" s="814"/>
      <c r="M15" s="815"/>
      <c r="N15" s="814">
        <v>0.4</v>
      </c>
      <c r="O15" s="814"/>
      <c r="P15" s="815"/>
      <c r="Q15" s="814">
        <v>0.6</v>
      </c>
      <c r="R15" s="814"/>
      <c r="S15" s="815"/>
      <c r="T15" s="814">
        <v>0.3</v>
      </c>
      <c r="U15" s="814"/>
      <c r="V15" s="815"/>
      <c r="W15" s="816">
        <v>0.3</v>
      </c>
      <c r="X15" s="816"/>
      <c r="Y15" s="817"/>
      <c r="Z15" s="816">
        <v>0.3</v>
      </c>
      <c r="AA15" s="816"/>
      <c r="AB15" s="818"/>
      <c r="AC15" s="819">
        <v>0.3</v>
      </c>
      <c r="AD15" s="820"/>
      <c r="AE15" s="821"/>
      <c r="AF15" s="819">
        <v>0.3</v>
      </c>
      <c r="AG15" s="822"/>
      <c r="AH15" s="821"/>
      <c r="AI15" s="819">
        <v>0.3</v>
      </c>
      <c r="AJ15" s="823"/>
      <c r="AK15" s="821"/>
      <c r="AL15" s="824">
        <v>0.3</v>
      </c>
      <c r="AM15" s="824"/>
      <c r="AN15" s="825"/>
      <c r="AO15" s="824">
        <v>0.3</v>
      </c>
      <c r="AP15" s="826"/>
      <c r="AQ15" s="825"/>
      <c r="AR15" s="824">
        <v>0.3</v>
      </c>
      <c r="AS15" s="826"/>
      <c r="AT15" s="826"/>
      <c r="AU15" s="824">
        <v>0.3</v>
      </c>
      <c r="AV15" s="826"/>
      <c r="AW15" s="826"/>
      <c r="AX15" s="824">
        <v>0.3</v>
      </c>
      <c r="AY15" s="826"/>
      <c r="AZ15" s="826"/>
      <c r="BA15" s="827">
        <v>0.3</v>
      </c>
      <c r="BB15" s="828"/>
      <c r="BC15" s="828"/>
      <c r="BD15" s="829">
        <v>0.35</v>
      </c>
      <c r="BE15" s="831"/>
      <c r="BF15" s="831"/>
      <c r="BG15" s="829">
        <v>0.35</v>
      </c>
      <c r="BH15" s="831"/>
      <c r="BI15" s="831"/>
      <c r="BJ15" s="829">
        <v>0.35</v>
      </c>
      <c r="BK15" s="831"/>
      <c r="BL15" s="832"/>
      <c r="BM15" s="829">
        <v>0.4</v>
      </c>
      <c r="BN15" s="831"/>
      <c r="BO15" s="831"/>
      <c r="BP15" s="829">
        <v>0.35</v>
      </c>
      <c r="BQ15" s="831"/>
      <c r="BR15" s="831"/>
      <c r="BS15" s="833"/>
      <c r="BT15" s="572" t="s">
        <v>315</v>
      </c>
    </row>
    <row r="16" spans="1:72" ht="12.6" customHeight="1">
      <c r="A16" s="1150"/>
      <c r="B16" s="1152"/>
      <c r="C16" s="1039">
        <v>0.1</v>
      </c>
      <c r="D16" s="1034" t="s">
        <v>136</v>
      </c>
      <c r="E16" s="814">
        <v>0.1</v>
      </c>
      <c r="F16" s="814"/>
      <c r="G16" s="815"/>
      <c r="H16" s="814">
        <v>0.1</v>
      </c>
      <c r="I16" s="814"/>
      <c r="J16" s="814"/>
      <c r="K16" s="814">
        <v>0.15</v>
      </c>
      <c r="L16" s="814"/>
      <c r="M16" s="815"/>
      <c r="N16" s="814">
        <v>0.1</v>
      </c>
      <c r="O16" s="814"/>
      <c r="P16" s="815"/>
      <c r="Q16" s="814">
        <v>0.2</v>
      </c>
      <c r="R16" s="814"/>
      <c r="S16" s="815"/>
      <c r="T16" s="814">
        <v>0.1</v>
      </c>
      <c r="U16" s="814"/>
      <c r="V16" s="815"/>
      <c r="W16" s="816">
        <v>0.1</v>
      </c>
      <c r="X16" s="816"/>
      <c r="Y16" s="817"/>
      <c r="Z16" s="816">
        <v>0.1</v>
      </c>
      <c r="AA16" s="816"/>
      <c r="AB16" s="818"/>
      <c r="AC16" s="819">
        <v>0.1</v>
      </c>
      <c r="AD16" s="820"/>
      <c r="AE16" s="821"/>
      <c r="AF16" s="819">
        <v>0.1</v>
      </c>
      <c r="AG16" s="820"/>
      <c r="AH16" s="821"/>
      <c r="AI16" s="819">
        <v>0.1</v>
      </c>
      <c r="AJ16" s="820"/>
      <c r="AK16" s="821"/>
      <c r="AL16" s="824">
        <v>0.1</v>
      </c>
      <c r="AM16" s="824"/>
      <c r="AN16" s="825"/>
      <c r="AO16" s="824">
        <v>0.1</v>
      </c>
      <c r="AP16" s="826"/>
      <c r="AQ16" s="825"/>
      <c r="AR16" s="824">
        <v>0.1</v>
      </c>
      <c r="AS16" s="826"/>
      <c r="AT16" s="826"/>
      <c r="AU16" s="824">
        <v>0.1</v>
      </c>
      <c r="AV16" s="826"/>
      <c r="AW16" s="826"/>
      <c r="AX16" s="824">
        <v>0.1</v>
      </c>
      <c r="AY16" s="826"/>
      <c r="AZ16" s="826"/>
      <c r="BA16" s="827">
        <v>0.1</v>
      </c>
      <c r="BB16" s="828"/>
      <c r="BC16" s="828"/>
      <c r="BD16" s="829">
        <v>0.15</v>
      </c>
      <c r="BE16" s="831"/>
      <c r="BF16" s="831"/>
      <c r="BG16" s="829">
        <v>0.15</v>
      </c>
      <c r="BH16" s="831"/>
      <c r="BI16" s="831"/>
      <c r="BJ16" s="829">
        <v>0.15</v>
      </c>
      <c r="BK16" s="831"/>
      <c r="BL16" s="832"/>
      <c r="BM16" s="829">
        <v>0.1</v>
      </c>
      <c r="BN16" s="831"/>
      <c r="BO16" s="831"/>
      <c r="BP16" s="829">
        <v>0.15</v>
      </c>
      <c r="BQ16" s="831"/>
      <c r="BR16" s="831"/>
      <c r="BS16" s="833"/>
      <c r="BT16" s="572" t="s">
        <v>315</v>
      </c>
    </row>
    <row r="17" spans="1:72" ht="15">
      <c r="A17" s="1151"/>
      <c r="B17" s="1153"/>
      <c r="C17" s="1039">
        <v>0.1</v>
      </c>
      <c r="D17" s="1037" t="s">
        <v>137</v>
      </c>
      <c r="E17" s="814">
        <v>0.1</v>
      </c>
      <c r="F17" s="814"/>
      <c r="G17" s="815"/>
      <c r="H17" s="814">
        <v>0.1</v>
      </c>
      <c r="I17" s="814"/>
      <c r="J17" s="814"/>
      <c r="K17" s="814">
        <v>0.15</v>
      </c>
      <c r="L17" s="814"/>
      <c r="M17" s="815"/>
      <c r="N17" s="814">
        <v>0.1</v>
      </c>
      <c r="O17" s="814"/>
      <c r="P17" s="815"/>
      <c r="Q17" s="814">
        <v>0.2</v>
      </c>
      <c r="R17" s="814"/>
      <c r="S17" s="815"/>
      <c r="T17" s="814">
        <v>0.1</v>
      </c>
      <c r="U17" s="814"/>
      <c r="V17" s="815"/>
      <c r="W17" s="816">
        <v>0.1</v>
      </c>
      <c r="X17" s="816"/>
      <c r="Y17" s="817"/>
      <c r="Z17" s="816">
        <v>0.1</v>
      </c>
      <c r="AA17" s="816"/>
      <c r="AB17" s="818"/>
      <c r="AC17" s="819">
        <v>0.1</v>
      </c>
      <c r="AD17" s="836"/>
      <c r="AE17" s="821"/>
      <c r="AF17" s="819">
        <v>0.1</v>
      </c>
      <c r="AG17" s="836"/>
      <c r="AH17" s="821"/>
      <c r="AI17" s="819">
        <v>0.1</v>
      </c>
      <c r="AJ17" s="836"/>
      <c r="AK17" s="821"/>
      <c r="AL17" s="824">
        <v>0.1</v>
      </c>
      <c r="AM17" s="824"/>
      <c r="AN17" s="837"/>
      <c r="AO17" s="824">
        <v>0.1</v>
      </c>
      <c r="AP17" s="824"/>
      <c r="AQ17" s="837"/>
      <c r="AR17" s="824">
        <v>0.1</v>
      </c>
      <c r="AS17" s="824"/>
      <c r="AT17" s="824"/>
      <c r="AU17" s="824">
        <v>0.1</v>
      </c>
      <c r="AV17" s="824"/>
      <c r="AW17" s="824"/>
      <c r="AX17" s="824">
        <v>0.1</v>
      </c>
      <c r="AY17" s="826"/>
      <c r="AZ17" s="826"/>
      <c r="BA17" s="827">
        <v>0.1</v>
      </c>
      <c r="BB17" s="828"/>
      <c r="BC17" s="828"/>
      <c r="BD17" s="829">
        <v>0.15</v>
      </c>
      <c r="BE17" s="831"/>
      <c r="BF17" s="831"/>
      <c r="BG17" s="829">
        <v>0.15</v>
      </c>
      <c r="BH17" s="831"/>
      <c r="BI17" s="831"/>
      <c r="BJ17" s="829">
        <v>0.15</v>
      </c>
      <c r="BK17" s="831"/>
      <c r="BL17" s="832"/>
      <c r="BM17" s="829">
        <v>0.1</v>
      </c>
      <c r="BN17" s="831"/>
      <c r="BO17" s="831"/>
      <c r="BP17" s="829">
        <v>0.15</v>
      </c>
      <c r="BQ17" s="831"/>
      <c r="BR17" s="831"/>
      <c r="BS17" s="833"/>
      <c r="BT17" s="572" t="s">
        <v>315</v>
      </c>
    </row>
    <row r="18" spans="1:72" ht="39" customHeight="1">
      <c r="A18" s="834"/>
      <c r="B18" s="835"/>
      <c r="C18" s="1039"/>
      <c r="D18" s="1144" t="s">
        <v>317</v>
      </c>
      <c r="E18" s="838"/>
      <c r="F18" s="838"/>
      <c r="G18" s="839"/>
      <c r="H18" s="838"/>
      <c r="I18" s="838"/>
      <c r="J18" s="838"/>
      <c r="K18" s="838"/>
      <c r="L18" s="838"/>
      <c r="M18" s="839"/>
      <c r="N18" s="838"/>
      <c r="O18" s="838"/>
      <c r="P18" s="839"/>
      <c r="Q18" s="838"/>
      <c r="R18" s="838"/>
      <c r="S18" s="839"/>
      <c r="T18" s="838"/>
      <c r="U18" s="838"/>
      <c r="V18" s="839"/>
      <c r="W18" s="840"/>
      <c r="X18" s="840"/>
      <c r="Y18" s="841"/>
      <c r="Z18" s="840"/>
      <c r="AA18" s="840"/>
      <c r="AB18" s="842"/>
      <c r="AC18" s="843"/>
      <c r="AD18" s="844"/>
      <c r="AE18" s="842"/>
      <c r="AF18" s="843"/>
      <c r="AG18" s="844"/>
      <c r="AH18" s="842"/>
      <c r="AI18" s="843"/>
      <c r="AJ18" s="844"/>
      <c r="AK18" s="842"/>
      <c r="AL18" s="844"/>
      <c r="AM18" s="844"/>
      <c r="AN18" s="842"/>
      <c r="AO18" s="844"/>
      <c r="AP18" s="844"/>
      <c r="AQ18" s="842"/>
      <c r="AR18" s="844"/>
      <c r="AS18" s="844"/>
      <c r="AT18" s="844"/>
      <c r="AU18" s="844"/>
      <c r="AV18" s="844"/>
      <c r="AW18" s="844"/>
      <c r="AX18" s="844"/>
      <c r="AY18" s="844"/>
      <c r="AZ18" s="844"/>
      <c r="BA18" s="843"/>
      <c r="BB18" s="844"/>
      <c r="BC18" s="844"/>
      <c r="BD18" s="844"/>
      <c r="BE18" s="844"/>
      <c r="BF18" s="844"/>
      <c r="BG18" s="844"/>
      <c r="BH18" s="844"/>
      <c r="BI18" s="844"/>
      <c r="BJ18" s="844"/>
      <c r="BK18" s="844"/>
      <c r="BL18" s="842"/>
      <c r="BM18" s="844"/>
      <c r="BN18" s="844"/>
      <c r="BO18" s="844"/>
      <c r="BP18" s="844"/>
      <c r="BQ18" s="844"/>
      <c r="BR18" s="844"/>
      <c r="BS18" s="844"/>
      <c r="BT18" s="572" t="s">
        <v>315</v>
      </c>
    </row>
    <row r="19" spans="1:72" ht="14.45" customHeight="1">
      <c r="A19" s="834"/>
      <c r="B19" s="835"/>
      <c r="C19" s="1140">
        <v>0.2</v>
      </c>
      <c r="D19" s="1145" t="s">
        <v>238</v>
      </c>
      <c r="E19" s="814">
        <v>0.2</v>
      </c>
      <c r="F19" s="814"/>
      <c r="G19" s="815"/>
      <c r="H19" s="814">
        <v>0.2</v>
      </c>
      <c r="I19" s="814"/>
      <c r="J19" s="814"/>
      <c r="K19" s="814">
        <v>0.2</v>
      </c>
      <c r="L19" s="814"/>
      <c r="M19" s="815"/>
      <c r="N19" s="814">
        <v>0.2</v>
      </c>
      <c r="O19" s="814"/>
      <c r="P19" s="815"/>
      <c r="Q19" s="814">
        <v>0.2</v>
      </c>
      <c r="R19" s="814"/>
      <c r="S19" s="815"/>
      <c r="T19" s="814">
        <v>0</v>
      </c>
      <c r="U19" s="814"/>
      <c r="V19" s="815"/>
      <c r="W19" s="816">
        <v>0.2</v>
      </c>
      <c r="X19" s="816"/>
      <c r="Y19" s="817"/>
      <c r="Z19" s="816">
        <v>0.2</v>
      </c>
      <c r="AA19" s="816"/>
      <c r="AB19" s="818"/>
      <c r="AC19" s="819">
        <v>0.2</v>
      </c>
      <c r="AD19" s="836"/>
      <c r="AE19" s="821"/>
      <c r="AF19" s="819">
        <v>0.2</v>
      </c>
      <c r="AG19" s="836"/>
      <c r="AH19" s="821"/>
      <c r="AI19" s="819">
        <v>0.2</v>
      </c>
      <c r="AJ19" s="836"/>
      <c r="AK19" s="821"/>
      <c r="AL19" s="824">
        <v>0.2</v>
      </c>
      <c r="AM19" s="826"/>
      <c r="AN19" s="825"/>
      <c r="AO19" s="824">
        <v>0.2</v>
      </c>
      <c r="AP19" s="826"/>
      <c r="AQ19" s="825"/>
      <c r="AR19" s="824">
        <v>0</v>
      </c>
      <c r="AS19" s="826"/>
      <c r="AT19" s="826"/>
      <c r="AU19" s="824">
        <v>0.2</v>
      </c>
      <c r="AV19" s="826"/>
      <c r="AW19" s="826"/>
      <c r="AX19" s="824">
        <v>0</v>
      </c>
      <c r="AY19" s="826"/>
      <c r="AZ19" s="826"/>
      <c r="BA19" s="827">
        <v>0.2</v>
      </c>
      <c r="BB19" s="828"/>
      <c r="BC19" s="828"/>
      <c r="BD19" s="829">
        <v>0.2</v>
      </c>
      <c r="BE19" s="831"/>
      <c r="BF19" s="831"/>
      <c r="BG19" s="829">
        <v>0.2</v>
      </c>
      <c r="BH19" s="831"/>
      <c r="BI19" s="831"/>
      <c r="BJ19" s="829">
        <v>0</v>
      </c>
      <c r="BK19" s="831"/>
      <c r="BL19" s="832"/>
      <c r="BM19" s="829">
        <v>0</v>
      </c>
      <c r="BN19" s="831"/>
      <c r="BO19" s="831"/>
      <c r="BP19" s="829">
        <v>0</v>
      </c>
      <c r="BQ19" s="831"/>
      <c r="BR19" s="831"/>
      <c r="BS19" s="833"/>
      <c r="BT19" s="572" t="s">
        <v>315</v>
      </c>
    </row>
    <row r="20" spans="1:72" ht="15">
      <c r="A20" s="834"/>
      <c r="B20" s="835"/>
      <c r="C20" s="1140">
        <v>0.2</v>
      </c>
      <c r="D20" s="1145" t="s">
        <v>240</v>
      </c>
      <c r="E20" s="814">
        <v>0.2</v>
      </c>
      <c r="F20" s="814"/>
      <c r="G20" s="815"/>
      <c r="H20" s="814">
        <v>0.2</v>
      </c>
      <c r="I20" s="814"/>
      <c r="J20" s="814"/>
      <c r="K20" s="814">
        <v>0.2</v>
      </c>
      <c r="L20" s="814"/>
      <c r="M20" s="815"/>
      <c r="N20" s="814">
        <v>0.2</v>
      </c>
      <c r="O20" s="814"/>
      <c r="P20" s="815"/>
      <c r="Q20" s="814">
        <v>0.2</v>
      </c>
      <c r="R20" s="814"/>
      <c r="S20" s="815"/>
      <c r="T20" s="814">
        <v>0</v>
      </c>
      <c r="U20" s="814"/>
      <c r="V20" s="815"/>
      <c r="W20" s="816">
        <v>0.2</v>
      </c>
      <c r="X20" s="816"/>
      <c r="Y20" s="817"/>
      <c r="Z20" s="816">
        <v>0.2</v>
      </c>
      <c r="AA20" s="816"/>
      <c r="AB20" s="818"/>
      <c r="AC20" s="819">
        <v>0.2</v>
      </c>
      <c r="AD20" s="836"/>
      <c r="AE20" s="821"/>
      <c r="AF20" s="819">
        <v>0.2</v>
      </c>
      <c r="AG20" s="836"/>
      <c r="AH20" s="821"/>
      <c r="AI20" s="819">
        <v>0.2</v>
      </c>
      <c r="AJ20" s="836"/>
      <c r="AK20" s="821"/>
      <c r="AL20" s="824">
        <v>0.2</v>
      </c>
      <c r="AM20" s="826"/>
      <c r="AN20" s="825"/>
      <c r="AO20" s="824">
        <v>0.2</v>
      </c>
      <c r="AP20" s="826"/>
      <c r="AQ20" s="825"/>
      <c r="AR20" s="824">
        <v>0</v>
      </c>
      <c r="AS20" s="826"/>
      <c r="AT20" s="826"/>
      <c r="AU20" s="824">
        <v>0.2</v>
      </c>
      <c r="AV20" s="826"/>
      <c r="AW20" s="826"/>
      <c r="AX20" s="824">
        <v>0</v>
      </c>
      <c r="AY20" s="826"/>
      <c r="AZ20" s="826"/>
      <c r="BA20" s="827">
        <v>0.2</v>
      </c>
      <c r="BB20" s="828"/>
      <c r="BC20" s="828"/>
      <c r="BD20" s="829">
        <v>0.2</v>
      </c>
      <c r="BE20" s="831"/>
      <c r="BF20" s="831"/>
      <c r="BG20" s="829">
        <v>0.2</v>
      </c>
      <c r="BH20" s="831"/>
      <c r="BI20" s="831"/>
      <c r="BJ20" s="829">
        <v>0</v>
      </c>
      <c r="BK20" s="831"/>
      <c r="BL20" s="832"/>
      <c r="BM20" s="829">
        <v>0</v>
      </c>
      <c r="BN20" s="831"/>
      <c r="BO20" s="831"/>
      <c r="BP20" s="829">
        <v>0</v>
      </c>
      <c r="BQ20" s="831"/>
      <c r="BR20" s="831"/>
      <c r="BS20" s="833"/>
      <c r="BT20" s="572" t="s">
        <v>315</v>
      </c>
    </row>
    <row r="21" spans="1:72" ht="15">
      <c r="A21" s="834"/>
      <c r="B21" s="835"/>
      <c r="C21" s="1140">
        <v>0.2</v>
      </c>
      <c r="D21" s="1145" t="s">
        <v>242</v>
      </c>
      <c r="E21" s="814">
        <v>0.2</v>
      </c>
      <c r="F21" s="814"/>
      <c r="G21" s="815"/>
      <c r="H21" s="814">
        <v>0.2</v>
      </c>
      <c r="I21" s="814"/>
      <c r="J21" s="814"/>
      <c r="K21" s="814">
        <v>0.2</v>
      </c>
      <c r="L21" s="814"/>
      <c r="M21" s="815"/>
      <c r="N21" s="814">
        <v>0.2</v>
      </c>
      <c r="O21" s="814"/>
      <c r="P21" s="815"/>
      <c r="Q21" s="814">
        <v>0.2</v>
      </c>
      <c r="R21" s="814"/>
      <c r="S21" s="815"/>
      <c r="T21" s="814">
        <v>0</v>
      </c>
      <c r="U21" s="814"/>
      <c r="V21" s="815"/>
      <c r="W21" s="816">
        <v>0.2</v>
      </c>
      <c r="X21" s="816"/>
      <c r="Y21" s="817"/>
      <c r="Z21" s="816">
        <v>0.2</v>
      </c>
      <c r="AA21" s="816"/>
      <c r="AB21" s="818"/>
      <c r="AC21" s="819">
        <v>0.2</v>
      </c>
      <c r="AD21" s="836"/>
      <c r="AE21" s="821"/>
      <c r="AF21" s="819">
        <v>0.2</v>
      </c>
      <c r="AG21" s="836"/>
      <c r="AH21" s="821"/>
      <c r="AI21" s="819">
        <v>0.2</v>
      </c>
      <c r="AJ21" s="836"/>
      <c r="AK21" s="821"/>
      <c r="AL21" s="824">
        <v>0.2</v>
      </c>
      <c r="AM21" s="826"/>
      <c r="AN21" s="825"/>
      <c r="AO21" s="824">
        <v>0.2</v>
      </c>
      <c r="AP21" s="826"/>
      <c r="AQ21" s="825"/>
      <c r="AR21" s="824">
        <v>0</v>
      </c>
      <c r="AS21" s="826"/>
      <c r="AT21" s="826"/>
      <c r="AU21" s="824">
        <v>0.2</v>
      </c>
      <c r="AV21" s="826"/>
      <c r="AW21" s="826"/>
      <c r="AX21" s="824">
        <v>0</v>
      </c>
      <c r="AY21" s="826"/>
      <c r="AZ21" s="826"/>
      <c r="BA21" s="827">
        <v>0.2</v>
      </c>
      <c r="BB21" s="828"/>
      <c r="BC21" s="828"/>
      <c r="BD21" s="829">
        <v>0.2</v>
      </c>
      <c r="BE21" s="831"/>
      <c r="BF21" s="831"/>
      <c r="BG21" s="829">
        <v>0.2</v>
      </c>
      <c r="BH21" s="831"/>
      <c r="BI21" s="831"/>
      <c r="BJ21" s="829">
        <v>0</v>
      </c>
      <c r="BK21" s="831"/>
      <c r="BL21" s="832"/>
      <c r="BM21" s="829">
        <v>0</v>
      </c>
      <c r="BN21" s="831"/>
      <c r="BO21" s="831"/>
      <c r="BP21" s="829">
        <v>0</v>
      </c>
      <c r="BQ21" s="831"/>
      <c r="BR21" s="831"/>
      <c r="BS21" s="833"/>
      <c r="BT21" s="572" t="s">
        <v>315</v>
      </c>
    </row>
    <row r="22" spans="1:72" ht="15">
      <c r="A22" s="834"/>
      <c r="B22" s="835"/>
      <c r="C22" s="1140">
        <v>0.2</v>
      </c>
      <c r="D22" s="1145" t="s">
        <v>243</v>
      </c>
      <c r="E22" s="814">
        <v>0.2</v>
      </c>
      <c r="F22" s="814"/>
      <c r="G22" s="815"/>
      <c r="H22" s="814">
        <v>0.2</v>
      </c>
      <c r="I22" s="814"/>
      <c r="J22" s="814"/>
      <c r="K22" s="814">
        <v>0.2</v>
      </c>
      <c r="L22" s="814"/>
      <c r="M22" s="815"/>
      <c r="N22" s="814">
        <v>0.2</v>
      </c>
      <c r="O22" s="814"/>
      <c r="P22" s="815"/>
      <c r="Q22" s="814">
        <v>0.2</v>
      </c>
      <c r="R22" s="814"/>
      <c r="S22" s="815"/>
      <c r="T22" s="814">
        <v>0</v>
      </c>
      <c r="U22" s="814"/>
      <c r="V22" s="815"/>
      <c r="W22" s="816">
        <v>0.2</v>
      </c>
      <c r="X22" s="816"/>
      <c r="Y22" s="817"/>
      <c r="Z22" s="816">
        <v>0.2</v>
      </c>
      <c r="AA22" s="816"/>
      <c r="AB22" s="818"/>
      <c r="AC22" s="819">
        <v>0.2</v>
      </c>
      <c r="AD22" s="820"/>
      <c r="AE22" s="821"/>
      <c r="AF22" s="819">
        <v>0.2</v>
      </c>
      <c r="AG22" s="822"/>
      <c r="AH22" s="821"/>
      <c r="AI22" s="819">
        <v>0.2</v>
      </c>
      <c r="AJ22" s="823"/>
      <c r="AK22" s="821"/>
      <c r="AL22" s="824">
        <v>0.2</v>
      </c>
      <c r="AM22" s="824"/>
      <c r="AN22" s="825"/>
      <c r="AO22" s="824">
        <v>0.2</v>
      </c>
      <c r="AP22" s="826"/>
      <c r="AQ22" s="825"/>
      <c r="AR22" s="824">
        <v>0</v>
      </c>
      <c r="AS22" s="826"/>
      <c r="AT22" s="826"/>
      <c r="AU22" s="824">
        <v>0.2</v>
      </c>
      <c r="AV22" s="826"/>
      <c r="AW22" s="826"/>
      <c r="AX22" s="824">
        <v>0</v>
      </c>
      <c r="AY22" s="826"/>
      <c r="AZ22" s="826"/>
      <c r="BA22" s="827">
        <v>0.2</v>
      </c>
      <c r="BB22" s="828"/>
      <c r="BC22" s="828"/>
      <c r="BD22" s="829">
        <v>0.2</v>
      </c>
      <c r="BE22" s="831"/>
      <c r="BF22" s="831"/>
      <c r="BG22" s="829">
        <v>0.2</v>
      </c>
      <c r="BH22" s="831"/>
      <c r="BI22" s="831"/>
      <c r="BJ22" s="829">
        <v>0</v>
      </c>
      <c r="BK22" s="831"/>
      <c r="BL22" s="832"/>
      <c r="BM22" s="829">
        <v>0</v>
      </c>
      <c r="BN22" s="831"/>
      <c r="BO22" s="831"/>
      <c r="BP22" s="829">
        <v>0</v>
      </c>
      <c r="BQ22" s="831"/>
      <c r="BR22" s="831"/>
      <c r="BS22" s="833"/>
      <c r="BT22" s="572" t="s">
        <v>315</v>
      </c>
    </row>
    <row r="23" spans="1:72" ht="15">
      <c r="A23" s="834"/>
      <c r="B23" s="835"/>
      <c r="C23" s="1140">
        <v>0.2</v>
      </c>
      <c r="D23" s="1145" t="s">
        <v>244</v>
      </c>
      <c r="E23" s="814">
        <v>0.2</v>
      </c>
      <c r="F23" s="814"/>
      <c r="G23" s="815"/>
      <c r="H23" s="814">
        <v>0.2</v>
      </c>
      <c r="I23" s="814"/>
      <c r="J23" s="814"/>
      <c r="K23" s="814">
        <v>0.2</v>
      </c>
      <c r="L23" s="814"/>
      <c r="M23" s="815"/>
      <c r="N23" s="814">
        <v>0.2</v>
      </c>
      <c r="O23" s="814"/>
      <c r="P23" s="815"/>
      <c r="Q23" s="814">
        <v>0.2</v>
      </c>
      <c r="R23" s="814"/>
      <c r="S23" s="815"/>
      <c r="T23" s="814">
        <v>0</v>
      </c>
      <c r="U23" s="814"/>
      <c r="V23" s="815"/>
      <c r="W23" s="816">
        <v>0.2</v>
      </c>
      <c r="X23" s="816"/>
      <c r="Y23" s="817"/>
      <c r="Z23" s="816">
        <v>0.2</v>
      </c>
      <c r="AA23" s="816"/>
      <c r="AB23" s="818"/>
      <c r="AC23" s="819">
        <v>0.2</v>
      </c>
      <c r="AD23" s="820"/>
      <c r="AE23" s="821"/>
      <c r="AF23" s="819">
        <v>0.2</v>
      </c>
      <c r="AG23" s="822"/>
      <c r="AH23" s="821"/>
      <c r="AI23" s="819">
        <v>0.2</v>
      </c>
      <c r="AJ23" s="823"/>
      <c r="AK23" s="821"/>
      <c r="AL23" s="824">
        <v>0.2</v>
      </c>
      <c r="AM23" s="824"/>
      <c r="AN23" s="825"/>
      <c r="AO23" s="824">
        <v>0.2</v>
      </c>
      <c r="AP23" s="826"/>
      <c r="AQ23" s="825"/>
      <c r="AR23" s="824">
        <v>0</v>
      </c>
      <c r="AS23" s="826"/>
      <c r="AT23" s="826"/>
      <c r="AU23" s="824">
        <v>0.2</v>
      </c>
      <c r="AV23" s="826"/>
      <c r="AW23" s="826"/>
      <c r="AX23" s="824">
        <v>0</v>
      </c>
      <c r="AY23" s="826"/>
      <c r="AZ23" s="826"/>
      <c r="BA23" s="827">
        <v>0.2</v>
      </c>
      <c r="BB23" s="828"/>
      <c r="BC23" s="828"/>
      <c r="BD23" s="829">
        <v>0.2</v>
      </c>
      <c r="BE23" s="831"/>
      <c r="BF23" s="831"/>
      <c r="BG23" s="829">
        <v>0.2</v>
      </c>
      <c r="BH23" s="831"/>
      <c r="BI23" s="831"/>
      <c r="BJ23" s="829">
        <v>0</v>
      </c>
      <c r="BK23" s="831"/>
      <c r="BL23" s="832"/>
      <c r="BM23" s="829">
        <v>0</v>
      </c>
      <c r="BN23" s="831"/>
      <c r="BO23" s="831"/>
      <c r="BP23" s="829">
        <v>0</v>
      </c>
      <c r="BQ23" s="831"/>
      <c r="BR23" s="831"/>
      <c r="BS23" s="833"/>
      <c r="BT23" s="572" t="s">
        <v>315</v>
      </c>
    </row>
    <row r="24" spans="1:72" ht="33" customHeight="1">
      <c r="A24" s="834"/>
      <c r="B24" s="835"/>
      <c r="C24" s="1046"/>
      <c r="D24" s="1146" t="s">
        <v>318</v>
      </c>
      <c r="E24" s="845" t="s">
        <v>246</v>
      </c>
      <c r="F24" s="814"/>
      <c r="G24" s="815"/>
      <c r="H24" s="845" t="s">
        <v>246</v>
      </c>
      <c r="I24" s="814"/>
      <c r="J24" s="814"/>
      <c r="K24" s="845" t="s">
        <v>246</v>
      </c>
      <c r="L24" s="814"/>
      <c r="M24" s="815"/>
      <c r="N24" s="845" t="s">
        <v>246</v>
      </c>
      <c r="O24" s="814"/>
      <c r="P24" s="815"/>
      <c r="Q24" s="845" t="s">
        <v>246</v>
      </c>
      <c r="R24" s="814"/>
      <c r="S24" s="815"/>
      <c r="T24" s="845" t="s">
        <v>246</v>
      </c>
      <c r="U24" s="814"/>
      <c r="V24" s="815"/>
      <c r="W24" s="846" t="s">
        <v>319</v>
      </c>
      <c r="X24" s="816"/>
      <c r="Y24" s="817"/>
      <c r="Z24" s="846" t="s">
        <v>319</v>
      </c>
      <c r="AA24" s="816"/>
      <c r="AB24" s="818"/>
      <c r="AC24" s="847" t="s">
        <v>319</v>
      </c>
      <c r="AD24" s="820"/>
      <c r="AE24" s="821"/>
      <c r="AF24" s="847" t="s">
        <v>247</v>
      </c>
      <c r="AG24" s="822"/>
      <c r="AH24" s="821"/>
      <c r="AI24" s="847" t="s">
        <v>319</v>
      </c>
      <c r="AJ24" s="823"/>
      <c r="AK24" s="821"/>
      <c r="AL24" s="848" t="s">
        <v>319</v>
      </c>
      <c r="AM24" s="824"/>
      <c r="AN24" s="825"/>
      <c r="AO24" s="848" t="s">
        <v>247</v>
      </c>
      <c r="AP24" s="826"/>
      <c r="AQ24" s="825"/>
      <c r="AR24" s="848" t="s">
        <v>247</v>
      </c>
      <c r="AS24" s="826"/>
      <c r="AT24" s="826"/>
      <c r="AU24" s="848" t="s">
        <v>247</v>
      </c>
      <c r="AV24" s="826"/>
      <c r="AW24" s="826"/>
      <c r="AX24" s="848" t="s">
        <v>247</v>
      </c>
      <c r="AY24" s="826"/>
      <c r="AZ24" s="826"/>
      <c r="BA24" s="827" t="s">
        <v>246</v>
      </c>
      <c r="BB24" s="828"/>
      <c r="BC24" s="828"/>
      <c r="BD24" s="849" t="s">
        <v>319</v>
      </c>
      <c r="BE24" s="831"/>
      <c r="BF24" s="831"/>
      <c r="BG24" s="849" t="s">
        <v>247</v>
      </c>
      <c r="BH24" s="831"/>
      <c r="BI24" s="831"/>
      <c r="BJ24" s="849" t="s">
        <v>247</v>
      </c>
      <c r="BK24" s="831"/>
      <c r="BL24" s="832"/>
      <c r="BM24" s="849" t="s">
        <v>246</v>
      </c>
      <c r="BN24" s="831"/>
      <c r="BO24" s="831"/>
      <c r="BP24" s="849" t="s">
        <v>246</v>
      </c>
      <c r="BQ24" s="831"/>
      <c r="BR24" s="831"/>
      <c r="BS24" s="833"/>
      <c r="BT24" s="572" t="s">
        <v>315</v>
      </c>
    </row>
    <row r="25" spans="1:72" ht="30">
      <c r="A25" s="834"/>
      <c r="B25" s="835"/>
      <c r="C25" s="1039"/>
      <c r="D25" s="1146" t="s">
        <v>320</v>
      </c>
      <c r="E25" s="838"/>
      <c r="F25" s="838"/>
      <c r="G25" s="839"/>
      <c r="H25" s="838"/>
      <c r="I25" s="838"/>
      <c r="J25" s="838"/>
      <c r="K25" s="838"/>
      <c r="L25" s="838"/>
      <c r="M25" s="839"/>
      <c r="N25" s="838"/>
      <c r="O25" s="838"/>
      <c r="P25" s="839"/>
      <c r="Q25" s="838"/>
      <c r="R25" s="838"/>
      <c r="S25" s="839"/>
      <c r="T25" s="838"/>
      <c r="U25" s="838"/>
      <c r="V25" s="839"/>
      <c r="W25" s="840"/>
      <c r="X25" s="840"/>
      <c r="Y25" s="841"/>
      <c r="Z25" s="840"/>
      <c r="AA25" s="840"/>
      <c r="AB25" s="842"/>
      <c r="AC25" s="843"/>
      <c r="AD25" s="850"/>
      <c r="AE25" s="842"/>
      <c r="AF25" s="850"/>
      <c r="AG25" s="851"/>
      <c r="AH25" s="842"/>
      <c r="AI25" s="852"/>
      <c r="AJ25" s="839"/>
      <c r="AK25" s="842"/>
      <c r="AL25" s="853"/>
      <c r="AM25" s="853"/>
      <c r="AN25" s="842"/>
      <c r="AO25" s="853"/>
      <c r="AP25" s="844"/>
      <c r="AQ25" s="842"/>
      <c r="AR25" s="853"/>
      <c r="AS25" s="844"/>
      <c r="AT25" s="844"/>
      <c r="AU25" s="853"/>
      <c r="AV25" s="844"/>
      <c r="AW25" s="844"/>
      <c r="AX25" s="853"/>
      <c r="AY25" s="844"/>
      <c r="AZ25" s="844"/>
      <c r="BA25" s="843"/>
      <c r="BB25" s="844"/>
      <c r="BC25" s="844"/>
      <c r="BD25" s="854"/>
      <c r="BE25" s="844"/>
      <c r="BF25" s="844"/>
      <c r="BG25" s="844"/>
      <c r="BH25" s="844"/>
      <c r="BI25" s="844"/>
      <c r="BJ25" s="844"/>
      <c r="BK25" s="844"/>
      <c r="BL25" s="842"/>
      <c r="BM25" s="844"/>
      <c r="BN25" s="844"/>
      <c r="BO25" s="844"/>
      <c r="BP25" s="844"/>
      <c r="BQ25" s="844"/>
      <c r="BR25" s="844"/>
      <c r="BS25" s="844"/>
      <c r="BT25" s="572" t="s">
        <v>315</v>
      </c>
    </row>
    <row r="26" spans="1:72" ht="15">
      <c r="A26" s="834"/>
      <c r="B26" s="835"/>
      <c r="C26" s="1039"/>
      <c r="D26" s="1147" t="s">
        <v>249</v>
      </c>
      <c r="E26" s="814" t="s">
        <v>155</v>
      </c>
      <c r="F26" s="814"/>
      <c r="G26" s="815"/>
      <c r="H26" s="814" t="s">
        <v>155</v>
      </c>
      <c r="I26" s="814"/>
      <c r="J26" s="814"/>
      <c r="K26" s="814" t="s">
        <v>155</v>
      </c>
      <c r="L26" s="814"/>
      <c r="M26" s="815"/>
      <c r="N26" s="814" t="s">
        <v>155</v>
      </c>
      <c r="O26" s="814"/>
      <c r="P26" s="815"/>
      <c r="Q26" s="814" t="s">
        <v>155</v>
      </c>
      <c r="R26" s="814"/>
      <c r="S26" s="815"/>
      <c r="T26" s="814" t="s">
        <v>155</v>
      </c>
      <c r="U26" s="814"/>
      <c r="V26" s="815"/>
      <c r="W26" s="816" t="s">
        <v>155</v>
      </c>
      <c r="X26" s="816"/>
      <c r="Y26" s="817"/>
      <c r="Z26" s="816" t="s">
        <v>155</v>
      </c>
      <c r="AA26" s="816"/>
      <c r="AB26" s="818"/>
      <c r="AC26" s="855" t="s">
        <v>321</v>
      </c>
      <c r="AD26" s="820"/>
      <c r="AE26" s="821"/>
      <c r="AF26" s="855" t="s">
        <v>321</v>
      </c>
      <c r="AG26" s="822"/>
      <c r="AH26" s="821"/>
      <c r="AI26" s="855" t="s">
        <v>321</v>
      </c>
      <c r="AJ26" s="823"/>
      <c r="AK26" s="821"/>
      <c r="AL26" s="824" t="s">
        <v>322</v>
      </c>
      <c r="AM26" s="824"/>
      <c r="AN26" s="825"/>
      <c r="AO26" s="824" t="s">
        <v>322</v>
      </c>
      <c r="AP26" s="826"/>
      <c r="AQ26" s="825"/>
      <c r="AR26" s="824" t="s">
        <v>322</v>
      </c>
      <c r="AS26" s="826"/>
      <c r="AT26" s="826"/>
      <c r="AU26" s="824" t="s">
        <v>322</v>
      </c>
      <c r="AV26" s="826"/>
      <c r="AW26" s="826"/>
      <c r="AX26" s="824" t="s">
        <v>323</v>
      </c>
      <c r="AY26" s="826"/>
      <c r="AZ26" s="826"/>
      <c r="BA26" s="856" t="s">
        <v>155</v>
      </c>
      <c r="BB26" s="828"/>
      <c r="BC26" s="828"/>
      <c r="BD26" s="857" t="s">
        <v>155</v>
      </c>
      <c r="BE26" s="831"/>
      <c r="BF26" s="831"/>
      <c r="BG26" s="829" t="s">
        <v>321</v>
      </c>
      <c r="BH26" s="831"/>
      <c r="BI26" s="831"/>
      <c r="BJ26" s="830" t="s">
        <v>324</v>
      </c>
      <c r="BK26" s="831"/>
      <c r="BL26" s="832"/>
      <c r="BM26" s="830" t="s">
        <v>417</v>
      </c>
      <c r="BN26" s="831"/>
      <c r="BO26" s="831"/>
      <c r="BP26" s="830" t="s">
        <v>325</v>
      </c>
      <c r="BQ26" s="831"/>
      <c r="BR26" s="831"/>
      <c r="BS26" s="833"/>
      <c r="BT26" s="572" t="s">
        <v>315</v>
      </c>
    </row>
    <row r="27" spans="1:72" ht="15">
      <c r="A27" s="834"/>
      <c r="B27" s="835"/>
      <c r="C27" s="1039"/>
      <c r="D27" s="1145" t="s">
        <v>252</v>
      </c>
      <c r="E27" s="814" t="s">
        <v>155</v>
      </c>
      <c r="F27" s="814"/>
      <c r="G27" s="815"/>
      <c r="H27" s="814" t="s">
        <v>155</v>
      </c>
      <c r="I27" s="814"/>
      <c r="J27" s="814"/>
      <c r="K27" s="814" t="s">
        <v>155</v>
      </c>
      <c r="L27" s="814"/>
      <c r="M27" s="815"/>
      <c r="N27" s="814" t="s">
        <v>155</v>
      </c>
      <c r="O27" s="814"/>
      <c r="P27" s="815"/>
      <c r="Q27" s="814" t="s">
        <v>155</v>
      </c>
      <c r="R27" s="814"/>
      <c r="S27" s="815"/>
      <c r="T27" s="814" t="s">
        <v>155</v>
      </c>
      <c r="U27" s="814"/>
      <c r="V27" s="815"/>
      <c r="W27" s="816" t="s">
        <v>155</v>
      </c>
      <c r="X27" s="816"/>
      <c r="Y27" s="817"/>
      <c r="Z27" s="816" t="s">
        <v>155</v>
      </c>
      <c r="AA27" s="816"/>
      <c r="AB27" s="818"/>
      <c r="AC27" s="855" t="s">
        <v>326</v>
      </c>
      <c r="AD27" s="820"/>
      <c r="AE27" s="821"/>
      <c r="AF27" s="855" t="s">
        <v>327</v>
      </c>
      <c r="AG27" s="822"/>
      <c r="AH27" s="821"/>
      <c r="AI27" s="823" t="s">
        <v>328</v>
      </c>
      <c r="AJ27" s="823"/>
      <c r="AK27" s="821"/>
      <c r="AL27" s="824" t="s">
        <v>253</v>
      </c>
      <c r="AM27" s="824"/>
      <c r="AN27" s="825"/>
      <c r="AO27" s="824" t="s">
        <v>253</v>
      </c>
      <c r="AP27" s="826"/>
      <c r="AQ27" s="825"/>
      <c r="AR27" s="824" t="s">
        <v>253</v>
      </c>
      <c r="AS27" s="826"/>
      <c r="AT27" s="826"/>
      <c r="AU27" s="824" t="s">
        <v>253</v>
      </c>
      <c r="AV27" s="826"/>
      <c r="AW27" s="826"/>
      <c r="AX27" s="824" t="s">
        <v>329</v>
      </c>
      <c r="AY27" s="826"/>
      <c r="AZ27" s="826"/>
      <c r="BA27" s="856" t="s">
        <v>155</v>
      </c>
      <c r="BB27" s="828"/>
      <c r="BC27" s="828"/>
      <c r="BD27" s="857" t="s">
        <v>155</v>
      </c>
      <c r="BE27" s="831"/>
      <c r="BF27" s="831"/>
      <c r="BG27" s="830" t="s">
        <v>253</v>
      </c>
      <c r="BH27" s="831"/>
      <c r="BI27" s="831"/>
      <c r="BJ27" s="830" t="s">
        <v>253</v>
      </c>
      <c r="BK27" s="831"/>
      <c r="BL27" s="832"/>
      <c r="BM27" s="830" t="s">
        <v>253</v>
      </c>
      <c r="BN27" s="831"/>
      <c r="BO27" s="831"/>
      <c r="BP27" s="830" t="s">
        <v>253</v>
      </c>
      <c r="BQ27" s="831"/>
      <c r="BR27" s="831"/>
      <c r="BS27" s="833"/>
      <c r="BT27" s="572" t="s">
        <v>315</v>
      </c>
    </row>
    <row r="28" spans="1:72" ht="15">
      <c r="A28" s="834"/>
      <c r="B28" s="835"/>
      <c r="C28" s="1046" t="s">
        <v>155</v>
      </c>
      <c r="D28" s="1145" t="s">
        <v>240</v>
      </c>
      <c r="E28" s="814" t="s">
        <v>155</v>
      </c>
      <c r="F28" s="814"/>
      <c r="G28" s="815"/>
      <c r="H28" s="814" t="s">
        <v>155</v>
      </c>
      <c r="I28" s="814"/>
      <c r="J28" s="814"/>
      <c r="K28" s="814" t="s">
        <v>155</v>
      </c>
      <c r="L28" s="814"/>
      <c r="M28" s="815"/>
      <c r="N28" s="814" t="s">
        <v>155</v>
      </c>
      <c r="O28" s="814"/>
      <c r="P28" s="815"/>
      <c r="Q28" s="814" t="s">
        <v>155</v>
      </c>
      <c r="R28" s="814"/>
      <c r="S28" s="815"/>
      <c r="T28" s="814" t="s">
        <v>155</v>
      </c>
      <c r="U28" s="814"/>
      <c r="V28" s="815"/>
      <c r="W28" s="816" t="s">
        <v>155</v>
      </c>
      <c r="X28" s="816"/>
      <c r="Y28" s="817"/>
      <c r="Z28" s="816" t="s">
        <v>155</v>
      </c>
      <c r="AA28" s="816"/>
      <c r="AB28" s="818"/>
      <c r="AC28" s="820">
        <v>0.25</v>
      </c>
      <c r="AD28" s="820"/>
      <c r="AE28" s="821"/>
      <c r="AF28" s="820">
        <v>0.25</v>
      </c>
      <c r="AG28" s="822"/>
      <c r="AH28" s="821"/>
      <c r="AI28" s="858" t="s">
        <v>155</v>
      </c>
      <c r="AJ28" s="823"/>
      <c r="AK28" s="821"/>
      <c r="AL28" s="824">
        <v>0.25</v>
      </c>
      <c r="AM28" s="824"/>
      <c r="AN28" s="825"/>
      <c r="AO28" s="824">
        <v>0.25</v>
      </c>
      <c r="AP28" s="826"/>
      <c r="AQ28" s="825"/>
      <c r="AR28" s="824">
        <v>0.25</v>
      </c>
      <c r="AS28" s="826"/>
      <c r="AT28" s="826"/>
      <c r="AU28" s="824">
        <v>0.25</v>
      </c>
      <c r="AV28" s="826"/>
      <c r="AW28" s="826"/>
      <c r="AX28" s="824">
        <v>0.25</v>
      </c>
      <c r="AY28" s="826"/>
      <c r="AZ28" s="826"/>
      <c r="BA28" s="856" t="s">
        <v>155</v>
      </c>
      <c r="BB28" s="828"/>
      <c r="BC28" s="828"/>
      <c r="BD28" s="859" t="s">
        <v>155</v>
      </c>
      <c r="BE28" s="831"/>
      <c r="BF28" s="831"/>
      <c r="BG28" s="829">
        <v>0.25</v>
      </c>
      <c r="BH28" s="831"/>
      <c r="BI28" s="831"/>
      <c r="BJ28" s="829">
        <v>0.25</v>
      </c>
      <c r="BK28" s="831"/>
      <c r="BL28" s="832"/>
      <c r="BM28" s="829">
        <v>0.25</v>
      </c>
      <c r="BN28" s="831"/>
      <c r="BO28" s="831"/>
      <c r="BP28" s="829">
        <v>0.25</v>
      </c>
      <c r="BQ28" s="831"/>
      <c r="BR28" s="831"/>
      <c r="BS28" s="833"/>
      <c r="BT28" s="572" t="s">
        <v>315</v>
      </c>
    </row>
    <row r="29" spans="1:72" ht="15">
      <c r="A29" s="834"/>
      <c r="B29" s="835"/>
      <c r="C29" s="1046" t="s">
        <v>155</v>
      </c>
      <c r="D29" s="1145" t="s">
        <v>238</v>
      </c>
      <c r="E29" s="814" t="s">
        <v>155</v>
      </c>
      <c r="F29" s="814"/>
      <c r="G29" s="815"/>
      <c r="H29" s="814" t="s">
        <v>155</v>
      </c>
      <c r="I29" s="814"/>
      <c r="J29" s="814"/>
      <c r="K29" s="814" t="s">
        <v>155</v>
      </c>
      <c r="L29" s="814"/>
      <c r="M29" s="815"/>
      <c r="N29" s="814" t="s">
        <v>155</v>
      </c>
      <c r="O29" s="814"/>
      <c r="P29" s="815"/>
      <c r="Q29" s="814" t="s">
        <v>155</v>
      </c>
      <c r="R29" s="814"/>
      <c r="S29" s="815"/>
      <c r="T29" s="814" t="s">
        <v>155</v>
      </c>
      <c r="U29" s="814"/>
      <c r="V29" s="815"/>
      <c r="W29" s="816" t="s">
        <v>155</v>
      </c>
      <c r="X29" s="816"/>
      <c r="Y29" s="817"/>
      <c r="Z29" s="816" t="s">
        <v>155</v>
      </c>
      <c r="AA29" s="816"/>
      <c r="AB29" s="818"/>
      <c r="AC29" s="820">
        <v>0.25</v>
      </c>
      <c r="AD29" s="820"/>
      <c r="AE29" s="821"/>
      <c r="AF29" s="820">
        <v>0.25</v>
      </c>
      <c r="AG29" s="822"/>
      <c r="AH29" s="821"/>
      <c r="AI29" s="858" t="s">
        <v>155</v>
      </c>
      <c r="AJ29" s="823"/>
      <c r="AK29" s="821"/>
      <c r="AL29" s="824">
        <v>0.25</v>
      </c>
      <c r="AM29" s="824"/>
      <c r="AN29" s="825"/>
      <c r="AO29" s="824">
        <v>0.25</v>
      </c>
      <c r="AP29" s="826"/>
      <c r="AQ29" s="825"/>
      <c r="AR29" s="824">
        <v>0.25</v>
      </c>
      <c r="AS29" s="826"/>
      <c r="AT29" s="826"/>
      <c r="AU29" s="824">
        <v>0.25</v>
      </c>
      <c r="AV29" s="826"/>
      <c r="AW29" s="826"/>
      <c r="AX29" s="824">
        <v>0.25</v>
      </c>
      <c r="AY29" s="826"/>
      <c r="AZ29" s="826"/>
      <c r="BA29" s="856" t="s">
        <v>155</v>
      </c>
      <c r="BB29" s="828"/>
      <c r="BC29" s="828"/>
      <c r="BD29" s="859" t="s">
        <v>155</v>
      </c>
      <c r="BE29" s="831"/>
      <c r="BF29" s="831"/>
      <c r="BG29" s="829">
        <v>0.25</v>
      </c>
      <c r="BH29" s="831"/>
      <c r="BI29" s="831"/>
      <c r="BJ29" s="829">
        <v>0.25</v>
      </c>
      <c r="BK29" s="831"/>
      <c r="BL29" s="832"/>
      <c r="BM29" s="829">
        <v>0.25</v>
      </c>
      <c r="BN29" s="831"/>
      <c r="BO29" s="831"/>
      <c r="BP29" s="829">
        <v>0.25</v>
      </c>
      <c r="BQ29" s="831"/>
      <c r="BR29" s="831"/>
      <c r="BS29" s="833"/>
      <c r="BT29" s="572" t="s">
        <v>315</v>
      </c>
    </row>
    <row r="30" spans="1:72" ht="15">
      <c r="A30" s="834"/>
      <c r="B30" s="835"/>
      <c r="C30" s="1046" t="s">
        <v>155</v>
      </c>
      <c r="D30" s="1145" t="s">
        <v>166</v>
      </c>
      <c r="E30" s="814" t="s">
        <v>155</v>
      </c>
      <c r="F30" s="814"/>
      <c r="G30" s="815"/>
      <c r="H30" s="814" t="s">
        <v>155</v>
      </c>
      <c r="I30" s="814"/>
      <c r="J30" s="814"/>
      <c r="K30" s="814" t="s">
        <v>155</v>
      </c>
      <c r="L30" s="814"/>
      <c r="M30" s="815"/>
      <c r="N30" s="814" t="s">
        <v>155</v>
      </c>
      <c r="O30" s="814"/>
      <c r="P30" s="815"/>
      <c r="Q30" s="814" t="s">
        <v>155</v>
      </c>
      <c r="R30" s="814"/>
      <c r="S30" s="815"/>
      <c r="T30" s="814" t="s">
        <v>155</v>
      </c>
      <c r="U30" s="814"/>
      <c r="V30" s="815"/>
      <c r="W30" s="816" t="s">
        <v>155</v>
      </c>
      <c r="X30" s="816"/>
      <c r="Y30" s="817"/>
      <c r="Z30" s="816" t="s">
        <v>155</v>
      </c>
      <c r="AA30" s="816"/>
      <c r="AB30" s="818"/>
      <c r="AC30" s="820">
        <v>0.5</v>
      </c>
      <c r="AD30" s="820"/>
      <c r="AE30" s="821"/>
      <c r="AF30" s="820">
        <v>0.5</v>
      </c>
      <c r="AG30" s="820"/>
      <c r="AH30" s="821"/>
      <c r="AI30" s="858" t="s">
        <v>155</v>
      </c>
      <c r="AJ30" s="820"/>
      <c r="AK30" s="821"/>
      <c r="AL30" s="824">
        <v>0.5</v>
      </c>
      <c r="AM30" s="824"/>
      <c r="AN30" s="825"/>
      <c r="AO30" s="824">
        <v>0.5</v>
      </c>
      <c r="AP30" s="826"/>
      <c r="AQ30" s="825"/>
      <c r="AR30" s="824">
        <v>0.5</v>
      </c>
      <c r="AS30" s="826"/>
      <c r="AT30" s="826"/>
      <c r="AU30" s="824">
        <v>0.5</v>
      </c>
      <c r="AV30" s="826"/>
      <c r="AW30" s="826"/>
      <c r="AX30" s="824">
        <v>0.5</v>
      </c>
      <c r="AY30" s="826"/>
      <c r="AZ30" s="826"/>
      <c r="BA30" s="856" t="s">
        <v>155</v>
      </c>
      <c r="BB30" s="828"/>
      <c r="BC30" s="828"/>
      <c r="BD30" s="859" t="s">
        <v>155</v>
      </c>
      <c r="BE30" s="831"/>
      <c r="BF30" s="831"/>
      <c r="BG30" s="829">
        <v>0.5</v>
      </c>
      <c r="BH30" s="831"/>
      <c r="BI30" s="831"/>
      <c r="BJ30" s="829">
        <v>0.5</v>
      </c>
      <c r="BK30" s="831"/>
      <c r="BL30" s="832"/>
      <c r="BM30" s="829">
        <v>0.5</v>
      </c>
      <c r="BN30" s="831"/>
      <c r="BO30" s="831"/>
      <c r="BP30" s="829">
        <v>0.5</v>
      </c>
      <c r="BQ30" s="831"/>
      <c r="BR30" s="831"/>
      <c r="BS30" s="833"/>
      <c r="BT30" s="572" t="s">
        <v>315</v>
      </c>
    </row>
    <row r="31" spans="1:72" ht="15">
      <c r="A31" s="834"/>
      <c r="B31" s="835"/>
      <c r="C31" s="1046"/>
      <c r="D31" s="1144" t="s">
        <v>330</v>
      </c>
      <c r="E31" s="838"/>
      <c r="F31" s="838"/>
      <c r="G31" s="839"/>
      <c r="H31" s="838"/>
      <c r="I31" s="838"/>
      <c r="J31" s="838"/>
      <c r="K31" s="838"/>
      <c r="L31" s="838"/>
      <c r="M31" s="839"/>
      <c r="N31" s="838"/>
      <c r="O31" s="838"/>
      <c r="P31" s="839"/>
      <c r="Q31" s="838"/>
      <c r="R31" s="838"/>
      <c r="S31" s="839"/>
      <c r="T31" s="838"/>
      <c r="U31" s="838"/>
      <c r="V31" s="839"/>
      <c r="W31" s="840"/>
      <c r="X31" s="840"/>
      <c r="Y31" s="841"/>
      <c r="Z31" s="840"/>
      <c r="AA31" s="840"/>
      <c r="AB31" s="842"/>
      <c r="AC31" s="850"/>
      <c r="AD31" s="850"/>
      <c r="AE31" s="842"/>
      <c r="AF31" s="850"/>
      <c r="AG31" s="850"/>
      <c r="AH31" s="842"/>
      <c r="AI31" s="839"/>
      <c r="AJ31" s="850"/>
      <c r="AK31" s="842"/>
      <c r="AL31" s="853"/>
      <c r="AM31" s="853"/>
      <c r="AN31" s="842"/>
      <c r="AO31" s="853"/>
      <c r="AP31" s="844"/>
      <c r="AQ31" s="842"/>
      <c r="AR31" s="853"/>
      <c r="AS31" s="844"/>
      <c r="AT31" s="844"/>
      <c r="AU31" s="853"/>
      <c r="AV31" s="844"/>
      <c r="AW31" s="844"/>
      <c r="AX31" s="853"/>
      <c r="AY31" s="844"/>
      <c r="AZ31" s="844"/>
      <c r="BA31" s="843"/>
      <c r="BB31" s="844"/>
      <c r="BC31" s="844"/>
      <c r="BD31" s="843"/>
      <c r="BE31" s="844"/>
      <c r="BF31" s="844"/>
      <c r="BG31" s="853"/>
      <c r="BH31" s="844"/>
      <c r="BI31" s="844"/>
      <c r="BJ31" s="844"/>
      <c r="BK31" s="844"/>
      <c r="BL31" s="842"/>
      <c r="BM31" s="844"/>
      <c r="BN31" s="844"/>
      <c r="BO31" s="844"/>
      <c r="BP31" s="844"/>
      <c r="BQ31" s="844"/>
      <c r="BR31" s="844"/>
      <c r="BS31" s="844"/>
      <c r="BT31" s="572" t="s">
        <v>315</v>
      </c>
    </row>
    <row r="32" spans="1:72" ht="15">
      <c r="A32" s="834"/>
      <c r="B32" s="835"/>
      <c r="C32" s="1046">
        <v>0.3</v>
      </c>
      <c r="D32" s="1145" t="s">
        <v>256</v>
      </c>
      <c r="E32" s="814">
        <v>0.3</v>
      </c>
      <c r="F32" s="814"/>
      <c r="G32" s="815"/>
      <c r="H32" s="814">
        <v>0.3</v>
      </c>
      <c r="I32" s="814"/>
      <c r="J32" s="814"/>
      <c r="K32" s="814">
        <v>0.3</v>
      </c>
      <c r="L32" s="814"/>
      <c r="M32" s="815"/>
      <c r="N32" s="814">
        <v>0.3</v>
      </c>
      <c r="O32" s="814"/>
      <c r="P32" s="815"/>
      <c r="Q32" s="814">
        <v>0.3</v>
      </c>
      <c r="R32" s="814"/>
      <c r="S32" s="815"/>
      <c r="T32" s="814">
        <v>0.3</v>
      </c>
      <c r="U32" s="814"/>
      <c r="V32" s="815"/>
      <c r="W32" s="816">
        <v>0.3</v>
      </c>
      <c r="X32" s="816"/>
      <c r="Y32" s="817"/>
      <c r="Z32" s="816">
        <v>0.3</v>
      </c>
      <c r="AA32" s="816"/>
      <c r="AB32" s="818"/>
      <c r="AC32" s="820">
        <v>0.3</v>
      </c>
      <c r="AD32" s="820"/>
      <c r="AE32" s="821"/>
      <c r="AF32" s="820">
        <v>0.3</v>
      </c>
      <c r="AG32" s="820"/>
      <c r="AH32" s="821"/>
      <c r="AI32" s="820">
        <v>0.3</v>
      </c>
      <c r="AJ32" s="820"/>
      <c r="AK32" s="821"/>
      <c r="AL32" s="824">
        <v>0.3</v>
      </c>
      <c r="AM32" s="824"/>
      <c r="AN32" s="825"/>
      <c r="AO32" s="824">
        <v>0.3</v>
      </c>
      <c r="AP32" s="826"/>
      <c r="AQ32" s="825"/>
      <c r="AR32" s="824">
        <v>0.3</v>
      </c>
      <c r="AS32" s="826"/>
      <c r="AT32" s="826"/>
      <c r="AU32" s="824">
        <v>0.3</v>
      </c>
      <c r="AV32" s="826"/>
      <c r="AW32" s="826"/>
      <c r="AX32" s="824">
        <v>0.3</v>
      </c>
      <c r="AY32" s="826"/>
      <c r="AZ32" s="826"/>
      <c r="BA32" s="860" t="s">
        <v>331</v>
      </c>
      <c r="BB32" s="828"/>
      <c r="BC32" s="828"/>
      <c r="BD32" s="829">
        <v>0.3</v>
      </c>
      <c r="BE32" s="831"/>
      <c r="BF32" s="831"/>
      <c r="BG32" s="829">
        <v>0.3</v>
      </c>
      <c r="BH32" s="831"/>
      <c r="BI32" s="831"/>
      <c r="BJ32" s="861">
        <v>0.3</v>
      </c>
      <c r="BK32" s="831"/>
      <c r="BL32" s="832"/>
      <c r="BM32" s="861">
        <v>0.3</v>
      </c>
      <c r="BN32" s="831"/>
      <c r="BO32" s="831"/>
      <c r="BP32" s="861">
        <v>0.3</v>
      </c>
      <c r="BQ32" s="861"/>
      <c r="BR32" s="831"/>
      <c r="BS32" s="833"/>
    </row>
    <row r="33" spans="1:72" ht="15">
      <c r="A33" s="834"/>
      <c r="B33" s="835"/>
      <c r="C33" s="1046">
        <v>0.3</v>
      </c>
      <c r="D33" s="1145" t="s">
        <v>332</v>
      </c>
      <c r="E33" s="814">
        <v>0.3</v>
      </c>
      <c r="F33" s="814"/>
      <c r="G33" s="815"/>
      <c r="H33" s="814">
        <v>0.3</v>
      </c>
      <c r="I33" s="814"/>
      <c r="J33" s="814"/>
      <c r="K33" s="814">
        <v>0.3</v>
      </c>
      <c r="L33" s="814"/>
      <c r="M33" s="815"/>
      <c r="N33" s="814">
        <v>0.3</v>
      </c>
      <c r="O33" s="814"/>
      <c r="P33" s="815"/>
      <c r="Q33" s="814">
        <v>0.3</v>
      </c>
      <c r="R33" s="814"/>
      <c r="S33" s="815"/>
      <c r="T33" s="814">
        <v>0.3</v>
      </c>
      <c r="U33" s="814"/>
      <c r="V33" s="815"/>
      <c r="W33" s="816">
        <v>0.3</v>
      </c>
      <c r="X33" s="816"/>
      <c r="Y33" s="817"/>
      <c r="Z33" s="816">
        <v>0.3</v>
      </c>
      <c r="AA33" s="816"/>
      <c r="AB33" s="818"/>
      <c r="AC33" s="820">
        <v>0.3</v>
      </c>
      <c r="AD33" s="820"/>
      <c r="AE33" s="821"/>
      <c r="AF33" s="820">
        <v>0.3</v>
      </c>
      <c r="AG33" s="820"/>
      <c r="AH33" s="821"/>
      <c r="AI33" s="820">
        <v>0.3</v>
      </c>
      <c r="AJ33" s="820"/>
      <c r="AK33" s="821"/>
      <c r="AL33" s="824">
        <v>0.3</v>
      </c>
      <c r="AM33" s="824"/>
      <c r="AN33" s="825"/>
      <c r="AO33" s="824" t="s">
        <v>333</v>
      </c>
      <c r="AP33" s="826"/>
      <c r="AQ33" s="825"/>
      <c r="AR33" s="824" t="s">
        <v>333</v>
      </c>
      <c r="AS33" s="826"/>
      <c r="AT33" s="826"/>
      <c r="AU33" s="824">
        <v>0.35</v>
      </c>
      <c r="AV33" s="826"/>
      <c r="AW33" s="826"/>
      <c r="AX33" s="824">
        <v>0.3</v>
      </c>
      <c r="AY33" s="826"/>
      <c r="AZ33" s="826"/>
      <c r="BA33" s="860" t="s">
        <v>331</v>
      </c>
      <c r="BB33" s="828"/>
      <c r="BC33" s="828"/>
      <c r="BD33" s="829">
        <v>0.3</v>
      </c>
      <c r="BE33" s="831"/>
      <c r="BF33" s="831"/>
      <c r="BG33" s="829">
        <v>0.3</v>
      </c>
      <c r="BH33" s="831"/>
      <c r="BI33" s="831"/>
      <c r="BJ33" s="862">
        <v>0.3</v>
      </c>
      <c r="BK33" s="831"/>
      <c r="BL33" s="832"/>
      <c r="BM33" s="861">
        <v>0.3</v>
      </c>
      <c r="BN33" s="831"/>
      <c r="BO33" s="831"/>
      <c r="BP33" s="861">
        <v>0.3</v>
      </c>
      <c r="BQ33" s="861"/>
      <c r="BR33" s="831"/>
      <c r="BS33" s="833"/>
      <c r="BT33" s="572" t="s">
        <v>315</v>
      </c>
    </row>
    <row r="34" spans="1:72" ht="15">
      <c r="A34" s="834"/>
      <c r="B34" s="835"/>
      <c r="C34" s="1039"/>
      <c r="D34" s="1148"/>
      <c r="E34" s="863"/>
      <c r="F34" s="863"/>
      <c r="G34" s="864"/>
      <c r="H34" s="863"/>
      <c r="I34" s="863"/>
      <c r="J34" s="863"/>
      <c r="K34" s="863"/>
      <c r="L34" s="863"/>
      <c r="M34" s="864"/>
      <c r="N34" s="863"/>
      <c r="O34" s="863"/>
      <c r="P34" s="864"/>
      <c r="Q34" s="863"/>
      <c r="R34" s="863"/>
      <c r="S34" s="864"/>
      <c r="T34" s="864"/>
      <c r="U34" s="863"/>
      <c r="V34" s="864"/>
      <c r="W34" s="865"/>
      <c r="X34" s="865"/>
      <c r="Y34" s="866"/>
      <c r="Z34" s="865"/>
      <c r="AA34" s="865"/>
      <c r="AB34" s="867"/>
      <c r="AC34" s="868"/>
      <c r="AD34" s="868"/>
      <c r="AE34" s="869"/>
      <c r="AF34" s="868"/>
      <c r="AG34" s="868"/>
      <c r="AH34" s="869"/>
      <c r="AI34" s="868"/>
      <c r="AJ34" s="868"/>
      <c r="AK34" s="869"/>
      <c r="AL34" s="870"/>
      <c r="AM34" s="870"/>
      <c r="AN34" s="871"/>
      <c r="AO34" s="870"/>
      <c r="AP34" s="870"/>
      <c r="AQ34" s="871"/>
      <c r="AR34" s="870"/>
      <c r="AS34" s="870"/>
      <c r="AT34" s="870"/>
      <c r="AU34" s="870"/>
      <c r="AV34" s="870"/>
      <c r="AW34" s="870"/>
      <c r="AX34" s="870"/>
      <c r="AY34" s="870"/>
      <c r="AZ34" s="870"/>
      <c r="BA34" s="872"/>
      <c r="BB34" s="872"/>
      <c r="BC34" s="872"/>
      <c r="BD34" s="873"/>
      <c r="BE34" s="873"/>
      <c r="BF34" s="873"/>
      <c r="BG34" s="873"/>
      <c r="BH34" s="873"/>
      <c r="BI34" s="873"/>
      <c r="BJ34" s="873"/>
      <c r="BK34" s="873"/>
      <c r="BL34" s="874"/>
      <c r="BM34" s="873"/>
      <c r="BN34" s="873"/>
      <c r="BO34" s="873"/>
      <c r="BP34" s="861"/>
      <c r="BQ34" s="861"/>
      <c r="BR34" s="873"/>
      <c r="BS34" s="875"/>
      <c r="BT34" s="572" t="s">
        <v>315</v>
      </c>
    </row>
    <row r="35" spans="1:72" ht="15">
      <c r="A35" s="427" t="s">
        <v>82</v>
      </c>
      <c r="B35" s="428" t="s">
        <v>83</v>
      </c>
      <c r="C35" s="588">
        <v>554807.21070635587</v>
      </c>
      <c r="D35" s="876"/>
      <c r="E35" s="588">
        <v>516758.23614148941</v>
      </c>
      <c r="F35" s="588">
        <f>E35-$C35</f>
        <v>-38048.974564866454</v>
      </c>
      <c r="G35" s="589">
        <f t="shared" ref="G35:G72" si="0">(E35-$C35)/$C35</f>
        <v>-6.8580533617117537E-2</v>
      </c>
      <c r="H35" s="588">
        <v>498548.88622869243</v>
      </c>
      <c r="I35" s="588">
        <f>H35-$C35</f>
        <v>-56258.324477663438</v>
      </c>
      <c r="J35" s="589">
        <f>(H35-$C35)/$C35</f>
        <v>-0.10140157408199119</v>
      </c>
      <c r="K35" s="588">
        <v>591212.32656894531</v>
      </c>
      <c r="L35" s="588">
        <f>K35-$C35</f>
        <v>36405.115862589446</v>
      </c>
      <c r="M35" s="589">
        <f>(K35-$C35)/$C35</f>
        <v>6.5617596815730053E-2</v>
      </c>
      <c r="N35" s="877">
        <v>534394.47197393246</v>
      </c>
      <c r="O35" s="588">
        <f>N35-$C35</f>
        <v>-20412.738732423401</v>
      </c>
      <c r="P35" s="589">
        <f>(N35-$C35)/$C35</f>
        <v>-3.6792489965000293E-2</v>
      </c>
      <c r="Q35" s="877">
        <v>595732.13767321547</v>
      </c>
      <c r="R35" s="588">
        <f>Q35-$C35</f>
        <v>40924.92696685961</v>
      </c>
      <c r="S35" s="589">
        <f t="shared" ref="S35:S72" si="1">(Q35-$C35)/$C35</f>
        <v>7.3764230487840657E-2</v>
      </c>
      <c r="T35" s="877">
        <v>589304.80248126609</v>
      </c>
      <c r="U35" s="588">
        <f>T35-$C35</f>
        <v>34497.591774910223</v>
      </c>
      <c r="V35" s="589">
        <f t="shared" ref="V35:V72" si="2">(T35-$C35)/$C35</f>
        <v>6.2179422165385023E-2</v>
      </c>
      <c r="W35" s="683">
        <v>541818.04297382641</v>
      </c>
      <c r="X35" s="588">
        <f>W35-$C35</f>
        <v>-12989.167732529459</v>
      </c>
      <c r="Y35" s="589">
        <f t="shared" ref="Y35:Y72" si="3">(W35-$C35)/$C35</f>
        <v>-2.3412038419602061E-2</v>
      </c>
      <c r="Z35" s="683">
        <v>555022.1019239286</v>
      </c>
      <c r="AA35" s="588">
        <f>Z35-$C35</f>
        <v>214.89121757273097</v>
      </c>
      <c r="AB35" s="589">
        <f t="shared" ref="AB35:AB72" si="4">(Z35-$C35)/$C35</f>
        <v>3.8732592768421487E-4</v>
      </c>
      <c r="AC35" s="878">
        <v>546628.54087065731</v>
      </c>
      <c r="AD35" s="588">
        <f>AC35-$C35</f>
        <v>-8178.669835698558</v>
      </c>
      <c r="AE35" s="589">
        <f t="shared" ref="AE35:AE72" si="5">(AC35-$C35)/$C35</f>
        <v>-1.4741462760164633E-2</v>
      </c>
      <c r="AF35" s="683">
        <v>547302.21324400499</v>
      </c>
      <c r="AG35" s="588">
        <f>AF35-$C35</f>
        <v>-7504.9974623508751</v>
      </c>
      <c r="AH35" s="589">
        <f t="shared" ref="AH35:AH72" si="6">(AF35-$C35)/$C35</f>
        <v>-1.352721687376025E-2</v>
      </c>
      <c r="AI35" s="683">
        <v>563943.52211064554</v>
      </c>
      <c r="AJ35" s="588">
        <f>AI35-$C35</f>
        <v>9136.3114042896777</v>
      </c>
      <c r="AK35" s="589">
        <f t="shared" ref="AK35:AK72" si="7">(AI35-$C35)/$C35</f>
        <v>1.6467542649018084E-2</v>
      </c>
      <c r="AL35" s="683">
        <v>533040.43389871134</v>
      </c>
      <c r="AM35" s="588">
        <f>AL35-$C35</f>
        <v>-21766.776807644521</v>
      </c>
      <c r="AN35" s="589">
        <f t="shared" ref="AN35:AN72" si="8">(AL35-$C35)/$C35</f>
        <v>-3.9233045979939644E-2</v>
      </c>
      <c r="AO35" s="683">
        <v>527372.78365380457</v>
      </c>
      <c r="AP35" s="588">
        <f>AO35-$C35</f>
        <v>-27434.427052551298</v>
      </c>
      <c r="AQ35" s="589">
        <f t="shared" ref="AQ35:AQ72" si="9">(AO35-$C35)/$C35</f>
        <v>-4.9448576952745453E-2</v>
      </c>
      <c r="AR35" s="683">
        <v>566688.23039386573</v>
      </c>
      <c r="AS35" s="588">
        <f>AR35-$C35</f>
        <v>11881.019687509863</v>
      </c>
      <c r="AT35" s="589">
        <f t="shared" ref="AT35:AT72" si="10">(AR35-$C35)/$C35</f>
        <v>2.1414681457336281E-2</v>
      </c>
      <c r="AU35" s="683">
        <v>528675.96808781382</v>
      </c>
      <c r="AV35" s="588">
        <f>AU35-$C35</f>
        <v>-26131.242618542048</v>
      </c>
      <c r="AW35" s="589">
        <f t="shared" ref="AW35:AW72" si="11">(AU35-$C35)/$C35</f>
        <v>-4.709968095993726E-2</v>
      </c>
      <c r="AX35" s="683">
        <v>569166.14566998649</v>
      </c>
      <c r="AY35" s="588">
        <f>AX35-$C35</f>
        <v>14358.934963630629</v>
      </c>
      <c r="AZ35" s="589">
        <f t="shared" ref="AZ35:AZ72" si="12">(AX35-$C35)/$C35</f>
        <v>2.5880945104065016E-2</v>
      </c>
      <c r="BA35" s="879">
        <v>563171.44555696414</v>
      </c>
      <c r="BB35" s="588">
        <f>BA35-$C35</f>
        <v>8364.2348506082781</v>
      </c>
      <c r="BC35" s="589">
        <f t="shared" ref="BC35:BC56" si="13">(BA35-$C35)/$C35</f>
        <v>1.5075930321740602E-2</v>
      </c>
      <c r="BD35" s="880">
        <v>588669.38748768298</v>
      </c>
      <c r="BE35" s="588">
        <f>BD35-$C35</f>
        <v>33862.176781327114</v>
      </c>
      <c r="BF35" s="589">
        <f>(BD35-$C35)/$C35</f>
        <v>6.1034132447945831E-2</v>
      </c>
      <c r="BG35" s="730">
        <v>581259.24139853078</v>
      </c>
      <c r="BH35" s="588">
        <f>BG35-$C35</f>
        <v>26452.030692174914</v>
      </c>
      <c r="BI35" s="589">
        <f>(BG35-$C35)/$C35</f>
        <v>4.7677878336327612E-2</v>
      </c>
      <c r="BJ35" s="880">
        <v>604444.36956703861</v>
      </c>
      <c r="BK35" s="588">
        <f>BJ35-$C35</f>
        <v>49637.158860682743</v>
      </c>
      <c r="BL35" s="589">
        <f t="shared" ref="BL35:BL72" si="14">(BJ35-$C35)/$C35</f>
        <v>8.9467400392087407E-2</v>
      </c>
      <c r="BM35" s="880">
        <v>544915.25710704189</v>
      </c>
      <c r="BN35" s="588">
        <f>BM35-$C35</f>
        <v>-9891.9535993139725</v>
      </c>
      <c r="BO35" s="589">
        <f t="shared" ref="BO35:BO72" si="15">(BM35-$C35)/$C35</f>
        <v>-1.7829533229605968E-2</v>
      </c>
      <c r="BP35" s="880">
        <v>604444.36956703861</v>
      </c>
      <c r="BQ35" s="588">
        <f>BP35-$C35</f>
        <v>49637.158860682743</v>
      </c>
      <c r="BR35" s="589">
        <f t="shared" ref="BR35:BR72" si="16">(BP35-$C35)/$C35</f>
        <v>8.9467400392087407E-2</v>
      </c>
      <c r="BS35" s="723"/>
    </row>
    <row r="36" spans="1:72" ht="15">
      <c r="A36" s="477" t="s">
        <v>82</v>
      </c>
      <c r="B36" s="428" t="s">
        <v>84</v>
      </c>
      <c r="C36" s="588">
        <v>108464.4</v>
      </c>
      <c r="D36" s="876"/>
      <c r="E36" s="588">
        <v>108464.4</v>
      </c>
      <c r="F36" s="588">
        <f t="shared" ref="F36:F72" si="17">E36-$C36</f>
        <v>0</v>
      </c>
      <c r="G36" s="589">
        <f t="shared" si="0"/>
        <v>0</v>
      </c>
      <c r="H36" s="588">
        <v>108464.4</v>
      </c>
      <c r="I36" s="588">
        <f t="shared" ref="I36:I72" si="18">H36-$C36</f>
        <v>0</v>
      </c>
      <c r="J36" s="589">
        <f t="shared" ref="J36:J72" si="19">(H36-$C36)/$C36</f>
        <v>0</v>
      </c>
      <c r="K36" s="588">
        <v>108464.4</v>
      </c>
      <c r="L36" s="588">
        <f t="shared" ref="L36:L72" si="20">K36-$C36</f>
        <v>0</v>
      </c>
      <c r="M36" s="589">
        <f t="shared" ref="M36:M72" si="21">(K36-$C36)/$C36</f>
        <v>0</v>
      </c>
      <c r="N36" s="877">
        <v>108464.4</v>
      </c>
      <c r="O36" s="588">
        <f t="shared" ref="O36:O72" si="22">N36-$C36</f>
        <v>0</v>
      </c>
      <c r="P36" s="589">
        <f t="shared" ref="P36:P72" si="23">(N36-$C36)/$C36</f>
        <v>0</v>
      </c>
      <c r="Q36" s="877">
        <v>108464.4</v>
      </c>
      <c r="R36" s="588">
        <f t="shared" ref="R36:R72" si="24">Q36-$C36</f>
        <v>0</v>
      </c>
      <c r="S36" s="589">
        <f t="shared" si="1"/>
        <v>0</v>
      </c>
      <c r="T36" s="877">
        <v>108464.4</v>
      </c>
      <c r="U36" s="588">
        <f t="shared" ref="U36:U72" si="25">T36-$C36</f>
        <v>0</v>
      </c>
      <c r="V36" s="589">
        <f t="shared" si="2"/>
        <v>0</v>
      </c>
      <c r="W36" s="683">
        <v>108464.4</v>
      </c>
      <c r="X36" s="588">
        <f t="shared" ref="X36:X72" si="26">W36-$C36</f>
        <v>0</v>
      </c>
      <c r="Y36" s="589">
        <f t="shared" si="3"/>
        <v>0</v>
      </c>
      <c r="Z36" s="683">
        <v>108464.4</v>
      </c>
      <c r="AA36" s="588">
        <f t="shared" ref="AA36:AA72" si="27">Z36-$C36</f>
        <v>0</v>
      </c>
      <c r="AB36" s="589">
        <f t="shared" si="4"/>
        <v>0</v>
      </c>
      <c r="AC36" s="878">
        <v>108464.4</v>
      </c>
      <c r="AD36" s="588">
        <f t="shared" ref="AD36:AD72" si="28">AC36-$C36</f>
        <v>0</v>
      </c>
      <c r="AE36" s="589">
        <f t="shared" si="5"/>
        <v>0</v>
      </c>
      <c r="AF36" s="683">
        <v>108464.4</v>
      </c>
      <c r="AG36" s="588">
        <f t="shared" ref="AG36:AG72" si="29">AF36-$C36</f>
        <v>0</v>
      </c>
      <c r="AH36" s="589">
        <f t="shared" si="6"/>
        <v>0</v>
      </c>
      <c r="AI36" s="683">
        <v>108464.4</v>
      </c>
      <c r="AJ36" s="588">
        <f t="shared" ref="AJ36:AJ72" si="30">AI36-$C36</f>
        <v>0</v>
      </c>
      <c r="AK36" s="589">
        <f t="shared" si="7"/>
        <v>0</v>
      </c>
      <c r="AL36" s="683">
        <v>108464.4</v>
      </c>
      <c r="AM36" s="588">
        <f t="shared" ref="AM36:AM72" si="31">AL36-$C36</f>
        <v>0</v>
      </c>
      <c r="AN36" s="589">
        <f t="shared" si="8"/>
        <v>0</v>
      </c>
      <c r="AO36" s="683">
        <v>115363.81364089205</v>
      </c>
      <c r="AP36" s="588">
        <f t="shared" ref="AP36:AP72" si="32">AO36-$C36</f>
        <v>6899.4136408920604</v>
      </c>
      <c r="AQ36" s="589">
        <f t="shared" si="9"/>
        <v>6.3609936909179973E-2</v>
      </c>
      <c r="AR36" s="683">
        <v>108546.49018778696</v>
      </c>
      <c r="AS36" s="588">
        <f t="shared" ref="AS36:AS72" si="33">AR36-$C36</f>
        <v>82.090187786961906</v>
      </c>
      <c r="AT36" s="589">
        <f t="shared" si="10"/>
        <v>7.5683991970602253E-4</v>
      </c>
      <c r="AU36" s="683">
        <v>116051.5332203314</v>
      </c>
      <c r="AV36" s="588">
        <f t="shared" ref="AV36:AV72" si="34">AU36-$C36</f>
        <v>7587.1332203314087</v>
      </c>
      <c r="AW36" s="589">
        <f t="shared" si="11"/>
        <v>6.9950446601201949E-2</v>
      </c>
      <c r="AX36" s="683">
        <v>108464.4</v>
      </c>
      <c r="AY36" s="588">
        <f t="shared" ref="AY36:AY72" si="35">AX36-$C36</f>
        <v>0</v>
      </c>
      <c r="AZ36" s="589">
        <f t="shared" si="12"/>
        <v>0</v>
      </c>
      <c r="BA36" s="879">
        <v>108464.4</v>
      </c>
      <c r="BB36" s="588">
        <f t="shared" ref="BB36:BB72" si="36">BA36-$C36</f>
        <v>0</v>
      </c>
      <c r="BC36" s="589">
        <f t="shared" si="13"/>
        <v>0</v>
      </c>
      <c r="BD36" s="880">
        <v>108464.4</v>
      </c>
      <c r="BE36" s="588">
        <f t="shared" ref="BE36:BE72" si="37">BD36-$C36</f>
        <v>0</v>
      </c>
      <c r="BF36" s="589">
        <f t="shared" ref="BF36:BF72" si="38">(BD36-$C36)/$C36</f>
        <v>0</v>
      </c>
      <c r="BG36" s="730">
        <v>108464.4</v>
      </c>
      <c r="BH36" s="588">
        <f t="shared" ref="BH36:BH72" si="39">BG36-$C36</f>
        <v>0</v>
      </c>
      <c r="BI36" s="589">
        <f t="shared" ref="BI36:BI72" si="40">(BG36-$C36)/$C36</f>
        <v>0</v>
      </c>
      <c r="BJ36" s="880">
        <v>108464.4</v>
      </c>
      <c r="BK36" s="588">
        <f t="shared" ref="BK36:BK72" si="41">BJ36-$C36</f>
        <v>0</v>
      </c>
      <c r="BL36" s="589">
        <f t="shared" si="14"/>
        <v>0</v>
      </c>
      <c r="BM36" s="880">
        <v>108464.4</v>
      </c>
      <c r="BN36" s="588">
        <f t="shared" ref="BN36:BN72" si="42">BM36-$C36</f>
        <v>0</v>
      </c>
      <c r="BO36" s="589">
        <f t="shared" si="15"/>
        <v>0</v>
      </c>
      <c r="BP36" s="880">
        <v>108464.4</v>
      </c>
      <c r="BQ36" s="588">
        <f t="shared" ref="BQ36:BQ72" si="43">BP36-$C36</f>
        <v>0</v>
      </c>
      <c r="BR36" s="589">
        <f t="shared" si="16"/>
        <v>0</v>
      </c>
      <c r="BS36" s="723"/>
    </row>
    <row r="37" spans="1:72" ht="15">
      <c r="A37" s="477" t="s">
        <v>82</v>
      </c>
      <c r="B37" s="428" t="s">
        <v>85</v>
      </c>
      <c r="C37" s="588">
        <v>681012.57966416562</v>
      </c>
      <c r="D37" s="876"/>
      <c r="E37" s="588">
        <v>650180.68984858738</v>
      </c>
      <c r="F37" s="588">
        <f t="shared" si="17"/>
        <v>-30831.889815578237</v>
      </c>
      <c r="G37" s="589">
        <f t="shared" si="0"/>
        <v>-4.5273598074770757E-2</v>
      </c>
      <c r="H37" s="588">
        <v>636156.85554693849</v>
      </c>
      <c r="I37" s="588">
        <f t="shared" si="18"/>
        <v>-44855.724117227132</v>
      </c>
      <c r="J37" s="589">
        <f t="shared" si="19"/>
        <v>-6.5866219592224384E-2</v>
      </c>
      <c r="K37" s="588">
        <v>721066.11055822624</v>
      </c>
      <c r="L37" s="588">
        <f t="shared" si="20"/>
        <v>40053.530894060619</v>
      </c>
      <c r="M37" s="589">
        <f t="shared" si="21"/>
        <v>5.8814671109030922E-2</v>
      </c>
      <c r="N37" s="877">
        <v>663766.67229046242</v>
      </c>
      <c r="O37" s="588">
        <f t="shared" si="22"/>
        <v>-17245.907373703201</v>
      </c>
      <c r="P37" s="589">
        <f t="shared" si="23"/>
        <v>-2.5323918953461689E-2</v>
      </c>
      <c r="Q37" s="877">
        <v>737799.83502905793</v>
      </c>
      <c r="R37" s="588">
        <f t="shared" si="24"/>
        <v>56787.255364892306</v>
      </c>
      <c r="S37" s="589">
        <f t="shared" si="1"/>
        <v>8.3386499839542411E-2</v>
      </c>
      <c r="T37" s="877">
        <v>698275.83758150286</v>
      </c>
      <c r="U37" s="588">
        <f t="shared" si="25"/>
        <v>17263.257917337236</v>
      </c>
      <c r="V37" s="589">
        <f t="shared" si="2"/>
        <v>2.534939652047314E-2</v>
      </c>
      <c r="W37" s="683">
        <v>665093.98336661549</v>
      </c>
      <c r="X37" s="588">
        <f t="shared" si="26"/>
        <v>-15918.596297550132</v>
      </c>
      <c r="Y37" s="589">
        <f t="shared" si="3"/>
        <v>-2.3374893170696236E-2</v>
      </c>
      <c r="Z37" s="683">
        <v>679442.6749191914</v>
      </c>
      <c r="AA37" s="588">
        <f t="shared" si="27"/>
        <v>-1569.9047449742211</v>
      </c>
      <c r="AB37" s="589">
        <f t="shared" si="4"/>
        <v>-2.3052507278916983E-3</v>
      </c>
      <c r="AC37" s="878">
        <v>670263.19162781851</v>
      </c>
      <c r="AD37" s="588">
        <f t="shared" si="28"/>
        <v>-10749.388036347111</v>
      </c>
      <c r="AE37" s="589">
        <f t="shared" si="5"/>
        <v>-1.5784419197730621E-2</v>
      </c>
      <c r="AF37" s="683">
        <v>673207.63562260882</v>
      </c>
      <c r="AG37" s="588">
        <f t="shared" si="29"/>
        <v>-7804.9440415567951</v>
      </c>
      <c r="AH37" s="589">
        <f t="shared" si="6"/>
        <v>-1.1460792758638502E-2</v>
      </c>
      <c r="AI37" s="683">
        <v>688339.71123915538</v>
      </c>
      <c r="AJ37" s="588">
        <f t="shared" si="30"/>
        <v>7327.1315749897622</v>
      </c>
      <c r="AK37" s="589">
        <f t="shared" si="7"/>
        <v>1.0759172141288582E-2</v>
      </c>
      <c r="AL37" s="683">
        <v>657665.97173809621</v>
      </c>
      <c r="AM37" s="588">
        <f t="shared" si="31"/>
        <v>-23346.60792606941</v>
      </c>
      <c r="AN37" s="589">
        <f t="shared" si="8"/>
        <v>-3.4282197749684079E-2</v>
      </c>
      <c r="AO37" s="683">
        <v>651125.24467611336</v>
      </c>
      <c r="AP37" s="588">
        <f t="shared" si="32"/>
        <v>-29887.334988052258</v>
      </c>
      <c r="AQ37" s="589">
        <f t="shared" si="9"/>
        <v>-4.3886612201482225E-2</v>
      </c>
      <c r="AR37" s="683">
        <v>674771.38249000197</v>
      </c>
      <c r="AS37" s="588">
        <f t="shared" si="33"/>
        <v>-6241.1971741636517</v>
      </c>
      <c r="AT37" s="589">
        <f t="shared" si="10"/>
        <v>-9.164584268386693E-3</v>
      </c>
      <c r="AU37" s="683">
        <v>653102.42943535221</v>
      </c>
      <c r="AV37" s="588">
        <f t="shared" si="34"/>
        <v>-27910.150228813407</v>
      </c>
      <c r="AW37" s="589">
        <f t="shared" si="11"/>
        <v>-4.0983310826030572E-2</v>
      </c>
      <c r="AX37" s="683">
        <v>678400.50659491878</v>
      </c>
      <c r="AY37" s="588">
        <f t="shared" si="35"/>
        <v>-2612.0730692468351</v>
      </c>
      <c r="AZ37" s="589">
        <f t="shared" si="12"/>
        <v>-3.8355724214888249E-3</v>
      </c>
      <c r="BA37" s="879">
        <v>691279.47786341142</v>
      </c>
      <c r="BB37" s="588">
        <f t="shared" si="36"/>
        <v>10266.898199245799</v>
      </c>
      <c r="BC37" s="589">
        <f t="shared" si="13"/>
        <v>1.5075930321740628E-2</v>
      </c>
      <c r="BD37" s="880">
        <v>715802.1112787457</v>
      </c>
      <c r="BE37" s="588">
        <f t="shared" si="37"/>
        <v>34789.531614580075</v>
      </c>
      <c r="BF37" s="589">
        <f t="shared" si="38"/>
        <v>5.1085005847815876E-2</v>
      </c>
      <c r="BG37" s="730">
        <v>710807.51030710107</v>
      </c>
      <c r="BH37" s="588">
        <f t="shared" si="39"/>
        <v>29794.930642935447</v>
      </c>
      <c r="BI37" s="589">
        <f t="shared" si="40"/>
        <v>4.3750925508055247E-2</v>
      </c>
      <c r="BJ37" s="880">
        <v>716205.94916366553</v>
      </c>
      <c r="BK37" s="588">
        <f t="shared" si="41"/>
        <v>35193.36949949991</v>
      </c>
      <c r="BL37" s="589">
        <f t="shared" si="14"/>
        <v>5.167800206694443E-2</v>
      </c>
      <c r="BM37" s="880">
        <v>657752.49092723825</v>
      </c>
      <c r="BN37" s="588">
        <f t="shared" si="42"/>
        <v>-23260.08873692737</v>
      </c>
      <c r="BO37" s="589">
        <f t="shared" si="15"/>
        <v>-3.4155152829038554E-2</v>
      </c>
      <c r="BP37" s="880">
        <v>716205.94916366541</v>
      </c>
      <c r="BQ37" s="588">
        <f t="shared" si="43"/>
        <v>35193.369499499793</v>
      </c>
      <c r="BR37" s="589">
        <f t="shared" si="16"/>
        <v>5.1678002066944256E-2</v>
      </c>
      <c r="BS37" s="723"/>
    </row>
    <row r="38" spans="1:72" ht="15">
      <c r="A38" s="477" t="s">
        <v>82</v>
      </c>
      <c r="B38" s="428" t="s">
        <v>86</v>
      </c>
      <c r="C38" s="588">
        <v>632074.60517037171</v>
      </c>
      <c r="D38" s="876"/>
      <c r="E38" s="588">
        <v>615364.93721245963</v>
      </c>
      <c r="F38" s="588">
        <f t="shared" si="17"/>
        <v>-16709.667957912083</v>
      </c>
      <c r="G38" s="589">
        <f t="shared" si="0"/>
        <v>-2.6436227339663641E-2</v>
      </c>
      <c r="H38" s="588">
        <v>608622.37563531252</v>
      </c>
      <c r="I38" s="588">
        <f t="shared" si="18"/>
        <v>-23452.229535059188</v>
      </c>
      <c r="J38" s="589">
        <f t="shared" si="19"/>
        <v>-3.710357819032737E-2</v>
      </c>
      <c r="K38" s="588">
        <v>646775.69999999995</v>
      </c>
      <c r="L38" s="588">
        <f t="shared" si="20"/>
        <v>14701.094829628244</v>
      </c>
      <c r="M38" s="589">
        <f t="shared" si="21"/>
        <v>2.3258480422047104E-2</v>
      </c>
      <c r="N38" s="877">
        <v>621918.27635589731</v>
      </c>
      <c r="O38" s="588">
        <f t="shared" si="22"/>
        <v>-10156.3288144744</v>
      </c>
      <c r="P38" s="589">
        <f t="shared" si="23"/>
        <v>-1.6068243734830678E-2</v>
      </c>
      <c r="Q38" s="877">
        <v>646775.69999999995</v>
      </c>
      <c r="R38" s="588">
        <f t="shared" si="24"/>
        <v>14701.094829628244</v>
      </c>
      <c r="S38" s="589">
        <f t="shared" si="1"/>
        <v>2.3258480422047104E-2</v>
      </c>
      <c r="T38" s="877">
        <v>593669.81749572593</v>
      </c>
      <c r="U38" s="588">
        <f t="shared" si="25"/>
        <v>-38404.787674645777</v>
      </c>
      <c r="V38" s="589">
        <f t="shared" si="2"/>
        <v>-6.0759896633236846E-2</v>
      </c>
      <c r="W38" s="683">
        <v>616831.42966457305</v>
      </c>
      <c r="X38" s="588">
        <f t="shared" si="26"/>
        <v>-15243.175505798659</v>
      </c>
      <c r="Y38" s="589">
        <f t="shared" si="3"/>
        <v>-2.4116101772020976E-2</v>
      </c>
      <c r="Z38" s="683">
        <v>619224.13646195305</v>
      </c>
      <c r="AA38" s="588">
        <f t="shared" si="27"/>
        <v>-12850.468708418659</v>
      </c>
      <c r="AB38" s="589">
        <f t="shared" si="4"/>
        <v>-2.0330620156705864E-2</v>
      </c>
      <c r="AC38" s="878">
        <v>617560.64026092668</v>
      </c>
      <c r="AD38" s="588">
        <f t="shared" si="28"/>
        <v>-14513.964909445029</v>
      </c>
      <c r="AE38" s="589">
        <f t="shared" si="5"/>
        <v>-2.2962423724542581E-2</v>
      </c>
      <c r="AF38" s="683">
        <v>623300.77723275358</v>
      </c>
      <c r="AG38" s="588">
        <f t="shared" si="29"/>
        <v>-8773.8279376181308</v>
      </c>
      <c r="AH38" s="589">
        <f t="shared" si="6"/>
        <v>-1.3881000543050137E-2</v>
      </c>
      <c r="AI38" s="683">
        <v>616762.81635498919</v>
      </c>
      <c r="AJ38" s="588">
        <f t="shared" si="30"/>
        <v>-15311.788815382519</v>
      </c>
      <c r="AK38" s="589">
        <f t="shared" si="7"/>
        <v>-2.4224654321075473E-2</v>
      </c>
      <c r="AL38" s="683">
        <v>593223.39242235408</v>
      </c>
      <c r="AM38" s="588">
        <f t="shared" si="31"/>
        <v>-38851.212748017628</v>
      </c>
      <c r="AN38" s="589">
        <f t="shared" si="8"/>
        <v>-6.1466182045939857E-2</v>
      </c>
      <c r="AO38" s="683">
        <v>602211.9493946078</v>
      </c>
      <c r="AP38" s="588">
        <f t="shared" si="32"/>
        <v>-29862.655775763909</v>
      </c>
      <c r="AQ38" s="589">
        <f t="shared" si="9"/>
        <v>-4.7245460474898561E-2</v>
      </c>
      <c r="AR38" s="683">
        <v>571995.11195519334</v>
      </c>
      <c r="AS38" s="588">
        <f t="shared" si="33"/>
        <v>-60079.493215178372</v>
      </c>
      <c r="AT38" s="589">
        <f t="shared" si="10"/>
        <v>-9.5051268827647847E-2</v>
      </c>
      <c r="AU38" s="683">
        <v>603835.43186868576</v>
      </c>
      <c r="AV38" s="588">
        <f t="shared" si="34"/>
        <v>-28239.173301685951</v>
      </c>
      <c r="AW38" s="589">
        <f t="shared" si="11"/>
        <v>-4.4676962293199965E-2</v>
      </c>
      <c r="AX38" s="683">
        <v>574724.76166204188</v>
      </c>
      <c r="AY38" s="588">
        <f t="shared" si="35"/>
        <v>-57349.843508329825</v>
      </c>
      <c r="AZ38" s="589">
        <f t="shared" si="12"/>
        <v>-9.0732712624756587E-2</v>
      </c>
      <c r="BA38" s="879">
        <v>641603.71787606203</v>
      </c>
      <c r="BB38" s="588">
        <f t="shared" si="36"/>
        <v>9529.1127056903206</v>
      </c>
      <c r="BC38" s="589">
        <f t="shared" si="13"/>
        <v>1.5075930321740752E-2</v>
      </c>
      <c r="BD38" s="880">
        <v>646775.69999999995</v>
      </c>
      <c r="BE38" s="588">
        <f t="shared" si="37"/>
        <v>14701.094829628244</v>
      </c>
      <c r="BF38" s="589">
        <f t="shared" si="38"/>
        <v>2.3258480422047104E-2</v>
      </c>
      <c r="BG38" s="730">
        <v>646775.69999999995</v>
      </c>
      <c r="BH38" s="588">
        <f t="shared" si="39"/>
        <v>14701.094829628244</v>
      </c>
      <c r="BI38" s="589">
        <f t="shared" si="40"/>
        <v>2.3258480422047104E-2</v>
      </c>
      <c r="BJ38" s="880">
        <v>646775.69999999995</v>
      </c>
      <c r="BK38" s="588">
        <f t="shared" si="41"/>
        <v>14701.094829628244</v>
      </c>
      <c r="BL38" s="589">
        <f t="shared" si="14"/>
        <v>2.3258480422047104E-2</v>
      </c>
      <c r="BM38" s="880">
        <v>562375.87654940423</v>
      </c>
      <c r="BN38" s="588">
        <f t="shared" si="42"/>
        <v>-69698.728620967478</v>
      </c>
      <c r="BO38" s="589">
        <f t="shared" si="15"/>
        <v>-0.11026978152710411</v>
      </c>
      <c r="BP38" s="880">
        <v>646775.69999999995</v>
      </c>
      <c r="BQ38" s="588">
        <f t="shared" si="43"/>
        <v>14701.094829628244</v>
      </c>
      <c r="BR38" s="589">
        <f t="shared" si="16"/>
        <v>2.3258480422047104E-2</v>
      </c>
      <c r="BS38" s="723"/>
    </row>
    <row r="39" spans="1:72" ht="15">
      <c r="A39" s="477" t="s">
        <v>82</v>
      </c>
      <c r="B39" s="428" t="s">
        <v>87</v>
      </c>
      <c r="C39" s="588">
        <v>108639.62416606396</v>
      </c>
      <c r="D39" s="876"/>
      <c r="E39" s="588">
        <v>107778.18263123404</v>
      </c>
      <c r="F39" s="588">
        <f t="shared" si="17"/>
        <v>-861.4415348299226</v>
      </c>
      <c r="G39" s="589">
        <f t="shared" si="0"/>
        <v>-7.9293493644008138E-3</v>
      </c>
      <c r="H39" s="588">
        <v>107673.68599691756</v>
      </c>
      <c r="I39" s="588">
        <f t="shared" si="18"/>
        <v>-965.93816914640774</v>
      </c>
      <c r="J39" s="589">
        <f t="shared" si="19"/>
        <v>-8.8912142007219891E-3</v>
      </c>
      <c r="K39" s="588">
        <v>120405.17468953571</v>
      </c>
      <c r="L39" s="588">
        <f t="shared" si="20"/>
        <v>11765.550523471742</v>
      </c>
      <c r="M39" s="589">
        <f t="shared" si="21"/>
        <v>0.10829888830881078</v>
      </c>
      <c r="N39" s="877">
        <v>107883.4731641642</v>
      </c>
      <c r="O39" s="588">
        <f t="shared" si="22"/>
        <v>-756.15100189976511</v>
      </c>
      <c r="P39" s="589">
        <f t="shared" si="23"/>
        <v>-6.9601768940578306E-3</v>
      </c>
      <c r="Q39" s="877">
        <v>133020.94512478044</v>
      </c>
      <c r="R39" s="588">
        <f t="shared" si="24"/>
        <v>24381.320958716475</v>
      </c>
      <c r="S39" s="589">
        <f t="shared" si="1"/>
        <v>0.22442383380715458</v>
      </c>
      <c r="T39" s="877">
        <v>121206.3195445997</v>
      </c>
      <c r="U39" s="588">
        <f t="shared" si="25"/>
        <v>12566.695378535733</v>
      </c>
      <c r="V39" s="589">
        <f t="shared" si="2"/>
        <v>0.11567322213234629</v>
      </c>
      <c r="W39" s="683">
        <v>106018.98123628525</v>
      </c>
      <c r="X39" s="588">
        <f t="shared" si="26"/>
        <v>-2620.6429297787108</v>
      </c>
      <c r="Y39" s="589">
        <f t="shared" si="3"/>
        <v>-2.4122349003829927E-2</v>
      </c>
      <c r="Z39" s="683">
        <v>107928.05987885396</v>
      </c>
      <c r="AA39" s="588">
        <f t="shared" si="27"/>
        <v>-711.56428720999975</v>
      </c>
      <c r="AB39" s="589">
        <f t="shared" si="4"/>
        <v>-6.5497675702772991E-3</v>
      </c>
      <c r="AC39" s="878">
        <v>106752.40872655663</v>
      </c>
      <c r="AD39" s="588">
        <f t="shared" si="28"/>
        <v>-1887.2154395073303</v>
      </c>
      <c r="AE39" s="589">
        <f t="shared" si="5"/>
        <v>-1.7371336232004791E-2</v>
      </c>
      <c r="AF39" s="683">
        <v>107712.19956741993</v>
      </c>
      <c r="AG39" s="588">
        <f t="shared" si="29"/>
        <v>-927.42459864403645</v>
      </c>
      <c r="AH39" s="589">
        <f t="shared" si="6"/>
        <v>-8.536706618447033E-3</v>
      </c>
      <c r="AI39" s="683">
        <v>109342.50409990996</v>
      </c>
      <c r="AJ39" s="588">
        <f t="shared" si="30"/>
        <v>702.87993384599395</v>
      </c>
      <c r="AK39" s="589">
        <f t="shared" si="7"/>
        <v>6.4698303150569469E-3</v>
      </c>
      <c r="AL39" s="683">
        <v>104415.47672583783</v>
      </c>
      <c r="AM39" s="588">
        <f t="shared" si="31"/>
        <v>-4224.1474402261374</v>
      </c>
      <c r="AN39" s="589">
        <f t="shared" si="8"/>
        <v>-3.8882198577649768E-2</v>
      </c>
      <c r="AO39" s="683">
        <v>104281.84826134058</v>
      </c>
      <c r="AP39" s="588">
        <f t="shared" si="32"/>
        <v>-4357.7759047233849</v>
      </c>
      <c r="AQ39" s="589">
        <f t="shared" si="9"/>
        <v>-4.0112214472154205E-2</v>
      </c>
      <c r="AR39" s="683">
        <v>117514.46772618761</v>
      </c>
      <c r="AS39" s="588">
        <f t="shared" si="33"/>
        <v>8874.8435601236415</v>
      </c>
      <c r="AT39" s="589">
        <f t="shared" si="10"/>
        <v>8.1690668835136662E-2</v>
      </c>
      <c r="AU39" s="683">
        <v>104638.13470055166</v>
      </c>
      <c r="AV39" s="588">
        <f t="shared" si="34"/>
        <v>-4001.4894655123062</v>
      </c>
      <c r="AW39" s="589">
        <f t="shared" si="11"/>
        <v>-3.6832688774730331E-2</v>
      </c>
      <c r="AX39" s="683">
        <v>118226.03995145914</v>
      </c>
      <c r="AY39" s="588">
        <f t="shared" si="35"/>
        <v>9586.4157853951765</v>
      </c>
      <c r="AZ39" s="589">
        <f t="shared" si="12"/>
        <v>8.8240509473243467E-2</v>
      </c>
      <c r="BA39" s="879">
        <v>110277.46757017165</v>
      </c>
      <c r="BB39" s="588">
        <f t="shared" si="36"/>
        <v>1637.8434041076835</v>
      </c>
      <c r="BC39" s="589">
        <f t="shared" si="13"/>
        <v>1.5075930321740755E-2</v>
      </c>
      <c r="BD39" s="880">
        <v>118379.49154115986</v>
      </c>
      <c r="BE39" s="588">
        <f t="shared" si="37"/>
        <v>9739.8673750958988</v>
      </c>
      <c r="BF39" s="589">
        <f t="shared" si="38"/>
        <v>8.965299217353484E-2</v>
      </c>
      <c r="BG39" s="730">
        <v>119136.70135787601</v>
      </c>
      <c r="BH39" s="588">
        <f t="shared" si="39"/>
        <v>10497.077191812044</v>
      </c>
      <c r="BI39" s="589">
        <f t="shared" si="40"/>
        <v>9.6622915187615704E-2</v>
      </c>
      <c r="BJ39" s="880">
        <v>130699.17188036787</v>
      </c>
      <c r="BK39" s="588">
        <f t="shared" si="41"/>
        <v>22059.547714303902</v>
      </c>
      <c r="BL39" s="589">
        <f t="shared" si="14"/>
        <v>0.2030525039426149</v>
      </c>
      <c r="BM39" s="880">
        <v>116869.9904887905</v>
      </c>
      <c r="BN39" s="588">
        <f t="shared" si="42"/>
        <v>8230.3663227265351</v>
      </c>
      <c r="BO39" s="589">
        <f t="shared" si="15"/>
        <v>7.5758420428128428E-2</v>
      </c>
      <c r="BP39" s="880">
        <v>130699.17188036788</v>
      </c>
      <c r="BQ39" s="588">
        <f t="shared" si="43"/>
        <v>22059.547714303917</v>
      </c>
      <c r="BR39" s="589">
        <f t="shared" si="16"/>
        <v>0.20305250394261501</v>
      </c>
      <c r="BS39" s="723"/>
    </row>
    <row r="40" spans="1:72" ht="15">
      <c r="A40" s="477" t="s">
        <v>88</v>
      </c>
      <c r="B40" s="428" t="s">
        <v>89</v>
      </c>
      <c r="C40" s="588">
        <v>3555341.5023277341</v>
      </c>
      <c r="D40" s="876"/>
      <c r="E40" s="588">
        <v>3717974.3422546051</v>
      </c>
      <c r="F40" s="588">
        <f t="shared" si="17"/>
        <v>162632.83992687101</v>
      </c>
      <c r="G40" s="589">
        <f t="shared" si="0"/>
        <v>4.5743240085486275E-2</v>
      </c>
      <c r="H40" s="588">
        <v>3814808.2108287388</v>
      </c>
      <c r="I40" s="588">
        <f t="shared" si="18"/>
        <v>259466.70850100461</v>
      </c>
      <c r="J40" s="589">
        <f t="shared" si="19"/>
        <v>7.2979405306389827E-2</v>
      </c>
      <c r="K40" s="588">
        <v>3574297.6516224272</v>
      </c>
      <c r="L40" s="588">
        <f t="shared" si="20"/>
        <v>18956.149294693023</v>
      </c>
      <c r="M40" s="589">
        <f t="shared" si="21"/>
        <v>5.3317379729295074E-3</v>
      </c>
      <c r="N40" s="877">
        <v>3624450.6088787443</v>
      </c>
      <c r="O40" s="588">
        <f t="shared" si="22"/>
        <v>69109.106551010162</v>
      </c>
      <c r="P40" s="589">
        <f t="shared" si="23"/>
        <v>1.9438106439497702E-2</v>
      </c>
      <c r="Q40" s="877">
        <v>3785790.6257942761</v>
      </c>
      <c r="R40" s="588">
        <f t="shared" si="24"/>
        <v>230449.12346654199</v>
      </c>
      <c r="S40" s="589">
        <f t="shared" si="1"/>
        <v>6.4817718161719079E-2</v>
      </c>
      <c r="T40" s="877">
        <v>3309642.204844336</v>
      </c>
      <c r="U40" s="588">
        <f t="shared" si="25"/>
        <v>-245699.29748339811</v>
      </c>
      <c r="V40" s="589">
        <f t="shared" si="2"/>
        <v>-6.9107087834610309E-2</v>
      </c>
      <c r="W40" s="683">
        <v>3480469.2016332555</v>
      </c>
      <c r="X40" s="588">
        <f t="shared" si="26"/>
        <v>-74872.300694478676</v>
      </c>
      <c r="Y40" s="589">
        <f t="shared" si="3"/>
        <v>-2.1059102380308243E-2</v>
      </c>
      <c r="Z40" s="683">
        <v>3529319.6314742882</v>
      </c>
      <c r="AA40" s="588">
        <f t="shared" si="27"/>
        <v>-26021.870853445958</v>
      </c>
      <c r="AB40" s="589">
        <f t="shared" si="4"/>
        <v>-7.3190918049388671E-3</v>
      </c>
      <c r="AC40" s="878">
        <v>3543554.4154238389</v>
      </c>
      <c r="AD40" s="588">
        <f t="shared" si="28"/>
        <v>-11787.086903895251</v>
      </c>
      <c r="AE40" s="589">
        <f t="shared" si="5"/>
        <v>-3.3153177820409302E-3</v>
      </c>
      <c r="AF40" s="683">
        <v>3561495.070517641</v>
      </c>
      <c r="AG40" s="588">
        <f t="shared" si="29"/>
        <v>6153.5681899068877</v>
      </c>
      <c r="AH40" s="881">
        <f t="shared" si="6"/>
        <v>1.7307952515610825E-3</v>
      </c>
      <c r="AI40" s="882">
        <v>3469214.5834404714</v>
      </c>
      <c r="AJ40" s="588">
        <f t="shared" si="30"/>
        <v>-86126.918887262698</v>
      </c>
      <c r="AK40" s="881">
        <f t="shared" si="7"/>
        <v>-2.4224654321075526E-2</v>
      </c>
      <c r="AL40" s="882">
        <v>3554871.7675249656</v>
      </c>
      <c r="AM40" s="588">
        <f t="shared" si="31"/>
        <v>-469.73480276856571</v>
      </c>
      <c r="AN40" s="881">
        <f t="shared" si="8"/>
        <v>-1.3212086728125089E-4</v>
      </c>
      <c r="AO40" s="882">
        <v>3527703.0460019684</v>
      </c>
      <c r="AP40" s="588">
        <f t="shared" si="32"/>
        <v>-27638.456325765699</v>
      </c>
      <c r="AQ40" s="881">
        <f t="shared" si="9"/>
        <v>-7.7737838426126986E-3</v>
      </c>
      <c r="AR40" s="882">
        <v>3299615.3670355692</v>
      </c>
      <c r="AS40" s="588">
        <f t="shared" si="33"/>
        <v>-255726.13529216498</v>
      </c>
      <c r="AT40" s="881">
        <f t="shared" si="10"/>
        <v>-7.1927305752411505E-2</v>
      </c>
      <c r="AU40" s="882">
        <v>3550823.2717041704</v>
      </c>
      <c r="AV40" s="588">
        <f t="shared" si="34"/>
        <v>-4518.2306235637516</v>
      </c>
      <c r="AW40" s="881">
        <f t="shared" si="11"/>
        <v>-1.2708288699146341E-3</v>
      </c>
      <c r="AX40" s="882">
        <v>3338143.1908031781</v>
      </c>
      <c r="AY40" s="588">
        <f t="shared" si="35"/>
        <v>-217198.31152455602</v>
      </c>
      <c r="AZ40" s="881">
        <f t="shared" si="12"/>
        <v>-6.1090702927511495E-2</v>
      </c>
      <c r="BA40" s="879">
        <v>2863824.7231174158</v>
      </c>
      <c r="BB40" s="588">
        <f t="shared" si="36"/>
        <v>-691516.77921031835</v>
      </c>
      <c r="BC40" s="881">
        <f t="shared" si="13"/>
        <v>-0.19450080358175781</v>
      </c>
      <c r="BD40" s="880">
        <v>3540649.8892818955</v>
      </c>
      <c r="BE40" s="588">
        <f t="shared" si="37"/>
        <v>-14691.613045838661</v>
      </c>
      <c r="BF40" s="881">
        <f t="shared" si="38"/>
        <v>-4.1322649416996506E-3</v>
      </c>
      <c r="BG40" s="730">
        <v>3582973.4212945113</v>
      </c>
      <c r="BH40" s="588">
        <f t="shared" si="39"/>
        <v>27631.918966777157</v>
      </c>
      <c r="BI40" s="881">
        <f t="shared" si="40"/>
        <v>7.7719450997003059E-3</v>
      </c>
      <c r="BJ40" s="880">
        <v>3357523.9883526759</v>
      </c>
      <c r="BK40" s="588">
        <f t="shared" si="41"/>
        <v>-197817.51397505822</v>
      </c>
      <c r="BL40" s="881">
        <f t="shared" si="14"/>
        <v>-5.5639525442364453E-2</v>
      </c>
      <c r="BM40" s="880">
        <v>3405151.7738312092</v>
      </c>
      <c r="BN40" s="588">
        <f t="shared" si="42"/>
        <v>-150189.72849652497</v>
      </c>
      <c r="BO40" s="881">
        <f t="shared" si="15"/>
        <v>-4.2243404296941255E-2</v>
      </c>
      <c r="BP40" s="880">
        <v>3357523.9883526759</v>
      </c>
      <c r="BQ40" s="588">
        <f t="shared" si="43"/>
        <v>-197817.51397505822</v>
      </c>
      <c r="BR40" s="881">
        <f t="shared" si="16"/>
        <v>-5.5639525442364453E-2</v>
      </c>
      <c r="BS40" s="723"/>
    </row>
    <row r="41" spans="1:72" ht="15">
      <c r="A41" s="477" t="s">
        <v>90</v>
      </c>
      <c r="B41" s="428" t="s">
        <v>91</v>
      </c>
      <c r="C41" s="588">
        <v>1077295.1346554393</v>
      </c>
      <c r="D41" s="876"/>
      <c r="E41" s="588">
        <v>1032088.4762269944</v>
      </c>
      <c r="F41" s="588">
        <f t="shared" si="17"/>
        <v>-45206.658428444876</v>
      </c>
      <c r="G41" s="589">
        <f t="shared" si="0"/>
        <v>-4.1963113889773314E-2</v>
      </c>
      <c r="H41" s="588">
        <v>1011827.9804436879</v>
      </c>
      <c r="I41" s="588">
        <f t="shared" si="18"/>
        <v>-65467.154211751418</v>
      </c>
      <c r="J41" s="589">
        <f t="shared" si="19"/>
        <v>-6.0769933981638512E-2</v>
      </c>
      <c r="K41" s="588">
        <v>1056543.1323010216</v>
      </c>
      <c r="L41" s="588">
        <f t="shared" si="20"/>
        <v>-20752.002354417695</v>
      </c>
      <c r="M41" s="589">
        <f t="shared" si="21"/>
        <v>-1.9263061427502861E-2</v>
      </c>
      <c r="N41" s="877">
        <v>1051751.6278884872</v>
      </c>
      <c r="O41" s="588">
        <f t="shared" si="22"/>
        <v>-25543.506766952109</v>
      </c>
      <c r="P41" s="589">
        <f t="shared" si="23"/>
        <v>-2.3710778917721477E-2</v>
      </c>
      <c r="Q41" s="877">
        <v>995736.99534208421</v>
      </c>
      <c r="R41" s="588">
        <f t="shared" si="24"/>
        <v>-81558.139313355088</v>
      </c>
      <c r="S41" s="589">
        <f t="shared" si="1"/>
        <v>-7.5706402720773947E-2</v>
      </c>
      <c r="T41" s="877">
        <v>1021498.5678345407</v>
      </c>
      <c r="U41" s="588">
        <f t="shared" si="25"/>
        <v>-55796.566820898559</v>
      </c>
      <c r="V41" s="589">
        <f t="shared" si="2"/>
        <v>-5.17932041331872E-2</v>
      </c>
      <c r="W41" s="683">
        <v>1053258.9162577162</v>
      </c>
      <c r="X41" s="588">
        <f t="shared" si="26"/>
        <v>-24036.218397723045</v>
      </c>
      <c r="Y41" s="589">
        <f t="shared" si="3"/>
        <v>-2.2311637381905339E-2</v>
      </c>
      <c r="Z41" s="683">
        <v>1081458.7048268749</v>
      </c>
      <c r="AA41" s="588">
        <f t="shared" si="27"/>
        <v>4163.5701714355964</v>
      </c>
      <c r="AB41" s="589">
        <f t="shared" si="4"/>
        <v>3.8648370697109548E-3</v>
      </c>
      <c r="AC41" s="878">
        <v>1078747.7968982211</v>
      </c>
      <c r="AD41" s="588">
        <f t="shared" si="28"/>
        <v>1452.6622427818365</v>
      </c>
      <c r="AE41" s="589">
        <f t="shared" si="5"/>
        <v>1.3484347938194803E-3</v>
      </c>
      <c r="AF41" s="683">
        <v>1069217.0008764137</v>
      </c>
      <c r="AG41" s="588">
        <f t="shared" si="29"/>
        <v>-8078.1337790256366</v>
      </c>
      <c r="AH41" s="881">
        <f t="shared" si="6"/>
        <v>-7.4985336136409236E-3</v>
      </c>
      <c r="AI41" s="882">
        <v>1051198.0324166347</v>
      </c>
      <c r="AJ41" s="588">
        <f t="shared" si="30"/>
        <v>-26097.102238804568</v>
      </c>
      <c r="AK41" s="881">
        <f t="shared" si="7"/>
        <v>-2.4224654321075564E-2</v>
      </c>
      <c r="AL41" s="882">
        <v>1074042.3604240841</v>
      </c>
      <c r="AM41" s="588">
        <f t="shared" si="31"/>
        <v>-3252.7742313551717</v>
      </c>
      <c r="AN41" s="881">
        <f t="shared" si="8"/>
        <v>-3.019390069366214E-3</v>
      </c>
      <c r="AO41" s="882">
        <v>1043102.2373722806</v>
      </c>
      <c r="AP41" s="588">
        <f t="shared" si="32"/>
        <v>-34192.897283158731</v>
      </c>
      <c r="AQ41" s="881">
        <f t="shared" si="9"/>
        <v>-3.1739582017229609E-2</v>
      </c>
      <c r="AR41" s="882">
        <v>997638.8965656457</v>
      </c>
      <c r="AS41" s="588">
        <f t="shared" si="33"/>
        <v>-79656.238089793595</v>
      </c>
      <c r="AT41" s="881">
        <f t="shared" si="10"/>
        <v>-7.3940961513086892E-2</v>
      </c>
      <c r="AU41" s="882">
        <v>1047534.329469743</v>
      </c>
      <c r="AV41" s="588">
        <f t="shared" si="34"/>
        <v>-29760.805185696343</v>
      </c>
      <c r="AW41" s="881">
        <f t="shared" si="11"/>
        <v>-2.7625489272459215E-2</v>
      </c>
      <c r="AX41" s="882">
        <v>1005161.9565676147</v>
      </c>
      <c r="AY41" s="588">
        <f t="shared" si="35"/>
        <v>-72133.178087824606</v>
      </c>
      <c r="AZ41" s="881">
        <f t="shared" si="12"/>
        <v>-6.6957675540691639E-2</v>
      </c>
      <c r="BA41" s="879">
        <v>1093536.3610414548</v>
      </c>
      <c r="BB41" s="588">
        <f t="shared" si="36"/>
        <v>16241.226386015536</v>
      </c>
      <c r="BC41" s="881">
        <f t="shared" si="13"/>
        <v>1.5075930321740578E-2</v>
      </c>
      <c r="BD41" s="880">
        <v>1062931.1050267993</v>
      </c>
      <c r="BE41" s="588">
        <f t="shared" si="37"/>
        <v>-14364.029628640041</v>
      </c>
      <c r="BF41" s="881">
        <f t="shared" si="38"/>
        <v>-1.3333421052935706E-2</v>
      </c>
      <c r="BG41" s="730">
        <v>1046799.3534089333</v>
      </c>
      <c r="BH41" s="588">
        <f t="shared" si="39"/>
        <v>-30495.781246506027</v>
      </c>
      <c r="BI41" s="881">
        <f t="shared" si="40"/>
        <v>-2.8307731340733992E-2</v>
      </c>
      <c r="BJ41" s="880">
        <v>984190.92163969937</v>
      </c>
      <c r="BK41" s="588">
        <f t="shared" si="41"/>
        <v>-93104.213015739922</v>
      </c>
      <c r="BL41" s="881">
        <f t="shared" si="14"/>
        <v>-8.6424054115419591E-2</v>
      </c>
      <c r="BM41" s="880">
        <v>978528.61301992217</v>
      </c>
      <c r="BN41" s="588">
        <f t="shared" si="42"/>
        <v>-98766.521635517129</v>
      </c>
      <c r="BO41" s="881">
        <f t="shared" si="15"/>
        <v>-9.1680096250603124E-2</v>
      </c>
      <c r="BP41" s="880">
        <v>984190.92163969937</v>
      </c>
      <c r="BQ41" s="588">
        <f t="shared" si="43"/>
        <v>-93104.213015739922</v>
      </c>
      <c r="BR41" s="881">
        <f t="shared" si="16"/>
        <v>-8.6424054115419591E-2</v>
      </c>
      <c r="BS41" s="723"/>
    </row>
    <row r="42" spans="1:72" ht="15">
      <c r="A42" s="477" t="s">
        <v>92</v>
      </c>
      <c r="B42" s="428" t="s">
        <v>93</v>
      </c>
      <c r="C42" s="588">
        <v>373177.02133930218</v>
      </c>
      <c r="D42" s="876"/>
      <c r="E42" s="588">
        <v>334197.6286150844</v>
      </c>
      <c r="F42" s="588">
        <f t="shared" si="17"/>
        <v>-38979.392724217789</v>
      </c>
      <c r="G42" s="589">
        <f t="shared" si="0"/>
        <v>-0.10445282130267265</v>
      </c>
      <c r="H42" s="588">
        <v>314895.57975889422</v>
      </c>
      <c r="I42" s="588">
        <f t="shared" si="18"/>
        <v>-58281.441580407962</v>
      </c>
      <c r="J42" s="881">
        <f t="shared" si="19"/>
        <v>-0.15617639417143256</v>
      </c>
      <c r="K42" s="588">
        <v>388912.61184606643</v>
      </c>
      <c r="L42" s="588">
        <f t="shared" si="20"/>
        <v>15735.590506764245</v>
      </c>
      <c r="M42" s="881">
        <f t="shared" si="21"/>
        <v>4.2166557979080498E-2</v>
      </c>
      <c r="N42" s="877">
        <v>352869.59348075424</v>
      </c>
      <c r="O42" s="588">
        <f t="shared" si="22"/>
        <v>-20307.427858547948</v>
      </c>
      <c r="P42" s="589">
        <f t="shared" si="23"/>
        <v>-5.4417680342873816E-2</v>
      </c>
      <c r="Q42" s="877">
        <v>368857.80419975659</v>
      </c>
      <c r="R42" s="588">
        <f t="shared" si="24"/>
        <v>-4319.2171395455953</v>
      </c>
      <c r="S42" s="589">
        <f t="shared" si="1"/>
        <v>-1.157417764910678E-2</v>
      </c>
      <c r="T42" s="877">
        <v>452645.65781210654</v>
      </c>
      <c r="U42" s="588">
        <f t="shared" si="25"/>
        <v>79468.636472804355</v>
      </c>
      <c r="V42" s="589">
        <f t="shared" si="2"/>
        <v>0.21295158042581999</v>
      </c>
      <c r="W42" s="683">
        <v>364506.66806163377</v>
      </c>
      <c r="X42" s="588">
        <f t="shared" si="26"/>
        <v>-8670.3532776684151</v>
      </c>
      <c r="Y42" s="589">
        <f t="shared" si="3"/>
        <v>-2.3233888427940223E-2</v>
      </c>
      <c r="Z42" s="683">
        <v>377581.09141098254</v>
      </c>
      <c r="AA42" s="588">
        <f t="shared" si="27"/>
        <v>4404.0700716803549</v>
      </c>
      <c r="AB42" s="589">
        <f t="shared" si="4"/>
        <v>1.1801557491065508E-2</v>
      </c>
      <c r="AC42" s="878">
        <v>367688.6586807819</v>
      </c>
      <c r="AD42" s="588">
        <f t="shared" si="28"/>
        <v>-5488.3626585202874</v>
      </c>
      <c r="AE42" s="589">
        <f t="shared" si="5"/>
        <v>-1.470712917645089E-2</v>
      </c>
      <c r="AF42" s="683">
        <v>367686.51856884337</v>
      </c>
      <c r="AG42" s="588">
        <f t="shared" si="29"/>
        <v>-5490.5027704588138</v>
      </c>
      <c r="AH42" s="881">
        <f t="shared" si="6"/>
        <v>-1.4712864020281428E-2</v>
      </c>
      <c r="AI42" s="882">
        <v>389519.97811623907</v>
      </c>
      <c r="AJ42" s="588">
        <f t="shared" si="30"/>
        <v>16342.956776936888</v>
      </c>
      <c r="AK42" s="881">
        <f t="shared" si="7"/>
        <v>4.3794113362830692E-2</v>
      </c>
      <c r="AL42" s="882">
        <v>357634.89595331217</v>
      </c>
      <c r="AM42" s="588">
        <f t="shared" si="31"/>
        <v>-15542.125385990017</v>
      </c>
      <c r="AN42" s="881">
        <f t="shared" si="8"/>
        <v>-4.1648130772389429E-2</v>
      </c>
      <c r="AO42" s="882">
        <v>352777.3436245636</v>
      </c>
      <c r="AP42" s="588">
        <f t="shared" si="32"/>
        <v>-20399.677714738587</v>
      </c>
      <c r="AQ42" s="881">
        <f t="shared" si="9"/>
        <v>-5.4664881673383299E-2</v>
      </c>
      <c r="AR42" s="882">
        <v>433271.11305392656</v>
      </c>
      <c r="AS42" s="588">
        <f t="shared" si="33"/>
        <v>60094.091714624374</v>
      </c>
      <c r="AT42" s="881">
        <f t="shared" si="10"/>
        <v>0.16103374076718746</v>
      </c>
      <c r="AU42" s="882">
        <v>353459.86398455908</v>
      </c>
      <c r="AV42" s="588">
        <f t="shared" si="34"/>
        <v>-19717.157354743103</v>
      </c>
      <c r="AW42" s="881">
        <f t="shared" si="11"/>
        <v>-5.2835936371376291E-2</v>
      </c>
      <c r="AX42" s="882">
        <v>434753.09107103973</v>
      </c>
      <c r="AY42" s="588">
        <f t="shared" si="35"/>
        <v>61576.069731737545</v>
      </c>
      <c r="AZ42" s="881">
        <f t="shared" si="12"/>
        <v>0.16500498747416442</v>
      </c>
      <c r="BA42" s="879">
        <v>378803.01211068826</v>
      </c>
      <c r="BB42" s="588">
        <f t="shared" si="36"/>
        <v>5625.9907713860739</v>
      </c>
      <c r="BC42" s="881">
        <f t="shared" si="13"/>
        <v>1.5075930321740733E-2</v>
      </c>
      <c r="BD42" s="880">
        <v>393571.50460742466</v>
      </c>
      <c r="BE42" s="588">
        <f t="shared" si="37"/>
        <v>20394.48326812248</v>
      </c>
      <c r="BF42" s="881">
        <f t="shared" si="38"/>
        <v>5.4650962149084978E-2</v>
      </c>
      <c r="BG42" s="730">
        <v>381782.74324810907</v>
      </c>
      <c r="BH42" s="588">
        <f t="shared" si="39"/>
        <v>8605.7219088068814</v>
      </c>
      <c r="BI42" s="881">
        <f t="shared" si="40"/>
        <v>2.3060696175562046E-2</v>
      </c>
      <c r="BJ42" s="880">
        <v>451271.48911188589</v>
      </c>
      <c r="BK42" s="588">
        <f t="shared" si="41"/>
        <v>78094.46777258371</v>
      </c>
      <c r="BL42" s="881">
        <f t="shared" si="14"/>
        <v>0.20926922963345646</v>
      </c>
      <c r="BM42" s="880">
        <v>408138.144299231</v>
      </c>
      <c r="BN42" s="588">
        <f t="shared" si="42"/>
        <v>34961.12295992882</v>
      </c>
      <c r="BO42" s="881">
        <f t="shared" si="15"/>
        <v>9.3685090347889521E-2</v>
      </c>
      <c r="BP42" s="880">
        <v>451271.48911188589</v>
      </c>
      <c r="BQ42" s="588">
        <f t="shared" si="43"/>
        <v>78094.46777258371</v>
      </c>
      <c r="BR42" s="881">
        <f t="shared" si="16"/>
        <v>0.20926922963345646</v>
      </c>
      <c r="BS42" s="723"/>
    </row>
    <row r="43" spans="1:72" ht="15">
      <c r="A43" s="477" t="s">
        <v>92</v>
      </c>
      <c r="B43" s="428" t="s">
        <v>94</v>
      </c>
      <c r="C43" s="588">
        <v>56158.567959246582</v>
      </c>
      <c r="D43" s="876"/>
      <c r="E43" s="588">
        <v>52691.802976944797</v>
      </c>
      <c r="F43" s="588">
        <f t="shared" si="17"/>
        <v>-3466.7649823017855</v>
      </c>
      <c r="G43" s="589">
        <f t="shared" si="0"/>
        <v>-6.1731719811971772E-2</v>
      </c>
      <c r="H43" s="588">
        <v>51053.38020313203</v>
      </c>
      <c r="I43" s="588">
        <f t="shared" si="18"/>
        <v>-5105.187756114552</v>
      </c>
      <c r="J43" s="881">
        <f t="shared" si="19"/>
        <v>-9.0906658442916649E-2</v>
      </c>
      <c r="K43" s="588">
        <v>59606.801723715609</v>
      </c>
      <c r="L43" s="588">
        <f t="shared" si="20"/>
        <v>3448.2337644690269</v>
      </c>
      <c r="M43" s="881">
        <f t="shared" si="21"/>
        <v>6.1401739570199829E-2</v>
      </c>
      <c r="N43" s="877">
        <v>54280.653567081354</v>
      </c>
      <c r="O43" s="588">
        <f t="shared" si="22"/>
        <v>-1877.9143921652285</v>
      </c>
      <c r="P43" s="589">
        <f t="shared" si="23"/>
        <v>-3.343949926800132E-2</v>
      </c>
      <c r="Q43" s="877">
        <v>60196.35516507351</v>
      </c>
      <c r="R43" s="588">
        <f t="shared" si="24"/>
        <v>4037.7872058269277</v>
      </c>
      <c r="S43" s="589">
        <f t="shared" si="1"/>
        <v>7.1899753725149979E-2</v>
      </c>
      <c r="T43" s="877">
        <v>52079.951585730087</v>
      </c>
      <c r="U43" s="588">
        <f t="shared" si="25"/>
        <v>-4078.6163735164955</v>
      </c>
      <c r="V43" s="589">
        <f t="shared" si="2"/>
        <v>-7.2626787358187006E-2</v>
      </c>
      <c r="W43" s="683">
        <v>54800.778564233035</v>
      </c>
      <c r="X43" s="588">
        <f t="shared" si="26"/>
        <v>-1357.7893950135476</v>
      </c>
      <c r="Y43" s="589">
        <f t="shared" si="3"/>
        <v>-2.4177778108567062E-2</v>
      </c>
      <c r="Z43" s="683">
        <v>55699.546036924825</v>
      </c>
      <c r="AA43" s="588">
        <f t="shared" si="27"/>
        <v>-459.0219223217573</v>
      </c>
      <c r="AB43" s="589">
        <f t="shared" si="4"/>
        <v>-8.1736757008273875E-3</v>
      </c>
      <c r="AC43" s="878">
        <v>55188.265512380836</v>
      </c>
      <c r="AD43" s="588">
        <f t="shared" si="28"/>
        <v>-970.30244686574588</v>
      </c>
      <c r="AE43" s="589">
        <f t="shared" si="5"/>
        <v>-1.7277905796491813E-2</v>
      </c>
      <c r="AF43" s="683">
        <v>55364.828129484682</v>
      </c>
      <c r="AG43" s="588">
        <f t="shared" si="29"/>
        <v>-793.73982976190018</v>
      </c>
      <c r="AH43" s="881">
        <f t="shared" si="6"/>
        <v>-1.4133904381926281E-2</v>
      </c>
      <c r="AI43" s="882">
        <v>54798.14606326721</v>
      </c>
      <c r="AJ43" s="588">
        <f t="shared" si="30"/>
        <v>-1360.4218959793725</v>
      </c>
      <c r="AK43" s="881">
        <f t="shared" si="7"/>
        <v>-2.422465432107546E-2</v>
      </c>
      <c r="AL43" s="882">
        <v>53582.667416691096</v>
      </c>
      <c r="AM43" s="588">
        <f t="shared" si="31"/>
        <v>-2575.900542555486</v>
      </c>
      <c r="AN43" s="881">
        <f t="shared" si="8"/>
        <v>-4.5868344513784215E-2</v>
      </c>
      <c r="AO43" s="882">
        <v>53488.013534791186</v>
      </c>
      <c r="AP43" s="588">
        <f t="shared" si="32"/>
        <v>-2670.5544244553967</v>
      </c>
      <c r="AQ43" s="881">
        <f t="shared" si="9"/>
        <v>-4.7553819862240387E-2</v>
      </c>
      <c r="AR43" s="882">
        <v>50164.906669073527</v>
      </c>
      <c r="AS43" s="588">
        <f t="shared" si="33"/>
        <v>-5993.661290173055</v>
      </c>
      <c r="AT43" s="881">
        <f t="shared" si="10"/>
        <v>-0.10672745954851562</v>
      </c>
      <c r="AU43" s="882">
        <v>53630.530588836642</v>
      </c>
      <c r="AV43" s="588">
        <f t="shared" si="34"/>
        <v>-2528.0373704099402</v>
      </c>
      <c r="AW43" s="881">
        <f t="shared" si="11"/>
        <v>-4.5016058319800788E-2</v>
      </c>
      <c r="AX43" s="882">
        <v>50401.500855678045</v>
      </c>
      <c r="AY43" s="588">
        <f t="shared" si="35"/>
        <v>-5757.0671035685373</v>
      </c>
      <c r="AZ43" s="881">
        <f t="shared" si="12"/>
        <v>-0.10251449267271831</v>
      </c>
      <c r="BA43" s="879">
        <v>57005.21061676892</v>
      </c>
      <c r="BB43" s="588">
        <f t="shared" si="36"/>
        <v>846.64265752233769</v>
      </c>
      <c r="BC43" s="881">
        <f t="shared" si="13"/>
        <v>1.5075930321740635E-2</v>
      </c>
      <c r="BD43" s="880">
        <v>58704.991195687508</v>
      </c>
      <c r="BE43" s="588">
        <f t="shared" si="37"/>
        <v>2546.4232364409254</v>
      </c>
      <c r="BF43" s="881">
        <f t="shared" si="38"/>
        <v>4.534345032246595E-2</v>
      </c>
      <c r="BG43" s="730">
        <v>58557.747302370502</v>
      </c>
      <c r="BH43" s="588">
        <f t="shared" si="39"/>
        <v>2399.1793431239203</v>
      </c>
      <c r="BI43" s="881">
        <f t="shared" si="40"/>
        <v>4.2721519267816234E-2</v>
      </c>
      <c r="BJ43" s="880">
        <v>53329.350686179321</v>
      </c>
      <c r="BK43" s="588">
        <f t="shared" si="41"/>
        <v>-2829.217273067261</v>
      </c>
      <c r="BL43" s="881">
        <f t="shared" si="14"/>
        <v>-5.0379085077817173E-2</v>
      </c>
      <c r="BM43" s="880">
        <v>48454.062472678626</v>
      </c>
      <c r="BN43" s="588">
        <f t="shared" si="42"/>
        <v>-7704.5054865679558</v>
      </c>
      <c r="BO43" s="881">
        <f t="shared" si="15"/>
        <v>-0.13719198630846496</v>
      </c>
      <c r="BP43" s="880">
        <v>53329.350686179321</v>
      </c>
      <c r="BQ43" s="588">
        <f t="shared" si="43"/>
        <v>-2829.217273067261</v>
      </c>
      <c r="BR43" s="881">
        <f t="shared" si="16"/>
        <v>-5.0379085077817173E-2</v>
      </c>
      <c r="BS43" s="723"/>
    </row>
    <row r="44" spans="1:72" ht="15">
      <c r="A44" s="477" t="s">
        <v>92</v>
      </c>
      <c r="B44" s="428" t="s">
        <v>95</v>
      </c>
      <c r="C44" s="588">
        <v>24837287.914854791</v>
      </c>
      <c r="D44" s="876"/>
      <c r="E44" s="588">
        <v>23863068.840677895</v>
      </c>
      <c r="F44" s="588">
        <f t="shared" si="17"/>
        <v>-974219.07417689636</v>
      </c>
      <c r="G44" s="881">
        <f t="shared" si="0"/>
        <v>-3.9224052059010486E-2</v>
      </c>
      <c r="H44" s="588">
        <v>23430908.581442818</v>
      </c>
      <c r="I44" s="588">
        <f t="shared" si="18"/>
        <v>-1406379.333411973</v>
      </c>
      <c r="J44" s="881">
        <f t="shared" si="19"/>
        <v>-5.662370779906447E-2</v>
      </c>
      <c r="K44" s="588">
        <v>24370599.751140624</v>
      </c>
      <c r="L44" s="588">
        <f t="shared" si="20"/>
        <v>-466688.16371416673</v>
      </c>
      <c r="M44" s="881">
        <f t="shared" si="21"/>
        <v>-1.8789819778795087E-2</v>
      </c>
      <c r="N44" s="877">
        <v>24282092.999975339</v>
      </c>
      <c r="O44" s="588">
        <f t="shared" si="22"/>
        <v>-555194.91487945244</v>
      </c>
      <c r="P44" s="881">
        <f t="shared" si="23"/>
        <v>-2.2353282563810001E-2</v>
      </c>
      <c r="Q44" s="877">
        <v>23049537.633463789</v>
      </c>
      <c r="R44" s="588">
        <f t="shared" si="24"/>
        <v>-1787750.2813910022</v>
      </c>
      <c r="S44" s="881">
        <f t="shared" si="1"/>
        <v>-7.1978482011386472E-2</v>
      </c>
      <c r="T44" s="877">
        <v>26089613.645385671</v>
      </c>
      <c r="U44" s="588">
        <f t="shared" si="25"/>
        <v>1252325.7305308804</v>
      </c>
      <c r="V44" s="881">
        <f t="shared" si="2"/>
        <v>5.0421194730439309E-2</v>
      </c>
      <c r="W44" s="683">
        <v>25546925.386892129</v>
      </c>
      <c r="X44" s="588">
        <f t="shared" si="26"/>
        <v>709637.47203733772</v>
      </c>
      <c r="Y44" s="881">
        <f t="shared" si="3"/>
        <v>2.8571455726972297E-2</v>
      </c>
      <c r="Z44" s="683">
        <v>25019080.086136855</v>
      </c>
      <c r="AA44" s="588">
        <f t="shared" si="27"/>
        <v>181792.17128206417</v>
      </c>
      <c r="AB44" s="881">
        <f t="shared" si="4"/>
        <v>7.3193245536819313E-3</v>
      </c>
      <c r="AC44" s="878">
        <v>24904658.21700355</v>
      </c>
      <c r="AD44" s="588">
        <f t="shared" si="28"/>
        <v>67370.302148759365</v>
      </c>
      <c r="AE44" s="881">
        <f t="shared" si="5"/>
        <v>2.7124661267249814E-3</v>
      </c>
      <c r="AF44" s="683">
        <v>24710135.255657878</v>
      </c>
      <c r="AG44" s="588">
        <f t="shared" si="29"/>
        <v>-127152.65919691324</v>
      </c>
      <c r="AH44" s="881">
        <f t="shared" si="6"/>
        <v>-5.1194260674840121E-3</v>
      </c>
      <c r="AI44" s="882">
        <v>25516618.179538354</v>
      </c>
      <c r="AJ44" s="588">
        <f t="shared" si="30"/>
        <v>679330.26468356326</v>
      </c>
      <c r="AK44" s="881">
        <f t="shared" si="7"/>
        <v>2.7351225585192276E-2</v>
      </c>
      <c r="AL44" s="882">
        <v>24914743.172735885</v>
      </c>
      <c r="AM44" s="588">
        <f t="shared" si="31"/>
        <v>77455.25788109377</v>
      </c>
      <c r="AN44" s="881">
        <f t="shared" si="8"/>
        <v>3.1185070667385144E-3</v>
      </c>
      <c r="AO44" s="882">
        <v>24080834.117614534</v>
      </c>
      <c r="AP44" s="588">
        <f t="shared" si="32"/>
        <v>-756453.79724025726</v>
      </c>
      <c r="AQ44" s="881">
        <f t="shared" si="9"/>
        <v>-3.0456376712041662E-2</v>
      </c>
      <c r="AR44" s="882">
        <v>25508621.54474796</v>
      </c>
      <c r="AS44" s="588">
        <f t="shared" si="33"/>
        <v>671333.62989316881</v>
      </c>
      <c r="AT44" s="881">
        <f t="shared" si="10"/>
        <v>2.7029264716605984E-2</v>
      </c>
      <c r="AU44" s="882">
        <v>24186193.89421406</v>
      </c>
      <c r="AV44" s="588">
        <f t="shared" si="34"/>
        <v>-651094.02064073086</v>
      </c>
      <c r="AW44" s="881">
        <f t="shared" si="11"/>
        <v>-2.6214376661121756E-2</v>
      </c>
      <c r="AX44" s="882">
        <v>25706738.207118936</v>
      </c>
      <c r="AY44" s="588">
        <f t="shared" si="35"/>
        <v>869450.29226414487</v>
      </c>
      <c r="AZ44" s="881">
        <f t="shared" si="12"/>
        <v>3.5005846662676095E-2</v>
      </c>
      <c r="BA44" s="879">
        <v>25211733.136840153</v>
      </c>
      <c r="BB44" s="588">
        <f t="shared" si="36"/>
        <v>374445.22198536247</v>
      </c>
      <c r="BC44" s="881">
        <f t="shared" si="13"/>
        <v>1.5075930321740672E-2</v>
      </c>
      <c r="BD44" s="880">
        <v>24618380.425370075</v>
      </c>
      <c r="BE44" s="588">
        <f t="shared" si="37"/>
        <v>-218907.48948471621</v>
      </c>
      <c r="BF44" s="883">
        <f t="shared" si="38"/>
        <v>-8.8136631598086466E-3</v>
      </c>
      <c r="BG44" s="730">
        <v>24218996.881531306</v>
      </c>
      <c r="BH44" s="588">
        <f t="shared" si="39"/>
        <v>-618291.0333234854</v>
      </c>
      <c r="BI44" s="881">
        <f t="shared" si="40"/>
        <v>-2.4893661314514749E-2</v>
      </c>
      <c r="BJ44" s="880">
        <v>25183332.0148894</v>
      </c>
      <c r="BK44" s="588">
        <f t="shared" si="41"/>
        <v>346044.10003460944</v>
      </c>
      <c r="BL44" s="881">
        <f t="shared" si="14"/>
        <v>1.3932443075946545E-2</v>
      </c>
      <c r="BM44" s="880">
        <v>25058339.267149258</v>
      </c>
      <c r="BN44" s="588">
        <f t="shared" si="42"/>
        <v>221051.35229446739</v>
      </c>
      <c r="BO44" s="883">
        <f t="shared" si="15"/>
        <v>8.8999794604088019E-3</v>
      </c>
      <c r="BP44" s="880">
        <v>25183332.0148894</v>
      </c>
      <c r="BQ44" s="588">
        <f t="shared" si="43"/>
        <v>346044.10003460944</v>
      </c>
      <c r="BR44" s="883">
        <f t="shared" si="16"/>
        <v>1.3932443075946545E-2</v>
      </c>
      <c r="BS44" s="884"/>
    </row>
    <row r="45" spans="1:72" ht="15">
      <c r="A45" s="477" t="s">
        <v>92</v>
      </c>
      <c r="B45" s="428" t="s">
        <v>96</v>
      </c>
      <c r="C45" s="588">
        <v>379221.9031059001</v>
      </c>
      <c r="D45" s="876"/>
      <c r="E45" s="588">
        <v>379461.00522927212</v>
      </c>
      <c r="F45" s="588">
        <f t="shared" si="17"/>
        <v>239.10212337202393</v>
      </c>
      <c r="G45" s="589">
        <f t="shared" si="0"/>
        <v>6.305071553455423E-4</v>
      </c>
      <c r="H45" s="588">
        <v>380804.75808370282</v>
      </c>
      <c r="I45" s="588">
        <f t="shared" si="18"/>
        <v>1582.8549778027227</v>
      </c>
      <c r="J45" s="881">
        <f t="shared" si="19"/>
        <v>4.1739545232984615E-3</v>
      </c>
      <c r="K45" s="588">
        <v>404322.89999999997</v>
      </c>
      <c r="L45" s="588">
        <f t="shared" si="20"/>
        <v>25100.996894099866</v>
      </c>
      <c r="M45" s="881">
        <f t="shared" si="21"/>
        <v>6.619078879283577E-2</v>
      </c>
      <c r="N45" s="877">
        <v>378177.99596511864</v>
      </c>
      <c r="O45" s="588">
        <f t="shared" si="22"/>
        <v>-1043.9071407814627</v>
      </c>
      <c r="P45" s="881">
        <f t="shared" si="23"/>
        <v>-2.7527606718695916E-3</v>
      </c>
      <c r="Q45" s="877">
        <v>404322.89999999997</v>
      </c>
      <c r="R45" s="588">
        <f t="shared" si="24"/>
        <v>25100.996894099866</v>
      </c>
      <c r="S45" s="881">
        <f t="shared" si="1"/>
        <v>6.619078879283577E-2</v>
      </c>
      <c r="T45" s="877">
        <v>377599.38959044701</v>
      </c>
      <c r="U45" s="588">
        <f t="shared" si="25"/>
        <v>-1622.5135154530872</v>
      </c>
      <c r="V45" s="881">
        <f t="shared" si="2"/>
        <v>-4.2785332338780811E-3</v>
      </c>
      <c r="W45" s="683">
        <v>370082.41215893545</v>
      </c>
      <c r="X45" s="588">
        <f t="shared" si="26"/>
        <v>-9139.4909469646518</v>
      </c>
      <c r="Y45" s="881">
        <f t="shared" si="3"/>
        <v>-2.4100641002300943E-2</v>
      </c>
      <c r="Z45" s="683">
        <v>372734.03525289695</v>
      </c>
      <c r="AA45" s="588">
        <f t="shared" si="27"/>
        <v>-6487.8678530031466</v>
      </c>
      <c r="AB45" s="881">
        <f t="shared" si="4"/>
        <v>-1.7108367949916038E-2</v>
      </c>
      <c r="AC45" s="878">
        <v>371420.20360216615</v>
      </c>
      <c r="AD45" s="588">
        <f t="shared" si="28"/>
        <v>-7801.6995037339511</v>
      </c>
      <c r="AE45" s="881">
        <f t="shared" si="5"/>
        <v>-2.0572913747430029E-2</v>
      </c>
      <c r="AF45" s="683">
        <v>375417.69064405165</v>
      </c>
      <c r="AG45" s="588">
        <f t="shared" si="29"/>
        <v>-3804.2124618484522</v>
      </c>
      <c r="AH45" s="881">
        <f t="shared" si="6"/>
        <v>-1.0031626418967952E-2</v>
      </c>
      <c r="AI45" s="882">
        <v>374218.03235887288</v>
      </c>
      <c r="AJ45" s="588">
        <f t="shared" si="30"/>
        <v>-5003.8707470272202</v>
      </c>
      <c r="AK45" s="881">
        <f t="shared" si="7"/>
        <v>-1.3195099507819984E-2</v>
      </c>
      <c r="AL45" s="882">
        <v>359040.79890364583</v>
      </c>
      <c r="AM45" s="588">
        <f t="shared" si="31"/>
        <v>-20181.104202254268</v>
      </c>
      <c r="AN45" s="881">
        <f t="shared" si="8"/>
        <v>-5.3217137609845727E-2</v>
      </c>
      <c r="AO45" s="882">
        <v>364181.36546304368</v>
      </c>
      <c r="AP45" s="588">
        <f t="shared" si="32"/>
        <v>-15040.53764285642</v>
      </c>
      <c r="AQ45" s="881">
        <f t="shared" si="9"/>
        <v>-3.9661574185645747E-2</v>
      </c>
      <c r="AR45" s="882">
        <v>366242.33290525252</v>
      </c>
      <c r="AS45" s="588">
        <f t="shared" si="33"/>
        <v>-12979.570200647577</v>
      </c>
      <c r="AT45" s="881">
        <f t="shared" si="10"/>
        <v>-3.4226847379706729E-2</v>
      </c>
      <c r="AU45" s="882">
        <v>365442.06767427688</v>
      </c>
      <c r="AV45" s="588">
        <f t="shared" si="34"/>
        <v>-13779.835431623214</v>
      </c>
      <c r="AW45" s="881">
        <f t="shared" si="11"/>
        <v>-3.633712957707274E-2</v>
      </c>
      <c r="AX45" s="882">
        <v>368489.48811786302</v>
      </c>
      <c r="AY45" s="588">
        <f t="shared" si="35"/>
        <v>-10732.414988037082</v>
      </c>
      <c r="AZ45" s="881">
        <f t="shared" si="12"/>
        <v>-2.8301147428818181E-2</v>
      </c>
      <c r="BA45" s="879">
        <v>384939.02609360253</v>
      </c>
      <c r="BB45" s="588">
        <f t="shared" si="36"/>
        <v>5717.1229877024307</v>
      </c>
      <c r="BC45" s="881">
        <f t="shared" si="13"/>
        <v>1.5075930321740641E-2</v>
      </c>
      <c r="BD45" s="880">
        <v>404322.89999999997</v>
      </c>
      <c r="BE45" s="588">
        <f t="shared" si="37"/>
        <v>25100.996894099866</v>
      </c>
      <c r="BF45" s="881">
        <f t="shared" si="38"/>
        <v>6.619078879283577E-2</v>
      </c>
      <c r="BG45" s="730">
        <v>404322.89999999997</v>
      </c>
      <c r="BH45" s="588">
        <f t="shared" si="39"/>
        <v>25100.996894099866</v>
      </c>
      <c r="BI45" s="881">
        <f t="shared" si="40"/>
        <v>6.619078879283577E-2</v>
      </c>
      <c r="BJ45" s="880">
        <v>404322.89999999997</v>
      </c>
      <c r="BK45" s="588">
        <f t="shared" si="41"/>
        <v>25100.996894099866</v>
      </c>
      <c r="BL45" s="881">
        <f t="shared" si="14"/>
        <v>6.619078879283577E-2</v>
      </c>
      <c r="BM45" s="880">
        <v>365898.31471033447</v>
      </c>
      <c r="BN45" s="588">
        <f t="shared" si="42"/>
        <v>-13323.588395565632</v>
      </c>
      <c r="BO45" s="881">
        <f t="shared" si="15"/>
        <v>-3.513401595857963E-2</v>
      </c>
      <c r="BP45" s="880">
        <v>404322.89999999997</v>
      </c>
      <c r="BQ45" s="588">
        <f t="shared" si="43"/>
        <v>25100.996894099866</v>
      </c>
      <c r="BR45" s="881">
        <f t="shared" si="16"/>
        <v>6.619078879283577E-2</v>
      </c>
      <c r="BS45" s="723"/>
    </row>
    <row r="46" spans="1:72" ht="15">
      <c r="A46" s="477" t="s">
        <v>92</v>
      </c>
      <c r="B46" s="428" t="s">
        <v>97</v>
      </c>
      <c r="C46" s="588">
        <v>21388.2</v>
      </c>
      <c r="D46" s="876"/>
      <c r="E46" s="588">
        <v>21388.2</v>
      </c>
      <c r="F46" s="588">
        <f t="shared" si="17"/>
        <v>0</v>
      </c>
      <c r="G46" s="589">
        <f t="shared" si="0"/>
        <v>0</v>
      </c>
      <c r="H46" s="588">
        <v>21388.2</v>
      </c>
      <c r="I46" s="588">
        <f t="shared" si="18"/>
        <v>0</v>
      </c>
      <c r="J46" s="881">
        <f t="shared" si="19"/>
        <v>0</v>
      </c>
      <c r="K46" s="588">
        <v>21388.2</v>
      </c>
      <c r="L46" s="588">
        <f t="shared" si="20"/>
        <v>0</v>
      </c>
      <c r="M46" s="881">
        <f t="shared" si="21"/>
        <v>0</v>
      </c>
      <c r="N46" s="877">
        <v>21388.2</v>
      </c>
      <c r="O46" s="588">
        <f t="shared" si="22"/>
        <v>0</v>
      </c>
      <c r="P46" s="881">
        <f t="shared" si="23"/>
        <v>0</v>
      </c>
      <c r="Q46" s="877">
        <v>21388.2</v>
      </c>
      <c r="R46" s="588">
        <f t="shared" si="24"/>
        <v>0</v>
      </c>
      <c r="S46" s="881">
        <f t="shared" si="1"/>
        <v>0</v>
      </c>
      <c r="T46" s="877">
        <v>21388.2</v>
      </c>
      <c r="U46" s="588">
        <f t="shared" si="25"/>
        <v>0</v>
      </c>
      <c r="V46" s="881">
        <f t="shared" si="2"/>
        <v>0</v>
      </c>
      <c r="W46" s="683">
        <v>21388.2</v>
      </c>
      <c r="X46" s="588">
        <f t="shared" si="26"/>
        <v>0</v>
      </c>
      <c r="Y46" s="881">
        <f t="shared" si="3"/>
        <v>0</v>
      </c>
      <c r="Z46" s="683">
        <v>21388.2</v>
      </c>
      <c r="AA46" s="588">
        <f t="shared" si="27"/>
        <v>0</v>
      </c>
      <c r="AB46" s="881">
        <f t="shared" si="4"/>
        <v>0</v>
      </c>
      <c r="AC46" s="878">
        <v>21388.2</v>
      </c>
      <c r="AD46" s="588">
        <f t="shared" si="28"/>
        <v>0</v>
      </c>
      <c r="AE46" s="881">
        <f t="shared" si="5"/>
        <v>0</v>
      </c>
      <c r="AF46" s="683">
        <v>21388.2</v>
      </c>
      <c r="AG46" s="588">
        <f t="shared" si="29"/>
        <v>0</v>
      </c>
      <c r="AH46" s="881">
        <f t="shared" si="6"/>
        <v>0</v>
      </c>
      <c r="AI46" s="882">
        <v>21388.2</v>
      </c>
      <c r="AJ46" s="588">
        <f t="shared" si="30"/>
        <v>0</v>
      </c>
      <c r="AK46" s="881">
        <f t="shared" si="7"/>
        <v>0</v>
      </c>
      <c r="AL46" s="882">
        <v>21388.2</v>
      </c>
      <c r="AM46" s="588">
        <f t="shared" si="31"/>
        <v>0</v>
      </c>
      <c r="AN46" s="881">
        <f t="shared" si="8"/>
        <v>0</v>
      </c>
      <c r="AO46" s="882">
        <v>22607.481218467827</v>
      </c>
      <c r="AP46" s="588">
        <f t="shared" si="32"/>
        <v>1219.281218467826</v>
      </c>
      <c r="AQ46" s="881">
        <f t="shared" si="9"/>
        <v>5.7007191744411684E-2</v>
      </c>
      <c r="AR46" s="882">
        <v>22159.993897291457</v>
      </c>
      <c r="AS46" s="588">
        <f t="shared" si="33"/>
        <v>771.79389729145623</v>
      </c>
      <c r="AT46" s="881">
        <f t="shared" si="10"/>
        <v>3.60850327419538E-2</v>
      </c>
      <c r="AU46" s="882">
        <v>22729.01670110843</v>
      </c>
      <c r="AV46" s="588">
        <f t="shared" si="34"/>
        <v>1340.8167011084297</v>
      </c>
      <c r="AW46" s="881">
        <f t="shared" si="11"/>
        <v>6.2689553169898812E-2</v>
      </c>
      <c r="AX46" s="882">
        <v>21388.2</v>
      </c>
      <c r="AY46" s="588">
        <f t="shared" si="35"/>
        <v>0</v>
      </c>
      <c r="AZ46" s="881">
        <f t="shared" si="12"/>
        <v>0</v>
      </c>
      <c r="BA46" s="879">
        <v>13153.705930778373</v>
      </c>
      <c r="BB46" s="588">
        <f t="shared" si="36"/>
        <v>-8234.4940692216278</v>
      </c>
      <c r="BC46" s="881">
        <f t="shared" si="13"/>
        <v>-0.38500173316228703</v>
      </c>
      <c r="BD46" s="880">
        <v>21388.2</v>
      </c>
      <c r="BE46" s="588">
        <f t="shared" si="37"/>
        <v>0</v>
      </c>
      <c r="BF46" s="881">
        <f t="shared" si="38"/>
        <v>0</v>
      </c>
      <c r="BG46" s="730">
        <v>21388.2</v>
      </c>
      <c r="BH46" s="588">
        <f t="shared" si="39"/>
        <v>0</v>
      </c>
      <c r="BI46" s="881">
        <f t="shared" si="40"/>
        <v>0</v>
      </c>
      <c r="BJ46" s="880">
        <v>21388.2</v>
      </c>
      <c r="BK46" s="588">
        <f t="shared" si="41"/>
        <v>0</v>
      </c>
      <c r="BL46" s="881">
        <f t="shared" si="14"/>
        <v>0</v>
      </c>
      <c r="BM46" s="880">
        <v>21388.2</v>
      </c>
      <c r="BN46" s="588">
        <f t="shared" si="42"/>
        <v>0</v>
      </c>
      <c r="BO46" s="881">
        <f t="shared" si="15"/>
        <v>0</v>
      </c>
      <c r="BP46" s="880">
        <v>21388.2</v>
      </c>
      <c r="BQ46" s="588">
        <f t="shared" si="43"/>
        <v>0</v>
      </c>
      <c r="BR46" s="881">
        <f t="shared" si="16"/>
        <v>0</v>
      </c>
      <c r="BS46" s="723"/>
    </row>
    <row r="47" spans="1:72" ht="15">
      <c r="A47" s="477" t="s">
        <v>92</v>
      </c>
      <c r="B47" s="428" t="s">
        <v>98</v>
      </c>
      <c r="C47" s="588">
        <v>2231194.4929412054</v>
      </c>
      <c r="D47" s="876"/>
      <c r="E47" s="588">
        <v>2330963.1</v>
      </c>
      <c r="F47" s="588">
        <f t="shared" si="17"/>
        <v>99768.607058794703</v>
      </c>
      <c r="G47" s="589">
        <f t="shared" si="0"/>
        <v>4.4715334039426444E-2</v>
      </c>
      <c r="H47" s="588">
        <v>2330963.1</v>
      </c>
      <c r="I47" s="588">
        <f t="shared" si="18"/>
        <v>99768.607058794703</v>
      </c>
      <c r="J47" s="881">
        <f t="shared" si="19"/>
        <v>4.4715334039426444E-2</v>
      </c>
      <c r="K47" s="588">
        <v>2330963.1</v>
      </c>
      <c r="L47" s="588">
        <f t="shared" si="20"/>
        <v>99768.607058794703</v>
      </c>
      <c r="M47" s="881">
        <f t="shared" si="21"/>
        <v>4.4715334039426444E-2</v>
      </c>
      <c r="N47" s="877">
        <v>2330963.1</v>
      </c>
      <c r="O47" s="588">
        <f t="shared" si="22"/>
        <v>99768.607058794703</v>
      </c>
      <c r="P47" s="881">
        <f t="shared" si="23"/>
        <v>4.4715334039426444E-2</v>
      </c>
      <c r="Q47" s="877">
        <v>2330963.1</v>
      </c>
      <c r="R47" s="588">
        <f t="shared" si="24"/>
        <v>99768.607058794703</v>
      </c>
      <c r="S47" s="881">
        <f t="shared" si="1"/>
        <v>4.4715334039426444E-2</v>
      </c>
      <c r="T47" s="877">
        <v>2307172.137800788</v>
      </c>
      <c r="U47" s="588">
        <f t="shared" si="25"/>
        <v>75977.644859582651</v>
      </c>
      <c r="V47" s="881">
        <f t="shared" si="2"/>
        <v>3.4052452666027959E-2</v>
      </c>
      <c r="W47" s="683">
        <v>2178385.8822299722</v>
      </c>
      <c r="X47" s="588">
        <f t="shared" si="26"/>
        <v>-52808.610711233225</v>
      </c>
      <c r="Y47" s="881">
        <f t="shared" si="3"/>
        <v>-2.3668313487821429E-2</v>
      </c>
      <c r="Z47" s="683">
        <v>2189499.965775989</v>
      </c>
      <c r="AA47" s="588">
        <f t="shared" si="27"/>
        <v>-41694.527165216394</v>
      </c>
      <c r="AB47" s="881">
        <f t="shared" si="4"/>
        <v>-1.8687087699940416E-2</v>
      </c>
      <c r="AC47" s="878">
        <v>2202830.9863812476</v>
      </c>
      <c r="AD47" s="588">
        <f t="shared" si="28"/>
        <v>-28363.50655995775</v>
      </c>
      <c r="AE47" s="881">
        <f t="shared" si="5"/>
        <v>-1.2712251957277111E-2</v>
      </c>
      <c r="AF47" s="683">
        <v>2281221.6409552945</v>
      </c>
      <c r="AG47" s="588">
        <f t="shared" si="29"/>
        <v>50027.148014089093</v>
      </c>
      <c r="AH47" s="881">
        <f t="shared" si="6"/>
        <v>2.2421688549500812E-2</v>
      </c>
      <c r="AI47" s="882">
        <v>2197031.4121117624</v>
      </c>
      <c r="AJ47" s="588">
        <f t="shared" si="30"/>
        <v>-34163.080829442944</v>
      </c>
      <c r="AK47" s="881">
        <f t="shared" si="7"/>
        <v>-1.5311565593014926E-2</v>
      </c>
      <c r="AL47" s="882">
        <v>2186432.4879868384</v>
      </c>
      <c r="AM47" s="588">
        <f t="shared" si="31"/>
        <v>-44762.004954366945</v>
      </c>
      <c r="AN47" s="881">
        <f t="shared" si="8"/>
        <v>-2.0061901862872013E-2</v>
      </c>
      <c r="AO47" s="882">
        <v>2303789.6576585067</v>
      </c>
      <c r="AP47" s="588">
        <f t="shared" si="32"/>
        <v>72595.164717301261</v>
      </c>
      <c r="AQ47" s="881">
        <f t="shared" si="9"/>
        <v>3.2536457465707012E-2</v>
      </c>
      <c r="AR47" s="882">
        <v>2379067.7884232672</v>
      </c>
      <c r="AS47" s="588">
        <f t="shared" si="33"/>
        <v>147873.2954820618</v>
      </c>
      <c r="AT47" s="881">
        <f t="shared" si="10"/>
        <v>6.6275394614806638E-2</v>
      </c>
      <c r="AU47" s="882">
        <v>2327264.0508856177</v>
      </c>
      <c r="AV47" s="588">
        <f t="shared" si="34"/>
        <v>96069.557944412343</v>
      </c>
      <c r="AW47" s="881">
        <f t="shared" si="11"/>
        <v>4.3057455658099764E-2</v>
      </c>
      <c r="AX47" s="882">
        <v>2330963.1</v>
      </c>
      <c r="AY47" s="588">
        <f t="shared" si="35"/>
        <v>99768.607058794703</v>
      </c>
      <c r="AZ47" s="881">
        <f t="shared" si="12"/>
        <v>4.4715334039426444E-2</v>
      </c>
      <c r="BA47" s="879">
        <v>2264831.8256510384</v>
      </c>
      <c r="BB47" s="588">
        <f t="shared" si="36"/>
        <v>33637.332709833048</v>
      </c>
      <c r="BC47" s="881">
        <f t="shared" si="13"/>
        <v>1.5075930321740639E-2</v>
      </c>
      <c r="BD47" s="880">
        <v>2287034.9412489929</v>
      </c>
      <c r="BE47" s="588">
        <f t="shared" si="37"/>
        <v>55840.448307787534</v>
      </c>
      <c r="BF47" s="881">
        <f t="shared" si="38"/>
        <v>2.5027154057814804E-2</v>
      </c>
      <c r="BG47" s="730">
        <v>2330963.1</v>
      </c>
      <c r="BH47" s="588">
        <f t="shared" si="39"/>
        <v>99768.607058794703</v>
      </c>
      <c r="BI47" s="881">
        <f t="shared" si="40"/>
        <v>4.4715334039426444E-2</v>
      </c>
      <c r="BJ47" s="880">
        <v>2330963.1</v>
      </c>
      <c r="BK47" s="588">
        <f t="shared" si="41"/>
        <v>99768.607058794703</v>
      </c>
      <c r="BL47" s="881">
        <f t="shared" si="14"/>
        <v>4.4715334039426444E-2</v>
      </c>
      <c r="BM47" s="880">
        <v>2330963.1</v>
      </c>
      <c r="BN47" s="588">
        <f t="shared" si="42"/>
        <v>99768.607058794703</v>
      </c>
      <c r="BO47" s="881">
        <f t="shared" si="15"/>
        <v>4.4715334039426444E-2</v>
      </c>
      <c r="BP47" s="880">
        <v>2330963.1</v>
      </c>
      <c r="BQ47" s="588">
        <f t="shared" si="43"/>
        <v>99768.607058794703</v>
      </c>
      <c r="BR47" s="881">
        <f t="shared" si="16"/>
        <v>4.4715334039426444E-2</v>
      </c>
      <c r="BS47" s="723"/>
    </row>
    <row r="48" spans="1:72" ht="15">
      <c r="A48" s="477" t="s">
        <v>99</v>
      </c>
      <c r="B48" s="428" t="s">
        <v>100</v>
      </c>
      <c r="C48" s="588">
        <v>758875.30657787633</v>
      </c>
      <c r="D48" s="876"/>
      <c r="E48" s="588">
        <v>726016.72487911722</v>
      </c>
      <c r="F48" s="588">
        <f t="shared" si="17"/>
        <v>-32858.58169875911</v>
      </c>
      <c r="G48" s="589">
        <f t="shared" si="0"/>
        <v>-4.3299052445037144E-2</v>
      </c>
      <c r="H48" s="588">
        <v>711192.81141828618</v>
      </c>
      <c r="I48" s="588">
        <f t="shared" si="18"/>
        <v>-47682.495159590151</v>
      </c>
      <c r="J48" s="881">
        <f t="shared" si="19"/>
        <v>-6.2833109400558598E-2</v>
      </c>
      <c r="K48" s="588">
        <v>760140.85127571458</v>
      </c>
      <c r="L48" s="588">
        <f t="shared" si="20"/>
        <v>1265.5446978382533</v>
      </c>
      <c r="M48" s="881">
        <f t="shared" si="21"/>
        <v>1.6676582923025737E-3</v>
      </c>
      <c r="N48" s="877">
        <v>740389.38330352912</v>
      </c>
      <c r="O48" s="588">
        <f t="shared" si="22"/>
        <v>-18485.923274347209</v>
      </c>
      <c r="P48" s="881">
        <f t="shared" si="23"/>
        <v>-2.4359632095171054E-2</v>
      </c>
      <c r="Q48" s="877">
        <v>733413.17321777646</v>
      </c>
      <c r="R48" s="588">
        <f t="shared" si="24"/>
        <v>-25462.133360099862</v>
      </c>
      <c r="S48" s="881">
        <f t="shared" si="1"/>
        <v>-3.3552459988348451E-2</v>
      </c>
      <c r="T48" s="877">
        <v>849401.77324101736</v>
      </c>
      <c r="U48" s="588">
        <f t="shared" si="25"/>
        <v>90526.466663141036</v>
      </c>
      <c r="V48" s="881">
        <f t="shared" si="2"/>
        <v>0.119290304847798</v>
      </c>
      <c r="W48" s="683">
        <v>741808.58702621912</v>
      </c>
      <c r="X48" s="588">
        <f t="shared" si="26"/>
        <v>-17066.71955165721</v>
      </c>
      <c r="Y48" s="881">
        <f t="shared" si="3"/>
        <v>-2.2489491229618512E-2</v>
      </c>
      <c r="Z48" s="683">
        <v>765528.73976924573</v>
      </c>
      <c r="AA48" s="588">
        <f t="shared" si="27"/>
        <v>6653.4331913694041</v>
      </c>
      <c r="AB48" s="881">
        <f t="shared" si="4"/>
        <v>8.7674920157474173E-3</v>
      </c>
      <c r="AC48" s="878">
        <v>758293.28345160035</v>
      </c>
      <c r="AD48" s="588">
        <f t="shared" si="28"/>
        <v>-582.02312627597712</v>
      </c>
      <c r="AE48" s="881">
        <f t="shared" si="5"/>
        <v>-7.6695488867675981E-4</v>
      </c>
      <c r="AF48" s="683">
        <v>754043.17056207941</v>
      </c>
      <c r="AG48" s="588">
        <f t="shared" si="29"/>
        <v>-4832.1360157969175</v>
      </c>
      <c r="AH48" s="881">
        <f t="shared" si="6"/>
        <v>-6.3674967071827371E-3</v>
      </c>
      <c r="AI48" s="882">
        <v>784112.29356188129</v>
      </c>
      <c r="AJ48" s="588">
        <f t="shared" si="30"/>
        <v>25236.986984004965</v>
      </c>
      <c r="AK48" s="881">
        <f t="shared" si="7"/>
        <v>3.3255775705511283E-2</v>
      </c>
      <c r="AL48" s="882">
        <v>754503.33756643184</v>
      </c>
      <c r="AM48" s="588">
        <f t="shared" si="31"/>
        <v>-4371.969011444482</v>
      </c>
      <c r="AN48" s="881">
        <f t="shared" si="8"/>
        <v>-5.7611164489720125E-3</v>
      </c>
      <c r="AO48" s="882">
        <v>731795.66784254857</v>
      </c>
      <c r="AP48" s="588">
        <f t="shared" si="32"/>
        <v>-27079.638735327753</v>
      </c>
      <c r="AQ48" s="881">
        <f t="shared" si="9"/>
        <v>-3.5683910782975017E-2</v>
      </c>
      <c r="AR48" s="882">
        <v>826720.09447504452</v>
      </c>
      <c r="AS48" s="588">
        <f t="shared" si="33"/>
        <v>67844.787897168193</v>
      </c>
      <c r="AT48" s="881">
        <f t="shared" si="10"/>
        <v>8.9401759826804844E-2</v>
      </c>
      <c r="AU48" s="882">
        <v>734619.38976833597</v>
      </c>
      <c r="AV48" s="588">
        <f t="shared" si="34"/>
        <v>-24255.916809540358</v>
      </c>
      <c r="AW48" s="881">
        <f t="shared" si="11"/>
        <v>-3.1962980741752731E-2</v>
      </c>
      <c r="AX48" s="882">
        <v>832377.89138023637</v>
      </c>
      <c r="AY48" s="588">
        <f t="shared" si="35"/>
        <v>73502.584802360041</v>
      </c>
      <c r="AZ48" s="881">
        <f t="shared" si="12"/>
        <v>9.6857262537395725E-2</v>
      </c>
      <c r="BA48" s="879">
        <v>770316.057822734</v>
      </c>
      <c r="BB48" s="588">
        <f t="shared" si="36"/>
        <v>11440.751244857674</v>
      </c>
      <c r="BC48" s="881">
        <f t="shared" si="13"/>
        <v>1.50759303217407E-2</v>
      </c>
      <c r="BD48" s="880">
        <v>768222.53848868422</v>
      </c>
      <c r="BE48" s="588">
        <f t="shared" si="37"/>
        <v>9347.2319108078955</v>
      </c>
      <c r="BF48" s="881">
        <f t="shared" si="38"/>
        <v>1.2317217110356292E-2</v>
      </c>
      <c r="BG48" s="730">
        <v>754214.88248101796</v>
      </c>
      <c r="BH48" s="588">
        <f t="shared" si="39"/>
        <v>-4660.4240968583617</v>
      </c>
      <c r="BI48" s="881">
        <f t="shared" si="40"/>
        <v>-6.1412251215214701E-3</v>
      </c>
      <c r="BJ48" s="880">
        <v>832038.29954504629</v>
      </c>
      <c r="BK48" s="588">
        <f t="shared" si="41"/>
        <v>73162.992967169965</v>
      </c>
      <c r="BL48" s="881">
        <f t="shared" si="14"/>
        <v>9.6409768947544383E-2</v>
      </c>
      <c r="BM48" s="880">
        <v>809077.97825224779</v>
      </c>
      <c r="BN48" s="588">
        <f t="shared" si="42"/>
        <v>50202.671674371464</v>
      </c>
      <c r="BO48" s="881">
        <f t="shared" si="15"/>
        <v>6.6154045650475557E-2</v>
      </c>
      <c r="BP48" s="880">
        <v>832038.29954504617</v>
      </c>
      <c r="BQ48" s="588">
        <f t="shared" si="43"/>
        <v>73162.992967169848</v>
      </c>
      <c r="BR48" s="881">
        <f t="shared" si="16"/>
        <v>9.640976894754423E-2</v>
      </c>
      <c r="BS48" s="723"/>
    </row>
    <row r="49" spans="1:71" ht="15">
      <c r="A49" s="477" t="s">
        <v>99</v>
      </c>
      <c r="B49" s="428" t="s">
        <v>101</v>
      </c>
      <c r="C49" s="588">
        <v>196084.59305415963</v>
      </c>
      <c r="D49" s="876"/>
      <c r="E49" s="588">
        <v>209509.8</v>
      </c>
      <c r="F49" s="588">
        <f t="shared" si="17"/>
        <v>13425.206945840357</v>
      </c>
      <c r="G49" s="589">
        <f t="shared" si="0"/>
        <v>6.8466403896058486E-2</v>
      </c>
      <c r="H49" s="588">
        <v>209509.8</v>
      </c>
      <c r="I49" s="588">
        <f t="shared" si="18"/>
        <v>13425.206945840357</v>
      </c>
      <c r="J49" s="881">
        <f t="shared" si="19"/>
        <v>6.8466403896058486E-2</v>
      </c>
      <c r="K49" s="588">
        <v>209509.8</v>
      </c>
      <c r="L49" s="588">
        <f t="shared" si="20"/>
        <v>13425.206945840357</v>
      </c>
      <c r="M49" s="881">
        <f t="shared" si="21"/>
        <v>6.8466403896058486E-2</v>
      </c>
      <c r="N49" s="877">
        <v>205072.2771529661</v>
      </c>
      <c r="O49" s="588">
        <f t="shared" si="22"/>
        <v>8987.684098806465</v>
      </c>
      <c r="P49" s="881">
        <f t="shared" si="23"/>
        <v>4.5835748534939803E-2</v>
      </c>
      <c r="Q49" s="877">
        <v>209509.8</v>
      </c>
      <c r="R49" s="588">
        <f t="shared" si="24"/>
        <v>13425.206945840357</v>
      </c>
      <c r="S49" s="881">
        <f t="shared" si="1"/>
        <v>6.8466403896058486E-2</v>
      </c>
      <c r="T49" s="877">
        <v>209509.8</v>
      </c>
      <c r="U49" s="588">
        <f t="shared" si="25"/>
        <v>13425.206945840357</v>
      </c>
      <c r="V49" s="881">
        <f t="shared" si="2"/>
        <v>6.8466403896058486E-2</v>
      </c>
      <c r="W49" s="683">
        <v>191347.40169341167</v>
      </c>
      <c r="X49" s="588">
        <f t="shared" si="26"/>
        <v>-4737.1913607479655</v>
      </c>
      <c r="Y49" s="881">
        <f t="shared" si="3"/>
        <v>-2.415891675609377E-2</v>
      </c>
      <c r="Z49" s="683">
        <v>192761.97886897268</v>
      </c>
      <c r="AA49" s="588">
        <f t="shared" si="27"/>
        <v>-3322.614185186947</v>
      </c>
      <c r="AB49" s="881">
        <f t="shared" si="4"/>
        <v>-1.6944799861298755E-2</v>
      </c>
      <c r="AC49" s="878">
        <v>192544.18735933234</v>
      </c>
      <c r="AD49" s="588">
        <f t="shared" si="28"/>
        <v>-3540.4056948272919</v>
      </c>
      <c r="AE49" s="881">
        <f t="shared" si="5"/>
        <v>-1.8055501657131282E-2</v>
      </c>
      <c r="AF49" s="683">
        <v>197096.64034403369</v>
      </c>
      <c r="AG49" s="588">
        <f t="shared" si="29"/>
        <v>1012.0472898740554</v>
      </c>
      <c r="AH49" s="881">
        <f t="shared" si="6"/>
        <v>5.161278987352782E-3</v>
      </c>
      <c r="AI49" s="882">
        <v>193727.41094028211</v>
      </c>
      <c r="AJ49" s="588">
        <f t="shared" si="30"/>
        <v>-2357.1821138775267</v>
      </c>
      <c r="AK49" s="881">
        <f t="shared" si="7"/>
        <v>-1.2021251018056581E-2</v>
      </c>
      <c r="AL49" s="882">
        <v>188899.52599155816</v>
      </c>
      <c r="AM49" s="588">
        <f t="shared" si="31"/>
        <v>-7185.0670626014762</v>
      </c>
      <c r="AN49" s="881">
        <f t="shared" si="8"/>
        <v>-3.6642690538246016E-2</v>
      </c>
      <c r="AO49" s="882">
        <v>194286.914516558</v>
      </c>
      <c r="AP49" s="588">
        <f t="shared" si="32"/>
        <v>-1797.6785376016342</v>
      </c>
      <c r="AQ49" s="881">
        <f t="shared" si="9"/>
        <v>-9.1678724452619563E-3</v>
      </c>
      <c r="AR49" s="882">
        <v>210281.9060921873</v>
      </c>
      <c r="AS49" s="588">
        <f t="shared" si="33"/>
        <v>14197.313038027671</v>
      </c>
      <c r="AT49" s="881">
        <f t="shared" si="10"/>
        <v>7.2404021228257828E-2</v>
      </c>
      <c r="AU49" s="882">
        <v>195534.79589496175</v>
      </c>
      <c r="AV49" s="588">
        <f t="shared" si="34"/>
        <v>-549.79715919788578</v>
      </c>
      <c r="AW49" s="881">
        <f t="shared" si="11"/>
        <v>-2.8038774012501266E-3</v>
      </c>
      <c r="AX49" s="882">
        <v>209509.8</v>
      </c>
      <c r="AY49" s="588">
        <f t="shared" si="35"/>
        <v>13425.206945840357</v>
      </c>
      <c r="AZ49" s="881">
        <f t="shared" si="12"/>
        <v>6.8466403896058486E-2</v>
      </c>
      <c r="BA49" s="879">
        <v>199040.75071621101</v>
      </c>
      <c r="BB49" s="588">
        <f t="shared" si="36"/>
        <v>2956.1576620513806</v>
      </c>
      <c r="BC49" s="881">
        <f t="shared" si="13"/>
        <v>1.5075930321740648E-2</v>
      </c>
      <c r="BD49" s="880">
        <v>209070.83470788848</v>
      </c>
      <c r="BE49" s="588">
        <f t="shared" si="37"/>
        <v>12986.241653728852</v>
      </c>
      <c r="BF49" s="881">
        <f t="shared" si="38"/>
        <v>6.6227751255000342E-2</v>
      </c>
      <c r="BG49" s="730">
        <v>209509.8</v>
      </c>
      <c r="BH49" s="588">
        <f t="shared" si="39"/>
        <v>13425.206945840357</v>
      </c>
      <c r="BI49" s="881">
        <f t="shared" si="40"/>
        <v>6.8466403896058486E-2</v>
      </c>
      <c r="BJ49" s="880">
        <v>209509.8</v>
      </c>
      <c r="BK49" s="588">
        <f t="shared" si="41"/>
        <v>13425.206945840357</v>
      </c>
      <c r="BL49" s="881">
        <f t="shared" si="14"/>
        <v>6.8466403896058486E-2</v>
      </c>
      <c r="BM49" s="880">
        <v>209509.8</v>
      </c>
      <c r="BN49" s="588">
        <f t="shared" si="42"/>
        <v>13425.206945840357</v>
      </c>
      <c r="BO49" s="881">
        <f t="shared" si="15"/>
        <v>6.8466403896058486E-2</v>
      </c>
      <c r="BP49" s="880">
        <v>209509.8</v>
      </c>
      <c r="BQ49" s="588">
        <f t="shared" si="43"/>
        <v>13425.206945840357</v>
      </c>
      <c r="BR49" s="881">
        <f t="shared" si="16"/>
        <v>6.8466403896058486E-2</v>
      </c>
      <c r="BS49" s="723"/>
    </row>
    <row r="50" spans="1:71" ht="15">
      <c r="A50" s="477" t="s">
        <v>99</v>
      </c>
      <c r="B50" s="428" t="s">
        <v>102</v>
      </c>
      <c r="C50" s="588">
        <v>1666636.1229349524</v>
      </c>
      <c r="D50" s="876"/>
      <c r="E50" s="588">
        <v>1621905.9186044119</v>
      </c>
      <c r="F50" s="588">
        <f t="shared" si="17"/>
        <v>-44730.204330540495</v>
      </c>
      <c r="G50" s="589">
        <f t="shared" si="0"/>
        <v>-2.6838614449187888E-2</v>
      </c>
      <c r="H50" s="588">
        <v>1603746.8928406946</v>
      </c>
      <c r="I50" s="588">
        <f t="shared" si="18"/>
        <v>-62889.230094257742</v>
      </c>
      <c r="J50" s="881">
        <f t="shared" si="19"/>
        <v>-3.7734229583065541E-2</v>
      </c>
      <c r="K50" s="588">
        <v>1684917.6268456043</v>
      </c>
      <c r="L50" s="588">
        <f t="shared" si="20"/>
        <v>18281.503910651896</v>
      </c>
      <c r="M50" s="881">
        <f t="shared" si="21"/>
        <v>1.0969103368801403E-2</v>
      </c>
      <c r="N50" s="877">
        <v>1639535.4556716473</v>
      </c>
      <c r="O50" s="588">
        <f t="shared" si="22"/>
        <v>-27100.667263305048</v>
      </c>
      <c r="P50" s="881">
        <f t="shared" si="23"/>
        <v>-1.6260698355427861E-2</v>
      </c>
      <c r="Q50" s="877">
        <v>1670930.1288912478</v>
      </c>
      <c r="R50" s="588">
        <f t="shared" si="24"/>
        <v>4294.005956295412</v>
      </c>
      <c r="S50" s="881">
        <f t="shared" si="1"/>
        <v>2.5764507904302782E-3</v>
      </c>
      <c r="T50" s="877">
        <v>1807340.6132437384</v>
      </c>
      <c r="U50" s="588">
        <f t="shared" si="25"/>
        <v>140704.49030878604</v>
      </c>
      <c r="V50" s="881">
        <f t="shared" si="2"/>
        <v>8.4424241364098665E-2</v>
      </c>
      <c r="W50" s="683">
        <v>1632740.3519355622</v>
      </c>
      <c r="X50" s="588">
        <f t="shared" si="26"/>
        <v>-33895.770999390166</v>
      </c>
      <c r="Y50" s="881">
        <f t="shared" si="3"/>
        <v>-2.0337835315665419E-2</v>
      </c>
      <c r="Z50" s="683">
        <v>1681909.2177514527</v>
      </c>
      <c r="AA50" s="588">
        <f t="shared" si="27"/>
        <v>15273.094816500321</v>
      </c>
      <c r="AB50" s="881">
        <f t="shared" si="4"/>
        <v>9.1640248320097283E-3</v>
      </c>
      <c r="AC50" s="878">
        <v>1665612.5386484417</v>
      </c>
      <c r="AD50" s="588">
        <f t="shared" si="28"/>
        <v>-1023.5842865107115</v>
      </c>
      <c r="AE50" s="881">
        <f t="shared" si="5"/>
        <v>-6.1416182718287407E-4</v>
      </c>
      <c r="AF50" s="683">
        <v>1655955.7603256861</v>
      </c>
      <c r="AG50" s="588">
        <f t="shared" si="29"/>
        <v>-10680.362609266303</v>
      </c>
      <c r="AH50" s="881">
        <f t="shared" si="6"/>
        <v>-6.4083350062388812E-3</v>
      </c>
      <c r="AI50" s="882">
        <v>1720192.7895699418</v>
      </c>
      <c r="AJ50" s="588">
        <f t="shared" si="30"/>
        <v>53556.666634989437</v>
      </c>
      <c r="AK50" s="881">
        <f t="shared" si="7"/>
        <v>3.2134588887150692E-2</v>
      </c>
      <c r="AL50" s="882">
        <v>1661731.095604568</v>
      </c>
      <c r="AM50" s="588">
        <f t="shared" si="31"/>
        <v>-4905.0273303843569</v>
      </c>
      <c r="AN50" s="881">
        <f t="shared" si="8"/>
        <v>-2.9430703336410262E-3</v>
      </c>
      <c r="AO50" s="882">
        <v>1609017.479754712</v>
      </c>
      <c r="AP50" s="588">
        <f t="shared" si="32"/>
        <v>-57618.643180240411</v>
      </c>
      <c r="AQ50" s="881">
        <f t="shared" si="9"/>
        <v>-3.4571819479571685E-2</v>
      </c>
      <c r="AR50" s="882">
        <v>1760783.8100853157</v>
      </c>
      <c r="AS50" s="588">
        <f t="shared" si="33"/>
        <v>94147.687150363345</v>
      </c>
      <c r="AT50" s="881">
        <f t="shared" si="10"/>
        <v>5.6489647533001335E-2</v>
      </c>
      <c r="AU50" s="882">
        <v>1615403.6644681597</v>
      </c>
      <c r="AV50" s="588">
        <f t="shared" si="34"/>
        <v>-51232.458466792712</v>
      </c>
      <c r="AW50" s="881">
        <f t="shared" si="11"/>
        <v>-3.0740038429367633E-2</v>
      </c>
      <c r="AX50" s="882">
        <v>1773181.0035570869</v>
      </c>
      <c r="AY50" s="588">
        <f t="shared" si="35"/>
        <v>106544.88062213454</v>
      </c>
      <c r="AZ50" s="881">
        <f t="shared" si="12"/>
        <v>6.3928099934920782E-2</v>
      </c>
      <c r="BA50" s="879">
        <v>1691762.2129960156</v>
      </c>
      <c r="BB50" s="588">
        <f t="shared" si="36"/>
        <v>25126.09006106318</v>
      </c>
      <c r="BC50" s="881">
        <f t="shared" si="13"/>
        <v>1.5075930321740563E-2</v>
      </c>
      <c r="BD50" s="880">
        <v>1702681.1082998628</v>
      </c>
      <c r="BE50" s="588">
        <f t="shared" si="37"/>
        <v>36044.985364910448</v>
      </c>
      <c r="BF50" s="881">
        <f t="shared" si="38"/>
        <v>2.1627387567620397E-2</v>
      </c>
      <c r="BG50" s="730">
        <v>1671694.3008768617</v>
      </c>
      <c r="BH50" s="588">
        <f t="shared" si="39"/>
        <v>5058.1779419092927</v>
      </c>
      <c r="BI50" s="881">
        <f t="shared" si="40"/>
        <v>3.0349623845916784E-3</v>
      </c>
      <c r="BJ50" s="880">
        <v>1789055.9242399209</v>
      </c>
      <c r="BK50" s="588">
        <f t="shared" si="41"/>
        <v>122419.80130496854</v>
      </c>
      <c r="BL50" s="881">
        <f t="shared" si="14"/>
        <v>7.3453226904374794E-2</v>
      </c>
      <c r="BM50" s="880">
        <v>1738021.9848299285</v>
      </c>
      <c r="BN50" s="588">
        <f t="shared" si="42"/>
        <v>71385.861894976115</v>
      </c>
      <c r="BO50" s="881">
        <f t="shared" si="15"/>
        <v>4.2832302091991951E-2</v>
      </c>
      <c r="BP50" s="880">
        <v>1789055.9242399209</v>
      </c>
      <c r="BQ50" s="588">
        <f t="shared" si="43"/>
        <v>122419.80130496854</v>
      </c>
      <c r="BR50" s="881">
        <f t="shared" si="16"/>
        <v>7.3453226904374794E-2</v>
      </c>
      <c r="BS50" s="723"/>
    </row>
    <row r="51" spans="1:71" ht="15">
      <c r="A51" s="477" t="s">
        <v>99</v>
      </c>
      <c r="B51" s="428" t="s">
        <v>103</v>
      </c>
      <c r="C51" s="588">
        <v>41490.080005839591</v>
      </c>
      <c r="D51" s="876"/>
      <c r="E51" s="588">
        <v>42539.974612852828</v>
      </c>
      <c r="F51" s="588">
        <f t="shared" si="17"/>
        <v>1049.894607013237</v>
      </c>
      <c r="G51" s="589">
        <f t="shared" si="0"/>
        <v>2.5304713966940236E-2</v>
      </c>
      <c r="H51" s="588">
        <v>43224.552003639292</v>
      </c>
      <c r="I51" s="588">
        <f t="shared" si="18"/>
        <v>1734.4719977997011</v>
      </c>
      <c r="J51" s="881">
        <f t="shared" si="19"/>
        <v>4.1804498751402262E-2</v>
      </c>
      <c r="K51" s="588">
        <v>46336.664072512554</v>
      </c>
      <c r="L51" s="588">
        <f t="shared" si="20"/>
        <v>4846.5840666729637</v>
      </c>
      <c r="M51" s="881">
        <f t="shared" si="21"/>
        <v>0.11681308076510874</v>
      </c>
      <c r="N51" s="877">
        <v>41879.471686570847</v>
      </c>
      <c r="O51" s="588">
        <f t="shared" si="22"/>
        <v>389.3916807312562</v>
      </c>
      <c r="P51" s="881">
        <f t="shared" si="23"/>
        <v>9.385175460651091E-3</v>
      </c>
      <c r="Q51" s="877">
        <v>49713</v>
      </c>
      <c r="R51" s="588">
        <f t="shared" si="24"/>
        <v>8222.9199941604093</v>
      </c>
      <c r="S51" s="881">
        <f t="shared" si="1"/>
        <v>0.19819002501328176</v>
      </c>
      <c r="T51" s="877">
        <v>47708.295291287766</v>
      </c>
      <c r="U51" s="588">
        <f t="shared" si="25"/>
        <v>6218.2152854481756</v>
      </c>
      <c r="V51" s="881">
        <f t="shared" si="2"/>
        <v>0.14987233778708026</v>
      </c>
      <c r="W51" s="683">
        <v>40486.381951138974</v>
      </c>
      <c r="X51" s="588">
        <f t="shared" si="26"/>
        <v>-1003.6980547006169</v>
      </c>
      <c r="Y51" s="881">
        <f t="shared" si="3"/>
        <v>-2.419127788038369E-2</v>
      </c>
      <c r="Z51" s="683">
        <v>41131.287623064913</v>
      </c>
      <c r="AA51" s="588">
        <f t="shared" si="27"/>
        <v>-358.79238277467812</v>
      </c>
      <c r="AB51" s="881">
        <f t="shared" si="4"/>
        <v>-8.64766668862001E-3</v>
      </c>
      <c r="AC51" s="878">
        <v>40794.740537301441</v>
      </c>
      <c r="AD51" s="588">
        <f t="shared" si="28"/>
        <v>-695.33946853814996</v>
      </c>
      <c r="AE51" s="881">
        <f t="shared" si="5"/>
        <v>-1.6759173962554018E-2</v>
      </c>
      <c r="AF51" s="683">
        <v>41312.510163393803</v>
      </c>
      <c r="AG51" s="588">
        <f t="shared" si="29"/>
        <v>-177.5698424457878</v>
      </c>
      <c r="AH51" s="881">
        <f t="shared" si="6"/>
        <v>-4.279814413970651E-3</v>
      </c>
      <c r="AI51" s="882">
        <v>41641.759311586466</v>
      </c>
      <c r="AJ51" s="588">
        <f t="shared" si="30"/>
        <v>151.67930574687489</v>
      </c>
      <c r="AK51" s="881">
        <f t="shared" si="7"/>
        <v>3.6557968971264103E-3</v>
      </c>
      <c r="AL51" s="882">
        <v>40027.584315158398</v>
      </c>
      <c r="AM51" s="588">
        <f t="shared" si="31"/>
        <v>-1462.4956906811931</v>
      </c>
      <c r="AN51" s="881">
        <f t="shared" si="8"/>
        <v>-3.5249285864846526E-2</v>
      </c>
      <c r="AO51" s="882">
        <v>40144.614781433593</v>
      </c>
      <c r="AP51" s="588">
        <f t="shared" si="32"/>
        <v>-1345.465224405998</v>
      </c>
      <c r="AQ51" s="881">
        <f t="shared" si="9"/>
        <v>-3.2428600383914138E-2</v>
      </c>
      <c r="AR51" s="882">
        <v>46566.065784691185</v>
      </c>
      <c r="AS51" s="588">
        <f t="shared" si="33"/>
        <v>5075.9857788515947</v>
      </c>
      <c r="AT51" s="881">
        <f t="shared" si="10"/>
        <v>0.12234215451349253</v>
      </c>
      <c r="AU51" s="882">
        <v>40312.459281719894</v>
      </c>
      <c r="AV51" s="588">
        <f t="shared" si="34"/>
        <v>-1177.6207241196971</v>
      </c>
      <c r="AW51" s="881">
        <f t="shared" si="11"/>
        <v>-2.8383187594575639E-2</v>
      </c>
      <c r="AX51" s="882">
        <v>46911.55892383818</v>
      </c>
      <c r="AY51" s="588">
        <f t="shared" si="35"/>
        <v>5421.4789179985892</v>
      </c>
      <c r="AZ51" s="881">
        <f t="shared" si="12"/>
        <v>0.13066928087956287</v>
      </c>
      <c r="BA51" s="879">
        <v>42115.581561051069</v>
      </c>
      <c r="BB51" s="588">
        <f t="shared" si="36"/>
        <v>625.50155521147826</v>
      </c>
      <c r="BC51" s="881">
        <f t="shared" si="13"/>
        <v>1.5075930321740547E-2</v>
      </c>
      <c r="BD51" s="880">
        <v>45392.046742438841</v>
      </c>
      <c r="BE51" s="588">
        <f t="shared" si="37"/>
        <v>3901.96673659925</v>
      </c>
      <c r="BF51" s="881">
        <f t="shared" si="38"/>
        <v>9.4045775184093669E-2</v>
      </c>
      <c r="BG51" s="730">
        <v>46097.538369993214</v>
      </c>
      <c r="BH51" s="588">
        <f t="shared" si="39"/>
        <v>4607.4583641536228</v>
      </c>
      <c r="BI51" s="881">
        <f t="shared" si="40"/>
        <v>0.11104963797382744</v>
      </c>
      <c r="BJ51" s="880">
        <v>49713</v>
      </c>
      <c r="BK51" s="588">
        <f t="shared" si="41"/>
        <v>8222.9199941604093</v>
      </c>
      <c r="BL51" s="881">
        <f t="shared" si="14"/>
        <v>0.19819002501328176</v>
      </c>
      <c r="BM51" s="880">
        <v>47198.056776676545</v>
      </c>
      <c r="BN51" s="588">
        <f t="shared" si="42"/>
        <v>5707.9767708369545</v>
      </c>
      <c r="BO51" s="881">
        <f t="shared" si="15"/>
        <v>0.13757449419315596</v>
      </c>
      <c r="BP51" s="880">
        <v>49713</v>
      </c>
      <c r="BQ51" s="588">
        <f t="shared" si="43"/>
        <v>8222.9199941604093</v>
      </c>
      <c r="BR51" s="881">
        <f t="shared" si="16"/>
        <v>0.19819002501328176</v>
      </c>
      <c r="BS51" s="723"/>
    </row>
    <row r="52" spans="1:71" ht="15">
      <c r="A52" s="477" t="s">
        <v>104</v>
      </c>
      <c r="B52" s="428" t="s">
        <v>105</v>
      </c>
      <c r="C52" s="588">
        <v>4616922.7806974938</v>
      </c>
      <c r="D52" s="876"/>
      <c r="E52" s="588">
        <v>3907897.5478568324</v>
      </c>
      <c r="F52" s="588">
        <f t="shared" si="17"/>
        <v>-709025.23284066143</v>
      </c>
      <c r="G52" s="589">
        <f t="shared" si="0"/>
        <v>-0.15357095332089279</v>
      </c>
      <c r="H52" s="588">
        <v>3549951.7570877275</v>
      </c>
      <c r="I52" s="588">
        <f t="shared" si="18"/>
        <v>-1066971.0236097663</v>
      </c>
      <c r="J52" s="881">
        <f t="shared" si="19"/>
        <v>-0.23110003660242623</v>
      </c>
      <c r="K52" s="588">
        <v>4484980.3245299263</v>
      </c>
      <c r="L52" s="588">
        <f t="shared" si="20"/>
        <v>-131942.45616756752</v>
      </c>
      <c r="M52" s="881">
        <f t="shared" si="21"/>
        <v>-2.8578008001172273E-2</v>
      </c>
      <c r="N52" s="877">
        <v>4254144.4607635662</v>
      </c>
      <c r="O52" s="588">
        <f t="shared" si="22"/>
        <v>-362778.31993392762</v>
      </c>
      <c r="P52" s="881">
        <f t="shared" si="23"/>
        <v>-7.8575782434706753E-2</v>
      </c>
      <c r="Q52" s="877">
        <v>3652217.5327701592</v>
      </c>
      <c r="R52" s="588">
        <f t="shared" si="24"/>
        <v>-964705.24792733463</v>
      </c>
      <c r="S52" s="881">
        <f t="shared" si="1"/>
        <v>-0.20894983385050106</v>
      </c>
      <c r="T52" s="877">
        <v>4568052.4681245033</v>
      </c>
      <c r="U52" s="588">
        <f t="shared" si="25"/>
        <v>-48870.312572990544</v>
      </c>
      <c r="V52" s="881">
        <f t="shared" si="2"/>
        <v>-1.0585040056833601E-2</v>
      </c>
      <c r="W52" s="683">
        <v>4556551.3707320243</v>
      </c>
      <c r="X52" s="588">
        <f t="shared" si="26"/>
        <v>-60371.409965469502</v>
      </c>
      <c r="Y52" s="881">
        <f t="shared" si="3"/>
        <v>-1.3076114293674409E-2</v>
      </c>
      <c r="Z52" s="683">
        <v>4662473.3049574168</v>
      </c>
      <c r="AA52" s="588">
        <f t="shared" si="27"/>
        <v>45550.524259923026</v>
      </c>
      <c r="AB52" s="881">
        <f t="shared" si="4"/>
        <v>9.8659922254626838E-3</v>
      </c>
      <c r="AC52" s="878">
        <v>4568294.5208383426</v>
      </c>
      <c r="AD52" s="588">
        <f t="shared" si="28"/>
        <v>-48628.259859151207</v>
      </c>
      <c r="AE52" s="883">
        <f t="shared" si="5"/>
        <v>-1.0532612774564269E-2</v>
      </c>
      <c r="AF52" s="683">
        <v>4537636.5218057521</v>
      </c>
      <c r="AG52" s="588">
        <f t="shared" si="29"/>
        <v>-79286.258891741745</v>
      </c>
      <c r="AH52" s="881">
        <f t="shared" si="6"/>
        <v>-1.7172966206674072E-2</v>
      </c>
      <c r="AI52" s="882">
        <v>4747479.6470209593</v>
      </c>
      <c r="AJ52" s="588">
        <f t="shared" si="30"/>
        <v>130556.86632346548</v>
      </c>
      <c r="AK52" s="881">
        <f t="shared" si="7"/>
        <v>2.8277896886060076E-2</v>
      </c>
      <c r="AL52" s="882">
        <v>4432698.6869472302</v>
      </c>
      <c r="AM52" s="588">
        <f t="shared" si="31"/>
        <v>-184224.09375026356</v>
      </c>
      <c r="AN52" s="881">
        <f t="shared" si="8"/>
        <v>-3.9901922232806378E-2</v>
      </c>
      <c r="AO52" s="882">
        <v>4356818.220906741</v>
      </c>
      <c r="AP52" s="588">
        <f t="shared" si="32"/>
        <v>-260104.55979075283</v>
      </c>
      <c r="AQ52" s="881">
        <f t="shared" si="9"/>
        <v>-5.6337212499676673E-2</v>
      </c>
      <c r="AR52" s="882">
        <v>4366046.899983706</v>
      </c>
      <c r="AS52" s="588">
        <f t="shared" si="33"/>
        <v>-250875.88071378786</v>
      </c>
      <c r="AT52" s="881">
        <f t="shared" si="10"/>
        <v>-5.4338331531697662E-2</v>
      </c>
      <c r="AU52" s="882">
        <v>4364492.7042706395</v>
      </c>
      <c r="AV52" s="588">
        <f t="shared" si="34"/>
        <v>-252430.07642685436</v>
      </c>
      <c r="AW52" s="881">
        <f t="shared" si="11"/>
        <v>-5.467496174772906E-2</v>
      </c>
      <c r="AX52" s="882">
        <v>4379639.74318993</v>
      </c>
      <c r="AY52" s="588">
        <f t="shared" si="35"/>
        <v>-237283.03750756383</v>
      </c>
      <c r="AZ52" s="881">
        <f t="shared" si="12"/>
        <v>-5.1394196693000938E-2</v>
      </c>
      <c r="BA52" s="879">
        <v>3552776.7728465553</v>
      </c>
      <c r="BB52" s="588">
        <f t="shared" si="36"/>
        <v>-1064146.0078509385</v>
      </c>
      <c r="BC52" s="881">
        <f t="shared" si="13"/>
        <v>-0.23048815377635024</v>
      </c>
      <c r="BD52" s="880">
        <v>4546993.0904609589</v>
      </c>
      <c r="BE52" s="588">
        <f t="shared" si="37"/>
        <v>-69929.690236534923</v>
      </c>
      <c r="BF52" s="881">
        <f t="shared" si="38"/>
        <v>-1.5146385061690465E-2</v>
      </c>
      <c r="BG52" s="730">
        <v>4388830.2885420797</v>
      </c>
      <c r="BH52" s="588">
        <f t="shared" si="39"/>
        <v>-228092.49215541407</v>
      </c>
      <c r="BI52" s="881">
        <f t="shared" si="40"/>
        <v>-4.9403575279410541E-2</v>
      </c>
      <c r="BJ52" s="880">
        <v>4236788.7990726791</v>
      </c>
      <c r="BK52" s="588">
        <f t="shared" si="41"/>
        <v>-380133.98162481468</v>
      </c>
      <c r="BL52" s="881">
        <f t="shared" si="14"/>
        <v>-8.2334922995481979E-2</v>
      </c>
      <c r="BM52" s="880">
        <v>4005613.2431759979</v>
      </c>
      <c r="BN52" s="588">
        <f t="shared" si="42"/>
        <v>-611309.53752149595</v>
      </c>
      <c r="BO52" s="881">
        <f t="shared" si="15"/>
        <v>-0.13240627287016124</v>
      </c>
      <c r="BP52" s="880">
        <v>4236788.7990726791</v>
      </c>
      <c r="BQ52" s="588">
        <f t="shared" si="43"/>
        <v>-380133.98162481468</v>
      </c>
      <c r="BR52" s="881">
        <f t="shared" si="16"/>
        <v>-8.2334922995481979E-2</v>
      </c>
      <c r="BS52" s="723"/>
    </row>
    <row r="53" spans="1:71" ht="15">
      <c r="A53" s="477" t="s">
        <v>104</v>
      </c>
      <c r="B53" s="428" t="s">
        <v>106</v>
      </c>
      <c r="C53" s="588">
        <v>5903647.0219985424</v>
      </c>
      <c r="D53" s="876"/>
      <c r="E53" s="588">
        <v>5974993.7569858916</v>
      </c>
      <c r="F53" s="588">
        <f t="shared" si="17"/>
        <v>71346.734987349249</v>
      </c>
      <c r="G53" s="589">
        <f t="shared" si="0"/>
        <v>1.2085196611771086E-2</v>
      </c>
      <c r="H53" s="588">
        <v>6031395.4098730106</v>
      </c>
      <c r="I53" s="588">
        <f t="shared" si="18"/>
        <v>127748.38787446823</v>
      </c>
      <c r="J53" s="881">
        <f t="shared" si="19"/>
        <v>2.1638893280449208E-2</v>
      </c>
      <c r="K53" s="588">
        <v>5822970.4553913055</v>
      </c>
      <c r="L53" s="588">
        <f t="shared" si="20"/>
        <v>-80676.566607236862</v>
      </c>
      <c r="M53" s="881">
        <f t="shared" si="21"/>
        <v>-1.366554712817598E-2</v>
      </c>
      <c r="N53" s="877">
        <v>5920670.7978506051</v>
      </c>
      <c r="O53" s="588">
        <f t="shared" si="22"/>
        <v>17023.775852062739</v>
      </c>
      <c r="P53" s="881">
        <f t="shared" si="23"/>
        <v>2.8836032690687081E-3</v>
      </c>
      <c r="Q53" s="877">
        <v>5850365.3101058546</v>
      </c>
      <c r="R53" s="588">
        <f t="shared" si="24"/>
        <v>-53281.711892687716</v>
      </c>
      <c r="S53" s="881">
        <f t="shared" si="1"/>
        <v>-9.0252197826438535E-3</v>
      </c>
      <c r="T53" s="877">
        <v>6036047.7781565879</v>
      </c>
      <c r="U53" s="588">
        <f t="shared" si="25"/>
        <v>132400.75615804549</v>
      </c>
      <c r="V53" s="881">
        <f t="shared" si="2"/>
        <v>2.2426943153051906E-2</v>
      </c>
      <c r="W53" s="683">
        <v>5818791.043217252</v>
      </c>
      <c r="X53" s="588">
        <f t="shared" si="26"/>
        <v>-84855.978781290352</v>
      </c>
      <c r="Y53" s="881">
        <f t="shared" si="3"/>
        <v>-1.4373484469023071E-2</v>
      </c>
      <c r="Z53" s="683">
        <v>5919672.7527673561</v>
      </c>
      <c r="AA53" s="588">
        <f t="shared" si="27"/>
        <v>16025.730768813752</v>
      </c>
      <c r="AB53" s="881">
        <f t="shared" si="4"/>
        <v>2.7145475854328115E-3</v>
      </c>
      <c r="AC53" s="878">
        <v>5938309.3707792396</v>
      </c>
      <c r="AD53" s="588">
        <f t="shared" si="28"/>
        <v>34662.348780697212</v>
      </c>
      <c r="AE53" s="881">
        <f t="shared" si="5"/>
        <v>5.8713450603561116E-3</v>
      </c>
      <c r="AF53" s="683">
        <v>5913305.6286281236</v>
      </c>
      <c r="AG53" s="588">
        <f t="shared" si="29"/>
        <v>9658.6066295811906</v>
      </c>
      <c r="AH53" s="881">
        <f t="shared" si="6"/>
        <v>1.6360406700452585E-3</v>
      </c>
      <c r="AI53" s="882">
        <v>6013740.175428017</v>
      </c>
      <c r="AJ53" s="588">
        <f t="shared" si="30"/>
        <v>110093.15342947468</v>
      </c>
      <c r="AK53" s="881">
        <f t="shared" si="7"/>
        <v>1.8648329247876544E-2</v>
      </c>
      <c r="AL53" s="882">
        <v>6031528.5113816317</v>
      </c>
      <c r="AM53" s="588">
        <f t="shared" si="31"/>
        <v>127881.48938308936</v>
      </c>
      <c r="AN53" s="881">
        <f t="shared" si="8"/>
        <v>2.1661438921834128E-2</v>
      </c>
      <c r="AO53" s="882">
        <v>5821991.9776881691</v>
      </c>
      <c r="AP53" s="588">
        <f t="shared" si="32"/>
        <v>-81655.044310373254</v>
      </c>
      <c r="AQ53" s="881">
        <f t="shared" si="9"/>
        <v>-1.3831288355503821E-2</v>
      </c>
      <c r="AR53" s="882">
        <v>5986747.7817404326</v>
      </c>
      <c r="AS53" s="588">
        <f t="shared" si="33"/>
        <v>83100.759741890244</v>
      </c>
      <c r="AT53" s="881">
        <f t="shared" si="10"/>
        <v>1.4076173496185484E-2</v>
      </c>
      <c r="AU53" s="882">
        <v>5856818.5076588243</v>
      </c>
      <c r="AV53" s="588">
        <f t="shared" si="34"/>
        <v>-46828.514339718036</v>
      </c>
      <c r="AW53" s="881">
        <f t="shared" si="11"/>
        <v>-7.9321331653506161E-3</v>
      </c>
      <c r="AX53" s="882">
        <v>6050489.7068698974</v>
      </c>
      <c r="AY53" s="588">
        <f t="shared" si="35"/>
        <v>146842.68487135507</v>
      </c>
      <c r="AZ53" s="881">
        <f t="shared" si="12"/>
        <v>2.4873215543575113E-2</v>
      </c>
      <c r="BA53" s="879">
        <v>5992649.9931463441</v>
      </c>
      <c r="BB53" s="588">
        <f t="shared" si="36"/>
        <v>89002.971147801727</v>
      </c>
      <c r="BC53" s="881">
        <f t="shared" si="13"/>
        <v>1.5075930321740653E-2</v>
      </c>
      <c r="BD53" s="880">
        <v>5847851.6146163829</v>
      </c>
      <c r="BE53" s="588">
        <f t="shared" si="37"/>
        <v>-55795.407382159494</v>
      </c>
      <c r="BF53" s="881">
        <f t="shared" si="38"/>
        <v>-9.4510066699874037E-3</v>
      </c>
      <c r="BG53" s="730">
        <v>5836405.5038855122</v>
      </c>
      <c r="BH53" s="588">
        <f t="shared" si="39"/>
        <v>-67241.518113030121</v>
      </c>
      <c r="BI53" s="881">
        <f t="shared" si="40"/>
        <v>-1.1389826976862019E-2</v>
      </c>
      <c r="BJ53" s="880">
        <v>5967301.7986857267</v>
      </c>
      <c r="BK53" s="588">
        <f t="shared" si="41"/>
        <v>63654.776687184349</v>
      </c>
      <c r="BL53" s="881">
        <f t="shared" si="14"/>
        <v>1.0782280249816749E-2</v>
      </c>
      <c r="BM53" s="880">
        <v>6065812.4316686373</v>
      </c>
      <c r="BN53" s="588">
        <f t="shared" si="42"/>
        <v>162165.40967009496</v>
      </c>
      <c r="BO53" s="881">
        <f t="shared" si="15"/>
        <v>2.7468683182755332E-2</v>
      </c>
      <c r="BP53" s="880">
        <v>5967301.7986857267</v>
      </c>
      <c r="BQ53" s="588">
        <f t="shared" si="43"/>
        <v>63654.776687184349</v>
      </c>
      <c r="BR53" s="881">
        <f t="shared" si="16"/>
        <v>1.0782280249816749E-2</v>
      </c>
      <c r="BS53" s="723"/>
    </row>
    <row r="54" spans="1:71" ht="15">
      <c r="A54" s="477" t="s">
        <v>104</v>
      </c>
      <c r="B54" s="428" t="s">
        <v>107</v>
      </c>
      <c r="C54" s="588">
        <v>10280105.257495381</v>
      </c>
      <c r="D54" s="876"/>
      <c r="E54" s="588">
        <v>10814169.6</v>
      </c>
      <c r="F54" s="588">
        <f t="shared" si="17"/>
        <v>534064.34250461869</v>
      </c>
      <c r="G54" s="589">
        <f t="shared" si="0"/>
        <v>5.19512523585519E-2</v>
      </c>
      <c r="H54" s="588">
        <v>10814169.6</v>
      </c>
      <c r="I54" s="588">
        <f t="shared" si="18"/>
        <v>534064.34250461869</v>
      </c>
      <c r="J54" s="881">
        <f t="shared" si="19"/>
        <v>5.19512523585519E-2</v>
      </c>
      <c r="K54" s="588">
        <v>10489154.731785204</v>
      </c>
      <c r="L54" s="588">
        <f t="shared" si="20"/>
        <v>209049.47428982332</v>
      </c>
      <c r="M54" s="881">
        <f t="shared" si="21"/>
        <v>2.0335343758995286E-2</v>
      </c>
      <c r="N54" s="877">
        <v>10814169.6</v>
      </c>
      <c r="O54" s="588">
        <f t="shared" si="22"/>
        <v>534064.34250461869</v>
      </c>
      <c r="P54" s="881">
        <f t="shared" si="23"/>
        <v>5.19512523585519E-2</v>
      </c>
      <c r="Q54" s="877">
        <v>10814169.6</v>
      </c>
      <c r="R54" s="588">
        <f t="shared" si="24"/>
        <v>534064.34250461869</v>
      </c>
      <c r="S54" s="881">
        <f t="shared" si="1"/>
        <v>5.19512523585519E-2</v>
      </c>
      <c r="T54" s="877">
        <v>9292417.0949611384</v>
      </c>
      <c r="U54" s="588">
        <f t="shared" si="25"/>
        <v>-987688.1625342425</v>
      </c>
      <c r="V54" s="881">
        <f t="shared" si="2"/>
        <v>-9.6077631288269544E-2</v>
      </c>
      <c r="W54" s="683">
        <v>10060190.155988602</v>
      </c>
      <c r="X54" s="588">
        <f t="shared" si="26"/>
        <v>-219915.10150677897</v>
      </c>
      <c r="Y54" s="881">
        <f t="shared" si="3"/>
        <v>-2.1392300564863919E-2</v>
      </c>
      <c r="Z54" s="683">
        <v>10093542.369456269</v>
      </c>
      <c r="AA54" s="588">
        <f t="shared" si="27"/>
        <v>-186562.88803911209</v>
      </c>
      <c r="AB54" s="881">
        <f t="shared" si="4"/>
        <v>-1.8147955041908376E-2</v>
      </c>
      <c r="AC54" s="878">
        <v>10155309.515746634</v>
      </c>
      <c r="AD54" s="588">
        <f t="shared" si="28"/>
        <v>-124795.74174874648</v>
      </c>
      <c r="AE54" s="881">
        <f t="shared" si="5"/>
        <v>-1.2139539296813719E-2</v>
      </c>
      <c r="AF54" s="683">
        <v>10432772.097468328</v>
      </c>
      <c r="AG54" s="588">
        <f t="shared" si="29"/>
        <v>152666.83997294679</v>
      </c>
      <c r="AH54" s="881">
        <f t="shared" si="6"/>
        <v>1.4850707862318343E-2</v>
      </c>
      <c r="AI54" s="882">
        <v>10031073.261248285</v>
      </c>
      <c r="AJ54" s="588">
        <f t="shared" si="30"/>
        <v>-249031.99624709599</v>
      </c>
      <c r="AK54" s="881">
        <f t="shared" si="7"/>
        <v>-2.4224654321075456E-2</v>
      </c>
      <c r="AL54" s="882">
        <v>10133392.466543199</v>
      </c>
      <c r="AM54" s="588">
        <f t="shared" si="31"/>
        <v>-146712.79095218144</v>
      </c>
      <c r="AN54" s="881">
        <f t="shared" si="8"/>
        <v>-1.4271526144657995E-2</v>
      </c>
      <c r="AO54" s="882">
        <v>10569325.190257618</v>
      </c>
      <c r="AP54" s="588">
        <f t="shared" si="32"/>
        <v>289219.93276223727</v>
      </c>
      <c r="AQ54" s="881">
        <f t="shared" si="9"/>
        <v>2.8133946639443463E-2</v>
      </c>
      <c r="AR54" s="882">
        <v>9547285.5134966001</v>
      </c>
      <c r="AS54" s="588">
        <f t="shared" si="33"/>
        <v>-732819.74399878085</v>
      </c>
      <c r="AT54" s="881">
        <f t="shared" si="10"/>
        <v>-7.1285237421520639E-2</v>
      </c>
      <c r="AU54" s="882">
        <v>10672970.905922495</v>
      </c>
      <c r="AV54" s="588">
        <f t="shared" si="34"/>
        <v>392865.64842711389</v>
      </c>
      <c r="AW54" s="881">
        <f t="shared" si="11"/>
        <v>3.8216111468379138E-2</v>
      </c>
      <c r="AX54" s="882">
        <v>9714997.9135904275</v>
      </c>
      <c r="AY54" s="588">
        <f t="shared" si="35"/>
        <v>-565107.34390495345</v>
      </c>
      <c r="AZ54" s="881">
        <f t="shared" si="12"/>
        <v>-5.4970968657439098E-2</v>
      </c>
      <c r="BA54" s="879">
        <v>10381632.800000001</v>
      </c>
      <c r="BB54" s="588">
        <f t="shared" si="36"/>
        <v>101527.54250461981</v>
      </c>
      <c r="BC54" s="881">
        <f t="shared" si="13"/>
        <v>9.8761189658631687E-3</v>
      </c>
      <c r="BD54" s="880">
        <v>10235475.436917026</v>
      </c>
      <c r="BE54" s="588">
        <f t="shared" si="37"/>
        <v>-44629.820578355342</v>
      </c>
      <c r="BF54" s="881">
        <f t="shared" si="38"/>
        <v>-4.3413777836384566E-3</v>
      </c>
      <c r="BG54" s="730">
        <v>10688366.454596158</v>
      </c>
      <c r="BH54" s="588">
        <f t="shared" si="39"/>
        <v>408261.19710077718</v>
      </c>
      <c r="BI54" s="881">
        <f t="shared" si="40"/>
        <v>3.9713717600615782E-2</v>
      </c>
      <c r="BJ54" s="880">
        <v>9948244.763507694</v>
      </c>
      <c r="BK54" s="588">
        <f t="shared" si="41"/>
        <v>-331860.49398768693</v>
      </c>
      <c r="BL54" s="881">
        <f t="shared" si="14"/>
        <v>-3.2281818685243754E-2</v>
      </c>
      <c r="BM54" s="880">
        <v>10384732.887291078</v>
      </c>
      <c r="BN54" s="588">
        <f t="shared" si="42"/>
        <v>104627.62979569659</v>
      </c>
      <c r="BO54" s="881">
        <f t="shared" si="15"/>
        <v>1.017768078973812E-2</v>
      </c>
      <c r="BP54" s="880">
        <v>9948244.763507694</v>
      </c>
      <c r="BQ54" s="588">
        <f t="shared" si="43"/>
        <v>-331860.49398768693</v>
      </c>
      <c r="BR54" s="881">
        <f t="shared" si="16"/>
        <v>-3.2281818685243754E-2</v>
      </c>
      <c r="BS54" s="723"/>
    </row>
    <row r="55" spans="1:71" ht="15">
      <c r="A55" s="477" t="s">
        <v>104</v>
      </c>
      <c r="B55" s="428" t="s">
        <v>108</v>
      </c>
      <c r="C55" s="588">
        <v>1636080.5999999999</v>
      </c>
      <c r="D55" s="876"/>
      <c r="E55" s="588">
        <v>1636080.5999999999</v>
      </c>
      <c r="F55" s="588">
        <f t="shared" si="17"/>
        <v>0</v>
      </c>
      <c r="G55" s="589">
        <f t="shared" si="0"/>
        <v>0</v>
      </c>
      <c r="H55" s="588">
        <v>1636080.5999999999</v>
      </c>
      <c r="I55" s="588">
        <f t="shared" si="18"/>
        <v>0</v>
      </c>
      <c r="J55" s="881">
        <f t="shared" si="19"/>
        <v>0</v>
      </c>
      <c r="K55" s="588">
        <v>1636080.5999999999</v>
      </c>
      <c r="L55" s="588">
        <f t="shared" si="20"/>
        <v>0</v>
      </c>
      <c r="M55" s="881">
        <f t="shared" si="21"/>
        <v>0</v>
      </c>
      <c r="N55" s="877">
        <v>1636080.5999999999</v>
      </c>
      <c r="O55" s="588">
        <f t="shared" si="22"/>
        <v>0</v>
      </c>
      <c r="P55" s="881">
        <f t="shared" si="23"/>
        <v>0</v>
      </c>
      <c r="Q55" s="877">
        <v>1636080.5999999999</v>
      </c>
      <c r="R55" s="588">
        <f t="shared" si="24"/>
        <v>0</v>
      </c>
      <c r="S55" s="881">
        <f t="shared" si="1"/>
        <v>0</v>
      </c>
      <c r="T55" s="877">
        <v>1515168.3841590995</v>
      </c>
      <c r="U55" s="588">
        <f t="shared" si="25"/>
        <v>-120912.21584090032</v>
      </c>
      <c r="V55" s="881">
        <f t="shared" si="2"/>
        <v>-7.3903581425573003E-2</v>
      </c>
      <c r="W55" s="683">
        <v>1636080.5999999999</v>
      </c>
      <c r="X55" s="588">
        <f t="shared" si="26"/>
        <v>0</v>
      </c>
      <c r="Y55" s="881">
        <f t="shared" si="3"/>
        <v>0</v>
      </c>
      <c r="Z55" s="683">
        <v>1636080.5999999999</v>
      </c>
      <c r="AA55" s="588">
        <f t="shared" si="27"/>
        <v>0</v>
      </c>
      <c r="AB55" s="881">
        <f t="shared" si="4"/>
        <v>0</v>
      </c>
      <c r="AC55" s="878">
        <v>1636080.5999999999</v>
      </c>
      <c r="AD55" s="588">
        <f t="shared" si="28"/>
        <v>0</v>
      </c>
      <c r="AE55" s="881">
        <f t="shared" si="5"/>
        <v>0</v>
      </c>
      <c r="AF55" s="683">
        <v>1636080.5999999999</v>
      </c>
      <c r="AG55" s="588">
        <f t="shared" si="29"/>
        <v>0</v>
      </c>
      <c r="AH55" s="881">
        <f t="shared" si="6"/>
        <v>0</v>
      </c>
      <c r="AI55" s="882">
        <v>1636080.5999999999</v>
      </c>
      <c r="AJ55" s="588">
        <f t="shared" si="30"/>
        <v>0</v>
      </c>
      <c r="AK55" s="881">
        <f t="shared" si="7"/>
        <v>0</v>
      </c>
      <c r="AL55" s="882">
        <v>1621857.7343612479</v>
      </c>
      <c r="AM55" s="588">
        <f t="shared" si="31"/>
        <v>-14222.865638752002</v>
      </c>
      <c r="AN55" s="881">
        <f t="shared" si="8"/>
        <v>-8.6932548669986093E-3</v>
      </c>
      <c r="AO55" s="882">
        <v>1822038.5008262822</v>
      </c>
      <c r="AP55" s="588">
        <f t="shared" si="32"/>
        <v>185957.90082628233</v>
      </c>
      <c r="AQ55" s="881">
        <f t="shared" si="9"/>
        <v>0.11366059888876034</v>
      </c>
      <c r="AR55" s="882">
        <v>1599744.1871336126</v>
      </c>
      <c r="AS55" s="588">
        <f t="shared" si="33"/>
        <v>-36336.412866387283</v>
      </c>
      <c r="AT55" s="881">
        <f t="shared" si="10"/>
        <v>-2.220942713114946E-2</v>
      </c>
      <c r="AU55" s="882">
        <v>1845068.9941678275</v>
      </c>
      <c r="AV55" s="588">
        <f t="shared" si="34"/>
        <v>208988.39416782768</v>
      </c>
      <c r="AW55" s="881">
        <f t="shared" si="11"/>
        <v>0.1277372240510814</v>
      </c>
      <c r="AX55" s="882">
        <v>1636140.1279904835</v>
      </c>
      <c r="AY55" s="588">
        <f t="shared" si="35"/>
        <v>59.527990483678877</v>
      </c>
      <c r="AZ55" s="881">
        <f t="shared" si="12"/>
        <v>3.6384509714056189E-5</v>
      </c>
      <c r="BA55" s="879">
        <v>1636080.5999999999</v>
      </c>
      <c r="BB55" s="588">
        <f t="shared" si="36"/>
        <v>0</v>
      </c>
      <c r="BC55" s="881">
        <f t="shared" si="13"/>
        <v>0</v>
      </c>
      <c r="BD55" s="880">
        <v>1636080.5999999999</v>
      </c>
      <c r="BE55" s="588">
        <f t="shared" si="37"/>
        <v>0</v>
      </c>
      <c r="BF55" s="881">
        <f t="shared" si="38"/>
        <v>0</v>
      </c>
      <c r="BG55" s="730">
        <v>1636080.5999999999</v>
      </c>
      <c r="BH55" s="588">
        <f t="shared" si="39"/>
        <v>0</v>
      </c>
      <c r="BI55" s="881">
        <f t="shared" si="40"/>
        <v>0</v>
      </c>
      <c r="BJ55" s="880">
        <v>1636080.5999999999</v>
      </c>
      <c r="BK55" s="588">
        <f t="shared" si="41"/>
        <v>0</v>
      </c>
      <c r="BL55" s="881">
        <f t="shared" si="14"/>
        <v>0</v>
      </c>
      <c r="BM55" s="880">
        <v>1636080.5999999999</v>
      </c>
      <c r="BN55" s="588">
        <f t="shared" si="42"/>
        <v>0</v>
      </c>
      <c r="BO55" s="881">
        <f t="shared" si="15"/>
        <v>0</v>
      </c>
      <c r="BP55" s="880">
        <v>1636080.5999999999</v>
      </c>
      <c r="BQ55" s="588">
        <f t="shared" si="43"/>
        <v>0</v>
      </c>
      <c r="BR55" s="881">
        <f t="shared" si="16"/>
        <v>0</v>
      </c>
      <c r="BS55" s="723"/>
    </row>
    <row r="56" spans="1:71" ht="15">
      <c r="A56" s="477" t="s">
        <v>104</v>
      </c>
      <c r="B56" s="428" t="s">
        <v>109</v>
      </c>
      <c r="C56" s="588">
        <v>23974960.475960296</v>
      </c>
      <c r="D56" s="876"/>
      <c r="E56" s="588">
        <v>23783374.196736109</v>
      </c>
      <c r="F56" s="588">
        <f t="shared" si="17"/>
        <v>-191586.27922418714</v>
      </c>
      <c r="G56" s="881">
        <f t="shared" si="0"/>
        <v>-7.9910988556703057E-3</v>
      </c>
      <c r="H56" s="588">
        <v>23759700.534794521</v>
      </c>
      <c r="I56" s="588">
        <f t="shared" si="18"/>
        <v>-215259.94116577506</v>
      </c>
      <c r="J56" s="881">
        <f t="shared" si="19"/>
        <v>-8.9785316385241308E-3</v>
      </c>
      <c r="K56" s="588">
        <v>23570703.813914493</v>
      </c>
      <c r="L56" s="588">
        <f t="shared" si="20"/>
        <v>-404256.66204580292</v>
      </c>
      <c r="M56" s="881">
        <f t="shared" si="21"/>
        <v>-1.6861619540568223E-2</v>
      </c>
      <c r="N56" s="877">
        <v>23807309.087865539</v>
      </c>
      <c r="O56" s="588">
        <f t="shared" si="22"/>
        <v>-167651.38809475675</v>
      </c>
      <c r="P56" s="881">
        <f t="shared" si="23"/>
        <v>-6.9927701554653608E-3</v>
      </c>
      <c r="Q56" s="877">
        <v>23108898.38892331</v>
      </c>
      <c r="R56" s="588">
        <f t="shared" si="24"/>
        <v>-866062.0870369859</v>
      </c>
      <c r="S56" s="881">
        <f t="shared" si="1"/>
        <v>-3.612360854172781E-2</v>
      </c>
      <c r="T56" s="877">
        <v>23082570.543451332</v>
      </c>
      <c r="U56" s="588">
        <f t="shared" si="25"/>
        <v>-892389.93250896409</v>
      </c>
      <c r="V56" s="881">
        <f t="shared" si="2"/>
        <v>-3.7221747806581953E-2</v>
      </c>
      <c r="W56" s="683">
        <v>24257531.325002361</v>
      </c>
      <c r="X56" s="588">
        <f t="shared" si="26"/>
        <v>282570.84904206544</v>
      </c>
      <c r="Y56" s="881">
        <f t="shared" si="3"/>
        <v>1.1786081955188179E-2</v>
      </c>
      <c r="Z56" s="683">
        <v>23994796.720689729</v>
      </c>
      <c r="AA56" s="588">
        <f t="shared" si="27"/>
        <v>19836.244729433209</v>
      </c>
      <c r="AB56" s="881">
        <f t="shared" si="4"/>
        <v>8.2737340690605188E-4</v>
      </c>
      <c r="AC56" s="878">
        <v>24059187.467813984</v>
      </c>
      <c r="AD56" s="588">
        <f t="shared" si="28"/>
        <v>84226.991853687912</v>
      </c>
      <c r="AE56" s="883">
        <f t="shared" si="5"/>
        <v>3.5131232828576448E-3</v>
      </c>
      <c r="AF56" s="683">
        <v>23908277.557943471</v>
      </c>
      <c r="AG56" s="588">
        <f t="shared" si="29"/>
        <v>-66682.918016824871</v>
      </c>
      <c r="AH56" s="883">
        <f t="shared" si="6"/>
        <v>-2.7813567444120654E-3</v>
      </c>
      <c r="AI56" s="882">
        <v>23394175.34606871</v>
      </c>
      <c r="AJ56" s="588">
        <f t="shared" si="30"/>
        <v>-580785.12989158556</v>
      </c>
      <c r="AK56" s="881">
        <f t="shared" si="7"/>
        <v>-2.4224654321075487E-2</v>
      </c>
      <c r="AL56" s="882">
        <v>24129337.797729209</v>
      </c>
      <c r="AM56" s="588">
        <f t="shared" si="31"/>
        <v>154377.32176891342</v>
      </c>
      <c r="AN56" s="881">
        <f t="shared" si="8"/>
        <v>6.4391064136980593E-3</v>
      </c>
      <c r="AO56" s="882">
        <v>23473879.260198057</v>
      </c>
      <c r="AP56" s="588">
        <f t="shared" si="32"/>
        <v>-501081.21576223895</v>
      </c>
      <c r="AQ56" s="881">
        <f t="shared" si="9"/>
        <v>-2.0900189439923094E-2</v>
      </c>
      <c r="AR56" s="882">
        <v>22755641.018026374</v>
      </c>
      <c r="AS56" s="588">
        <f t="shared" si="33"/>
        <v>-1219319.4579339214</v>
      </c>
      <c r="AT56" s="881">
        <f t="shared" si="10"/>
        <v>-5.0858038291931015E-2</v>
      </c>
      <c r="AU56" s="882">
        <v>23598418.186046552</v>
      </c>
      <c r="AV56" s="588">
        <f t="shared" si="34"/>
        <v>-376542.28991374373</v>
      </c>
      <c r="AW56" s="881">
        <f t="shared" si="11"/>
        <v>-1.5705647994344051E-2</v>
      </c>
      <c r="AX56" s="882">
        <v>22970282.704963781</v>
      </c>
      <c r="AY56" s="588">
        <f t="shared" si="35"/>
        <v>-1004677.7709965147</v>
      </c>
      <c r="AZ56" s="881">
        <f t="shared" si="12"/>
        <v>-4.1905294150699671E-2</v>
      </c>
      <c r="BA56" s="879">
        <v>24336405.309562359</v>
      </c>
      <c r="BB56" s="588">
        <f t="shared" si="36"/>
        <v>361444.83360206336</v>
      </c>
      <c r="BC56" s="881">
        <f t="shared" si="13"/>
        <v>1.5075930321740646E-2</v>
      </c>
      <c r="BD56" s="880">
        <v>23623091.899897136</v>
      </c>
      <c r="BE56" s="588">
        <f t="shared" si="37"/>
        <v>-351868.57606315985</v>
      </c>
      <c r="BF56" s="883">
        <f t="shared" si="38"/>
        <v>-1.4676502862892252E-2</v>
      </c>
      <c r="BG56" s="730">
        <v>23493664.442773048</v>
      </c>
      <c r="BH56" s="588">
        <f t="shared" si="39"/>
        <v>-481296.03318724781</v>
      </c>
      <c r="BI56" s="881">
        <f t="shared" si="40"/>
        <v>-2.0074945844846901E-2</v>
      </c>
      <c r="BJ56" s="880">
        <v>22567313.897001695</v>
      </c>
      <c r="BK56" s="588">
        <f t="shared" si="41"/>
        <v>-1407646.5789586008</v>
      </c>
      <c r="BL56" s="881">
        <f t="shared" si="14"/>
        <v>-5.8713197061160897E-2</v>
      </c>
      <c r="BM56" s="880">
        <v>22779066.68848826</v>
      </c>
      <c r="BN56" s="588">
        <f t="shared" si="42"/>
        <v>-1195893.7874720357</v>
      </c>
      <c r="BO56" s="885">
        <f t="shared" si="15"/>
        <v>-4.9880949279193142E-2</v>
      </c>
      <c r="BP56" s="880">
        <v>22567313.897001699</v>
      </c>
      <c r="BQ56" s="588">
        <f t="shared" si="43"/>
        <v>-1407646.578958597</v>
      </c>
      <c r="BR56" s="885">
        <f t="shared" si="16"/>
        <v>-5.8713197061160745E-2</v>
      </c>
      <c r="BS56" s="886"/>
    </row>
    <row r="57" spans="1:71" ht="15">
      <c r="A57" s="477" t="s">
        <v>104</v>
      </c>
      <c r="B57" s="428" t="s">
        <v>111</v>
      </c>
      <c r="C57" s="588">
        <v>8680792.6820716076</v>
      </c>
      <c r="D57" s="876"/>
      <c r="E57" s="588">
        <v>7811018.5179924127</v>
      </c>
      <c r="F57" s="588">
        <f t="shared" si="17"/>
        <v>-869774.16407919489</v>
      </c>
      <c r="G57" s="589">
        <f t="shared" si="0"/>
        <v>-0.10019524667090997</v>
      </c>
      <c r="H57" s="588">
        <v>7382323.0466685537</v>
      </c>
      <c r="I57" s="588">
        <f t="shared" si="18"/>
        <v>-1298469.6354030538</v>
      </c>
      <c r="J57" s="881">
        <f t="shared" si="19"/>
        <v>-0.14957961593585525</v>
      </c>
      <c r="K57" s="588">
        <v>8355370.71853936</v>
      </c>
      <c r="L57" s="588">
        <f t="shared" si="20"/>
        <v>-325421.96353224758</v>
      </c>
      <c r="M57" s="881">
        <f t="shared" si="21"/>
        <v>-3.7487586151474364E-2</v>
      </c>
      <c r="N57" s="877">
        <v>8226294.3834923897</v>
      </c>
      <c r="O57" s="588">
        <f t="shared" si="22"/>
        <v>-454498.29857921787</v>
      </c>
      <c r="P57" s="589">
        <f t="shared" si="23"/>
        <v>-5.2356773767664171E-2</v>
      </c>
      <c r="Q57" s="877">
        <v>7179319.8158411141</v>
      </c>
      <c r="R57" s="588">
        <f t="shared" si="24"/>
        <v>-1501472.8662304934</v>
      </c>
      <c r="S57" s="589">
        <f t="shared" si="1"/>
        <v>-0.17296494931061732</v>
      </c>
      <c r="T57" s="877">
        <v>8015638.3639223054</v>
      </c>
      <c r="U57" s="588">
        <f t="shared" si="25"/>
        <v>-665154.31814930215</v>
      </c>
      <c r="V57" s="589">
        <f t="shared" si="2"/>
        <v>-7.6623684323557414E-2</v>
      </c>
      <c r="W57" s="683">
        <v>8670455.7338529993</v>
      </c>
      <c r="X57" s="588">
        <f t="shared" si="26"/>
        <v>-10336.948218608275</v>
      </c>
      <c r="Y57" s="589">
        <f t="shared" si="3"/>
        <v>-1.1907839061698958E-3</v>
      </c>
      <c r="Z57" s="683">
        <v>8783137.3893264718</v>
      </c>
      <c r="AA57" s="588">
        <f t="shared" si="27"/>
        <v>102344.70725486428</v>
      </c>
      <c r="AB57" s="589">
        <f t="shared" si="4"/>
        <v>1.1789788214414593E-2</v>
      </c>
      <c r="AC57" s="878">
        <v>8744947.8206177056</v>
      </c>
      <c r="AD57" s="588">
        <f t="shared" si="28"/>
        <v>64155.138546098024</v>
      </c>
      <c r="AE57" s="883">
        <f t="shared" si="5"/>
        <v>7.3904700752268019E-3</v>
      </c>
      <c r="AF57" s="683">
        <v>8570074.7680014148</v>
      </c>
      <c r="AG57" s="588">
        <f t="shared" si="29"/>
        <v>-110717.91407019272</v>
      </c>
      <c r="AH57" s="883">
        <f t="shared" si="6"/>
        <v>-1.2754355290486064E-2</v>
      </c>
      <c r="AI57" s="882">
        <v>8470503.4801155012</v>
      </c>
      <c r="AJ57" s="588">
        <f t="shared" si="30"/>
        <v>-210289.20195610635</v>
      </c>
      <c r="AK57" s="881">
        <f t="shared" si="7"/>
        <v>-2.4224654321075477E-2</v>
      </c>
      <c r="AL57" s="882">
        <v>8601376.7963716649</v>
      </c>
      <c r="AM57" s="588">
        <f t="shared" si="31"/>
        <v>-79415.885699942708</v>
      </c>
      <c r="AN57" s="881">
        <f t="shared" si="8"/>
        <v>-9.1484601243801023E-3</v>
      </c>
      <c r="AO57" s="882">
        <v>8299290.420223265</v>
      </c>
      <c r="AP57" s="588">
        <f t="shared" si="32"/>
        <v>-381502.2618483426</v>
      </c>
      <c r="AQ57" s="881">
        <f t="shared" si="9"/>
        <v>-4.3947860042350406E-2</v>
      </c>
      <c r="AR57" s="882">
        <v>7745409.9284892594</v>
      </c>
      <c r="AS57" s="588">
        <f t="shared" si="33"/>
        <v>-935382.75358234812</v>
      </c>
      <c r="AT57" s="881">
        <f t="shared" si="10"/>
        <v>-0.10775314972262716</v>
      </c>
      <c r="AU57" s="882">
        <v>8324440.3807905205</v>
      </c>
      <c r="AV57" s="588">
        <f t="shared" si="34"/>
        <v>-356352.3012810871</v>
      </c>
      <c r="AW57" s="881">
        <f t="shared" si="11"/>
        <v>-4.1050663727640851E-2</v>
      </c>
      <c r="AX57" s="882">
        <v>7786981.7185121523</v>
      </c>
      <c r="AY57" s="588">
        <f t="shared" si="35"/>
        <v>-893810.96355945524</v>
      </c>
      <c r="AZ57" s="881">
        <f>(AX57-$C57)/$C57</f>
        <v>-0.10296421033132584</v>
      </c>
      <c r="BA57" s="879">
        <v>8740875</v>
      </c>
      <c r="BB57" s="588">
        <f t="shared" si="36"/>
        <v>60082.31792839244</v>
      </c>
      <c r="BC57" s="881">
        <f>(BA57-$C57)/$C57</f>
        <v>6.9212939565392586E-3</v>
      </c>
      <c r="BD57" s="880">
        <v>8494401.660639748</v>
      </c>
      <c r="BE57" s="588">
        <f t="shared" si="37"/>
        <v>-186391.02143185958</v>
      </c>
      <c r="BF57" s="589">
        <f t="shared" si="38"/>
        <v>-2.1471659128182143E-2</v>
      </c>
      <c r="BG57" s="730">
        <v>8222868.0519637205</v>
      </c>
      <c r="BH57" s="588">
        <f t="shared" si="39"/>
        <v>-457924.63010788709</v>
      </c>
      <c r="BI57" s="589">
        <f t="shared" si="40"/>
        <v>-5.2751476377685673E-2</v>
      </c>
      <c r="BJ57" s="880">
        <v>7473986.8627275042</v>
      </c>
      <c r="BK57" s="588">
        <f t="shared" si="41"/>
        <v>-1206805.8193441033</v>
      </c>
      <c r="BL57" s="589">
        <f t="shared" si="14"/>
        <v>-0.13902023277626624</v>
      </c>
      <c r="BM57" s="880">
        <v>7343126.1988106966</v>
      </c>
      <c r="BN57" s="588">
        <f t="shared" si="42"/>
        <v>-1337666.483260911</v>
      </c>
      <c r="BO57" s="589">
        <f t="shared" si="15"/>
        <v>-0.15409496946328255</v>
      </c>
      <c r="BP57" s="880">
        <v>7473986.8627275042</v>
      </c>
      <c r="BQ57" s="588">
        <f t="shared" si="43"/>
        <v>-1206805.8193441033</v>
      </c>
      <c r="BR57" s="589">
        <f t="shared" si="16"/>
        <v>-0.13902023277626624</v>
      </c>
      <c r="BS57" s="723"/>
    </row>
    <row r="58" spans="1:71" ht="15">
      <c r="A58" s="477" t="s">
        <v>112</v>
      </c>
      <c r="B58" s="428" t="s">
        <v>113</v>
      </c>
      <c r="C58" s="588">
        <v>1036983.6780129499</v>
      </c>
      <c r="D58" s="876"/>
      <c r="E58" s="588">
        <v>1118644.2224844715</v>
      </c>
      <c r="F58" s="588">
        <f t="shared" si="17"/>
        <v>81660.544471521629</v>
      </c>
      <c r="G58" s="589">
        <f t="shared" si="0"/>
        <v>7.8748148310297555E-2</v>
      </c>
      <c r="H58" s="588">
        <v>1164871.3795634445</v>
      </c>
      <c r="I58" s="588">
        <f t="shared" si="18"/>
        <v>127887.70155049465</v>
      </c>
      <c r="J58" s="881">
        <f t="shared" si="19"/>
        <v>0.12332662920553469</v>
      </c>
      <c r="K58" s="588">
        <v>1077692.7506761474</v>
      </c>
      <c r="L58" s="588">
        <f t="shared" si="20"/>
        <v>40709.072663197527</v>
      </c>
      <c r="M58" s="881">
        <f t="shared" si="21"/>
        <v>3.9257197125034352E-2</v>
      </c>
      <c r="N58" s="877">
        <v>1073973.3042476883</v>
      </c>
      <c r="O58" s="588">
        <f t="shared" si="22"/>
        <v>36989.626234738389</v>
      </c>
      <c r="P58" s="589">
        <f t="shared" si="23"/>
        <v>3.5670403516492435E-2</v>
      </c>
      <c r="Q58" s="877">
        <v>1178712.5999999999</v>
      </c>
      <c r="R58" s="588">
        <f t="shared" si="24"/>
        <v>141728.92198704998</v>
      </c>
      <c r="S58" s="589">
        <f t="shared" si="1"/>
        <v>0.13667420711831113</v>
      </c>
      <c r="T58" s="877">
        <v>1000088.7433186232</v>
      </c>
      <c r="U58" s="588">
        <f t="shared" si="25"/>
        <v>-36894.934694326716</v>
      </c>
      <c r="V58" s="589">
        <f t="shared" si="2"/>
        <v>-3.5579089118378551E-2</v>
      </c>
      <c r="W58" s="683">
        <v>1012488.8975897188</v>
      </c>
      <c r="X58" s="588">
        <f t="shared" si="26"/>
        <v>-24494.780423231074</v>
      </c>
      <c r="Y58" s="589">
        <f t="shared" si="3"/>
        <v>-2.3621182225517325E-2</v>
      </c>
      <c r="Z58" s="683">
        <v>1024180.9484460567</v>
      </c>
      <c r="AA58" s="588">
        <f t="shared" si="27"/>
        <v>-12802.729566893191</v>
      </c>
      <c r="AB58" s="589">
        <f t="shared" si="4"/>
        <v>-1.2346124474616187E-2</v>
      </c>
      <c r="AC58" s="878">
        <v>1026900.1407035643</v>
      </c>
      <c r="AD58" s="588">
        <f t="shared" si="28"/>
        <v>-10083.537309385603</v>
      </c>
      <c r="AE58" s="881">
        <f t="shared" si="5"/>
        <v>-9.7239113046673036E-3</v>
      </c>
      <c r="AF58" s="683">
        <v>1040563.6814142871</v>
      </c>
      <c r="AG58" s="588">
        <f t="shared" si="29"/>
        <v>3580.0034013371915</v>
      </c>
      <c r="AH58" s="881">
        <f t="shared" si="6"/>
        <v>3.4523237706085516E-3</v>
      </c>
      <c r="AI58" s="882">
        <v>1011863.1068764888</v>
      </c>
      <c r="AJ58" s="588">
        <f t="shared" si="30"/>
        <v>-25120.571136461105</v>
      </c>
      <c r="AK58" s="881">
        <f t="shared" si="7"/>
        <v>-2.4224654321075435E-2</v>
      </c>
      <c r="AL58" s="882">
        <v>1021601.1719578863</v>
      </c>
      <c r="AM58" s="588">
        <f t="shared" si="31"/>
        <v>-15382.506055063568</v>
      </c>
      <c r="AN58" s="881">
        <f t="shared" si="8"/>
        <v>-1.483389409227661E-2</v>
      </c>
      <c r="AO58" s="882">
        <v>1030901.6007117127</v>
      </c>
      <c r="AP58" s="588">
        <f t="shared" si="32"/>
        <v>-6082.0773012371501</v>
      </c>
      <c r="AQ58" s="881">
        <f t="shared" si="9"/>
        <v>-5.8651620369681431E-3</v>
      </c>
      <c r="AR58" s="882">
        <v>998677.93903076556</v>
      </c>
      <c r="AS58" s="588">
        <f t="shared" si="33"/>
        <v>-38305.738982184324</v>
      </c>
      <c r="AT58" s="881">
        <f t="shared" si="10"/>
        <v>-3.693957754049236E-2</v>
      </c>
      <c r="AU58" s="882">
        <v>1037842.3424879794</v>
      </c>
      <c r="AV58" s="588">
        <f t="shared" si="34"/>
        <v>858.66447502956726</v>
      </c>
      <c r="AW58" s="881">
        <f t="shared" si="11"/>
        <v>8.2804049208848221E-4</v>
      </c>
      <c r="AX58" s="882">
        <v>1010660.6529591904</v>
      </c>
      <c r="AY58" s="588">
        <f t="shared" si="35"/>
        <v>-26323.025053759455</v>
      </c>
      <c r="AZ58" s="881">
        <f t="shared" si="12"/>
        <v>-2.5384223119306156E-2</v>
      </c>
      <c r="BA58" s="879">
        <v>1052617.1716874554</v>
      </c>
      <c r="BB58" s="588">
        <f t="shared" si="36"/>
        <v>15633.493674505502</v>
      </c>
      <c r="BC58" s="881">
        <f t="shared" ref="BC58:BC72" si="44">(BA58-$C58)/$C58</f>
        <v>1.507593032174058E-2</v>
      </c>
      <c r="BD58" s="880">
        <v>1057646.2972301962</v>
      </c>
      <c r="BE58" s="588">
        <f t="shared" si="37"/>
        <v>20662.619217246305</v>
      </c>
      <c r="BF58" s="589">
        <f t="shared" si="38"/>
        <v>1.992569377450536E-2</v>
      </c>
      <c r="BG58" s="730">
        <v>1082650.027637166</v>
      </c>
      <c r="BH58" s="588">
        <f t="shared" si="39"/>
        <v>45666.349624216091</v>
      </c>
      <c r="BI58" s="589">
        <f t="shared" si="40"/>
        <v>4.4037674451849772E-2</v>
      </c>
      <c r="BJ58" s="880">
        <v>1050989.4067481174</v>
      </c>
      <c r="BK58" s="588">
        <f t="shared" si="41"/>
        <v>14005.728735167533</v>
      </c>
      <c r="BL58" s="589">
        <f t="shared" si="14"/>
        <v>1.3506219077628171E-2</v>
      </c>
      <c r="BM58" s="880">
        <v>1047607.399494686</v>
      </c>
      <c r="BN58" s="588">
        <f t="shared" si="42"/>
        <v>10623.721481736167</v>
      </c>
      <c r="BO58" s="589">
        <f t="shared" si="15"/>
        <v>1.0244829988156765E-2</v>
      </c>
      <c r="BP58" s="880">
        <v>1050989.4067481172</v>
      </c>
      <c r="BQ58" s="588">
        <f t="shared" si="43"/>
        <v>14005.7287351673</v>
      </c>
      <c r="BR58" s="589">
        <f t="shared" si="16"/>
        <v>1.3506219077627947E-2</v>
      </c>
      <c r="BS58" s="723"/>
    </row>
    <row r="59" spans="1:71" ht="15">
      <c r="A59" s="477" t="s">
        <v>112</v>
      </c>
      <c r="B59" s="428" t="s">
        <v>114</v>
      </c>
      <c r="C59" s="588">
        <v>18779006.748223707</v>
      </c>
      <c r="D59" s="876"/>
      <c r="E59" s="588">
        <v>21152404.328609072</v>
      </c>
      <c r="F59" s="588">
        <f t="shared" si="17"/>
        <v>2373397.5803853646</v>
      </c>
      <c r="G59" s="589">
        <f t="shared" si="0"/>
        <v>0.12638568227842309</v>
      </c>
      <c r="H59" s="588">
        <v>22459513.270621307</v>
      </c>
      <c r="I59" s="588">
        <f t="shared" si="18"/>
        <v>3680506.5223976001</v>
      </c>
      <c r="J59" s="589">
        <f t="shared" si="19"/>
        <v>0.19599047871611935</v>
      </c>
      <c r="K59" s="588">
        <v>19291822.357041877</v>
      </c>
      <c r="L59" s="588">
        <f t="shared" si="20"/>
        <v>512815.60881816968</v>
      </c>
      <c r="M59" s="589">
        <f t="shared" si="21"/>
        <v>2.7307919726195132E-2</v>
      </c>
      <c r="N59" s="877">
        <v>19888860.259958345</v>
      </c>
      <c r="O59" s="588">
        <f t="shared" si="22"/>
        <v>1109853.5117346384</v>
      </c>
      <c r="P59" s="589">
        <f t="shared" si="23"/>
        <v>5.9100756851243934E-2</v>
      </c>
      <c r="Q59" s="877">
        <v>22398594.745574128</v>
      </c>
      <c r="R59" s="588">
        <f t="shared" si="24"/>
        <v>3619587.9973504208</v>
      </c>
      <c r="S59" s="589">
        <f t="shared" si="1"/>
        <v>0.19274650922061121</v>
      </c>
      <c r="T59" s="877">
        <v>19383091.8718228</v>
      </c>
      <c r="U59" s="588">
        <f t="shared" si="25"/>
        <v>604085.12359909341</v>
      </c>
      <c r="V59" s="589">
        <f t="shared" si="2"/>
        <v>3.2168108340247199E-2</v>
      </c>
      <c r="W59" s="683">
        <v>18638956.111900929</v>
      </c>
      <c r="X59" s="588">
        <f t="shared" si="26"/>
        <v>-140050.63632277772</v>
      </c>
      <c r="Y59" s="589">
        <f t="shared" si="3"/>
        <v>-7.4578298096636556E-3</v>
      </c>
      <c r="Z59" s="683">
        <v>18642268.427366141</v>
      </c>
      <c r="AA59" s="588">
        <f t="shared" si="27"/>
        <v>-136738.32085756585</v>
      </c>
      <c r="AB59" s="589">
        <f t="shared" si="4"/>
        <v>-7.2814458555162847E-3</v>
      </c>
      <c r="AC59" s="878">
        <v>18883186.879708908</v>
      </c>
      <c r="AD59" s="588">
        <f t="shared" si="28"/>
        <v>104180.13148520142</v>
      </c>
      <c r="AE59" s="881">
        <f t="shared" si="5"/>
        <v>5.5476912534288183E-3</v>
      </c>
      <c r="AF59" s="683">
        <v>19072781.133602343</v>
      </c>
      <c r="AG59" s="588">
        <f t="shared" si="29"/>
        <v>293774.38537863642</v>
      </c>
      <c r="AH59" s="881">
        <f t="shared" si="6"/>
        <v>1.564376589866364E-2</v>
      </c>
      <c r="AI59" s="882">
        <v>18835285.398055714</v>
      </c>
      <c r="AJ59" s="588">
        <f t="shared" si="30"/>
        <v>56278.649832006544</v>
      </c>
      <c r="AK59" s="881">
        <f t="shared" si="7"/>
        <v>2.9968917199164383E-3</v>
      </c>
      <c r="AL59" s="882">
        <v>19249266.149251759</v>
      </c>
      <c r="AM59" s="588">
        <f t="shared" si="31"/>
        <v>470259.40102805197</v>
      </c>
      <c r="AN59" s="881">
        <f t="shared" si="8"/>
        <v>2.5041761118304806E-2</v>
      </c>
      <c r="AO59" s="882">
        <v>19105090.70783953</v>
      </c>
      <c r="AP59" s="588">
        <f t="shared" si="32"/>
        <v>326083.95961582288</v>
      </c>
      <c r="AQ59" s="881">
        <f t="shared" si="9"/>
        <v>1.7364281507948599E-2</v>
      </c>
      <c r="AR59" s="882">
        <v>19737660.47053704</v>
      </c>
      <c r="AS59" s="588">
        <f t="shared" si="33"/>
        <v>958653.7223133333</v>
      </c>
      <c r="AT59" s="881">
        <f t="shared" si="10"/>
        <v>5.1049224017346483E-2</v>
      </c>
      <c r="AU59" s="882">
        <v>19274264.515309125</v>
      </c>
      <c r="AV59" s="588">
        <f t="shared" si="34"/>
        <v>495257.76708541811</v>
      </c>
      <c r="AW59" s="881">
        <f t="shared" si="11"/>
        <v>2.6372947926666258E-2</v>
      </c>
      <c r="AX59" s="882">
        <v>20050244.111640405</v>
      </c>
      <c r="AY59" s="588">
        <f t="shared" si="35"/>
        <v>1271237.3634166978</v>
      </c>
      <c r="AZ59" s="881">
        <f t="shared" si="12"/>
        <v>6.7694600702827012E-2</v>
      </c>
      <c r="BA59" s="879">
        <v>19062117.745471422</v>
      </c>
      <c r="BB59" s="588">
        <f t="shared" si="36"/>
        <v>283110.99724771455</v>
      </c>
      <c r="BC59" s="881">
        <f t="shared" si="44"/>
        <v>1.5075930321740462E-2</v>
      </c>
      <c r="BD59" s="880">
        <v>19076314.633441482</v>
      </c>
      <c r="BE59" s="588">
        <f t="shared" si="37"/>
        <v>297307.88521777466</v>
      </c>
      <c r="BF59" s="589">
        <f t="shared" si="38"/>
        <v>1.5831928131443736E-2</v>
      </c>
      <c r="BG59" s="730">
        <v>19677486.293526899</v>
      </c>
      <c r="BH59" s="588">
        <f t="shared" si="39"/>
        <v>898479.54530319199</v>
      </c>
      <c r="BI59" s="589">
        <f t="shared" si="40"/>
        <v>4.7844891763946913E-2</v>
      </c>
      <c r="BJ59" s="880">
        <v>20652349.894985009</v>
      </c>
      <c r="BK59" s="588">
        <f t="shared" si="41"/>
        <v>1873343.1467613019</v>
      </c>
      <c r="BL59" s="589">
        <f t="shared" si="14"/>
        <v>9.9757307288816016E-2</v>
      </c>
      <c r="BM59" s="880">
        <v>21327319.086381797</v>
      </c>
      <c r="BN59" s="588">
        <f t="shared" si="42"/>
        <v>2548312.3381580897</v>
      </c>
      <c r="BO59" s="589">
        <f t="shared" si="15"/>
        <v>0.1357000597701544</v>
      </c>
      <c r="BP59" s="880">
        <v>20652349.894985009</v>
      </c>
      <c r="BQ59" s="588">
        <f t="shared" si="43"/>
        <v>1873343.1467613019</v>
      </c>
      <c r="BR59" s="589">
        <f t="shared" si="16"/>
        <v>9.9757307288816016E-2</v>
      </c>
      <c r="BS59" s="723"/>
    </row>
    <row r="60" spans="1:71" ht="15">
      <c r="A60" s="477" t="s">
        <v>115</v>
      </c>
      <c r="B60" s="428" t="s">
        <v>116</v>
      </c>
      <c r="C60" s="588">
        <v>3842698.1999999997</v>
      </c>
      <c r="D60" s="876"/>
      <c r="E60" s="588">
        <v>3842698.1999999997</v>
      </c>
      <c r="F60" s="588">
        <f t="shared" si="17"/>
        <v>0</v>
      </c>
      <c r="G60" s="589">
        <f t="shared" si="0"/>
        <v>0</v>
      </c>
      <c r="H60" s="588">
        <v>3842698.1999999997</v>
      </c>
      <c r="I60" s="588">
        <f t="shared" si="18"/>
        <v>0</v>
      </c>
      <c r="J60" s="589">
        <f t="shared" si="19"/>
        <v>0</v>
      </c>
      <c r="K60" s="588">
        <v>3842698.1999999997</v>
      </c>
      <c r="L60" s="588">
        <f t="shared" si="20"/>
        <v>0</v>
      </c>
      <c r="M60" s="589">
        <f t="shared" si="21"/>
        <v>0</v>
      </c>
      <c r="N60" s="877">
        <v>3842698.1999999997</v>
      </c>
      <c r="O60" s="588">
        <f t="shared" si="22"/>
        <v>0</v>
      </c>
      <c r="P60" s="589">
        <f t="shared" si="23"/>
        <v>0</v>
      </c>
      <c r="Q60" s="877">
        <v>3842698.1999999997</v>
      </c>
      <c r="R60" s="588">
        <f t="shared" si="24"/>
        <v>0</v>
      </c>
      <c r="S60" s="589">
        <f t="shared" si="1"/>
        <v>0</v>
      </c>
      <c r="T60" s="877">
        <v>3842698.1999999997</v>
      </c>
      <c r="U60" s="588">
        <f t="shared" si="25"/>
        <v>0</v>
      </c>
      <c r="V60" s="589">
        <f t="shared" si="2"/>
        <v>0</v>
      </c>
      <c r="W60" s="683">
        <v>3842698.1999999997</v>
      </c>
      <c r="X60" s="588">
        <f t="shared" si="26"/>
        <v>0</v>
      </c>
      <c r="Y60" s="589">
        <f t="shared" si="3"/>
        <v>0</v>
      </c>
      <c r="Z60" s="683">
        <v>3842698.1999999997</v>
      </c>
      <c r="AA60" s="588">
        <f t="shared" si="27"/>
        <v>0</v>
      </c>
      <c r="AB60" s="589">
        <f t="shared" si="4"/>
        <v>0</v>
      </c>
      <c r="AC60" s="878">
        <v>3842698.1999999997</v>
      </c>
      <c r="AD60" s="588">
        <f t="shared" si="28"/>
        <v>0</v>
      </c>
      <c r="AE60" s="589">
        <f t="shared" si="5"/>
        <v>0</v>
      </c>
      <c r="AF60" s="683">
        <v>3842698.1999999997</v>
      </c>
      <c r="AG60" s="588">
        <f t="shared" si="29"/>
        <v>0</v>
      </c>
      <c r="AH60" s="589">
        <f t="shared" si="6"/>
        <v>0</v>
      </c>
      <c r="AI60" s="683">
        <v>3842698.1999999997</v>
      </c>
      <c r="AJ60" s="588">
        <f t="shared" si="30"/>
        <v>0</v>
      </c>
      <c r="AK60" s="589">
        <f t="shared" si="7"/>
        <v>0</v>
      </c>
      <c r="AL60" s="683">
        <v>3842698.1999999997</v>
      </c>
      <c r="AM60" s="588">
        <f t="shared" si="31"/>
        <v>0</v>
      </c>
      <c r="AN60" s="589">
        <f t="shared" si="8"/>
        <v>0</v>
      </c>
      <c r="AO60" s="683">
        <v>5093479.9531490235</v>
      </c>
      <c r="AP60" s="588">
        <f t="shared" si="32"/>
        <v>1250781.7531490237</v>
      </c>
      <c r="AQ60" s="589">
        <f t="shared" si="9"/>
        <v>0.32549570329229183</v>
      </c>
      <c r="AR60" s="683">
        <v>4654457.0715820724</v>
      </c>
      <c r="AS60" s="588">
        <f t="shared" si="33"/>
        <v>811758.87158207269</v>
      </c>
      <c r="AT60" s="589">
        <f t="shared" si="10"/>
        <v>0.21124710537561153</v>
      </c>
      <c r="AU60" s="683">
        <v>4483147.8999999994</v>
      </c>
      <c r="AV60" s="588">
        <f t="shared" si="34"/>
        <v>640449.69999999972</v>
      </c>
      <c r="AW60" s="589">
        <f t="shared" si="11"/>
        <v>0.1666666666666666</v>
      </c>
      <c r="AX60" s="683">
        <v>3842698.1999999997</v>
      </c>
      <c r="AY60" s="588">
        <f t="shared" si="35"/>
        <v>0</v>
      </c>
      <c r="AZ60" s="589">
        <f t="shared" si="12"/>
        <v>0</v>
      </c>
      <c r="BA60" s="879">
        <v>3842698.1999999997</v>
      </c>
      <c r="BB60" s="588">
        <f t="shared" si="36"/>
        <v>0</v>
      </c>
      <c r="BC60" s="589">
        <f t="shared" si="44"/>
        <v>0</v>
      </c>
      <c r="BD60" s="880">
        <v>3842698.1999999997</v>
      </c>
      <c r="BE60" s="588">
        <f t="shared" si="37"/>
        <v>0</v>
      </c>
      <c r="BF60" s="589">
        <f t="shared" si="38"/>
        <v>0</v>
      </c>
      <c r="BG60" s="730">
        <v>3842698.1999999997</v>
      </c>
      <c r="BH60" s="588">
        <f t="shared" si="39"/>
        <v>0</v>
      </c>
      <c r="BI60" s="589">
        <f t="shared" si="40"/>
        <v>0</v>
      </c>
      <c r="BJ60" s="880">
        <v>3842698.1999999997</v>
      </c>
      <c r="BK60" s="588">
        <f t="shared" si="41"/>
        <v>0</v>
      </c>
      <c r="BL60" s="589">
        <f t="shared" si="14"/>
        <v>0</v>
      </c>
      <c r="BM60" s="880">
        <v>3842698.1999999997</v>
      </c>
      <c r="BN60" s="588">
        <f t="shared" si="42"/>
        <v>0</v>
      </c>
      <c r="BO60" s="589">
        <f t="shared" si="15"/>
        <v>0</v>
      </c>
      <c r="BP60" s="880">
        <v>3842698.1999999997</v>
      </c>
      <c r="BQ60" s="588">
        <f t="shared" si="43"/>
        <v>0</v>
      </c>
      <c r="BR60" s="589">
        <f t="shared" si="16"/>
        <v>0</v>
      </c>
      <c r="BS60" s="723"/>
    </row>
    <row r="61" spans="1:71" ht="15">
      <c r="A61" s="477" t="s">
        <v>115</v>
      </c>
      <c r="B61" s="428" t="s">
        <v>117</v>
      </c>
      <c r="C61" s="588">
        <v>471126.30704332248</v>
      </c>
      <c r="D61" s="876"/>
      <c r="E61" s="588">
        <v>412501.16234894173</v>
      </c>
      <c r="F61" s="588">
        <f t="shared" si="17"/>
        <v>-58625.144694380753</v>
      </c>
      <c r="G61" s="589">
        <f t="shared" si="0"/>
        <v>-0.12443615187251658</v>
      </c>
      <c r="H61" s="588">
        <v>383197.25573276822</v>
      </c>
      <c r="I61" s="588">
        <f t="shared" si="18"/>
        <v>-87929.051310554263</v>
      </c>
      <c r="J61" s="589">
        <f t="shared" si="19"/>
        <v>-0.18663583416170546</v>
      </c>
      <c r="K61" s="588">
        <v>480060.24416307156</v>
      </c>
      <c r="L61" s="588">
        <f t="shared" si="20"/>
        <v>8933.9371197490836</v>
      </c>
      <c r="M61" s="589">
        <f t="shared" si="21"/>
        <v>1.8962934113818362E-2</v>
      </c>
      <c r="N61" s="877">
        <v>440854.76108147006</v>
      </c>
      <c r="O61" s="588">
        <f t="shared" si="22"/>
        <v>-30271.545961852418</v>
      </c>
      <c r="P61" s="589">
        <f t="shared" si="23"/>
        <v>-6.4253567481360782E-2</v>
      </c>
      <c r="Q61" s="877">
        <v>433313.81485572609</v>
      </c>
      <c r="R61" s="588">
        <f t="shared" si="24"/>
        <v>-37812.492187596392</v>
      </c>
      <c r="S61" s="589">
        <f t="shared" si="1"/>
        <v>-8.0259776671989871E-2</v>
      </c>
      <c r="T61" s="877">
        <v>570449.88898723002</v>
      </c>
      <c r="U61" s="588">
        <f t="shared" si="25"/>
        <v>99323.581943907542</v>
      </c>
      <c r="V61" s="589">
        <f t="shared" si="2"/>
        <v>0.21082155774157232</v>
      </c>
      <c r="W61" s="683">
        <v>460385.01495495555</v>
      </c>
      <c r="X61" s="588">
        <f t="shared" si="26"/>
        <v>-10741.292088366929</v>
      </c>
      <c r="Y61" s="589">
        <f t="shared" si="3"/>
        <v>-2.279917705249096E-2</v>
      </c>
      <c r="Z61" s="683">
        <v>477962.39605432859</v>
      </c>
      <c r="AA61" s="588">
        <f t="shared" si="27"/>
        <v>6836.0890110061155</v>
      </c>
      <c r="AB61" s="589">
        <f t="shared" si="4"/>
        <v>1.4510098266233097E-2</v>
      </c>
      <c r="AC61" s="878">
        <v>463841.87972730066</v>
      </c>
      <c r="AD61" s="588">
        <f t="shared" si="28"/>
        <v>-7284.4273160218145</v>
      </c>
      <c r="AE61" s="589">
        <f t="shared" si="5"/>
        <v>-1.5461729067385689E-2</v>
      </c>
      <c r="AF61" s="683">
        <v>463793.87439982785</v>
      </c>
      <c r="AG61" s="588">
        <f t="shared" si="29"/>
        <v>-7332.432643494627</v>
      </c>
      <c r="AH61" s="589">
        <f t="shared" si="6"/>
        <v>-1.5563623881483597E-2</v>
      </c>
      <c r="AI61" s="683">
        <v>494107.61694566387</v>
      </c>
      <c r="AJ61" s="588">
        <f t="shared" si="30"/>
        <v>22981.309902341396</v>
      </c>
      <c r="AK61" s="589">
        <f t="shared" si="7"/>
        <v>4.8779508931621064E-2</v>
      </c>
      <c r="AL61" s="683">
        <v>451922.81676049967</v>
      </c>
      <c r="AM61" s="588">
        <f t="shared" si="31"/>
        <v>-19203.490282822808</v>
      </c>
      <c r="AN61" s="589">
        <f t="shared" si="8"/>
        <v>-4.0760810839325402E-2</v>
      </c>
      <c r="AO61" s="683">
        <v>444612.90473711671</v>
      </c>
      <c r="AP61" s="588">
        <f t="shared" si="32"/>
        <v>-26513.402306205768</v>
      </c>
      <c r="AQ61" s="589">
        <f t="shared" si="9"/>
        <v>-5.6276633059609053E-2</v>
      </c>
      <c r="AR61" s="683">
        <v>545253.12157179951</v>
      </c>
      <c r="AS61" s="588">
        <f t="shared" si="33"/>
        <v>74126.814528477029</v>
      </c>
      <c r="AT61" s="589">
        <f t="shared" si="10"/>
        <v>0.15733957841089244</v>
      </c>
      <c r="AU61" s="683">
        <v>445398.8796612696</v>
      </c>
      <c r="AV61" s="588">
        <f t="shared" si="34"/>
        <v>-25727.427382052876</v>
      </c>
      <c r="AW61" s="589">
        <f t="shared" si="11"/>
        <v>-5.4608343871757316E-2</v>
      </c>
      <c r="AX61" s="683">
        <v>546956.73682885244</v>
      </c>
      <c r="AY61" s="588">
        <f t="shared" si="35"/>
        <v>75830.429785529966</v>
      </c>
      <c r="AZ61" s="589">
        <f t="shared" si="12"/>
        <v>0.16095562623412785</v>
      </c>
      <c r="BA61" s="879">
        <v>478228.97442104662</v>
      </c>
      <c r="BB61" s="588">
        <f t="shared" si="36"/>
        <v>7102.6673777241376</v>
      </c>
      <c r="BC61" s="589">
        <f t="shared" si="44"/>
        <v>1.5075930321740686E-2</v>
      </c>
      <c r="BD61" s="880">
        <v>488088.2003379892</v>
      </c>
      <c r="BE61" s="588">
        <f t="shared" si="37"/>
        <v>16961.893294666719</v>
      </c>
      <c r="BF61" s="589">
        <f t="shared" si="38"/>
        <v>3.600285749508568E-2</v>
      </c>
      <c r="BG61" s="730">
        <v>470744.02093217318</v>
      </c>
      <c r="BH61" s="588">
        <f t="shared" si="39"/>
        <v>-382.28611114929663</v>
      </c>
      <c r="BI61" s="589">
        <f t="shared" si="40"/>
        <v>-8.114301949055531E-4</v>
      </c>
      <c r="BJ61" s="880">
        <v>555030.26484369556</v>
      </c>
      <c r="BK61" s="588">
        <f t="shared" si="41"/>
        <v>83903.957800373086</v>
      </c>
      <c r="BL61" s="589">
        <f t="shared" si="14"/>
        <v>0.17809227917442039</v>
      </c>
      <c r="BM61" s="880">
        <v>508057.39312999719</v>
      </c>
      <c r="BN61" s="588">
        <f t="shared" si="42"/>
        <v>36931.08608667471</v>
      </c>
      <c r="BO61" s="589">
        <f t="shared" si="15"/>
        <v>7.8388927840700492E-2</v>
      </c>
      <c r="BP61" s="880">
        <v>555030.26484369556</v>
      </c>
      <c r="BQ61" s="588">
        <f t="shared" si="43"/>
        <v>83903.957800373086</v>
      </c>
      <c r="BR61" s="589">
        <f t="shared" si="16"/>
        <v>0.17809227917442039</v>
      </c>
      <c r="BS61" s="723"/>
    </row>
    <row r="62" spans="1:71" ht="15">
      <c r="A62" s="477" t="s">
        <v>115</v>
      </c>
      <c r="B62" s="428" t="s">
        <v>118</v>
      </c>
      <c r="C62" s="588">
        <v>3193342.7257590448</v>
      </c>
      <c r="D62" s="876"/>
      <c r="E62" s="588">
        <v>3308705.7422151244</v>
      </c>
      <c r="F62" s="588">
        <f t="shared" si="17"/>
        <v>115363.01645607967</v>
      </c>
      <c r="G62" s="589">
        <f t="shared" si="0"/>
        <v>3.6126099314522632E-2</v>
      </c>
      <c r="H62" s="588">
        <v>3379546.6505880267</v>
      </c>
      <c r="I62" s="588">
        <f t="shared" si="18"/>
        <v>186203.92482898198</v>
      </c>
      <c r="J62" s="589">
        <f t="shared" si="19"/>
        <v>5.8310034600098259E-2</v>
      </c>
      <c r="K62" s="588">
        <v>3315026.4300007364</v>
      </c>
      <c r="L62" s="588">
        <f t="shared" si="20"/>
        <v>121683.70424169162</v>
      </c>
      <c r="M62" s="589">
        <f t="shared" si="21"/>
        <v>3.8105432047782439E-2</v>
      </c>
      <c r="N62" s="877">
        <v>3240310.1270577949</v>
      </c>
      <c r="O62" s="588">
        <f t="shared" si="22"/>
        <v>46967.401298750192</v>
      </c>
      <c r="P62" s="589">
        <f t="shared" si="23"/>
        <v>1.4707911217887278E-2</v>
      </c>
      <c r="Q62" s="877">
        <v>3586802.1086765057</v>
      </c>
      <c r="R62" s="588">
        <f t="shared" si="24"/>
        <v>393459.38291746099</v>
      </c>
      <c r="S62" s="589">
        <f t="shared" si="1"/>
        <v>0.12321238799193947</v>
      </c>
      <c r="T62" s="877">
        <v>3458879.2262356249</v>
      </c>
      <c r="U62" s="588">
        <f t="shared" si="25"/>
        <v>265536.50047658011</v>
      </c>
      <c r="V62" s="589">
        <f t="shared" si="2"/>
        <v>8.3153148058501353E-2</v>
      </c>
      <c r="W62" s="683">
        <v>3129623.6067286595</v>
      </c>
      <c r="X62" s="588">
        <f t="shared" si="26"/>
        <v>-63719.119030385278</v>
      </c>
      <c r="Y62" s="589">
        <f t="shared" si="3"/>
        <v>-1.9953736414320983E-2</v>
      </c>
      <c r="Z62" s="683">
        <v>3189628.376691726</v>
      </c>
      <c r="AA62" s="588">
        <f t="shared" si="27"/>
        <v>-3714.3490673187189</v>
      </c>
      <c r="AB62" s="589">
        <f t="shared" si="4"/>
        <v>-1.1631539068315423E-3</v>
      </c>
      <c r="AC62" s="878">
        <v>3186195.2590342727</v>
      </c>
      <c r="AD62" s="588">
        <f t="shared" si="28"/>
        <v>-7147.4667247720063</v>
      </c>
      <c r="AE62" s="589">
        <f t="shared" si="5"/>
        <v>-2.2382397815045307E-3</v>
      </c>
      <c r="AF62" s="683">
        <v>3194560.3796968129</v>
      </c>
      <c r="AG62" s="588">
        <f t="shared" si="29"/>
        <v>1217.6539377681911</v>
      </c>
      <c r="AH62" s="589">
        <f t="shared" si="6"/>
        <v>3.8131013246589735E-4</v>
      </c>
      <c r="AI62" s="683">
        <v>3240147.3750645542</v>
      </c>
      <c r="AJ62" s="588">
        <f t="shared" si="30"/>
        <v>46804.649305509403</v>
      </c>
      <c r="AK62" s="589">
        <f t="shared" si="7"/>
        <v>1.4656945190367603E-2</v>
      </c>
      <c r="AL62" s="683">
        <v>3188846.8507126891</v>
      </c>
      <c r="AM62" s="588">
        <f t="shared" si="31"/>
        <v>-4495.8750463556498</v>
      </c>
      <c r="AN62" s="589">
        <f t="shared" si="8"/>
        <v>-1.4078899236495193E-3</v>
      </c>
      <c r="AO62" s="683">
        <v>3129923.7242745091</v>
      </c>
      <c r="AP62" s="588">
        <f t="shared" si="32"/>
        <v>-63419.001484535635</v>
      </c>
      <c r="AQ62" s="589">
        <f t="shared" si="9"/>
        <v>-1.9859754160731744E-2</v>
      </c>
      <c r="AR62" s="683">
        <v>3412941.9325511437</v>
      </c>
      <c r="AS62" s="588">
        <f t="shared" si="33"/>
        <v>219599.20679209894</v>
      </c>
      <c r="AT62" s="589">
        <f t="shared" si="10"/>
        <v>6.8767816564349854E-2</v>
      </c>
      <c r="AU62" s="683">
        <v>3146842.8521387251</v>
      </c>
      <c r="AV62" s="588">
        <f t="shared" si="34"/>
        <v>-46499.873620319646</v>
      </c>
      <c r="AW62" s="589">
        <f t="shared" si="11"/>
        <v>-1.4561504233551008E-2</v>
      </c>
      <c r="AX62" s="683">
        <v>3445747.7243677303</v>
      </c>
      <c r="AY62" s="588">
        <f t="shared" si="35"/>
        <v>252404.99860868556</v>
      </c>
      <c r="AZ62" s="589">
        <f t="shared" si="12"/>
        <v>7.9040998816902713E-2</v>
      </c>
      <c r="BA62" s="879">
        <v>3241485.3381860256</v>
      </c>
      <c r="BB62" s="588">
        <f t="shared" si="36"/>
        <v>48142.612426980864</v>
      </c>
      <c r="BC62" s="589">
        <f t="shared" si="44"/>
        <v>1.5075930321740694E-2</v>
      </c>
      <c r="BD62" s="880">
        <v>3300857.2150868857</v>
      </c>
      <c r="BE62" s="588">
        <f t="shared" si="37"/>
        <v>107514.48932784097</v>
      </c>
      <c r="BF62" s="589">
        <f t="shared" si="38"/>
        <v>3.366832143026089E-2</v>
      </c>
      <c r="BG62" s="730">
        <v>3317427.5518809902</v>
      </c>
      <c r="BH62" s="588">
        <f t="shared" si="39"/>
        <v>124084.8261219454</v>
      </c>
      <c r="BI62" s="589">
        <f t="shared" si="40"/>
        <v>3.8857346917703907E-2</v>
      </c>
      <c r="BJ62" s="880">
        <v>3574908.8032854749</v>
      </c>
      <c r="BK62" s="588">
        <f t="shared" si="41"/>
        <v>381566.07752643013</v>
      </c>
      <c r="BL62" s="589">
        <f t="shared" si="14"/>
        <v>0.11948798180932284</v>
      </c>
      <c r="BM62" s="880">
        <v>3492269.0534344548</v>
      </c>
      <c r="BN62" s="588">
        <f t="shared" si="42"/>
        <v>298926.32767541008</v>
      </c>
      <c r="BO62" s="589">
        <f t="shared" si="15"/>
        <v>9.3609221855244645E-2</v>
      </c>
      <c r="BP62" s="880">
        <v>3574908.8032854749</v>
      </c>
      <c r="BQ62" s="588">
        <f t="shared" si="43"/>
        <v>381566.07752643013</v>
      </c>
      <c r="BR62" s="589">
        <f t="shared" si="16"/>
        <v>0.11948798180932284</v>
      </c>
      <c r="BS62" s="723"/>
    </row>
    <row r="63" spans="1:71" ht="15">
      <c r="A63" s="477" t="s">
        <v>115</v>
      </c>
      <c r="B63" s="428" t="s">
        <v>119</v>
      </c>
      <c r="C63" s="588">
        <v>182624.43473776325</v>
      </c>
      <c r="D63" s="876"/>
      <c r="E63" s="588">
        <v>169120.20964316133</v>
      </c>
      <c r="F63" s="588">
        <f t="shared" si="17"/>
        <v>-13504.225094601919</v>
      </c>
      <c r="G63" s="589">
        <f t="shared" si="0"/>
        <v>-7.3945335485873523E-2</v>
      </c>
      <c r="H63" s="588">
        <v>162602.31789706467</v>
      </c>
      <c r="I63" s="588">
        <f t="shared" si="18"/>
        <v>-20022.116840698582</v>
      </c>
      <c r="J63" s="589">
        <f t="shared" si="19"/>
        <v>-0.10963547604924298</v>
      </c>
      <c r="K63" s="588">
        <v>207809.72198555779</v>
      </c>
      <c r="L63" s="588">
        <f t="shared" si="20"/>
        <v>25185.287247794535</v>
      </c>
      <c r="M63" s="589">
        <f t="shared" si="21"/>
        <v>0.13790754388348395</v>
      </c>
      <c r="N63" s="877">
        <v>175426.34250962664</v>
      </c>
      <c r="O63" s="588">
        <f t="shared" si="22"/>
        <v>-7198.0922281366074</v>
      </c>
      <c r="P63" s="589">
        <f t="shared" si="23"/>
        <v>-3.9414726942057873E-2</v>
      </c>
      <c r="Q63" s="877">
        <v>222604.31208913523</v>
      </c>
      <c r="R63" s="588">
        <f t="shared" si="24"/>
        <v>39979.877351371979</v>
      </c>
      <c r="S63" s="589">
        <f t="shared" si="1"/>
        <v>0.21891855495011098</v>
      </c>
      <c r="T63" s="877">
        <v>200081.74639579654</v>
      </c>
      <c r="U63" s="588">
        <f t="shared" si="25"/>
        <v>17457.311658033286</v>
      </c>
      <c r="V63" s="589">
        <f t="shared" si="2"/>
        <v>9.5591324803281905E-2</v>
      </c>
      <c r="W63" s="683">
        <v>178230.21753491578</v>
      </c>
      <c r="X63" s="588">
        <f t="shared" si="26"/>
        <v>-4394.2172028474743</v>
      </c>
      <c r="Y63" s="589">
        <f t="shared" si="3"/>
        <v>-2.4061496530610939E-2</v>
      </c>
      <c r="Z63" s="683">
        <v>181296.20452100219</v>
      </c>
      <c r="AA63" s="588">
        <f t="shared" si="27"/>
        <v>-1328.2302167610615</v>
      </c>
      <c r="AB63" s="589">
        <f t="shared" si="4"/>
        <v>-7.2730148003924732E-3</v>
      </c>
      <c r="AC63" s="878">
        <v>178656.07774710126</v>
      </c>
      <c r="AD63" s="588">
        <f t="shared" si="28"/>
        <v>-3968.356990661996</v>
      </c>
      <c r="AE63" s="589">
        <f t="shared" si="5"/>
        <v>-2.1729605878645412E-2</v>
      </c>
      <c r="AF63" s="683">
        <v>179569.62978342685</v>
      </c>
      <c r="AG63" s="588">
        <f t="shared" si="29"/>
        <v>-3054.8049543364032</v>
      </c>
      <c r="AH63" s="589">
        <f t="shared" si="6"/>
        <v>-1.6727252071842977E-2</v>
      </c>
      <c r="AI63" s="683">
        <v>183479.83681746462</v>
      </c>
      <c r="AJ63" s="588">
        <f t="shared" si="30"/>
        <v>855.40207970136544</v>
      </c>
      <c r="AK63" s="589">
        <f t="shared" si="7"/>
        <v>4.6839410122181454E-3</v>
      </c>
      <c r="AL63" s="683">
        <v>172190.29346279867</v>
      </c>
      <c r="AM63" s="588">
        <f t="shared" si="31"/>
        <v>-10434.141274964582</v>
      </c>
      <c r="AN63" s="589">
        <f t="shared" si="8"/>
        <v>-5.7134420648295652E-2</v>
      </c>
      <c r="AO63" s="683">
        <v>172214.57799439342</v>
      </c>
      <c r="AP63" s="588">
        <f t="shared" si="32"/>
        <v>-10409.856743369834</v>
      </c>
      <c r="AQ63" s="589">
        <f t="shared" si="9"/>
        <v>-5.7001445388826018E-2</v>
      </c>
      <c r="AR63" s="683">
        <v>191121.12882984593</v>
      </c>
      <c r="AS63" s="588">
        <f t="shared" si="33"/>
        <v>8496.6940920826746</v>
      </c>
      <c r="AT63" s="589">
        <f t="shared" si="10"/>
        <v>4.6525505222142764E-2</v>
      </c>
      <c r="AU63" s="683">
        <v>172506.05414607868</v>
      </c>
      <c r="AV63" s="588">
        <f t="shared" si="34"/>
        <v>-10118.380591684574</v>
      </c>
      <c r="AW63" s="589">
        <f t="shared" si="11"/>
        <v>-5.5405404026103666E-2</v>
      </c>
      <c r="AX63" s="683">
        <v>191692.78421289273</v>
      </c>
      <c r="AY63" s="588">
        <f t="shared" si="35"/>
        <v>9068.3494751294784</v>
      </c>
      <c r="AZ63" s="589">
        <f t="shared" si="12"/>
        <v>4.9655729191720899E-2</v>
      </c>
      <c r="BA63" s="879">
        <v>185377.66799091705</v>
      </c>
      <c r="BB63" s="588">
        <f t="shared" si="36"/>
        <v>2753.2332531537977</v>
      </c>
      <c r="BC63" s="589">
        <f t="shared" si="44"/>
        <v>1.5075930321740684E-2</v>
      </c>
      <c r="BD63" s="880">
        <v>203604.55292240935</v>
      </c>
      <c r="BE63" s="588">
        <f t="shared" si="37"/>
        <v>20980.118184646097</v>
      </c>
      <c r="BF63" s="589">
        <f t="shared" si="38"/>
        <v>0.11488122175311412</v>
      </c>
      <c r="BG63" s="730">
        <v>203471.52140514198</v>
      </c>
      <c r="BH63" s="588">
        <f>BG63-$C63</f>
        <v>20847.086667378724</v>
      </c>
      <c r="BI63" s="589">
        <f t="shared" si="40"/>
        <v>0.11415277860990386</v>
      </c>
      <c r="BJ63" s="880">
        <v>217201.64220921326</v>
      </c>
      <c r="BK63" s="588">
        <f t="shared" si="41"/>
        <v>34577.207471450005</v>
      </c>
      <c r="BL63" s="589">
        <f t="shared" si="14"/>
        <v>0.18933505541632814</v>
      </c>
      <c r="BM63" s="880">
        <v>182733.6431122894</v>
      </c>
      <c r="BN63" s="588">
        <f t="shared" si="42"/>
        <v>109.20837452614796</v>
      </c>
      <c r="BO63" s="589">
        <f t="shared" si="15"/>
        <v>5.9799431923205704E-4</v>
      </c>
      <c r="BP63" s="880">
        <v>217201.64220921326</v>
      </c>
      <c r="BQ63" s="588">
        <f t="shared" si="43"/>
        <v>34577.207471450005</v>
      </c>
      <c r="BR63" s="589">
        <f t="shared" si="16"/>
        <v>0.18933505541632814</v>
      </c>
      <c r="BS63" s="723"/>
    </row>
    <row r="64" spans="1:71" ht="15">
      <c r="A64" s="477" t="s">
        <v>120</v>
      </c>
      <c r="B64" s="428" t="s">
        <v>121</v>
      </c>
      <c r="C64" s="588">
        <v>618200.54053036741</v>
      </c>
      <c r="D64" s="876"/>
      <c r="E64" s="588">
        <v>628322.40495082457</v>
      </c>
      <c r="F64" s="588">
        <f t="shared" si="17"/>
        <v>10121.864420457161</v>
      </c>
      <c r="G64" s="589">
        <f t="shared" si="0"/>
        <v>1.6373108331114362E-2</v>
      </c>
      <c r="H64" s="588">
        <v>635621.92515673686</v>
      </c>
      <c r="I64" s="588">
        <f t="shared" si="18"/>
        <v>17421.384626369458</v>
      </c>
      <c r="J64" s="589">
        <f t="shared" si="19"/>
        <v>2.8180798113543029E-2</v>
      </c>
      <c r="K64" s="588">
        <v>679847.31713830063</v>
      </c>
      <c r="L64" s="588">
        <f t="shared" si="20"/>
        <v>61646.776607933221</v>
      </c>
      <c r="M64" s="589">
        <f t="shared" si="21"/>
        <v>9.9719706739572145E-2</v>
      </c>
      <c r="N64" s="877">
        <v>621286.69707305252</v>
      </c>
      <c r="O64" s="588">
        <f t="shared" si="22"/>
        <v>3086.1565426851157</v>
      </c>
      <c r="P64" s="589">
        <f t="shared" si="23"/>
        <v>4.9921608610006005E-3</v>
      </c>
      <c r="Q64" s="877">
        <v>761198.75005671068</v>
      </c>
      <c r="R64" s="588">
        <f t="shared" si="24"/>
        <v>142998.20952634327</v>
      </c>
      <c r="S64" s="589">
        <f t="shared" si="1"/>
        <v>0.23131362745762413</v>
      </c>
      <c r="T64" s="877">
        <v>662925.26240550599</v>
      </c>
      <c r="U64" s="588">
        <f t="shared" si="25"/>
        <v>44724.721875138581</v>
      </c>
      <c r="V64" s="589">
        <f t="shared" si="2"/>
        <v>7.2346623697171611E-2</v>
      </c>
      <c r="W64" s="683">
        <v>604134.41130734992</v>
      </c>
      <c r="X64" s="588">
        <f t="shared" si="26"/>
        <v>-14066.129223017488</v>
      </c>
      <c r="Y64" s="589">
        <f t="shared" si="3"/>
        <v>-2.275334345542606E-2</v>
      </c>
      <c r="Z64" s="683">
        <v>624118.70886541752</v>
      </c>
      <c r="AA64" s="588">
        <f t="shared" si="27"/>
        <v>5918.1683350501116</v>
      </c>
      <c r="AB64" s="589">
        <f t="shared" si="4"/>
        <v>9.5732176648904068E-3</v>
      </c>
      <c r="AC64" s="878">
        <v>615047.13899057824</v>
      </c>
      <c r="AD64" s="588">
        <f t="shared" si="28"/>
        <v>-3153.4015397891635</v>
      </c>
      <c r="AE64" s="589">
        <f t="shared" si="5"/>
        <v>-5.1009362383989398E-3</v>
      </c>
      <c r="AF64" s="683">
        <v>612389.05430232477</v>
      </c>
      <c r="AG64" s="588">
        <f t="shared" si="29"/>
        <v>-5811.4862280426314</v>
      </c>
      <c r="AH64" s="589">
        <f t="shared" si="6"/>
        <v>-9.400648894704676E-3</v>
      </c>
      <c r="AI64" s="683">
        <v>638100.36057691311</v>
      </c>
      <c r="AJ64" s="588">
        <f t="shared" si="30"/>
        <v>19899.820046545705</v>
      </c>
      <c r="AK64" s="589">
        <f t="shared" si="7"/>
        <v>3.2189910460888996E-2</v>
      </c>
      <c r="AL64" s="683">
        <v>610602.63377550128</v>
      </c>
      <c r="AM64" s="588">
        <f t="shared" si="31"/>
        <v>-7597.906754866126</v>
      </c>
      <c r="AN64" s="589">
        <f t="shared" si="8"/>
        <v>-1.2290359287534301E-2</v>
      </c>
      <c r="AO64" s="683">
        <v>593059.57334064133</v>
      </c>
      <c r="AP64" s="588">
        <f t="shared" si="32"/>
        <v>-25140.967189726071</v>
      </c>
      <c r="AQ64" s="589">
        <f t="shared" si="9"/>
        <v>-4.066797995381418E-2</v>
      </c>
      <c r="AR64" s="683">
        <v>642420.56041236012</v>
      </c>
      <c r="AS64" s="588">
        <f t="shared" si="33"/>
        <v>24220.019881992717</v>
      </c>
      <c r="AT64" s="589">
        <f t="shared" si="10"/>
        <v>3.9178257368092634E-2</v>
      </c>
      <c r="AU64" s="683">
        <v>595052.73108698858</v>
      </c>
      <c r="AV64" s="588">
        <f t="shared" si="34"/>
        <v>-23147.809443378821</v>
      </c>
      <c r="AW64" s="589">
        <f t="shared" si="11"/>
        <v>-3.7443851834098728E-2</v>
      </c>
      <c r="AX64" s="683">
        <v>646246.68886515324</v>
      </c>
      <c r="AY64" s="588">
        <f t="shared" si="35"/>
        <v>28046.14833478583</v>
      </c>
      <c r="AZ64" s="589">
        <f t="shared" si="12"/>
        <v>4.5367395361260027E-2</v>
      </c>
      <c r="BA64" s="879">
        <v>627520.48880426562</v>
      </c>
      <c r="BB64" s="588">
        <f t="shared" si="36"/>
        <v>9319.9482738982188</v>
      </c>
      <c r="BC64" s="589">
        <f t="shared" si="44"/>
        <v>1.5075930321740639E-2</v>
      </c>
      <c r="BD64" s="880">
        <v>683653.85004643071</v>
      </c>
      <c r="BE64" s="588">
        <f t="shared" si="37"/>
        <v>65453.309516063309</v>
      </c>
      <c r="BF64" s="589">
        <f t="shared" si="38"/>
        <v>0.10587714701755117</v>
      </c>
      <c r="BG64" s="730">
        <v>671943.7971958305</v>
      </c>
      <c r="BH64" s="588">
        <f t="shared" si="39"/>
        <v>53743.256665463094</v>
      </c>
      <c r="BI64" s="589">
        <f t="shared" si="40"/>
        <v>8.6934988150213541E-2</v>
      </c>
      <c r="BJ64" s="880">
        <v>708869.56157552265</v>
      </c>
      <c r="BK64" s="588">
        <f t="shared" si="41"/>
        <v>90669.021045155241</v>
      </c>
      <c r="BL64" s="589">
        <f t="shared" si="14"/>
        <v>0.14666603327031769</v>
      </c>
      <c r="BM64" s="880">
        <v>646498.46725345473</v>
      </c>
      <c r="BN64" s="588">
        <f t="shared" si="42"/>
        <v>28297.926723087323</v>
      </c>
      <c r="BO64" s="589">
        <f t="shared" si="15"/>
        <v>4.5774671595741293E-2</v>
      </c>
      <c r="BP64" s="880">
        <v>708869.56157552265</v>
      </c>
      <c r="BQ64" s="588">
        <f t="shared" si="43"/>
        <v>90669.021045155241</v>
      </c>
      <c r="BR64" s="589">
        <f t="shared" si="16"/>
        <v>0.14666603327031769</v>
      </c>
      <c r="BS64" s="723"/>
    </row>
    <row r="65" spans="1:71" ht="15">
      <c r="A65" s="477" t="s">
        <v>120</v>
      </c>
      <c r="B65" s="428" t="s">
        <v>122</v>
      </c>
      <c r="C65" s="588">
        <v>2230680.6</v>
      </c>
      <c r="D65" s="876"/>
      <c r="E65" s="588">
        <v>2230680.6</v>
      </c>
      <c r="F65" s="588">
        <f t="shared" si="17"/>
        <v>0</v>
      </c>
      <c r="G65" s="589">
        <f t="shared" si="0"/>
        <v>0</v>
      </c>
      <c r="H65" s="588">
        <v>2230680.6</v>
      </c>
      <c r="I65" s="588">
        <f t="shared" si="18"/>
        <v>0</v>
      </c>
      <c r="J65" s="589">
        <f t="shared" si="19"/>
        <v>0</v>
      </c>
      <c r="K65" s="588">
        <v>2230680.6</v>
      </c>
      <c r="L65" s="588">
        <f t="shared" si="20"/>
        <v>0</v>
      </c>
      <c r="M65" s="589">
        <f t="shared" si="21"/>
        <v>0</v>
      </c>
      <c r="N65" s="877">
        <v>2230680.6</v>
      </c>
      <c r="O65" s="588">
        <f t="shared" si="22"/>
        <v>0</v>
      </c>
      <c r="P65" s="589">
        <f t="shared" si="23"/>
        <v>0</v>
      </c>
      <c r="Q65" s="877">
        <v>2230680.6</v>
      </c>
      <c r="R65" s="588">
        <f t="shared" si="24"/>
        <v>0</v>
      </c>
      <c r="S65" s="589">
        <f t="shared" si="1"/>
        <v>0</v>
      </c>
      <c r="T65" s="877">
        <v>2230680.6</v>
      </c>
      <c r="U65" s="588">
        <f t="shared" si="25"/>
        <v>0</v>
      </c>
      <c r="V65" s="589">
        <f t="shared" si="2"/>
        <v>0</v>
      </c>
      <c r="W65" s="683">
        <v>2230680.6</v>
      </c>
      <c r="X65" s="588">
        <f t="shared" si="26"/>
        <v>0</v>
      </c>
      <c r="Y65" s="589">
        <f t="shared" si="3"/>
        <v>0</v>
      </c>
      <c r="Z65" s="683">
        <v>2230680.6</v>
      </c>
      <c r="AA65" s="588">
        <f t="shared" si="27"/>
        <v>0</v>
      </c>
      <c r="AB65" s="589">
        <f t="shared" si="4"/>
        <v>0</v>
      </c>
      <c r="AC65" s="878">
        <v>2230680.6</v>
      </c>
      <c r="AD65" s="588">
        <f t="shared" si="28"/>
        <v>0</v>
      </c>
      <c r="AE65" s="589">
        <f t="shared" si="5"/>
        <v>0</v>
      </c>
      <c r="AF65" s="683">
        <v>2230680.6</v>
      </c>
      <c r="AG65" s="588">
        <f t="shared" si="29"/>
        <v>0</v>
      </c>
      <c r="AH65" s="589">
        <f t="shared" si="6"/>
        <v>0</v>
      </c>
      <c r="AI65" s="683">
        <v>2230680.6</v>
      </c>
      <c r="AJ65" s="588">
        <f t="shared" si="30"/>
        <v>0</v>
      </c>
      <c r="AK65" s="589">
        <f t="shared" si="7"/>
        <v>0</v>
      </c>
      <c r="AL65" s="683">
        <v>2230680.6</v>
      </c>
      <c r="AM65" s="588">
        <f t="shared" si="31"/>
        <v>0</v>
      </c>
      <c r="AN65" s="589">
        <f t="shared" si="8"/>
        <v>0</v>
      </c>
      <c r="AO65" s="683">
        <v>2689933.2051654793</v>
      </c>
      <c r="AP65" s="588">
        <f t="shared" si="32"/>
        <v>459252.60516547924</v>
      </c>
      <c r="AQ65" s="589">
        <f t="shared" si="9"/>
        <v>0.20588003731483531</v>
      </c>
      <c r="AR65" s="683">
        <v>2556787.2881596396</v>
      </c>
      <c r="AS65" s="588">
        <f t="shared" si="33"/>
        <v>326106.68815963948</v>
      </c>
      <c r="AT65" s="589">
        <f t="shared" si="10"/>
        <v>0.14619156510333189</v>
      </c>
      <c r="AU65" s="683">
        <v>2602460.6999999997</v>
      </c>
      <c r="AV65" s="588">
        <f t="shared" si="34"/>
        <v>371780.09999999963</v>
      </c>
      <c r="AW65" s="589">
        <f t="shared" si="11"/>
        <v>0.16666666666666649</v>
      </c>
      <c r="AX65" s="683">
        <v>2230680.6</v>
      </c>
      <c r="AY65" s="588">
        <f t="shared" si="35"/>
        <v>0</v>
      </c>
      <c r="AZ65" s="589">
        <f t="shared" si="12"/>
        <v>0</v>
      </c>
      <c r="BA65" s="879">
        <v>2173121.9290027125</v>
      </c>
      <c r="BB65" s="588">
        <f t="shared" si="36"/>
        <v>-57558.670997287612</v>
      </c>
      <c r="BC65" s="589">
        <f t="shared" si="44"/>
        <v>-2.5803188048207176E-2</v>
      </c>
      <c r="BD65" s="880">
        <v>2230680.6</v>
      </c>
      <c r="BE65" s="588">
        <f t="shared" si="37"/>
        <v>0</v>
      </c>
      <c r="BF65" s="589">
        <f t="shared" si="38"/>
        <v>0</v>
      </c>
      <c r="BG65" s="730">
        <v>2230680.6</v>
      </c>
      <c r="BH65" s="588">
        <f t="shared" si="39"/>
        <v>0</v>
      </c>
      <c r="BI65" s="589">
        <f t="shared" si="40"/>
        <v>0</v>
      </c>
      <c r="BJ65" s="880">
        <v>2230680.6</v>
      </c>
      <c r="BK65" s="588">
        <f t="shared" si="41"/>
        <v>0</v>
      </c>
      <c r="BL65" s="589">
        <f t="shared" si="14"/>
        <v>0</v>
      </c>
      <c r="BM65" s="880">
        <v>2230680.6</v>
      </c>
      <c r="BN65" s="588">
        <f t="shared" si="42"/>
        <v>0</v>
      </c>
      <c r="BO65" s="589">
        <f t="shared" si="15"/>
        <v>0</v>
      </c>
      <c r="BP65" s="880">
        <v>2230680.6</v>
      </c>
      <c r="BQ65" s="588">
        <f t="shared" si="43"/>
        <v>0</v>
      </c>
      <c r="BR65" s="589">
        <f t="shared" si="16"/>
        <v>0</v>
      </c>
      <c r="BS65" s="723"/>
    </row>
    <row r="66" spans="1:71" ht="15">
      <c r="A66" s="477" t="s">
        <v>120</v>
      </c>
      <c r="B66" s="428" t="s">
        <v>123</v>
      </c>
      <c r="C66" s="588">
        <v>513663.07295802294</v>
      </c>
      <c r="D66" s="876"/>
      <c r="E66" s="588">
        <v>508114.98331493052</v>
      </c>
      <c r="F66" s="588">
        <f t="shared" si="17"/>
        <v>-5548.0896430924186</v>
      </c>
      <c r="G66" s="589">
        <f t="shared" si="0"/>
        <v>-1.0801028797228362E-2</v>
      </c>
      <c r="H66" s="588">
        <v>506846.11065536813</v>
      </c>
      <c r="I66" s="588">
        <f t="shared" si="18"/>
        <v>-6816.962302654807</v>
      </c>
      <c r="J66" s="589">
        <f t="shared" si="19"/>
        <v>-1.3271271893068115E-2</v>
      </c>
      <c r="K66" s="588">
        <v>524679.6905842803</v>
      </c>
      <c r="L66" s="588">
        <f t="shared" si="20"/>
        <v>11016.617626257357</v>
      </c>
      <c r="M66" s="589">
        <f t="shared" si="21"/>
        <v>2.1447166841906982E-2</v>
      </c>
      <c r="N66" s="877">
        <v>509362.335370455</v>
      </c>
      <c r="O66" s="588">
        <f t="shared" si="22"/>
        <v>-4300.7375875679427</v>
      </c>
      <c r="P66" s="589">
        <f t="shared" si="23"/>
        <v>-8.3726820438957336E-3</v>
      </c>
      <c r="Q66" s="877">
        <v>534584.2493592581</v>
      </c>
      <c r="R66" s="588">
        <f t="shared" si="24"/>
        <v>20921.176401235163</v>
      </c>
      <c r="S66" s="589">
        <f t="shared" si="1"/>
        <v>4.0729375932664839E-2</v>
      </c>
      <c r="T66" s="877">
        <v>531194.2574980784</v>
      </c>
      <c r="U66" s="588">
        <f t="shared" si="25"/>
        <v>17531.184540055459</v>
      </c>
      <c r="V66" s="589">
        <f t="shared" si="2"/>
        <v>3.412973496245101E-2</v>
      </c>
      <c r="W66" s="683">
        <v>501615.4402953409</v>
      </c>
      <c r="X66" s="588">
        <f t="shared" si="26"/>
        <v>-12047.632662682037</v>
      </c>
      <c r="Y66" s="589">
        <f t="shared" si="3"/>
        <v>-2.3454348379188594E-2</v>
      </c>
      <c r="Z66" s="683">
        <v>514073.74396842765</v>
      </c>
      <c r="AA66" s="588">
        <f t="shared" si="27"/>
        <v>410.6710104047088</v>
      </c>
      <c r="AB66" s="589">
        <f t="shared" si="4"/>
        <v>7.9949490633964503E-4</v>
      </c>
      <c r="AC66" s="878">
        <v>510491.46612837806</v>
      </c>
      <c r="AD66" s="588">
        <f t="shared" si="28"/>
        <v>-3171.6068296448793</v>
      </c>
      <c r="AE66" s="589">
        <f t="shared" si="5"/>
        <v>-6.1744886806454667E-3</v>
      </c>
      <c r="AF66" s="683">
        <v>510858.64052811277</v>
      </c>
      <c r="AG66" s="588">
        <f t="shared" si="29"/>
        <v>-2804.4324299101718</v>
      </c>
      <c r="AH66" s="589">
        <f t="shared" si="6"/>
        <v>-5.4596730377372343E-3</v>
      </c>
      <c r="AI66" s="683">
        <v>521910.66293818422</v>
      </c>
      <c r="AJ66" s="588">
        <f t="shared" si="30"/>
        <v>8247.5899801612832</v>
      </c>
      <c r="AK66" s="589">
        <f t="shared" si="7"/>
        <v>1.6056419887585115E-2</v>
      </c>
      <c r="AL66" s="683">
        <v>508061.18665916333</v>
      </c>
      <c r="AM66" s="588">
        <f t="shared" si="31"/>
        <v>-5601.8862988596084</v>
      </c>
      <c r="AN66" s="589">
        <f t="shared" si="8"/>
        <v>-1.0905760203084328E-2</v>
      </c>
      <c r="AO66" s="683">
        <v>497967.69469153305</v>
      </c>
      <c r="AP66" s="588">
        <f t="shared" si="32"/>
        <v>-15695.37826648989</v>
      </c>
      <c r="AQ66" s="589">
        <f t="shared" si="9"/>
        <v>-3.0555784701643392E-2</v>
      </c>
      <c r="AR66" s="683">
        <v>519320.2523119768</v>
      </c>
      <c r="AS66" s="588">
        <f t="shared" si="33"/>
        <v>5657.179353953863</v>
      </c>
      <c r="AT66" s="589">
        <f t="shared" si="10"/>
        <v>1.1013404801275588E-2</v>
      </c>
      <c r="AU66" s="683">
        <v>500141.56369515159</v>
      </c>
      <c r="AV66" s="588">
        <f t="shared" si="34"/>
        <v>-13521.509262871346</v>
      </c>
      <c r="AW66" s="589">
        <f t="shared" si="11"/>
        <v>-2.6323693437811789E-2</v>
      </c>
      <c r="AX66" s="683">
        <v>523344.55910464161</v>
      </c>
      <c r="AY66" s="588">
        <f t="shared" si="35"/>
        <v>9681.4861466186703</v>
      </c>
      <c r="AZ66" s="589">
        <f t="shared" si="12"/>
        <v>1.8847930981034041E-2</v>
      </c>
      <c r="BA66" s="879">
        <v>521407.02165478928</v>
      </c>
      <c r="BB66" s="588">
        <f t="shared" si="36"/>
        <v>7743.9486967663397</v>
      </c>
      <c r="BC66" s="589">
        <f t="shared" si="44"/>
        <v>1.5075930321740654E-2</v>
      </c>
      <c r="BD66" s="880">
        <v>524377.73144197359</v>
      </c>
      <c r="BE66" s="588">
        <f t="shared" si="37"/>
        <v>10714.658483950654</v>
      </c>
      <c r="BF66" s="589">
        <f t="shared" si="38"/>
        <v>2.0859312354786046E-2</v>
      </c>
      <c r="BG66" s="730">
        <v>521190.31192220747</v>
      </c>
      <c r="BH66" s="588">
        <f t="shared" si="39"/>
        <v>7527.2389641845366</v>
      </c>
      <c r="BI66" s="589">
        <f t="shared" si="40"/>
        <v>1.4654039506553491E-2</v>
      </c>
      <c r="BJ66" s="880">
        <v>533703.00880934822</v>
      </c>
      <c r="BK66" s="588">
        <f t="shared" si="41"/>
        <v>20039.935851325281</v>
      </c>
      <c r="BL66" s="589">
        <f t="shared" si="14"/>
        <v>3.9013775578457761E-2</v>
      </c>
      <c r="BM66" s="880">
        <v>517413.84120675857</v>
      </c>
      <c r="BN66" s="588">
        <f t="shared" si="42"/>
        <v>3750.768248735636</v>
      </c>
      <c r="BO66" s="589">
        <f t="shared" si="15"/>
        <v>7.3020009539252057E-3</v>
      </c>
      <c r="BP66" s="880">
        <v>533703.00880934822</v>
      </c>
      <c r="BQ66" s="588">
        <f t="shared" si="43"/>
        <v>20039.935851325281</v>
      </c>
      <c r="BR66" s="589">
        <f t="shared" si="16"/>
        <v>3.9013775578457761E-2</v>
      </c>
      <c r="BS66" s="723"/>
    </row>
    <row r="67" spans="1:71" ht="15">
      <c r="A67" s="477" t="s">
        <v>124</v>
      </c>
      <c r="B67" s="428" t="s">
        <v>125</v>
      </c>
      <c r="C67" s="588">
        <v>1001821.9709905545</v>
      </c>
      <c r="D67" s="876"/>
      <c r="E67" s="588">
        <v>872483.81045942008</v>
      </c>
      <c r="F67" s="588">
        <f t="shared" si="17"/>
        <v>-129338.16053113446</v>
      </c>
      <c r="G67" s="589">
        <f t="shared" si="0"/>
        <v>-0.12910293872198766</v>
      </c>
      <c r="H67" s="588">
        <v>807742.44539560576</v>
      </c>
      <c r="I67" s="588">
        <f t="shared" si="18"/>
        <v>-194079.52559494879</v>
      </c>
      <c r="J67" s="589">
        <f t="shared" si="19"/>
        <v>-0.19372656141994177</v>
      </c>
      <c r="K67" s="588">
        <v>1062289.6803173239</v>
      </c>
      <c r="L67" s="588">
        <f t="shared" si="20"/>
        <v>60467.709326769342</v>
      </c>
      <c r="M67" s="589">
        <f t="shared" si="21"/>
        <v>6.0357739276751643E-2</v>
      </c>
      <c r="N67" s="877">
        <v>935142.81761256419</v>
      </c>
      <c r="O67" s="588">
        <f t="shared" si="22"/>
        <v>-66679.153377990355</v>
      </c>
      <c r="P67" s="589">
        <f t="shared" si="23"/>
        <v>-6.6557886838977121E-2</v>
      </c>
      <c r="Q67" s="877">
        <v>1002965.2240656909</v>
      </c>
      <c r="R67" s="588">
        <f t="shared" si="24"/>
        <v>1143.2530751363374</v>
      </c>
      <c r="S67" s="589">
        <f t="shared" si="1"/>
        <v>1.1411738894146455E-3</v>
      </c>
      <c r="T67" s="877">
        <v>1114404.0948995452</v>
      </c>
      <c r="U67" s="588">
        <f t="shared" si="25"/>
        <v>112582.12390899064</v>
      </c>
      <c r="V67" s="589">
        <f t="shared" si="2"/>
        <v>0.11237737559066979</v>
      </c>
      <c r="W67" s="683">
        <v>980320.08176787221</v>
      </c>
      <c r="X67" s="588">
        <f t="shared" si="26"/>
        <v>-21501.889222682337</v>
      </c>
      <c r="Y67" s="589">
        <f t="shared" si="3"/>
        <v>-2.1462784651670473E-2</v>
      </c>
      <c r="Z67" s="683">
        <v>1014422.7441746163</v>
      </c>
      <c r="AA67" s="588">
        <f t="shared" si="27"/>
        <v>12600.773184061749</v>
      </c>
      <c r="AB67" s="589">
        <f t="shared" si="4"/>
        <v>1.2577856694041852E-2</v>
      </c>
      <c r="AC67" s="878">
        <v>984986.44743819977</v>
      </c>
      <c r="AD67" s="588">
        <f t="shared" si="28"/>
        <v>-16835.523552354774</v>
      </c>
      <c r="AE67" s="589">
        <f t="shared" si="5"/>
        <v>-1.6804905502031064E-2</v>
      </c>
      <c r="AF67" s="683">
        <v>982980.7267571938</v>
      </c>
      <c r="AG67" s="588">
        <f t="shared" si="29"/>
        <v>-18841.244233360747</v>
      </c>
      <c r="AH67" s="589">
        <f t="shared" si="6"/>
        <v>-1.8806978464179027E-2</v>
      </c>
      <c r="AI67" s="683">
        <v>1041392.2935060408</v>
      </c>
      <c r="AJ67" s="588">
        <f t="shared" si="30"/>
        <v>39570.322515486274</v>
      </c>
      <c r="AK67" s="589">
        <f t="shared" si="7"/>
        <v>3.9498357653666744E-2</v>
      </c>
      <c r="AL67" s="683">
        <v>951379.291137469</v>
      </c>
      <c r="AM67" s="588">
        <f t="shared" si="31"/>
        <v>-50442.679853085545</v>
      </c>
      <c r="AN67" s="589">
        <f t="shared" si="8"/>
        <v>-5.0350941897601018E-2</v>
      </c>
      <c r="AO67" s="683">
        <v>940092.05127996393</v>
      </c>
      <c r="AP67" s="588">
        <f t="shared" si="32"/>
        <v>-61729.919710590621</v>
      </c>
      <c r="AQ67" s="589">
        <f t="shared" si="9"/>
        <v>-6.1617654132255624E-2</v>
      </c>
      <c r="AR67" s="683">
        <v>1060132.3046297478</v>
      </c>
      <c r="AS67" s="588">
        <f t="shared" si="33"/>
        <v>58310.33363919321</v>
      </c>
      <c r="AT67" s="589">
        <f t="shared" si="10"/>
        <v>5.8204287116540965E-2</v>
      </c>
      <c r="AU67" s="683">
        <v>941230.02789325942</v>
      </c>
      <c r="AV67" s="588">
        <f t="shared" si="34"/>
        <v>-60591.943097295123</v>
      </c>
      <c r="AW67" s="589">
        <f t="shared" si="11"/>
        <v>-6.048174710860519E-2</v>
      </c>
      <c r="AX67" s="683">
        <v>1062398.3477507748</v>
      </c>
      <c r="AY67" s="588">
        <f t="shared" si="35"/>
        <v>60576.376760220272</v>
      </c>
      <c r="AZ67" s="589">
        <f t="shared" si="12"/>
        <v>6.046620908136522E-2</v>
      </c>
      <c r="BA67" s="879">
        <v>1016925.3692199971</v>
      </c>
      <c r="BB67" s="588">
        <f t="shared" si="36"/>
        <v>15103.398229442537</v>
      </c>
      <c r="BC67" s="589">
        <f t="shared" si="44"/>
        <v>1.5075930321740703E-2</v>
      </c>
      <c r="BD67" s="880">
        <v>1074952.6374307512</v>
      </c>
      <c r="BE67" s="588">
        <f t="shared" si="37"/>
        <v>73130.666440196685</v>
      </c>
      <c r="BF67" s="589">
        <f t="shared" si="38"/>
        <v>7.2997666808892719E-2</v>
      </c>
      <c r="BG67" s="730">
        <v>1037325.329293752</v>
      </c>
      <c r="BH67" s="588">
        <f t="shared" si="39"/>
        <v>35503.358303197427</v>
      </c>
      <c r="BI67" s="589">
        <f t="shared" si="40"/>
        <v>3.5438789856139186E-2</v>
      </c>
      <c r="BJ67" s="880">
        <v>1121316.0766185613</v>
      </c>
      <c r="BK67" s="588">
        <f t="shared" si="41"/>
        <v>119494.10562800674</v>
      </c>
      <c r="BL67" s="589">
        <f t="shared" si="14"/>
        <v>0.11927678678264221</v>
      </c>
      <c r="BM67" s="880">
        <v>983626.11711537023</v>
      </c>
      <c r="BN67" s="588">
        <f t="shared" si="42"/>
        <v>-18195.853875184315</v>
      </c>
      <c r="BO67" s="589">
        <f t="shared" si="15"/>
        <v>-1.816276184998529E-2</v>
      </c>
      <c r="BP67" s="880">
        <v>1121316.0766185615</v>
      </c>
      <c r="BQ67" s="588">
        <f t="shared" si="43"/>
        <v>119494.10562800698</v>
      </c>
      <c r="BR67" s="589">
        <f t="shared" si="16"/>
        <v>0.11927678678264245</v>
      </c>
      <c r="BS67" s="723"/>
    </row>
    <row r="68" spans="1:71" ht="15">
      <c r="A68" s="477" t="s">
        <v>124</v>
      </c>
      <c r="B68" s="428" t="s">
        <v>126</v>
      </c>
      <c r="C68" s="588">
        <v>181452.9</v>
      </c>
      <c r="D68" s="876"/>
      <c r="E68" s="588">
        <v>181452.9</v>
      </c>
      <c r="F68" s="588">
        <f t="shared" si="17"/>
        <v>0</v>
      </c>
      <c r="G68" s="589">
        <f t="shared" si="0"/>
        <v>0</v>
      </c>
      <c r="H68" s="588">
        <v>181452.9</v>
      </c>
      <c r="I68" s="588">
        <f t="shared" si="18"/>
        <v>0</v>
      </c>
      <c r="J68" s="589">
        <f t="shared" si="19"/>
        <v>0</v>
      </c>
      <c r="K68" s="588">
        <v>181452.9</v>
      </c>
      <c r="L68" s="588">
        <f t="shared" si="20"/>
        <v>0</v>
      </c>
      <c r="M68" s="589">
        <f t="shared" si="21"/>
        <v>0</v>
      </c>
      <c r="N68" s="877">
        <v>181452.9</v>
      </c>
      <c r="O68" s="588">
        <f t="shared" si="22"/>
        <v>0</v>
      </c>
      <c r="P68" s="589">
        <f t="shared" si="23"/>
        <v>0</v>
      </c>
      <c r="Q68" s="877">
        <v>181452.9</v>
      </c>
      <c r="R68" s="588">
        <f t="shared" si="24"/>
        <v>0</v>
      </c>
      <c r="S68" s="589">
        <f t="shared" si="1"/>
        <v>0</v>
      </c>
      <c r="T68" s="877">
        <v>181452.9</v>
      </c>
      <c r="U68" s="588">
        <f t="shared" si="25"/>
        <v>0</v>
      </c>
      <c r="V68" s="589">
        <f t="shared" si="2"/>
        <v>0</v>
      </c>
      <c r="W68" s="683">
        <v>181452.9</v>
      </c>
      <c r="X68" s="588">
        <f t="shared" si="26"/>
        <v>0</v>
      </c>
      <c r="Y68" s="589">
        <f t="shared" si="3"/>
        <v>0</v>
      </c>
      <c r="Z68" s="683">
        <v>181452.9</v>
      </c>
      <c r="AA68" s="588">
        <f t="shared" si="27"/>
        <v>0</v>
      </c>
      <c r="AB68" s="589">
        <f t="shared" si="4"/>
        <v>0</v>
      </c>
      <c r="AC68" s="878">
        <v>181452.9</v>
      </c>
      <c r="AD68" s="588">
        <f t="shared" si="28"/>
        <v>0</v>
      </c>
      <c r="AE68" s="589">
        <f t="shared" si="5"/>
        <v>0</v>
      </c>
      <c r="AF68" s="683">
        <v>181452.9</v>
      </c>
      <c r="AG68" s="588">
        <f t="shared" si="29"/>
        <v>0</v>
      </c>
      <c r="AH68" s="589">
        <f t="shared" si="6"/>
        <v>0</v>
      </c>
      <c r="AI68" s="683">
        <v>181452.9</v>
      </c>
      <c r="AJ68" s="588">
        <f t="shared" si="30"/>
        <v>0</v>
      </c>
      <c r="AK68" s="589">
        <f t="shared" si="7"/>
        <v>0</v>
      </c>
      <c r="AL68" s="683">
        <v>181452.9</v>
      </c>
      <c r="AM68" s="588">
        <f t="shared" si="31"/>
        <v>0</v>
      </c>
      <c r="AN68" s="589">
        <f t="shared" si="8"/>
        <v>0</v>
      </c>
      <c r="AO68" s="683">
        <v>185275.70597981842</v>
      </c>
      <c r="AP68" s="588">
        <f t="shared" si="32"/>
        <v>3822.8059798184258</v>
      </c>
      <c r="AQ68" s="589">
        <f t="shared" si="9"/>
        <v>2.1067759070361652E-2</v>
      </c>
      <c r="AR68" s="683">
        <v>184762.80994020039</v>
      </c>
      <c r="AS68" s="588">
        <f t="shared" si="33"/>
        <v>3309.9099402003922</v>
      </c>
      <c r="AT68" s="589">
        <f t="shared" si="10"/>
        <v>1.8241152057643567E-2</v>
      </c>
      <c r="AU68" s="683">
        <v>185656.75553816598</v>
      </c>
      <c r="AV68" s="588">
        <f t="shared" si="34"/>
        <v>4203.8555381659826</v>
      </c>
      <c r="AW68" s="589">
        <f t="shared" si="11"/>
        <v>2.316775062931473E-2</v>
      </c>
      <c r="AX68" s="683">
        <v>181452.9</v>
      </c>
      <c r="AY68" s="588">
        <f t="shared" si="35"/>
        <v>0</v>
      </c>
      <c r="AZ68" s="589">
        <f t="shared" si="12"/>
        <v>0</v>
      </c>
      <c r="BA68" s="879">
        <v>181452.9</v>
      </c>
      <c r="BB68" s="588">
        <f t="shared" si="36"/>
        <v>0</v>
      </c>
      <c r="BC68" s="589">
        <f t="shared" si="44"/>
        <v>0</v>
      </c>
      <c r="BD68" s="880">
        <v>181452.9</v>
      </c>
      <c r="BE68" s="588">
        <f t="shared" si="37"/>
        <v>0</v>
      </c>
      <c r="BF68" s="589">
        <f t="shared" si="38"/>
        <v>0</v>
      </c>
      <c r="BG68" s="730">
        <v>181452.9</v>
      </c>
      <c r="BH68" s="588">
        <f t="shared" si="39"/>
        <v>0</v>
      </c>
      <c r="BI68" s="589">
        <f t="shared" si="40"/>
        <v>0</v>
      </c>
      <c r="BJ68" s="880">
        <v>181452.9</v>
      </c>
      <c r="BK68" s="588">
        <f t="shared" si="41"/>
        <v>0</v>
      </c>
      <c r="BL68" s="589">
        <f t="shared" si="14"/>
        <v>0</v>
      </c>
      <c r="BM68" s="880">
        <v>181452.9</v>
      </c>
      <c r="BN68" s="588">
        <f t="shared" si="42"/>
        <v>0</v>
      </c>
      <c r="BO68" s="589">
        <f t="shared" si="15"/>
        <v>0</v>
      </c>
      <c r="BP68" s="880">
        <v>181452.9</v>
      </c>
      <c r="BQ68" s="588">
        <f t="shared" si="43"/>
        <v>0</v>
      </c>
      <c r="BR68" s="589">
        <f t="shared" si="16"/>
        <v>0</v>
      </c>
      <c r="BS68" s="723"/>
    </row>
    <row r="69" spans="1:71" ht="15">
      <c r="A69" s="477" t="s">
        <v>124</v>
      </c>
      <c r="B69" s="428" t="s">
        <v>127</v>
      </c>
      <c r="C69" s="588">
        <v>962324.56930696522</v>
      </c>
      <c r="D69" s="876"/>
      <c r="E69" s="588">
        <v>822581.24066921941</v>
      </c>
      <c r="F69" s="588">
        <f t="shared" si="17"/>
        <v>-139743.32863774581</v>
      </c>
      <c r="G69" s="589">
        <f t="shared" si="0"/>
        <v>-0.14521434149642923</v>
      </c>
      <c r="H69" s="588">
        <v>752226.03585095704</v>
      </c>
      <c r="I69" s="588">
        <f t="shared" si="18"/>
        <v>-210098.53345600818</v>
      </c>
      <c r="J69" s="589">
        <f t="shared" si="19"/>
        <v>-0.21832398356753407</v>
      </c>
      <c r="K69" s="588">
        <v>970539.03052094392</v>
      </c>
      <c r="L69" s="588">
        <f t="shared" si="20"/>
        <v>8214.4612139787059</v>
      </c>
      <c r="M69" s="589">
        <f t="shared" si="21"/>
        <v>8.5360609881284574E-3</v>
      </c>
      <c r="N69" s="877">
        <v>890655.34789901285</v>
      </c>
      <c r="O69" s="588">
        <f t="shared" si="22"/>
        <v>-71669.221407952369</v>
      </c>
      <c r="P69" s="589">
        <f t="shared" si="23"/>
        <v>-7.4475102988969935E-2</v>
      </c>
      <c r="Q69" s="877">
        <v>843818.85599465761</v>
      </c>
      <c r="R69" s="588">
        <f t="shared" si="24"/>
        <v>-118505.71331230761</v>
      </c>
      <c r="S69" s="589">
        <f t="shared" si="1"/>
        <v>-0.12314526417802214</v>
      </c>
      <c r="T69" s="877">
        <v>936757.7553164328</v>
      </c>
      <c r="U69" s="588">
        <f t="shared" si="25"/>
        <v>-25566.813990532421</v>
      </c>
      <c r="V69" s="589">
        <f t="shared" si="2"/>
        <v>-2.6567766017804997E-2</v>
      </c>
      <c r="W69" s="683">
        <v>940989.09669715632</v>
      </c>
      <c r="X69" s="588">
        <f t="shared" si="26"/>
        <v>-21335.472609808901</v>
      </c>
      <c r="Y69" s="589">
        <f t="shared" si="3"/>
        <v>-2.2170765758556921E-2</v>
      </c>
      <c r="Z69" s="683">
        <v>969444.84194785205</v>
      </c>
      <c r="AA69" s="588">
        <f t="shared" si="27"/>
        <v>7120.272640886833</v>
      </c>
      <c r="AB69" s="589">
        <f t="shared" si="4"/>
        <v>7.3990344505228843E-3</v>
      </c>
      <c r="AC69" s="878">
        <v>947643.37809239782</v>
      </c>
      <c r="AD69" s="588">
        <f t="shared" si="28"/>
        <v>-14681.1912145674</v>
      </c>
      <c r="AE69" s="589">
        <f t="shared" si="5"/>
        <v>-1.5255966316167439E-2</v>
      </c>
      <c r="AF69" s="683">
        <v>944498.00571836857</v>
      </c>
      <c r="AG69" s="588">
        <f t="shared" si="29"/>
        <v>-17826.563588596648</v>
      </c>
      <c r="AH69" s="589">
        <f t="shared" si="6"/>
        <v>-1.8524481403851881E-2</v>
      </c>
      <c r="AI69" s="683">
        <v>939012.5892708262</v>
      </c>
      <c r="AJ69" s="588">
        <f t="shared" si="30"/>
        <v>-23311.980036139023</v>
      </c>
      <c r="AK69" s="589">
        <f t="shared" si="7"/>
        <v>-2.4224654321075425E-2</v>
      </c>
      <c r="AL69" s="683">
        <v>917109.33095102897</v>
      </c>
      <c r="AM69" s="588">
        <f t="shared" si="31"/>
        <v>-45215.23835593625</v>
      </c>
      <c r="AN69" s="589">
        <f t="shared" si="8"/>
        <v>-4.6985434850217729E-2</v>
      </c>
      <c r="AO69" s="683">
        <v>905247.15580742899</v>
      </c>
      <c r="AP69" s="588">
        <f t="shared" si="32"/>
        <v>-57077.413499536226</v>
      </c>
      <c r="AQ69" s="589">
        <f t="shared" si="9"/>
        <v>-5.9312019374753694E-2</v>
      </c>
      <c r="AR69" s="683">
        <v>892969.36473028001</v>
      </c>
      <c r="AS69" s="588">
        <f t="shared" si="33"/>
        <v>-69355.20457668521</v>
      </c>
      <c r="AT69" s="589">
        <f t="shared" si="10"/>
        <v>-7.2070491379673043E-2</v>
      </c>
      <c r="AU69" s="683">
        <v>906561.42944284366</v>
      </c>
      <c r="AV69" s="588">
        <f t="shared" si="34"/>
        <v>-55763.139864121564</v>
      </c>
      <c r="AW69" s="589">
        <f t="shared" si="11"/>
        <v>-5.7946291347710635E-2</v>
      </c>
      <c r="AX69" s="683">
        <v>895259.56892053445</v>
      </c>
      <c r="AY69" s="588">
        <f t="shared" si="35"/>
        <v>-67065.000386430766</v>
      </c>
      <c r="AZ69" s="589">
        <f t="shared" si="12"/>
        <v>-6.9690624686771521E-2</v>
      </c>
      <c r="BA69" s="879">
        <v>976832.5074607362</v>
      </c>
      <c r="BB69" s="588">
        <f t="shared" si="36"/>
        <v>14507.938153770985</v>
      </c>
      <c r="BC69" s="589">
        <f t="shared" si="44"/>
        <v>1.507593032174075E-2</v>
      </c>
      <c r="BD69" s="880">
        <v>978800.32344834157</v>
      </c>
      <c r="BE69" s="588">
        <f t="shared" si="37"/>
        <v>16475.754141376354</v>
      </c>
      <c r="BF69" s="589">
        <f t="shared" si="38"/>
        <v>1.7120787171880744E-2</v>
      </c>
      <c r="BG69" s="730">
        <v>948076.77484886977</v>
      </c>
      <c r="BH69" s="588">
        <f t="shared" si="39"/>
        <v>-14247.79445809545</v>
      </c>
      <c r="BI69" s="589">
        <f t="shared" si="40"/>
        <v>-1.4805601885813065E-2</v>
      </c>
      <c r="BJ69" s="880">
        <v>898908.20958215103</v>
      </c>
      <c r="BK69" s="588">
        <f t="shared" si="41"/>
        <v>-63416.359724814189</v>
      </c>
      <c r="BL69" s="589">
        <f t="shared" si="14"/>
        <v>-6.5899138136402968E-2</v>
      </c>
      <c r="BM69" s="880">
        <v>822110.98956935725</v>
      </c>
      <c r="BN69" s="588">
        <f t="shared" si="42"/>
        <v>-140213.57973760797</v>
      </c>
      <c r="BO69" s="589">
        <f t="shared" si="15"/>
        <v>-0.14570300313394807</v>
      </c>
      <c r="BP69" s="880">
        <v>898908.20958215103</v>
      </c>
      <c r="BQ69" s="588">
        <f t="shared" si="43"/>
        <v>-63416.359724814189</v>
      </c>
      <c r="BR69" s="589">
        <f t="shared" si="16"/>
        <v>-6.5899138136402968E-2</v>
      </c>
      <c r="BS69" s="723"/>
    </row>
    <row r="70" spans="1:71" ht="15">
      <c r="A70" s="477" t="s">
        <v>124</v>
      </c>
      <c r="B70" s="428" t="s">
        <v>128</v>
      </c>
      <c r="C70" s="588">
        <v>61833.656721746825</v>
      </c>
      <c r="D70" s="876"/>
      <c r="E70" s="588">
        <v>52523.396916705067</v>
      </c>
      <c r="F70" s="588">
        <f t="shared" si="17"/>
        <v>-9310.2598050417582</v>
      </c>
      <c r="G70" s="589">
        <f t="shared" si="0"/>
        <v>-0.15056945195620869</v>
      </c>
      <c r="H70" s="588">
        <v>47836.818116820898</v>
      </c>
      <c r="I70" s="588">
        <f t="shared" si="18"/>
        <v>-13996.838604925928</v>
      </c>
      <c r="J70" s="589">
        <f t="shared" si="19"/>
        <v>-0.22636278277883662</v>
      </c>
      <c r="K70" s="588">
        <v>61277.981098903227</v>
      </c>
      <c r="L70" s="588">
        <f t="shared" si="20"/>
        <v>-555.67562284359883</v>
      </c>
      <c r="M70" s="589">
        <f t="shared" si="21"/>
        <v>-8.986620754844802E-3</v>
      </c>
      <c r="N70" s="877">
        <v>57063.125931207302</v>
      </c>
      <c r="O70" s="588">
        <f t="shared" si="22"/>
        <v>-4770.5307905395239</v>
      </c>
      <c r="P70" s="589">
        <f t="shared" si="23"/>
        <v>-7.715103785640634E-2</v>
      </c>
      <c r="Q70" s="877">
        <v>51632.172187291842</v>
      </c>
      <c r="R70" s="588">
        <f t="shared" si="24"/>
        <v>-10201.484534454983</v>
      </c>
      <c r="S70" s="589">
        <f t="shared" si="1"/>
        <v>-0.16498271451681965</v>
      </c>
      <c r="T70" s="877">
        <v>85554.784988261177</v>
      </c>
      <c r="U70" s="588">
        <f t="shared" si="25"/>
        <v>23721.128266514352</v>
      </c>
      <c r="V70" s="589">
        <f t="shared" si="2"/>
        <v>0.38362810036061895</v>
      </c>
      <c r="W70" s="683">
        <v>60352.941658964024</v>
      </c>
      <c r="X70" s="588">
        <f t="shared" si="26"/>
        <v>-1480.7150627828014</v>
      </c>
      <c r="Y70" s="589">
        <f t="shared" si="3"/>
        <v>-2.3946749089190381E-2</v>
      </c>
      <c r="Z70" s="683">
        <v>63242.259310306821</v>
      </c>
      <c r="AA70" s="588">
        <f t="shared" si="27"/>
        <v>1408.6025885599956</v>
      </c>
      <c r="AB70" s="589">
        <f t="shared" si="4"/>
        <v>2.2780515713291007E-2</v>
      </c>
      <c r="AC70" s="878">
        <v>60932.312013835348</v>
      </c>
      <c r="AD70" s="588">
        <f t="shared" si="28"/>
        <v>-901.3447079114776</v>
      </c>
      <c r="AE70" s="589">
        <f t="shared" si="5"/>
        <v>-1.457692712510201E-2</v>
      </c>
      <c r="AF70" s="683">
        <v>60877.573802711486</v>
      </c>
      <c r="AG70" s="588">
        <f t="shared" si="29"/>
        <v>-956.08291903533973</v>
      </c>
      <c r="AH70" s="589">
        <f t="shared" si="6"/>
        <v>-1.5462176583502726E-2</v>
      </c>
      <c r="AI70" s="683">
        <v>66595.502573678066</v>
      </c>
      <c r="AJ70" s="588">
        <f t="shared" si="30"/>
        <v>4761.8458519312408</v>
      </c>
      <c r="AK70" s="589">
        <f t="shared" si="7"/>
        <v>7.7010581362827679E-2</v>
      </c>
      <c r="AL70" s="683">
        <v>59304.446921259849</v>
      </c>
      <c r="AM70" s="588">
        <f t="shared" si="31"/>
        <v>-2529.2098004869767</v>
      </c>
      <c r="AN70" s="589">
        <f t="shared" si="8"/>
        <v>-4.0903448616479064E-2</v>
      </c>
      <c r="AO70" s="683">
        <v>58235.222418153353</v>
      </c>
      <c r="AP70" s="588">
        <f t="shared" si="32"/>
        <v>-3598.4343035934726</v>
      </c>
      <c r="AQ70" s="589">
        <f t="shared" si="9"/>
        <v>-5.8195398661064587E-2</v>
      </c>
      <c r="AR70" s="683">
        <v>81636.589618490456</v>
      </c>
      <c r="AS70" s="588">
        <f t="shared" si="33"/>
        <v>19802.93289674363</v>
      </c>
      <c r="AT70" s="589">
        <f t="shared" si="10"/>
        <v>0.32026139074804161</v>
      </c>
      <c r="AU70" s="683">
        <v>58326.55261619993</v>
      </c>
      <c r="AV70" s="588">
        <f t="shared" si="34"/>
        <v>-3507.1041055468959</v>
      </c>
      <c r="AW70" s="589">
        <f t="shared" si="11"/>
        <v>-5.6718368142595253E-2</v>
      </c>
      <c r="AX70" s="683">
        <v>81862.802045216536</v>
      </c>
      <c r="AY70" s="588">
        <f t="shared" si="35"/>
        <v>20029.145323469711</v>
      </c>
      <c r="AZ70" s="589">
        <f t="shared" si="12"/>
        <v>0.32391979361015993</v>
      </c>
      <c r="BA70" s="879">
        <v>56355.250564470778</v>
      </c>
      <c r="BB70" s="588">
        <f t="shared" si="36"/>
        <v>-5478.4061572760475</v>
      </c>
      <c r="BC70" s="589">
        <f t="shared" si="44"/>
        <v>-8.8599097121637618E-2</v>
      </c>
      <c r="BD70" s="880">
        <v>63012.968341114349</v>
      </c>
      <c r="BE70" s="588">
        <f t="shared" si="37"/>
        <v>1179.3116193675232</v>
      </c>
      <c r="BF70" s="589">
        <f t="shared" si="38"/>
        <v>1.9072325362778694E-2</v>
      </c>
      <c r="BG70" s="730">
        <v>60096.76004941987</v>
      </c>
      <c r="BH70" s="588">
        <f t="shared" si="39"/>
        <v>-1736.896672326955</v>
      </c>
      <c r="BI70" s="589">
        <f t="shared" si="40"/>
        <v>-2.8089826227535569E-2</v>
      </c>
      <c r="BJ70" s="880">
        <v>80790.754116827055</v>
      </c>
      <c r="BK70" s="588">
        <f t="shared" si="41"/>
        <v>18957.097395080229</v>
      </c>
      <c r="BL70" s="589">
        <f t="shared" si="14"/>
        <v>0.30658218193996989</v>
      </c>
      <c r="BM70" s="880">
        <v>75006.506523474978</v>
      </c>
      <c r="BN70" s="588">
        <f t="shared" si="42"/>
        <v>13172.849801728153</v>
      </c>
      <c r="BO70" s="589">
        <f t="shared" si="15"/>
        <v>0.21303688800108236</v>
      </c>
      <c r="BP70" s="880">
        <v>80790.754116827055</v>
      </c>
      <c r="BQ70" s="588">
        <f t="shared" si="43"/>
        <v>18957.097395080229</v>
      </c>
      <c r="BR70" s="589">
        <f t="shared" si="16"/>
        <v>0.30658218193996989</v>
      </c>
      <c r="BS70" s="723"/>
    </row>
    <row r="71" spans="1:71" ht="15">
      <c r="A71" s="477" t="s">
        <v>124</v>
      </c>
      <c r="B71" s="428" t="s">
        <v>129</v>
      </c>
      <c r="C71" s="588">
        <v>290338.54631371854</v>
      </c>
      <c r="D71" s="876"/>
      <c r="E71" s="588">
        <v>272979.30556173163</v>
      </c>
      <c r="F71" s="588">
        <f t="shared" si="17"/>
        <v>-17359.240751986916</v>
      </c>
      <c r="G71" s="589">
        <f t="shared" si="0"/>
        <v>-5.9789652364070849E-2</v>
      </c>
      <c r="H71" s="588">
        <v>264795.14461266174</v>
      </c>
      <c r="I71" s="588">
        <f t="shared" si="18"/>
        <v>-25543.401701056806</v>
      </c>
      <c r="J71" s="589">
        <f t="shared" si="19"/>
        <v>-8.7977989920279068E-2</v>
      </c>
      <c r="K71" s="588">
        <v>313798.59575912496</v>
      </c>
      <c r="L71" s="588">
        <f t="shared" si="20"/>
        <v>23460.049445406417</v>
      </c>
      <c r="M71" s="589">
        <f t="shared" si="21"/>
        <v>8.0802393424045077E-2</v>
      </c>
      <c r="N71" s="877">
        <v>280910.26831587439</v>
      </c>
      <c r="O71" s="588">
        <f t="shared" si="22"/>
        <v>-9428.277997844154</v>
      </c>
      <c r="P71" s="589">
        <f t="shared" si="23"/>
        <v>-3.247339396559714E-2</v>
      </c>
      <c r="Q71" s="877">
        <v>323522.0974571277</v>
      </c>
      <c r="R71" s="588">
        <f t="shared" si="24"/>
        <v>33183.55114340916</v>
      </c>
      <c r="S71" s="589">
        <f t="shared" si="1"/>
        <v>0.11429261310536923</v>
      </c>
      <c r="T71" s="877">
        <v>292003.43684653618</v>
      </c>
      <c r="U71" s="588">
        <f t="shared" si="25"/>
        <v>1664.8905328176334</v>
      </c>
      <c r="V71" s="589">
        <f t="shared" si="2"/>
        <v>5.7343076004061641E-3</v>
      </c>
      <c r="W71" s="683">
        <v>283392.23956295341</v>
      </c>
      <c r="X71" s="588">
        <f t="shared" si="26"/>
        <v>-6946.3067507651285</v>
      </c>
      <c r="Y71" s="589">
        <f t="shared" si="3"/>
        <v>-2.3924852001082415E-2</v>
      </c>
      <c r="Z71" s="683">
        <v>288820.12974891852</v>
      </c>
      <c r="AA71" s="588">
        <f t="shared" si="27"/>
        <v>-1518.4165648000198</v>
      </c>
      <c r="AB71" s="589">
        <f t="shared" si="4"/>
        <v>-5.2298138985628533E-3</v>
      </c>
      <c r="AC71" s="878">
        <v>285251.41089624725</v>
      </c>
      <c r="AD71" s="588">
        <f t="shared" si="28"/>
        <v>-5087.1354174712906</v>
      </c>
      <c r="AE71" s="589">
        <f t="shared" si="5"/>
        <v>-1.7521391775429312E-2</v>
      </c>
      <c r="AF71" s="683">
        <v>286265.90496683284</v>
      </c>
      <c r="AG71" s="588">
        <f t="shared" si="29"/>
        <v>-4072.6413468857063</v>
      </c>
      <c r="AH71" s="589">
        <f t="shared" si="6"/>
        <v>-1.4027215464821914E-2</v>
      </c>
      <c r="AI71" s="683">
        <v>291938.76329619176</v>
      </c>
      <c r="AJ71" s="588">
        <f t="shared" si="30"/>
        <v>1600.2169824732118</v>
      </c>
      <c r="AK71" s="589">
        <f t="shared" si="7"/>
        <v>5.5115553990000852E-3</v>
      </c>
      <c r="AL71" s="683">
        <v>277523.48994480836</v>
      </c>
      <c r="AM71" s="588">
        <f t="shared" si="31"/>
        <v>-12815.056368910184</v>
      </c>
      <c r="AN71" s="589">
        <f t="shared" si="8"/>
        <v>-4.4138322422621667E-2</v>
      </c>
      <c r="AO71" s="683">
        <v>276027.96914342762</v>
      </c>
      <c r="AP71" s="588">
        <f t="shared" si="32"/>
        <v>-14310.577170290926</v>
      </c>
      <c r="AQ71" s="589">
        <f t="shared" si="9"/>
        <v>-4.928927747274716E-2</v>
      </c>
      <c r="AR71" s="683">
        <v>280836.26895078446</v>
      </c>
      <c r="AS71" s="588">
        <f t="shared" si="33"/>
        <v>-9502.2773629340809</v>
      </c>
      <c r="AT71" s="589">
        <f t="shared" si="10"/>
        <v>-3.2728266651396047E-2</v>
      </c>
      <c r="AU71" s="683">
        <v>276714.55437545298</v>
      </c>
      <c r="AV71" s="588">
        <f t="shared" si="34"/>
        <v>-13623.991938265564</v>
      </c>
      <c r="AW71" s="589">
        <f t="shared" si="11"/>
        <v>-4.6924502830376774E-2</v>
      </c>
      <c r="AX71" s="683">
        <v>282072.38831137237</v>
      </c>
      <c r="AY71" s="588">
        <f t="shared" si="35"/>
        <v>-8266.158002346172</v>
      </c>
      <c r="AZ71" s="589">
        <f t="shared" si="12"/>
        <v>-2.8470756319811451E-2</v>
      </c>
      <c r="BA71" s="879">
        <v>294715.67000765965</v>
      </c>
      <c r="BB71" s="588">
        <f t="shared" si="36"/>
        <v>4377.1236939411028</v>
      </c>
      <c r="BC71" s="589">
        <f t="shared" si="44"/>
        <v>1.5075930321740689E-2</v>
      </c>
      <c r="BD71" s="880">
        <v>309768.19981547375</v>
      </c>
      <c r="BE71" s="588">
        <f t="shared" si="37"/>
        <v>19429.653501755209</v>
      </c>
      <c r="BF71" s="589">
        <f t="shared" si="38"/>
        <v>6.692068190201983E-2</v>
      </c>
      <c r="BG71" s="730">
        <v>308317.834033527</v>
      </c>
      <c r="BH71" s="588">
        <f t="shared" si="39"/>
        <v>17979.287719808461</v>
      </c>
      <c r="BI71" s="589">
        <f t="shared" si="40"/>
        <v>6.1925252254936072E-2</v>
      </c>
      <c r="BJ71" s="880">
        <v>303838.77601765771</v>
      </c>
      <c r="BK71" s="588">
        <f t="shared" si="41"/>
        <v>13500.229703939171</v>
      </c>
      <c r="BL71" s="589">
        <f t="shared" si="14"/>
        <v>4.6498234131653368E-2</v>
      </c>
      <c r="BM71" s="880">
        <v>271301.15071093093</v>
      </c>
      <c r="BN71" s="588">
        <f t="shared" si="42"/>
        <v>-19037.395602787612</v>
      </c>
      <c r="BO71" s="589">
        <f t="shared" si="15"/>
        <v>-6.5569645658476214E-2</v>
      </c>
      <c r="BP71" s="880">
        <v>303838.77601765771</v>
      </c>
      <c r="BQ71" s="588">
        <f t="shared" si="43"/>
        <v>13500.229703939171</v>
      </c>
      <c r="BR71" s="589">
        <f t="shared" si="16"/>
        <v>4.6498234131653368E-2</v>
      </c>
      <c r="BS71" s="723"/>
    </row>
    <row r="72" spans="1:71" s="724" customFormat="1" ht="15.75" thickBot="1">
      <c r="A72" s="887" t="s">
        <v>124</v>
      </c>
      <c r="B72" s="888" t="s">
        <v>130</v>
      </c>
      <c r="C72" s="601">
        <v>967112.97171513084</v>
      </c>
      <c r="D72" s="876"/>
      <c r="E72" s="601">
        <v>873770.01334421115</v>
      </c>
      <c r="F72" s="601">
        <f t="shared" si="17"/>
        <v>-93342.958370919689</v>
      </c>
      <c r="G72" s="602">
        <f t="shared" si="0"/>
        <v>-9.6517119613627148E-2</v>
      </c>
      <c r="H72" s="601">
        <v>827826.94695397047</v>
      </c>
      <c r="I72" s="601">
        <f t="shared" si="18"/>
        <v>-139286.02476116037</v>
      </c>
      <c r="J72" s="602">
        <f t="shared" si="19"/>
        <v>-0.14402249668323955</v>
      </c>
      <c r="K72" s="601">
        <v>1010470.0539090531</v>
      </c>
      <c r="L72" s="601">
        <f t="shared" si="20"/>
        <v>43357.082193922251</v>
      </c>
      <c r="M72" s="602">
        <f t="shared" si="21"/>
        <v>4.4831455540328899E-2</v>
      </c>
      <c r="N72" s="889">
        <v>918244.32161613076</v>
      </c>
      <c r="O72" s="601">
        <f t="shared" si="22"/>
        <v>-48868.650099000079</v>
      </c>
      <c r="P72" s="602">
        <f t="shared" si="23"/>
        <v>-5.0530446316249644E-2</v>
      </c>
      <c r="Q72" s="889">
        <v>969084.38814230065</v>
      </c>
      <c r="R72" s="601">
        <f t="shared" si="24"/>
        <v>1971.41642716981</v>
      </c>
      <c r="S72" s="602">
        <f t="shared" si="1"/>
        <v>2.0384551596630877E-3</v>
      </c>
      <c r="T72" s="889">
        <v>1048190.1847778695</v>
      </c>
      <c r="U72" s="601">
        <f t="shared" si="25"/>
        <v>81077.21306273865</v>
      </c>
      <c r="V72" s="602">
        <f t="shared" si="2"/>
        <v>8.3834273175916463E-2</v>
      </c>
      <c r="W72" s="890">
        <v>945522.00556242792</v>
      </c>
      <c r="X72" s="601">
        <f t="shared" si="26"/>
        <v>-21590.966152702924</v>
      </c>
      <c r="Y72" s="602">
        <f t="shared" si="3"/>
        <v>-2.2325174808080928E-2</v>
      </c>
      <c r="Z72" s="890">
        <v>972701.52359647793</v>
      </c>
      <c r="AA72" s="601">
        <f t="shared" si="27"/>
        <v>5588.5518813470844</v>
      </c>
      <c r="AB72" s="602">
        <f t="shared" si="4"/>
        <v>5.7785926202975459E-3</v>
      </c>
      <c r="AC72" s="891">
        <v>952384.93873850419</v>
      </c>
      <c r="AD72" s="601">
        <f t="shared" si="28"/>
        <v>-14728.032976626651</v>
      </c>
      <c r="AE72" s="602">
        <f t="shared" si="5"/>
        <v>-1.5228865093709947E-2</v>
      </c>
      <c r="AF72" s="683">
        <v>952430.00876909879</v>
      </c>
      <c r="AG72" s="601">
        <f t="shared" si="29"/>
        <v>-14682.962946032058</v>
      </c>
      <c r="AH72" s="602">
        <f t="shared" si="6"/>
        <v>-1.5182262440335683E-2</v>
      </c>
      <c r="AI72" s="892">
        <v>992637.51296282804</v>
      </c>
      <c r="AJ72" s="601">
        <f t="shared" si="30"/>
        <v>25524.541247697198</v>
      </c>
      <c r="AK72" s="602">
        <f t="shared" si="7"/>
        <v>2.6392512554588722E-2</v>
      </c>
      <c r="AL72" s="890">
        <v>928330.07592281874</v>
      </c>
      <c r="AM72" s="601">
        <f t="shared" si="31"/>
        <v>-38782.895792312105</v>
      </c>
      <c r="AN72" s="602">
        <f t="shared" si="8"/>
        <v>-4.0101722266771382E-2</v>
      </c>
      <c r="AO72" s="890">
        <v>915379.80435697921</v>
      </c>
      <c r="AP72" s="601">
        <f t="shared" si="32"/>
        <v>-51733.167358151637</v>
      </c>
      <c r="AQ72" s="602">
        <f t="shared" si="9"/>
        <v>-5.3492372526453884E-2</v>
      </c>
      <c r="AR72" s="890">
        <v>1004367.0657856205</v>
      </c>
      <c r="AS72" s="601">
        <f t="shared" si="33"/>
        <v>37254.094070489635</v>
      </c>
      <c r="AT72" s="602">
        <f t="shared" si="10"/>
        <v>3.8520933086463718E-2</v>
      </c>
      <c r="AU72" s="890">
        <v>917261.63080362882</v>
      </c>
      <c r="AV72" s="601">
        <f t="shared" si="34"/>
        <v>-49851.340911502019</v>
      </c>
      <c r="AW72" s="602">
        <f t="shared" si="11"/>
        <v>-5.1546553887177146E-2</v>
      </c>
      <c r="AX72" s="890">
        <v>1008018.1776027046</v>
      </c>
      <c r="AY72" s="601">
        <f t="shared" si="35"/>
        <v>40905.205887573771</v>
      </c>
      <c r="AZ72" s="602">
        <f t="shared" si="12"/>
        <v>4.2296202288580879E-2</v>
      </c>
      <c r="BA72" s="893">
        <v>981693.09948995966</v>
      </c>
      <c r="BB72" s="601">
        <f t="shared" si="36"/>
        <v>14580.127774828812</v>
      </c>
      <c r="BC72" s="602">
        <f t="shared" si="44"/>
        <v>1.5075930321740613E-2</v>
      </c>
      <c r="BD72" s="894">
        <v>1014624.8126483286</v>
      </c>
      <c r="BE72" s="601">
        <f t="shared" si="37"/>
        <v>47511.84093319776</v>
      </c>
      <c r="BF72" s="602">
        <f t="shared" si="38"/>
        <v>4.9127498361373104E-2</v>
      </c>
      <c r="BG72" s="894">
        <v>991347.31393688812</v>
      </c>
      <c r="BH72" s="601">
        <f t="shared" si="39"/>
        <v>24234.342221757281</v>
      </c>
      <c r="BI72" s="602">
        <f t="shared" si="40"/>
        <v>2.5058439841602761E-2</v>
      </c>
      <c r="BJ72" s="894">
        <v>1049185.6011372253</v>
      </c>
      <c r="BK72" s="601">
        <f t="shared" si="41"/>
        <v>82072.62942209444</v>
      </c>
      <c r="BL72" s="602">
        <f t="shared" si="14"/>
        <v>8.4863539030546109E-2</v>
      </c>
      <c r="BM72" s="880">
        <v>950614.29221882159</v>
      </c>
      <c r="BN72" s="601">
        <f t="shared" si="42"/>
        <v>-16498.679496309254</v>
      </c>
      <c r="BO72" s="602">
        <f t="shared" si="15"/>
        <v>-1.7059723092173604E-2</v>
      </c>
      <c r="BP72" s="894">
        <v>1049185.6011372253</v>
      </c>
      <c r="BQ72" s="601">
        <f t="shared" si="43"/>
        <v>82072.62942209444</v>
      </c>
      <c r="BR72" s="602">
        <f t="shared" si="16"/>
        <v>8.4863539030546109E-2</v>
      </c>
      <c r="BS72" s="723"/>
    </row>
    <row r="73" spans="1:71" ht="15.75" thickTop="1" thickBot="1">
      <c r="A73" s="895"/>
      <c r="B73" s="896" t="s">
        <v>131</v>
      </c>
      <c r="C73" s="897">
        <v>126704869.00000003</v>
      </c>
      <c r="D73" s="898"/>
      <c r="E73" s="897">
        <v>126704869</v>
      </c>
      <c r="F73" s="897">
        <f>SUM(F35:F72)</f>
        <v>-1.1918018572032452E-8</v>
      </c>
      <c r="G73" s="899"/>
      <c r="H73" s="897">
        <v>126704868.99999999</v>
      </c>
      <c r="I73" s="897">
        <f>SUM(I35:I72)</f>
        <v>-1.8830178305506706E-8</v>
      </c>
      <c r="J73" s="900"/>
      <c r="K73" s="897">
        <v>126704869</v>
      </c>
      <c r="L73" s="897">
        <f>SUM(L35:L72)</f>
        <v>-1.5381374396383762E-8</v>
      </c>
      <c r="M73" s="901"/>
      <c r="N73" s="902">
        <v>126704869.00000001</v>
      </c>
      <c r="O73" s="897">
        <f>SUM(O35:O72)</f>
        <v>-1.7535057850182056E-9</v>
      </c>
      <c r="P73" s="901"/>
      <c r="Q73" s="897">
        <f>SUM(Q35:Q72)</f>
        <v>126704869.00000003</v>
      </c>
      <c r="R73" s="897">
        <f>SUM(R35:R72)</f>
        <v>9.327777661383152E-9</v>
      </c>
      <c r="S73" s="724"/>
      <c r="T73" s="897">
        <f>SUM(T35:T72)</f>
        <v>126704869.00000003</v>
      </c>
      <c r="U73" s="897">
        <f>SUM(U35:U72)</f>
        <v>1.0375515557825565E-8</v>
      </c>
      <c r="V73" s="724"/>
      <c r="W73" s="903">
        <f>SUM(W35:W72)</f>
        <v>126704868.99999997</v>
      </c>
      <c r="X73" s="897">
        <f>SUM(X35:X72)</f>
        <v>-2.8514477889984846E-8</v>
      </c>
      <c r="Y73" s="724"/>
      <c r="Z73" s="904">
        <f>SUM(Z35:Z72)</f>
        <v>126704868.99999999</v>
      </c>
      <c r="AA73" s="897">
        <f>SUM(AA35:AA72)</f>
        <v>-2.9249349609017372E-8</v>
      </c>
      <c r="AB73" s="724"/>
      <c r="AC73" s="904">
        <f>SUM(AC35:AC72)</f>
        <v>126704869.00000003</v>
      </c>
      <c r="AD73" s="905">
        <f>SUM(AD35:AD72)</f>
        <v>-2.1173036657273769E-9</v>
      </c>
      <c r="AE73" s="724"/>
      <c r="AF73" s="904">
        <f>SUM(AF35:AF72)</f>
        <v>126704869</v>
      </c>
      <c r="AG73" s="897">
        <f>SUM(AG35:AG72)</f>
        <v>-7.2759576141834259E-10</v>
      </c>
      <c r="AH73" s="724"/>
      <c r="AI73" s="904">
        <f>SUM(AI35:AI72)</f>
        <v>126704869.00000003</v>
      </c>
      <c r="AJ73" s="897">
        <f>SUM(AJ35:AJ72)</f>
        <v>-4.1472958400845528E-9</v>
      </c>
      <c r="AK73" s="724"/>
      <c r="AL73" s="904">
        <f>SUM(AL35:AL72)</f>
        <v>126704869</v>
      </c>
      <c r="AM73" s="897">
        <f>SUM(AM35:AM72)</f>
        <v>-1.4289980754256248E-8</v>
      </c>
      <c r="AN73" s="724"/>
      <c r="AO73" s="904"/>
      <c r="AP73" s="897">
        <f>SUM(AP35:AP72)</f>
        <v>-8.2363840192556381E-9</v>
      </c>
      <c r="AQ73" s="724"/>
      <c r="AR73" s="724"/>
      <c r="AS73" s="897">
        <f>SUM(AS35:AS72)</f>
        <v>-4.7293724492192268E-9</v>
      </c>
      <c r="AT73" s="724"/>
      <c r="AU73" s="906">
        <f>SUM(AU35:AU72)</f>
        <v>126704869</v>
      </c>
      <c r="AV73" s="724"/>
      <c r="AW73" s="724"/>
      <c r="AX73" s="906"/>
      <c r="AY73" s="724"/>
      <c r="AZ73" s="724"/>
      <c r="BA73" s="724"/>
      <c r="BB73" s="724"/>
      <c r="BC73" s="724"/>
      <c r="BD73" s="902">
        <f>SUM(BD35:BD72)</f>
        <v>126704868.99999997</v>
      </c>
      <c r="BE73" s="897">
        <f>SUM(BE35:BE72)</f>
        <v>-5.3216353990137577E-8</v>
      </c>
      <c r="BF73" s="724"/>
      <c r="BG73" s="902">
        <f>SUM(BG35:BG72)</f>
        <v>126704869</v>
      </c>
      <c r="BH73" s="897">
        <f>SUM(BH35:BH72)</f>
        <v>-2.3923348635435104E-8</v>
      </c>
      <c r="BI73" s="724"/>
      <c r="BJ73" s="907">
        <f>SUM(BJ35:BJ72)</f>
        <v>126704868.99999999</v>
      </c>
      <c r="BK73" s="897">
        <f>SUM(BK35:BK72)</f>
        <v>-3.5302946344017982E-8</v>
      </c>
      <c r="BL73" s="908"/>
      <c r="BM73" s="902"/>
      <c r="BN73" s="897">
        <f>SUM(BN35:BN72)</f>
        <v>5.6752469390630722E-9</v>
      </c>
      <c r="BO73" s="908"/>
      <c r="BP73" s="902">
        <f>SUM(BP35:BP72)</f>
        <v>126704869</v>
      </c>
      <c r="BQ73" s="897">
        <f>SUM(BQ35:BQ72)</f>
        <v>-3.1810486689209938E-8</v>
      </c>
      <c r="BR73" s="908"/>
    </row>
    <row r="74" spans="1:71" ht="15" thickTop="1">
      <c r="A74" s="909"/>
      <c r="B74" s="910" t="s">
        <v>334</v>
      </c>
      <c r="C74" s="603"/>
      <c r="D74" s="911"/>
      <c r="E74" s="603"/>
      <c r="F74" s="675">
        <f>COUNTIF(F35:F72,0)</f>
        <v>6</v>
      </c>
      <c r="G74" s="588"/>
      <c r="H74" s="603"/>
      <c r="I74" s="675">
        <f>COUNTIF(I35:I72,0)</f>
        <v>6</v>
      </c>
      <c r="J74" s="603"/>
      <c r="K74" s="603"/>
      <c r="L74" s="675">
        <f>COUNTIF(L35:L72,0)</f>
        <v>6</v>
      </c>
      <c r="N74" s="603"/>
      <c r="O74" s="675">
        <f>COUNTIF(O35:O72,0)</f>
        <v>6</v>
      </c>
      <c r="Q74" s="603"/>
      <c r="R74" s="675">
        <f>COUNTIF(R35:R72,0)</f>
        <v>6</v>
      </c>
      <c r="W74" s="912"/>
      <c r="X74" s="675">
        <f>COUNTIF(X35:X72,0)</f>
        <v>6</v>
      </c>
      <c r="Z74" s="912"/>
      <c r="AA74" s="675">
        <f>COUNTIF(AA35:AA72,0)</f>
        <v>6</v>
      </c>
      <c r="AC74" s="912"/>
      <c r="AD74" s="675">
        <f>COUNTIF(AD35:AD72,0)</f>
        <v>6</v>
      </c>
      <c r="AF74" s="912"/>
      <c r="AG74" s="675">
        <f>COUNTIF(AG35:AG72,0)</f>
        <v>6</v>
      </c>
      <c r="AI74" s="912"/>
      <c r="AJ74" s="675">
        <f>COUNTIF(AJ35:AJ72,0)</f>
        <v>6</v>
      </c>
      <c r="AL74" s="912"/>
      <c r="AM74" s="675">
        <f>COUNTIF(AM35:AM72,0)</f>
        <v>5</v>
      </c>
      <c r="AP74" s="675">
        <f>COUNTIF(AP35:AP72,0)</f>
        <v>0</v>
      </c>
      <c r="AS74" s="675">
        <f>COUNTIF(AS35:AS72,0)</f>
        <v>0</v>
      </c>
      <c r="AV74" s="675">
        <f>COUNTIF(AV35:AV72,0)</f>
        <v>0</v>
      </c>
      <c r="AY74" s="675">
        <f>COUNTIF(AY35:AY72,0)</f>
        <v>5</v>
      </c>
      <c r="BB74" s="675">
        <f>COUNTIF(BB35:BB72,0)</f>
        <v>4</v>
      </c>
      <c r="BD74" s="603"/>
      <c r="BE74" s="675">
        <f>COUNTIF(BE35:BE72,0)</f>
        <v>6</v>
      </c>
      <c r="BG74" s="603"/>
      <c r="BH74" s="675">
        <f>COUNTIF(BH35:BH72,0)</f>
        <v>6</v>
      </c>
      <c r="BJ74" s="603"/>
      <c r="BK74" s="675">
        <f>COUNTIF(BK35:BK72,0)</f>
        <v>6</v>
      </c>
      <c r="BN74" s="675">
        <f>COUNTIF(BN35:BN72,0)</f>
        <v>6</v>
      </c>
      <c r="BP74" s="603"/>
      <c r="BQ74" s="675">
        <f>COUNTIF(BQ35:BQ72,0)</f>
        <v>6</v>
      </c>
    </row>
    <row r="75" spans="1:71">
      <c r="A75" s="909"/>
      <c r="B75" s="910" t="s">
        <v>335</v>
      </c>
      <c r="C75" s="603"/>
      <c r="D75" s="911"/>
      <c r="E75" s="603"/>
      <c r="F75" s="675">
        <f>COUNTIF(F35:F72,"&lt;0")</f>
        <v>21</v>
      </c>
      <c r="G75" s="588"/>
      <c r="H75" s="603"/>
      <c r="I75" s="675">
        <f>COUNTIF(I35:I72,"&lt;0")</f>
        <v>21</v>
      </c>
      <c r="J75" s="603"/>
      <c r="K75" s="603"/>
      <c r="L75" s="675">
        <f>COUNTIF(L35:L72,"&lt;0")</f>
        <v>7</v>
      </c>
      <c r="N75" s="603"/>
      <c r="O75" s="675">
        <f>COUNTIF(O35:O72,"&lt;0")</f>
        <v>22</v>
      </c>
      <c r="Q75" s="603"/>
      <c r="R75" s="675">
        <f>COUNTIF(R35:R72,"&lt;0")</f>
        <v>11</v>
      </c>
      <c r="W75" s="912"/>
      <c r="X75" s="675">
        <f>COUNTIF(X35:X72,"&lt;0")</f>
        <v>30</v>
      </c>
      <c r="Z75" s="912"/>
      <c r="AA75" s="675">
        <f>COUNTIF(AA35:AA72,"&lt;0")</f>
        <v>15</v>
      </c>
      <c r="AC75" s="912"/>
      <c r="AD75" s="675">
        <f>COUNTIF(AD35:AD72,"&lt;0")</f>
        <v>26</v>
      </c>
      <c r="AF75" s="912"/>
      <c r="AG75" s="675">
        <f>COUNTIF(AG35:AG72,"&lt;0")</f>
        <v>24</v>
      </c>
      <c r="AI75" s="912"/>
      <c r="AJ75" s="675">
        <f>COUNTIF(AJ35:AJ72,"&lt;0")</f>
        <v>12</v>
      </c>
      <c r="AL75" s="912"/>
      <c r="AM75" s="675">
        <f>COUNTIF(AM35:AM72,"&lt;0")</f>
        <v>29</v>
      </c>
      <c r="AP75" s="675">
        <f>COUNTIF(AP35:AP72,"&lt;0")</f>
        <v>29</v>
      </c>
      <c r="AS75" s="675">
        <f>COUNTIF(AS35:AS72,"&lt;0")</f>
        <v>14</v>
      </c>
      <c r="AV75" s="675">
        <f>COUNTIF(AV35:AV72,"&lt;0")</f>
        <v>28</v>
      </c>
      <c r="AY75" s="675">
        <f>COUNTIF(AY35:AY72,"&lt;0")</f>
        <v>13</v>
      </c>
      <c r="BB75" s="675">
        <f>COUNTIF(BB35:BB72,"&lt;0")</f>
        <v>5</v>
      </c>
      <c r="BD75" s="603"/>
      <c r="BE75" s="675">
        <f>COUNTIF(BE35:BE72,"&lt;0")</f>
        <v>8</v>
      </c>
      <c r="BG75" s="603"/>
      <c r="BH75" s="675">
        <f>COUNTIF(BH35:BH72,"&lt;0")</f>
        <v>10</v>
      </c>
      <c r="BJ75" s="603"/>
      <c r="BK75" s="675">
        <f>COUNTIF(BK35:BK72,"&lt;0")</f>
        <v>8</v>
      </c>
      <c r="BN75" s="675">
        <f>COUNTIF(BN35:BN72,"&lt;0")</f>
        <v>14</v>
      </c>
      <c r="BP75" s="603"/>
      <c r="BQ75" s="675">
        <f>COUNTIF(BQ35:BQ72,"&lt;0")</f>
        <v>8</v>
      </c>
    </row>
    <row r="76" spans="1:71">
      <c r="A76" s="909"/>
      <c r="B76" s="910" t="s">
        <v>336</v>
      </c>
      <c r="C76" s="603"/>
      <c r="D76" s="911"/>
      <c r="E76" s="603"/>
      <c r="F76" s="675">
        <f>COUNTIF(F35:F72,"&gt;0")</f>
        <v>11</v>
      </c>
      <c r="G76" s="588"/>
      <c r="H76" s="603"/>
      <c r="I76" s="675">
        <f>COUNTIF(I35:I72,"&gt;0")</f>
        <v>11</v>
      </c>
      <c r="J76" s="603"/>
      <c r="K76" s="603"/>
      <c r="L76" s="675">
        <f>COUNTIF(L35:L72,"&gt;0")</f>
        <v>25</v>
      </c>
      <c r="N76" s="603"/>
      <c r="O76" s="675">
        <f>COUNTIF(O35:O72,"&gt;0")</f>
        <v>10</v>
      </c>
      <c r="Q76" s="603"/>
      <c r="R76" s="675">
        <f>COUNTIF(R35:R72,"&gt;0")</f>
        <v>21</v>
      </c>
      <c r="W76" s="912"/>
      <c r="X76" s="675">
        <f>COUNTIF(X35:X72,"&gt;0")</f>
        <v>2</v>
      </c>
      <c r="Z76" s="912"/>
      <c r="AA76" s="675">
        <f>COUNTIF(AA35:AA72,"&gt;0")</f>
        <v>17</v>
      </c>
      <c r="AC76" s="912"/>
      <c r="AD76" s="675">
        <f>COUNTIF(AD35:AD72,"&gt;0")</f>
        <v>6</v>
      </c>
      <c r="AF76" s="912"/>
      <c r="AG76" s="675">
        <f>COUNTIF(AG35:AG72,"&gt;0")</f>
        <v>8</v>
      </c>
      <c r="AI76" s="912"/>
      <c r="AJ76" s="675">
        <f>COUNTIF(AJ35:AJ72,"&gt;0")</f>
        <v>20</v>
      </c>
      <c r="AL76" s="912"/>
      <c r="AM76" s="675">
        <f>COUNTIF(AM35:AM72,"&gt;0")</f>
        <v>4</v>
      </c>
      <c r="AP76" s="675">
        <f>COUNTIF(AP35:AP72,"&gt;0")</f>
        <v>9</v>
      </c>
      <c r="AS76" s="675">
        <f>COUNTIF(AS35:AS72,"&gt;0")</f>
        <v>24</v>
      </c>
      <c r="AV76" s="675">
        <f>COUNTIF(AV35:AV72,"&gt;0")</f>
        <v>10</v>
      </c>
      <c r="AY76" s="675">
        <f>COUNTIF(AY35:AY72,"&gt;0")</f>
        <v>20</v>
      </c>
      <c r="BB76" s="675">
        <f>COUNTIF(BB35:BB72,"&gt;0")</f>
        <v>29</v>
      </c>
      <c r="BD76" s="603"/>
      <c r="BE76" s="675">
        <f>COUNTIF(BE35:BE72,"&gt;0")</f>
        <v>24</v>
      </c>
      <c r="BG76" s="603"/>
      <c r="BH76" s="675">
        <f>COUNTIF(BH35:BH72,"&gt;0")</f>
        <v>22</v>
      </c>
      <c r="BJ76" s="603"/>
      <c r="BK76" s="675">
        <f>COUNTIF(BK35:BK72,"&gt;0")</f>
        <v>24</v>
      </c>
      <c r="BN76" s="675">
        <f>COUNTIF(BN35:BN72,"&gt;0")</f>
        <v>18</v>
      </c>
      <c r="BP76" s="603"/>
      <c r="BQ76" s="675">
        <f>COUNTIF(BQ35:BQ72,"&gt;0")</f>
        <v>24</v>
      </c>
    </row>
    <row r="77" spans="1:71">
      <c r="A77" s="909"/>
      <c r="B77" s="910"/>
      <c r="C77" s="603"/>
      <c r="D77" s="911"/>
      <c r="E77" s="603" t="s">
        <v>337</v>
      </c>
      <c r="F77" s="675"/>
      <c r="G77" s="588"/>
      <c r="H77" s="603" t="s">
        <v>337</v>
      </c>
      <c r="I77" s="675"/>
      <c r="J77" s="603"/>
      <c r="K77" s="603" t="s">
        <v>337</v>
      </c>
      <c r="L77" s="675"/>
      <c r="N77" s="603" t="s">
        <v>337</v>
      </c>
      <c r="O77" s="675"/>
      <c r="Q77" s="603" t="s">
        <v>337</v>
      </c>
      <c r="R77" s="675"/>
      <c r="T77" s="603" t="s">
        <v>337</v>
      </c>
      <c r="U77" s="675"/>
      <c r="W77" s="603" t="s">
        <v>337</v>
      </c>
      <c r="X77" s="675"/>
      <c r="Z77" s="603" t="s">
        <v>337</v>
      </c>
      <c r="AA77" s="675"/>
      <c r="AC77" s="603" t="s">
        <v>337</v>
      </c>
      <c r="AD77" s="675"/>
      <c r="AF77" s="603" t="s">
        <v>337</v>
      </c>
      <c r="AG77" s="675"/>
      <c r="AI77" s="603" t="s">
        <v>337</v>
      </c>
      <c r="AJ77" s="675"/>
      <c r="AL77" s="603" t="s">
        <v>337</v>
      </c>
      <c r="AM77" s="675"/>
      <c r="AO77" s="603" t="s">
        <v>337</v>
      </c>
      <c r="AP77" s="675"/>
      <c r="AR77" s="603" t="s">
        <v>337</v>
      </c>
      <c r="AS77" s="675"/>
      <c r="AU77" s="603" t="s">
        <v>337</v>
      </c>
      <c r="AV77" s="675"/>
      <c r="AX77" s="603" t="s">
        <v>337</v>
      </c>
      <c r="AY77" s="675"/>
      <c r="BA77" s="603" t="s">
        <v>337</v>
      </c>
      <c r="BB77" s="675"/>
      <c r="BD77" s="603" t="s">
        <v>337</v>
      </c>
      <c r="BE77" s="675"/>
      <c r="BG77" s="603" t="s">
        <v>337</v>
      </c>
      <c r="BH77" s="675"/>
      <c r="BJ77" s="603" t="s">
        <v>337</v>
      </c>
      <c r="BK77" s="675"/>
      <c r="BM77" s="603" t="s">
        <v>337</v>
      </c>
      <c r="BN77" s="675"/>
      <c r="BP77" s="603" t="s">
        <v>337</v>
      </c>
      <c r="BQ77" s="675"/>
    </row>
    <row r="78" spans="1:71" ht="15">
      <c r="A78" s="913" t="s">
        <v>82</v>
      </c>
      <c r="B78" s="910"/>
      <c r="C78" s="914">
        <f>SUMIF($A$35:$A$72,$A78,C$35:C$72)</f>
        <v>2084998.4197069572</v>
      </c>
      <c r="D78" s="911"/>
      <c r="E78" s="913" t="s">
        <v>82</v>
      </c>
      <c r="F78" s="689">
        <f>SUMIF($A$35:$A$72,$A78,F$35:F$72)</f>
        <v>-86451.973873186696</v>
      </c>
      <c r="G78" s="611">
        <f>F78/$C78</f>
        <v>-4.1463807864821962E-2</v>
      </c>
      <c r="H78" s="913" t="s">
        <v>82</v>
      </c>
      <c r="I78" s="689">
        <f>SUMIF($A$35:$A$72,$A78,I$35:I$72)</f>
        <v>-125532.21629909617</v>
      </c>
      <c r="J78" s="611">
        <f>I78/$C78</f>
        <v>-6.0207343618389648E-2</v>
      </c>
      <c r="K78" s="914">
        <f>SUMIF($A$35:$A$72,$A78,K$35:K$72)</f>
        <v>2187923.7118167072</v>
      </c>
      <c r="L78" s="689">
        <f>SUMIF($A$35:$A$72,$A78,L$35:L$72)</f>
        <v>102925.29210975005</v>
      </c>
      <c r="M78" s="611">
        <f>L78/$C78</f>
        <v>4.9364685909074224E-2</v>
      </c>
      <c r="N78" s="913" t="s">
        <v>82</v>
      </c>
      <c r="O78" s="689">
        <f>SUMIF($A$35:$A$72,$A78,O$35:O$72)</f>
        <v>-48571.125922500767</v>
      </c>
      <c r="P78" s="611">
        <f>O78/$C78</f>
        <v>-2.3295521696043948E-2</v>
      </c>
      <c r="Q78" s="913" t="s">
        <v>82</v>
      </c>
      <c r="R78" s="689">
        <f>SUMIF($A$35:$A$72,$A78,R$35:R$72)</f>
        <v>136794.59812009663</v>
      </c>
      <c r="S78" s="611">
        <f>R78/$C78</f>
        <v>6.5608969688966415E-2</v>
      </c>
      <c r="T78" s="913" t="s">
        <v>82</v>
      </c>
      <c r="U78" s="689">
        <f>SUMIF($A$35:$A$72,$A78,U$35:U$72)</f>
        <v>25922.757396137415</v>
      </c>
      <c r="V78" s="611">
        <f>U78/$C78</f>
        <v>1.2432986591798383E-2</v>
      </c>
      <c r="W78" s="913" t="s">
        <v>82</v>
      </c>
      <c r="X78" s="689">
        <f>SUMIF($A$35:$A$72,$A78,X$35:X$72)</f>
        <v>-46771.58246565696</v>
      </c>
      <c r="Y78" s="611">
        <f>X78/$C78</f>
        <v>-2.2432430654902184E-2</v>
      </c>
      <c r="Z78" s="914">
        <f>SUMIF($A$35:$A$72,$A78,Z$35:Z$72)</f>
        <v>2070081.373183927</v>
      </c>
      <c r="AA78" s="689">
        <f>SUMIF($A$35:$A$72,$A78,AA$35:AA$72)</f>
        <v>-14917.046523030149</v>
      </c>
      <c r="AB78" s="611">
        <f>AA78/$C78</f>
        <v>-7.1544641866571361E-3</v>
      </c>
      <c r="AC78" s="913" t="s">
        <v>82</v>
      </c>
      <c r="AD78" s="689">
        <f>SUMIF($A$35:$A$72,$A78,AD$35:AD$72)</f>
        <v>-35329.238220998028</v>
      </c>
      <c r="AE78" s="611">
        <f>AD78/$C78</f>
        <v>-1.6944491605880206E-2</v>
      </c>
      <c r="AF78" s="913" t="s">
        <v>82</v>
      </c>
      <c r="AG78" s="689">
        <f>SUMIF($A$35:$A$72,$A78,AG$35:AG$72)</f>
        <v>-25011.194040169838</v>
      </c>
      <c r="AH78" s="611">
        <f>AG78/$C78</f>
        <v>-1.1995785610084594E-2</v>
      </c>
      <c r="AI78" s="913" t="s">
        <v>82</v>
      </c>
      <c r="AJ78" s="689">
        <f>SUMIF($A$35:$A$72,$A78,AJ$35:AJ$72)</f>
        <v>1854.534097742915</v>
      </c>
      <c r="AK78" s="611">
        <f>AJ78/$C78</f>
        <v>8.8946546923693423E-4</v>
      </c>
      <c r="AL78" s="913" t="s">
        <v>82</v>
      </c>
      <c r="AM78" s="689">
        <f>SUMIF($A$35:$A$72,$A78,AM$35:AM$72)</f>
        <v>-88188.744921957696</v>
      </c>
      <c r="AN78" s="611">
        <f>AM78/$C78</f>
        <v>-4.2296792212606314E-2</v>
      </c>
      <c r="AO78" s="913" t="s">
        <v>82</v>
      </c>
      <c r="AP78" s="689">
        <f>SUMIF($A$35:$A$72,$A78,AP$35:AP$72)</f>
        <v>-84642.780080198791</v>
      </c>
      <c r="AQ78" s="611">
        <f>AP78/$C78</f>
        <v>-4.059608836158983E-2</v>
      </c>
      <c r="AR78" s="913" t="s">
        <v>82</v>
      </c>
      <c r="AS78" s="689">
        <f>SUMIF($A$35:$A$72,$A78,AS$35:AS$72)</f>
        <v>-45482.736953921558</v>
      </c>
      <c r="AT78" s="611">
        <f>AS78/$C78</f>
        <v>-2.1814278861810397E-2</v>
      </c>
      <c r="AU78" s="913" t="s">
        <v>82</v>
      </c>
      <c r="AV78" s="689">
        <f>SUMIF($A$35:$A$72,$A78,AV$35:AV$72)</f>
        <v>-78694.922394222303</v>
      </c>
      <c r="AW78" s="611">
        <f>AV78/$C78</f>
        <v>-3.7743396661798302E-2</v>
      </c>
      <c r="AX78" s="913" t="s">
        <v>82</v>
      </c>
      <c r="AY78" s="689">
        <f>SUMIF($A$35:$A$72,$A78,AY$35:AY$72)</f>
        <v>-36016.565828550854</v>
      </c>
      <c r="AZ78" s="611">
        <f>AY78/$C78</f>
        <v>-1.727414538453843E-2</v>
      </c>
      <c r="BA78" s="913" t="s">
        <v>82</v>
      </c>
      <c r="BB78" s="689">
        <f>SUMIF($A$35:$A$72,$A78,BB$35:BB$72)</f>
        <v>29798.089159652081</v>
      </c>
      <c r="BC78" s="611">
        <f>BB78/$C78</f>
        <v>1.4291660309191098E-2</v>
      </c>
      <c r="BD78" s="913" t="s">
        <v>82</v>
      </c>
      <c r="BE78" s="689">
        <f>SUMIF($A$35:$A$72,$A78,BE$35:BE$72)</f>
        <v>93092.670600631332</v>
      </c>
      <c r="BF78" s="611">
        <f>BE78/$C78</f>
        <v>4.4648796718855709E-2</v>
      </c>
      <c r="BG78" s="913" t="s">
        <v>82</v>
      </c>
      <c r="BH78" s="689">
        <f>SUMIF($A$35:$A$72,$A78,BH$35:BH$72)</f>
        <v>81445.13335655065</v>
      </c>
      <c r="BI78" s="611">
        <f>BH78/$C78</f>
        <v>3.9062443686646832E-2</v>
      </c>
      <c r="BJ78" s="914">
        <f>SUMIF($A$35:$A$72,$A78,BJ$35:BJ$72)</f>
        <v>2206589.5906110718</v>
      </c>
      <c r="BK78" s="689">
        <f>SUMIF($A$35:$A$72,$A78,BK$35:BK$72)</f>
        <v>121591.1709041148</v>
      </c>
      <c r="BL78" s="611">
        <f>BK78/$C78</f>
        <v>5.8317152547868227E-2</v>
      </c>
      <c r="BM78" s="914">
        <f>SUMIF($A$35:$A$72,$A78,BM$35:BM$72)</f>
        <v>1990378.0150724747</v>
      </c>
      <c r="BN78" s="689">
        <f>SUMIF($A$35:$A$72,$A78,BN$35:BN$72)</f>
        <v>-94620.404634482285</v>
      </c>
      <c r="BO78" s="611">
        <f>BN78/$C78</f>
        <v>-4.5381523429538627E-2</v>
      </c>
      <c r="BP78" s="913" t="s">
        <v>82</v>
      </c>
      <c r="BQ78" s="689">
        <f>SUMIF($A$35:$A$72,$A78,BQ$35:BQ$72)</f>
        <v>121591.1709041147</v>
      </c>
      <c r="BR78" s="611">
        <f>BQ78/$C78</f>
        <v>5.8317152547868178E-2</v>
      </c>
      <c r="BS78" s="723"/>
    </row>
    <row r="79" spans="1:71" ht="15">
      <c r="A79" s="477" t="s">
        <v>88</v>
      </c>
      <c r="B79" s="910"/>
      <c r="C79" s="914">
        <f t="shared" ref="C79:C87" si="45">SUMIF($A$35:$A$72,$A79,C$35:C$72)</f>
        <v>3555341.5023277341</v>
      </c>
      <c r="D79" s="911"/>
      <c r="E79" s="913" t="s">
        <v>88</v>
      </c>
      <c r="F79" s="689">
        <f t="shared" ref="F79:F87" si="46">SUMIF($A$35:$A$72,$A79,F$35:F$72)</f>
        <v>162632.83992687101</v>
      </c>
      <c r="G79" s="611">
        <f t="shared" ref="G79:G87" si="47">F79/$C79</f>
        <v>4.5743240085486275E-2</v>
      </c>
      <c r="H79" s="913" t="s">
        <v>88</v>
      </c>
      <c r="I79" s="689">
        <f t="shared" ref="I79:I87" si="48">SUMIF($A$35:$A$72,$A79,I$35:I$72)</f>
        <v>259466.70850100461</v>
      </c>
      <c r="J79" s="611">
        <f t="shared" ref="J79:J87" si="49">I79/$C79</f>
        <v>7.2979405306389827E-2</v>
      </c>
      <c r="K79" s="914">
        <f t="shared" ref="K79:L87" si="50">SUMIF($A$35:$A$72,$A79,K$35:K$72)</f>
        <v>3574297.6516224272</v>
      </c>
      <c r="L79" s="689">
        <f t="shared" si="50"/>
        <v>18956.149294693023</v>
      </c>
      <c r="M79" s="611">
        <f t="shared" ref="M79:M87" si="51">L79/$C79</f>
        <v>5.3317379729295074E-3</v>
      </c>
      <c r="N79" s="913" t="s">
        <v>88</v>
      </c>
      <c r="O79" s="689">
        <f t="shared" ref="O79:O87" si="52">SUMIF($A$35:$A$72,$A79,O$35:O$72)</f>
        <v>69109.106551010162</v>
      </c>
      <c r="P79" s="611">
        <f t="shared" ref="P79:P87" si="53">O79/$C79</f>
        <v>1.9438106439497702E-2</v>
      </c>
      <c r="Q79" s="913" t="s">
        <v>88</v>
      </c>
      <c r="R79" s="689">
        <f t="shared" ref="R79:R87" si="54">SUMIF($A$35:$A$72,$A79,R$35:R$72)</f>
        <v>230449.12346654199</v>
      </c>
      <c r="S79" s="611">
        <f t="shared" ref="S79:S87" si="55">R79/$C79</f>
        <v>6.4817718161719079E-2</v>
      </c>
      <c r="T79" s="913" t="s">
        <v>88</v>
      </c>
      <c r="U79" s="689">
        <f t="shared" ref="U79:U87" si="56">SUMIF($A$35:$A$72,$A79,U$35:U$72)</f>
        <v>-245699.29748339811</v>
      </c>
      <c r="V79" s="611">
        <f t="shared" ref="V79:V87" si="57">U79/$C79</f>
        <v>-6.9107087834610309E-2</v>
      </c>
      <c r="W79" s="913" t="s">
        <v>88</v>
      </c>
      <c r="X79" s="689">
        <f t="shared" ref="X79:X87" si="58">SUMIF($A$35:$A$72,$A79,X$35:X$72)</f>
        <v>-74872.300694478676</v>
      </c>
      <c r="Y79" s="611">
        <f t="shared" ref="Y79:Y87" si="59">X79/$C79</f>
        <v>-2.1059102380308243E-2</v>
      </c>
      <c r="Z79" s="914">
        <f t="shared" ref="Z79:AA87" si="60">SUMIF($A$35:$A$72,$A79,Z$35:Z$72)</f>
        <v>3529319.6314742882</v>
      </c>
      <c r="AA79" s="689">
        <f t="shared" si="60"/>
        <v>-26021.870853445958</v>
      </c>
      <c r="AB79" s="611">
        <f t="shared" ref="AB79:AB87" si="61">AA79/$C79</f>
        <v>-7.3190918049388671E-3</v>
      </c>
      <c r="AC79" s="913" t="s">
        <v>88</v>
      </c>
      <c r="AD79" s="689">
        <f t="shared" ref="AD79:AD87" si="62">SUMIF($A$35:$A$72,$A79,AD$35:AD$72)</f>
        <v>-11787.086903895251</v>
      </c>
      <c r="AE79" s="611">
        <f t="shared" ref="AE79:AE87" si="63">AD79/$C79</f>
        <v>-3.3153177820409302E-3</v>
      </c>
      <c r="AF79" s="913" t="s">
        <v>88</v>
      </c>
      <c r="AG79" s="689">
        <f t="shared" ref="AG79:AG87" si="64">SUMIF($A$35:$A$72,$A79,AG$35:AG$72)</f>
        <v>6153.5681899068877</v>
      </c>
      <c r="AH79" s="611">
        <f t="shared" ref="AH79:AH87" si="65">AG79/$C79</f>
        <v>1.7307952515610825E-3</v>
      </c>
      <c r="AI79" s="913" t="s">
        <v>88</v>
      </c>
      <c r="AJ79" s="689">
        <f t="shared" ref="AJ79:AJ87" si="66">SUMIF($A$35:$A$72,$A79,AJ$35:AJ$72)</f>
        <v>-86126.918887262698</v>
      </c>
      <c r="AK79" s="611">
        <f t="shared" ref="AK79:AK87" si="67">AJ79/$C79</f>
        <v>-2.4224654321075526E-2</v>
      </c>
      <c r="AL79" s="913" t="s">
        <v>88</v>
      </c>
      <c r="AM79" s="689">
        <f t="shared" ref="AM79:AM87" si="68">SUMIF($A$35:$A$72,$A79,AM$35:AM$72)</f>
        <v>-469.73480276856571</v>
      </c>
      <c r="AN79" s="611">
        <f t="shared" ref="AN79:AN87" si="69">AM79/$C79</f>
        <v>-1.3212086728125089E-4</v>
      </c>
      <c r="AO79" s="913" t="s">
        <v>88</v>
      </c>
      <c r="AP79" s="689">
        <f t="shared" ref="AP79:AP87" si="70">SUMIF($A$35:$A$72,$A79,AP$35:AP$72)</f>
        <v>-27638.456325765699</v>
      </c>
      <c r="AQ79" s="611">
        <f t="shared" ref="AQ79:AQ87" si="71">AP79/$C79</f>
        <v>-7.7737838426126986E-3</v>
      </c>
      <c r="AR79" s="913" t="s">
        <v>88</v>
      </c>
      <c r="AS79" s="689">
        <f t="shared" ref="AS79:AS87" si="72">SUMIF($A$35:$A$72,$A79,AS$35:AS$72)</f>
        <v>-255726.13529216498</v>
      </c>
      <c r="AT79" s="611">
        <f t="shared" ref="AT79:AT87" si="73">AS79/$C79</f>
        <v>-7.1927305752411505E-2</v>
      </c>
      <c r="AU79" s="913" t="s">
        <v>88</v>
      </c>
      <c r="AV79" s="689">
        <f t="shared" ref="AV79:AV87" si="74">SUMIF($A$35:$A$72,$A79,AV$35:AV$72)</f>
        <v>-4518.2306235637516</v>
      </c>
      <c r="AW79" s="611">
        <f t="shared" ref="AW79:AW87" si="75">AV79/$C79</f>
        <v>-1.2708288699146341E-3</v>
      </c>
      <c r="AX79" s="913" t="s">
        <v>88</v>
      </c>
      <c r="AY79" s="689">
        <f t="shared" ref="AY79:AY87" si="76">SUMIF($A$35:$A$72,$A79,AY$35:AY$72)</f>
        <v>-217198.31152455602</v>
      </c>
      <c r="AZ79" s="611">
        <f t="shared" ref="AZ79:AZ87" si="77">AY79/$C79</f>
        <v>-6.1090702927511495E-2</v>
      </c>
      <c r="BA79" s="913" t="s">
        <v>88</v>
      </c>
      <c r="BB79" s="689">
        <f t="shared" ref="BB79:BB87" si="78">SUMIF($A$35:$A$72,$A79,BB$35:BB$72)</f>
        <v>-691516.77921031835</v>
      </c>
      <c r="BC79" s="611">
        <f t="shared" ref="BC79:BC87" si="79">BB79/$C79</f>
        <v>-0.19450080358175781</v>
      </c>
      <c r="BD79" s="913" t="s">
        <v>88</v>
      </c>
      <c r="BE79" s="689">
        <f t="shared" ref="BE79:BE87" si="80">SUMIF($A$35:$A$72,$A79,BE$35:BE$72)</f>
        <v>-14691.613045838661</v>
      </c>
      <c r="BF79" s="611">
        <f t="shared" ref="BF79:BF87" si="81">BE79/$C79</f>
        <v>-4.1322649416996506E-3</v>
      </c>
      <c r="BG79" s="913" t="s">
        <v>88</v>
      </c>
      <c r="BH79" s="689">
        <f t="shared" ref="BH79:BH87" si="82">SUMIF($A$35:$A$72,$A79,BH$35:BH$72)</f>
        <v>27631.918966777157</v>
      </c>
      <c r="BI79" s="611">
        <f t="shared" ref="BI79:BI87" si="83">BH79/$C79</f>
        <v>7.7719450997003059E-3</v>
      </c>
      <c r="BJ79" s="914">
        <f t="shared" ref="BJ79:BK87" si="84">SUMIF($A$35:$A$72,$A79,BJ$35:BJ$72)</f>
        <v>3357523.9883526759</v>
      </c>
      <c r="BK79" s="689">
        <f t="shared" si="84"/>
        <v>-197817.51397505822</v>
      </c>
      <c r="BL79" s="611">
        <f t="shared" ref="BL79:BL87" si="85">BK79/$C79</f>
        <v>-5.5639525442364453E-2</v>
      </c>
      <c r="BM79" s="914">
        <f t="shared" ref="BM79:BN87" si="86">SUMIF($A$35:$A$72,$A79,BM$35:BM$72)</f>
        <v>3405151.7738312092</v>
      </c>
      <c r="BN79" s="689">
        <f t="shared" si="86"/>
        <v>-150189.72849652497</v>
      </c>
      <c r="BO79" s="611">
        <f t="shared" ref="BO79:BO87" si="87">BN79/$C79</f>
        <v>-4.2243404296941255E-2</v>
      </c>
      <c r="BP79" s="913" t="s">
        <v>88</v>
      </c>
      <c r="BQ79" s="689">
        <f t="shared" ref="BQ79:BQ87" si="88">SUMIF($A$35:$A$72,$A79,BQ$35:BQ$72)</f>
        <v>-197817.51397505822</v>
      </c>
      <c r="BR79" s="611">
        <f t="shared" ref="BR79:BR87" si="89">BQ79/$C79</f>
        <v>-5.5639525442364453E-2</v>
      </c>
      <c r="BS79" s="723"/>
    </row>
    <row r="80" spans="1:71" ht="15">
      <c r="A80" s="477" t="s">
        <v>90</v>
      </c>
      <c r="B80" s="910"/>
      <c r="C80" s="914">
        <f t="shared" si="45"/>
        <v>1077295.1346554393</v>
      </c>
      <c r="D80" s="911"/>
      <c r="E80" s="913" t="s">
        <v>90</v>
      </c>
      <c r="F80" s="689">
        <f t="shared" si="46"/>
        <v>-45206.658428444876</v>
      </c>
      <c r="G80" s="611">
        <f t="shared" si="47"/>
        <v>-4.1963113889773314E-2</v>
      </c>
      <c r="H80" s="913" t="s">
        <v>90</v>
      </c>
      <c r="I80" s="689">
        <f t="shared" si="48"/>
        <v>-65467.154211751418</v>
      </c>
      <c r="J80" s="611">
        <f t="shared" si="49"/>
        <v>-6.0769933981638512E-2</v>
      </c>
      <c r="K80" s="914">
        <f t="shared" si="50"/>
        <v>1056543.1323010216</v>
      </c>
      <c r="L80" s="689">
        <f t="shared" si="50"/>
        <v>-20752.002354417695</v>
      </c>
      <c r="M80" s="611">
        <f t="shared" si="51"/>
        <v>-1.9263061427502861E-2</v>
      </c>
      <c r="N80" s="913" t="s">
        <v>90</v>
      </c>
      <c r="O80" s="689">
        <f t="shared" si="52"/>
        <v>-25543.506766952109</v>
      </c>
      <c r="P80" s="611">
        <f t="shared" si="53"/>
        <v>-2.3710778917721477E-2</v>
      </c>
      <c r="Q80" s="913" t="s">
        <v>90</v>
      </c>
      <c r="R80" s="689">
        <f t="shared" si="54"/>
        <v>-81558.139313355088</v>
      </c>
      <c r="S80" s="611">
        <f t="shared" si="55"/>
        <v>-7.5706402720773947E-2</v>
      </c>
      <c r="T80" s="913" t="s">
        <v>90</v>
      </c>
      <c r="U80" s="689">
        <f t="shared" si="56"/>
        <v>-55796.566820898559</v>
      </c>
      <c r="V80" s="611">
        <f t="shared" si="57"/>
        <v>-5.17932041331872E-2</v>
      </c>
      <c r="W80" s="913" t="s">
        <v>90</v>
      </c>
      <c r="X80" s="689">
        <f t="shared" si="58"/>
        <v>-24036.218397723045</v>
      </c>
      <c r="Y80" s="611">
        <f t="shared" si="59"/>
        <v>-2.2311637381905339E-2</v>
      </c>
      <c r="Z80" s="914">
        <f t="shared" si="60"/>
        <v>1081458.7048268749</v>
      </c>
      <c r="AA80" s="689">
        <f t="shared" si="60"/>
        <v>4163.5701714355964</v>
      </c>
      <c r="AB80" s="611">
        <f t="shared" si="61"/>
        <v>3.8648370697109548E-3</v>
      </c>
      <c r="AC80" s="913" t="s">
        <v>90</v>
      </c>
      <c r="AD80" s="689">
        <f t="shared" si="62"/>
        <v>1452.6622427818365</v>
      </c>
      <c r="AE80" s="611">
        <f t="shared" si="63"/>
        <v>1.3484347938194803E-3</v>
      </c>
      <c r="AF80" s="913" t="s">
        <v>90</v>
      </c>
      <c r="AG80" s="689">
        <f t="shared" si="64"/>
        <v>-8078.1337790256366</v>
      </c>
      <c r="AH80" s="611">
        <f t="shared" si="65"/>
        <v>-7.4985336136409236E-3</v>
      </c>
      <c r="AI80" s="913" t="s">
        <v>90</v>
      </c>
      <c r="AJ80" s="689">
        <f t="shared" si="66"/>
        <v>-26097.102238804568</v>
      </c>
      <c r="AK80" s="611">
        <f t="shared" si="67"/>
        <v>-2.4224654321075564E-2</v>
      </c>
      <c r="AL80" s="913" t="s">
        <v>90</v>
      </c>
      <c r="AM80" s="689">
        <f t="shared" si="68"/>
        <v>-3252.7742313551717</v>
      </c>
      <c r="AN80" s="611">
        <f t="shared" si="69"/>
        <v>-3.019390069366214E-3</v>
      </c>
      <c r="AO80" s="913" t="s">
        <v>90</v>
      </c>
      <c r="AP80" s="689">
        <f t="shared" si="70"/>
        <v>-34192.897283158731</v>
      </c>
      <c r="AQ80" s="611">
        <f t="shared" si="71"/>
        <v>-3.1739582017229609E-2</v>
      </c>
      <c r="AR80" s="913" t="s">
        <v>90</v>
      </c>
      <c r="AS80" s="689">
        <f t="shared" si="72"/>
        <v>-79656.238089793595</v>
      </c>
      <c r="AT80" s="611">
        <f t="shared" si="73"/>
        <v>-7.3940961513086892E-2</v>
      </c>
      <c r="AU80" s="913" t="s">
        <v>90</v>
      </c>
      <c r="AV80" s="689">
        <f t="shared" si="74"/>
        <v>-29760.805185696343</v>
      </c>
      <c r="AW80" s="611">
        <f t="shared" si="75"/>
        <v>-2.7625489272459215E-2</v>
      </c>
      <c r="AX80" s="913" t="s">
        <v>90</v>
      </c>
      <c r="AY80" s="689">
        <f t="shared" si="76"/>
        <v>-72133.178087824606</v>
      </c>
      <c r="AZ80" s="611">
        <f t="shared" si="77"/>
        <v>-6.6957675540691639E-2</v>
      </c>
      <c r="BA80" s="913" t="s">
        <v>90</v>
      </c>
      <c r="BB80" s="689">
        <f t="shared" si="78"/>
        <v>16241.226386015536</v>
      </c>
      <c r="BC80" s="611">
        <f t="shared" si="79"/>
        <v>1.5075930321740578E-2</v>
      </c>
      <c r="BD80" s="913" t="s">
        <v>90</v>
      </c>
      <c r="BE80" s="689">
        <f t="shared" si="80"/>
        <v>-14364.029628640041</v>
      </c>
      <c r="BF80" s="611">
        <f t="shared" si="81"/>
        <v>-1.3333421052935706E-2</v>
      </c>
      <c r="BG80" s="913" t="s">
        <v>90</v>
      </c>
      <c r="BH80" s="689">
        <f t="shared" si="82"/>
        <v>-30495.781246506027</v>
      </c>
      <c r="BI80" s="611">
        <f t="shared" si="83"/>
        <v>-2.8307731340733992E-2</v>
      </c>
      <c r="BJ80" s="914">
        <f t="shared" si="84"/>
        <v>984190.92163969937</v>
      </c>
      <c r="BK80" s="689">
        <f t="shared" si="84"/>
        <v>-93104.213015739922</v>
      </c>
      <c r="BL80" s="611">
        <f t="shared" si="85"/>
        <v>-8.6424054115419591E-2</v>
      </c>
      <c r="BM80" s="914">
        <f t="shared" si="86"/>
        <v>978528.61301992217</v>
      </c>
      <c r="BN80" s="689">
        <f t="shared" si="86"/>
        <v>-98766.521635517129</v>
      </c>
      <c r="BO80" s="611">
        <f t="shared" si="87"/>
        <v>-9.1680096250603124E-2</v>
      </c>
      <c r="BP80" s="913" t="s">
        <v>90</v>
      </c>
      <c r="BQ80" s="689">
        <f t="shared" si="88"/>
        <v>-93104.213015739922</v>
      </c>
      <c r="BR80" s="611">
        <f t="shared" si="89"/>
        <v>-8.6424054115419591E-2</v>
      </c>
      <c r="BS80" s="723"/>
    </row>
    <row r="81" spans="1:71" ht="15">
      <c r="A81" s="477" t="s">
        <v>92</v>
      </c>
      <c r="B81" s="910"/>
      <c r="C81" s="914">
        <f t="shared" si="45"/>
        <v>27898428.100200444</v>
      </c>
      <c r="D81" s="911"/>
      <c r="E81" s="913" t="s">
        <v>92</v>
      </c>
      <c r="F81" s="689">
        <f t="shared" si="46"/>
        <v>-916657.52270124923</v>
      </c>
      <c r="G81" s="611">
        <f t="shared" si="47"/>
        <v>-3.2856959517897112E-2</v>
      </c>
      <c r="H81" s="913" t="s">
        <v>92</v>
      </c>
      <c r="I81" s="689">
        <f t="shared" si="48"/>
        <v>-1368414.5007118979</v>
      </c>
      <c r="J81" s="611">
        <f t="shared" si="49"/>
        <v>-4.9049878215255652E-2</v>
      </c>
      <c r="K81" s="914">
        <f t="shared" si="50"/>
        <v>27575793.364710405</v>
      </c>
      <c r="L81" s="689">
        <f t="shared" si="50"/>
        <v>-322634.73549003887</v>
      </c>
      <c r="M81" s="611">
        <f t="shared" si="51"/>
        <v>-1.1564620570422776E-2</v>
      </c>
      <c r="N81" s="913" t="s">
        <v>92</v>
      </c>
      <c r="O81" s="689">
        <f t="shared" si="52"/>
        <v>-478655.55721215229</v>
      </c>
      <c r="P81" s="611">
        <f t="shared" si="53"/>
        <v>-1.7157079800087849E-2</v>
      </c>
      <c r="Q81" s="913" t="s">
        <v>92</v>
      </c>
      <c r="R81" s="689">
        <f t="shared" si="54"/>
        <v>-1663162.1073718262</v>
      </c>
      <c r="S81" s="611">
        <f t="shared" si="55"/>
        <v>-5.9614903800256643E-2</v>
      </c>
      <c r="T81" s="913" t="s">
        <v>92</v>
      </c>
      <c r="U81" s="689">
        <f t="shared" si="56"/>
        <v>1402070.8819742978</v>
      </c>
      <c r="V81" s="611">
        <f t="shared" si="57"/>
        <v>5.0256268092904642E-2</v>
      </c>
      <c r="W81" s="913" t="s">
        <v>92</v>
      </c>
      <c r="X81" s="689">
        <f t="shared" si="58"/>
        <v>637661.22770645795</v>
      </c>
      <c r="Y81" s="611">
        <f t="shared" si="59"/>
        <v>2.2856528884574557E-2</v>
      </c>
      <c r="Z81" s="914">
        <f t="shared" si="60"/>
        <v>28035982.924613647</v>
      </c>
      <c r="AA81" s="689">
        <f t="shared" si="60"/>
        <v>137554.82441320323</v>
      </c>
      <c r="AB81" s="611">
        <f t="shared" si="61"/>
        <v>4.9305582350073311E-3</v>
      </c>
      <c r="AC81" s="913" t="s">
        <v>92</v>
      </c>
      <c r="AD81" s="689">
        <f t="shared" si="62"/>
        <v>24746.430979681631</v>
      </c>
      <c r="AE81" s="611">
        <f t="shared" si="63"/>
        <v>8.8701882739779996E-4</v>
      </c>
      <c r="AF81" s="913" t="s">
        <v>92</v>
      </c>
      <c r="AG81" s="689">
        <f t="shared" si="64"/>
        <v>-87213.966244893323</v>
      </c>
      <c r="AH81" s="611">
        <f t="shared" si="65"/>
        <v>-3.1261247383420399E-3</v>
      </c>
      <c r="AI81" s="913" t="s">
        <v>92</v>
      </c>
      <c r="AJ81" s="689">
        <f t="shared" si="66"/>
        <v>655145.84798805066</v>
      </c>
      <c r="AK81" s="611">
        <f t="shared" si="67"/>
        <v>2.348325309350829E-2</v>
      </c>
      <c r="AL81" s="913" t="s">
        <v>92</v>
      </c>
      <c r="AM81" s="689">
        <f t="shared" si="68"/>
        <v>-5605.8772040729455</v>
      </c>
      <c r="AN81" s="611">
        <f t="shared" si="69"/>
        <v>-2.0093881934633688E-4</v>
      </c>
      <c r="AO81" s="913" t="s">
        <v>92</v>
      </c>
      <c r="AP81" s="689">
        <f t="shared" si="70"/>
        <v>-720750.12108653865</v>
      </c>
      <c r="AQ81" s="611">
        <f t="shared" si="71"/>
        <v>-2.5834793218380652E-2</v>
      </c>
      <c r="AR81" s="913" t="s">
        <v>92</v>
      </c>
      <c r="AS81" s="689">
        <f t="shared" si="72"/>
        <v>861099.57949632581</v>
      </c>
      <c r="AT81" s="611">
        <f t="shared" si="73"/>
        <v>3.0865523190180703E-2</v>
      </c>
      <c r="AU81" s="913" t="s">
        <v>92</v>
      </c>
      <c r="AV81" s="689">
        <f t="shared" si="74"/>
        <v>-589708.67615198635</v>
      </c>
      <c r="AW81" s="611">
        <f t="shared" si="75"/>
        <v>-2.1137702598654631E-2</v>
      </c>
      <c r="AX81" s="913" t="s">
        <v>92</v>
      </c>
      <c r="AY81" s="689">
        <f t="shared" si="76"/>
        <v>1014305.4869630715</v>
      </c>
      <c r="AZ81" s="611">
        <f t="shared" si="77"/>
        <v>3.6357083751101513E-2</v>
      </c>
      <c r="BA81" s="913" t="s">
        <v>92</v>
      </c>
      <c r="BB81" s="689">
        <f t="shared" si="78"/>
        <v>412037.81704258476</v>
      </c>
      <c r="BC81" s="611">
        <f t="shared" si="79"/>
        <v>1.4769212643906069E-2</v>
      </c>
      <c r="BD81" s="913" t="s">
        <v>92</v>
      </c>
      <c r="BE81" s="689">
        <f t="shared" si="80"/>
        <v>-115025.1377782654</v>
      </c>
      <c r="BF81" s="611">
        <f t="shared" si="81"/>
        <v>-4.1229970866150326E-3</v>
      </c>
      <c r="BG81" s="913" t="s">
        <v>92</v>
      </c>
      <c r="BH81" s="689">
        <f t="shared" si="82"/>
        <v>-482416.52811866009</v>
      </c>
      <c r="BI81" s="611">
        <f t="shared" si="83"/>
        <v>-1.7291889219923254E-2</v>
      </c>
      <c r="BJ81" s="914">
        <f t="shared" si="84"/>
        <v>28444607.054687466</v>
      </c>
      <c r="BK81" s="689">
        <f t="shared" si="84"/>
        <v>546178.95448702038</v>
      </c>
      <c r="BL81" s="611">
        <f t="shared" si="85"/>
        <v>1.9577409613378761E-2</v>
      </c>
      <c r="BM81" s="914">
        <f t="shared" si="86"/>
        <v>28233181.088631503</v>
      </c>
      <c r="BN81" s="689">
        <f t="shared" si="86"/>
        <v>334752.98843105731</v>
      </c>
      <c r="BO81" s="611">
        <f t="shared" si="87"/>
        <v>1.199899102661817E-2</v>
      </c>
      <c r="BP81" s="913" t="s">
        <v>92</v>
      </c>
      <c r="BQ81" s="689">
        <f t="shared" si="88"/>
        <v>546178.95448702038</v>
      </c>
      <c r="BR81" s="611">
        <f t="shared" si="89"/>
        <v>1.9577409613378761E-2</v>
      </c>
      <c r="BS81" s="723"/>
    </row>
    <row r="82" spans="1:71" ht="15">
      <c r="A82" s="477" t="s">
        <v>99</v>
      </c>
      <c r="B82" s="910"/>
      <c r="C82" s="914">
        <f t="shared" si="45"/>
        <v>2663086.1025728276</v>
      </c>
      <c r="D82" s="911"/>
      <c r="E82" s="913" t="s">
        <v>99</v>
      </c>
      <c r="F82" s="689">
        <f t="shared" si="46"/>
        <v>-63113.684476446011</v>
      </c>
      <c r="G82" s="611">
        <f t="shared" si="47"/>
        <v>-2.3699453207867146E-2</v>
      </c>
      <c r="H82" s="913" t="s">
        <v>99</v>
      </c>
      <c r="I82" s="689">
        <f t="shared" si="48"/>
        <v>-95412.046310207836</v>
      </c>
      <c r="J82" s="611">
        <f t="shared" si="49"/>
        <v>-3.5827623529719722E-2</v>
      </c>
      <c r="K82" s="914">
        <f t="shared" si="50"/>
        <v>2700904.9421938313</v>
      </c>
      <c r="L82" s="689">
        <f t="shared" si="50"/>
        <v>37818.83962100347</v>
      </c>
      <c r="M82" s="611">
        <f t="shared" si="51"/>
        <v>1.4201132882810812E-2</v>
      </c>
      <c r="N82" s="913" t="s">
        <v>99</v>
      </c>
      <c r="O82" s="689">
        <f t="shared" si="52"/>
        <v>-36209.514758114536</v>
      </c>
      <c r="P82" s="611">
        <f t="shared" si="53"/>
        <v>-1.3596824647589221E-2</v>
      </c>
      <c r="Q82" s="913" t="s">
        <v>99</v>
      </c>
      <c r="R82" s="689">
        <f t="shared" si="54"/>
        <v>479.9995361963156</v>
      </c>
      <c r="S82" s="611">
        <f t="shared" si="55"/>
        <v>1.8024183886979262E-4</v>
      </c>
      <c r="T82" s="913" t="s">
        <v>99</v>
      </c>
      <c r="U82" s="689">
        <f t="shared" si="56"/>
        <v>250874.37920321562</v>
      </c>
      <c r="V82" s="611">
        <f t="shared" si="57"/>
        <v>9.4204381510925986E-2</v>
      </c>
      <c r="W82" s="913" t="s">
        <v>99</v>
      </c>
      <c r="X82" s="689">
        <f t="shared" si="58"/>
        <v>-56703.379966495959</v>
      </c>
      <c r="Y82" s="611">
        <f t="shared" si="59"/>
        <v>-2.1292356980765433E-2</v>
      </c>
      <c r="Z82" s="914">
        <f t="shared" si="60"/>
        <v>2681331.2240127362</v>
      </c>
      <c r="AA82" s="689">
        <f t="shared" si="60"/>
        <v>18245.1214399081</v>
      </c>
      <c r="AB82" s="611">
        <f t="shared" si="61"/>
        <v>6.8511196173046563E-3</v>
      </c>
      <c r="AC82" s="913" t="s">
        <v>99</v>
      </c>
      <c r="AD82" s="689">
        <f t="shared" si="62"/>
        <v>-5841.3525761521305</v>
      </c>
      <c r="AE82" s="611">
        <f t="shared" si="63"/>
        <v>-2.1934523898828337E-3</v>
      </c>
      <c r="AF82" s="913" t="s">
        <v>99</v>
      </c>
      <c r="AG82" s="689">
        <f t="shared" si="64"/>
        <v>-14678.021177634953</v>
      </c>
      <c r="AH82" s="611">
        <f t="shared" si="65"/>
        <v>-5.5116585090712635E-3</v>
      </c>
      <c r="AI82" s="913" t="s">
        <v>99</v>
      </c>
      <c r="AJ82" s="689">
        <f t="shared" si="66"/>
        <v>76588.15081086375</v>
      </c>
      <c r="AK82" s="611">
        <f t="shared" si="67"/>
        <v>2.8759171825826945E-2</v>
      </c>
      <c r="AL82" s="913" t="s">
        <v>99</v>
      </c>
      <c r="AM82" s="689">
        <f t="shared" si="68"/>
        <v>-17924.559095111508</v>
      </c>
      <c r="AN82" s="611">
        <f t="shared" si="69"/>
        <v>-6.7307471124551533E-3</v>
      </c>
      <c r="AO82" s="913" t="s">
        <v>99</v>
      </c>
      <c r="AP82" s="689">
        <f t="shared" si="70"/>
        <v>-87841.425677575797</v>
      </c>
      <c r="AQ82" s="611">
        <f t="shared" si="71"/>
        <v>-3.2984823732402621E-2</v>
      </c>
      <c r="AR82" s="913" t="s">
        <v>99</v>
      </c>
      <c r="AS82" s="689">
        <f t="shared" si="72"/>
        <v>181265.77386441082</v>
      </c>
      <c r="AT82" s="611">
        <f t="shared" si="73"/>
        <v>6.8066058280762523E-2</v>
      </c>
      <c r="AU82" s="913" t="s">
        <v>99</v>
      </c>
      <c r="AV82" s="689">
        <f t="shared" si="74"/>
        <v>-77215.793159650653</v>
      </c>
      <c r="AW82" s="611">
        <f t="shared" si="75"/>
        <v>-2.8994854160010783E-2</v>
      </c>
      <c r="AX82" s="913" t="s">
        <v>99</v>
      </c>
      <c r="AY82" s="689">
        <f t="shared" si="76"/>
        <v>198894.15128833352</v>
      </c>
      <c r="AZ82" s="611">
        <f t="shared" si="77"/>
        <v>7.4685587933555883E-2</v>
      </c>
      <c r="BA82" s="913" t="s">
        <v>99</v>
      </c>
      <c r="BB82" s="689">
        <f t="shared" si="78"/>
        <v>40148.500523183713</v>
      </c>
      <c r="BC82" s="611">
        <f t="shared" si="79"/>
        <v>1.5075930321740609E-2</v>
      </c>
      <c r="BD82" s="913" t="s">
        <v>99</v>
      </c>
      <c r="BE82" s="689">
        <f t="shared" si="80"/>
        <v>62280.425666046445</v>
      </c>
      <c r="BF82" s="611">
        <f t="shared" si="81"/>
        <v>2.3386561030030856E-2</v>
      </c>
      <c r="BG82" s="913" t="s">
        <v>99</v>
      </c>
      <c r="BH82" s="689">
        <f t="shared" si="82"/>
        <v>18430.41915504491</v>
      </c>
      <c r="BI82" s="611">
        <f t="shared" si="83"/>
        <v>6.9206996864424114E-3</v>
      </c>
      <c r="BJ82" s="914">
        <f t="shared" si="84"/>
        <v>2880317.0237849671</v>
      </c>
      <c r="BK82" s="689">
        <f t="shared" si="84"/>
        <v>217230.92121213928</v>
      </c>
      <c r="BL82" s="611">
        <f t="shared" si="85"/>
        <v>8.1571121940920671E-2</v>
      </c>
      <c r="BM82" s="914">
        <f t="shared" si="86"/>
        <v>2803807.8198588528</v>
      </c>
      <c r="BN82" s="689">
        <f t="shared" si="86"/>
        <v>140721.71728602488</v>
      </c>
      <c r="BO82" s="611">
        <f t="shared" si="87"/>
        <v>5.284159500140554E-2</v>
      </c>
      <c r="BP82" s="913" t="s">
        <v>99</v>
      </c>
      <c r="BQ82" s="689">
        <f t="shared" si="88"/>
        <v>217230.92121213916</v>
      </c>
      <c r="BR82" s="611">
        <f t="shared" si="89"/>
        <v>8.1571121940920616E-2</v>
      </c>
      <c r="BS82" s="723"/>
    </row>
    <row r="83" spans="1:71" ht="15">
      <c r="A83" s="477" t="s">
        <v>104</v>
      </c>
      <c r="B83" s="910"/>
      <c r="C83" s="914">
        <f t="shared" si="45"/>
        <v>55092508.818223327</v>
      </c>
      <c r="D83" s="911"/>
      <c r="E83" s="913" t="s">
        <v>104</v>
      </c>
      <c r="F83" s="689">
        <f t="shared" si="46"/>
        <v>-1164974.5986520755</v>
      </c>
      <c r="G83" s="611">
        <f t="shared" si="47"/>
        <v>-2.1145789575419169E-2</v>
      </c>
      <c r="H83" s="913" t="s">
        <v>104</v>
      </c>
      <c r="I83" s="689">
        <f t="shared" si="48"/>
        <v>-1918887.8697995082</v>
      </c>
      <c r="J83" s="611">
        <f t="shared" si="49"/>
        <v>-3.4830286566379501E-2</v>
      </c>
      <c r="K83" s="914">
        <f t="shared" si="50"/>
        <v>54359260.644160286</v>
      </c>
      <c r="L83" s="689">
        <f t="shared" si="50"/>
        <v>-733248.17406303156</v>
      </c>
      <c r="M83" s="611">
        <f t="shared" si="51"/>
        <v>-1.330939886005863E-2</v>
      </c>
      <c r="N83" s="913" t="s">
        <v>104</v>
      </c>
      <c r="O83" s="689">
        <f t="shared" si="52"/>
        <v>-433839.88825122081</v>
      </c>
      <c r="P83" s="611">
        <f t="shared" si="53"/>
        <v>-7.8747528031926656E-3</v>
      </c>
      <c r="Q83" s="913" t="s">
        <v>104</v>
      </c>
      <c r="R83" s="689">
        <f t="shared" si="54"/>
        <v>-2851457.570582883</v>
      </c>
      <c r="S83" s="611">
        <f t="shared" si="55"/>
        <v>-5.1757627883515206E-2</v>
      </c>
      <c r="T83" s="913" t="s">
        <v>104</v>
      </c>
      <c r="U83" s="689">
        <f t="shared" si="56"/>
        <v>-2582614.1854483541</v>
      </c>
      <c r="V83" s="611">
        <f t="shared" si="57"/>
        <v>-4.6877774144750604E-2</v>
      </c>
      <c r="W83" s="913" t="s">
        <v>104</v>
      </c>
      <c r="X83" s="689">
        <f t="shared" si="58"/>
        <v>-92908.589430081658</v>
      </c>
      <c r="Y83" s="611">
        <f t="shared" si="59"/>
        <v>-1.6864105741967888E-3</v>
      </c>
      <c r="Z83" s="914">
        <f t="shared" si="60"/>
        <v>55089703.137197241</v>
      </c>
      <c r="AA83" s="689">
        <f t="shared" si="60"/>
        <v>-2805.6810260778293</v>
      </c>
      <c r="AB83" s="611">
        <f t="shared" si="61"/>
        <v>-5.092672463574167E-5</v>
      </c>
      <c r="AC83" s="913" t="s">
        <v>104</v>
      </c>
      <c r="AD83" s="689">
        <f t="shared" si="62"/>
        <v>9620.4775725854561</v>
      </c>
      <c r="AE83" s="611">
        <f t="shared" si="63"/>
        <v>1.7462406012999038E-4</v>
      </c>
      <c r="AF83" s="913" t="s">
        <v>104</v>
      </c>
      <c r="AG83" s="689">
        <f t="shared" si="64"/>
        <v>-94361.644376231357</v>
      </c>
      <c r="AH83" s="611">
        <f t="shared" si="65"/>
        <v>-1.7127853931570949E-3</v>
      </c>
      <c r="AI83" s="913" t="s">
        <v>104</v>
      </c>
      <c r="AJ83" s="689">
        <f t="shared" si="66"/>
        <v>-799456.30834184773</v>
      </c>
      <c r="AK83" s="611">
        <f t="shared" si="67"/>
        <v>-1.4511161780263782E-2</v>
      </c>
      <c r="AL83" s="913" t="s">
        <v>104</v>
      </c>
      <c r="AM83" s="689">
        <f t="shared" si="68"/>
        <v>-142316.82488913694</v>
      </c>
      <c r="AN83" s="611">
        <f t="shared" si="69"/>
        <v>-2.5832336907855944E-3</v>
      </c>
      <c r="AO83" s="913" t="s">
        <v>104</v>
      </c>
      <c r="AP83" s="689">
        <f t="shared" si="70"/>
        <v>-749165.24812318804</v>
      </c>
      <c r="AQ83" s="611">
        <f t="shared" si="71"/>
        <v>-1.3598314257116958E-2</v>
      </c>
      <c r="AR83" s="913" t="s">
        <v>104</v>
      </c>
      <c r="AS83" s="689">
        <f t="shared" si="72"/>
        <v>-3091633.4893533355</v>
      </c>
      <c r="AT83" s="611">
        <f t="shared" si="73"/>
        <v>-5.6117130181058204E-2</v>
      </c>
      <c r="AU83" s="913" t="s">
        <v>104</v>
      </c>
      <c r="AV83" s="689">
        <f t="shared" si="74"/>
        <v>-430299.13936646166</v>
      </c>
      <c r="AW83" s="611">
        <f t="shared" si="75"/>
        <v>-7.8104836500770981E-3</v>
      </c>
      <c r="AX83" s="913" t="s">
        <v>104</v>
      </c>
      <c r="AY83" s="689">
        <f t="shared" si="76"/>
        <v>-2553976.9031066485</v>
      </c>
      <c r="AZ83" s="611">
        <f t="shared" si="77"/>
        <v>-4.6357970582415226E-2</v>
      </c>
      <c r="BA83" s="913" t="s">
        <v>104</v>
      </c>
      <c r="BB83" s="689">
        <f t="shared" si="78"/>
        <v>-452088.34266806114</v>
      </c>
      <c r="BC83" s="611">
        <f t="shared" si="79"/>
        <v>-8.2059857567880583E-3</v>
      </c>
      <c r="BD83" s="913" t="s">
        <v>104</v>
      </c>
      <c r="BE83" s="689">
        <f t="shared" si="80"/>
        <v>-708614.5156920692</v>
      </c>
      <c r="BF83" s="611">
        <f t="shared" si="81"/>
        <v>-1.2862266229881255E-2</v>
      </c>
      <c r="BG83" s="913" t="s">
        <v>104</v>
      </c>
      <c r="BH83" s="689">
        <f t="shared" si="82"/>
        <v>-826293.47646280192</v>
      </c>
      <c r="BI83" s="611">
        <f t="shared" si="83"/>
        <v>-1.4998290950755961E-2</v>
      </c>
      <c r="BJ83" s="914">
        <f t="shared" si="84"/>
        <v>51829716.720995307</v>
      </c>
      <c r="BK83" s="689">
        <f t="shared" si="84"/>
        <v>-3262792.0972280214</v>
      </c>
      <c r="BL83" s="611">
        <f t="shared" si="85"/>
        <v>-5.9223879384283279E-2</v>
      </c>
      <c r="BM83" s="914">
        <f t="shared" si="86"/>
        <v>52214432.049434669</v>
      </c>
      <c r="BN83" s="689">
        <f t="shared" si="86"/>
        <v>-2878076.7687886511</v>
      </c>
      <c r="BO83" s="611">
        <f t="shared" si="87"/>
        <v>-5.224080061927857E-2</v>
      </c>
      <c r="BP83" s="913" t="s">
        <v>104</v>
      </c>
      <c r="BQ83" s="689">
        <f t="shared" si="88"/>
        <v>-3262792.0972280176</v>
      </c>
      <c r="BR83" s="611">
        <f t="shared" si="89"/>
        <v>-5.922387938428321E-2</v>
      </c>
      <c r="BS83" s="723"/>
    </row>
    <row r="84" spans="1:71" ht="15">
      <c r="A84" s="477" t="s">
        <v>112</v>
      </c>
      <c r="B84" s="910"/>
      <c r="C84" s="914">
        <f t="shared" si="45"/>
        <v>19815990.426236656</v>
      </c>
      <c r="D84" s="911"/>
      <c r="E84" s="913" t="s">
        <v>112</v>
      </c>
      <c r="F84" s="689">
        <f t="shared" si="46"/>
        <v>2455058.1248568865</v>
      </c>
      <c r="G84" s="611">
        <f t="shared" si="47"/>
        <v>0.12389277911672557</v>
      </c>
      <c r="H84" s="913" t="s">
        <v>112</v>
      </c>
      <c r="I84" s="689">
        <f t="shared" si="48"/>
        <v>3808394.223948095</v>
      </c>
      <c r="J84" s="611">
        <f t="shared" si="49"/>
        <v>0.19218793217147129</v>
      </c>
      <c r="K84" s="914">
        <f t="shared" si="50"/>
        <v>20369515.107718024</v>
      </c>
      <c r="L84" s="689">
        <f t="shared" si="50"/>
        <v>553524.68148136721</v>
      </c>
      <c r="M84" s="611">
        <f t="shared" si="51"/>
        <v>2.793323319073129E-2</v>
      </c>
      <c r="N84" s="913" t="s">
        <v>112</v>
      </c>
      <c r="O84" s="689">
        <f t="shared" si="52"/>
        <v>1146843.1379693768</v>
      </c>
      <c r="P84" s="611">
        <f t="shared" si="53"/>
        <v>5.7874631209497353E-2</v>
      </c>
      <c r="Q84" s="913" t="s">
        <v>112</v>
      </c>
      <c r="R84" s="689">
        <f t="shared" si="54"/>
        <v>3761316.919337471</v>
      </c>
      <c r="S84" s="611">
        <f t="shared" si="55"/>
        <v>0.18981220915192981</v>
      </c>
      <c r="T84" s="913" t="s">
        <v>112</v>
      </c>
      <c r="U84" s="689">
        <f t="shared" si="56"/>
        <v>567190.18890476669</v>
      </c>
      <c r="V84" s="611">
        <f t="shared" si="57"/>
        <v>2.8622853397920436E-2</v>
      </c>
      <c r="W84" s="913" t="s">
        <v>112</v>
      </c>
      <c r="X84" s="689">
        <f t="shared" si="58"/>
        <v>-164545.41674600879</v>
      </c>
      <c r="Y84" s="611">
        <f t="shared" si="59"/>
        <v>-8.3036685629474423E-3</v>
      </c>
      <c r="Z84" s="914">
        <f t="shared" si="60"/>
        <v>19666449.375812199</v>
      </c>
      <c r="AA84" s="689">
        <f t="shared" si="60"/>
        <v>-149541.05042445904</v>
      </c>
      <c r="AB84" s="611">
        <f t="shared" si="61"/>
        <v>-7.5464837844524063E-3</v>
      </c>
      <c r="AC84" s="913" t="s">
        <v>112</v>
      </c>
      <c r="AD84" s="689">
        <f t="shared" si="62"/>
        <v>94096.594175815815</v>
      </c>
      <c r="AE84" s="611">
        <f t="shared" si="63"/>
        <v>4.7485183506765618E-3</v>
      </c>
      <c r="AF84" s="913" t="s">
        <v>112</v>
      </c>
      <c r="AG84" s="689">
        <f t="shared" si="64"/>
        <v>297354.38877997361</v>
      </c>
      <c r="AH84" s="611">
        <f t="shared" si="65"/>
        <v>1.500577979621307E-2</v>
      </c>
      <c r="AI84" s="913" t="s">
        <v>112</v>
      </c>
      <c r="AJ84" s="689">
        <f t="shared" si="66"/>
        <v>31158.078695545439</v>
      </c>
      <c r="AK84" s="611">
        <f t="shared" si="67"/>
        <v>1.572370496015768E-3</v>
      </c>
      <c r="AL84" s="913" t="s">
        <v>112</v>
      </c>
      <c r="AM84" s="689">
        <f t="shared" si="68"/>
        <v>454876.8949729884</v>
      </c>
      <c r="AN84" s="611">
        <f t="shared" si="69"/>
        <v>2.2955042124501879E-2</v>
      </c>
      <c r="AO84" s="913" t="s">
        <v>112</v>
      </c>
      <c r="AP84" s="689">
        <f t="shared" si="70"/>
        <v>320001.88231458573</v>
      </c>
      <c r="AQ84" s="611">
        <f t="shared" si="71"/>
        <v>1.6148669606284159E-2</v>
      </c>
      <c r="AR84" s="913" t="s">
        <v>112</v>
      </c>
      <c r="AS84" s="689">
        <f t="shared" si="72"/>
        <v>920347.98333114898</v>
      </c>
      <c r="AT84" s="611">
        <f t="shared" si="73"/>
        <v>4.6444712756451227E-2</v>
      </c>
      <c r="AU84" s="913" t="s">
        <v>112</v>
      </c>
      <c r="AV84" s="689">
        <f t="shared" si="74"/>
        <v>496116.43156044767</v>
      </c>
      <c r="AW84" s="611">
        <f t="shared" si="75"/>
        <v>2.5036166292429291E-2</v>
      </c>
      <c r="AX84" s="913" t="s">
        <v>112</v>
      </c>
      <c r="AY84" s="689">
        <f t="shared" si="76"/>
        <v>1244914.3383629383</v>
      </c>
      <c r="AZ84" s="611">
        <f t="shared" si="77"/>
        <v>6.2823725263545432E-2</v>
      </c>
      <c r="BA84" s="913" t="s">
        <v>112</v>
      </c>
      <c r="BB84" s="689">
        <f t="shared" si="78"/>
        <v>298744.49092222005</v>
      </c>
      <c r="BC84" s="611">
        <f t="shared" si="79"/>
        <v>1.5075930321740471E-2</v>
      </c>
      <c r="BD84" s="913" t="s">
        <v>112</v>
      </c>
      <c r="BE84" s="689">
        <f t="shared" si="80"/>
        <v>317970.50443502096</v>
      </c>
      <c r="BF84" s="611">
        <f t="shared" si="81"/>
        <v>1.6046157552338309E-2</v>
      </c>
      <c r="BG84" s="913" t="s">
        <v>112</v>
      </c>
      <c r="BH84" s="689">
        <f t="shared" si="82"/>
        <v>944145.89492740808</v>
      </c>
      <c r="BI84" s="611">
        <f t="shared" si="83"/>
        <v>4.7645657603737304E-2</v>
      </c>
      <c r="BJ84" s="914">
        <f t="shared" si="84"/>
        <v>21703339.301733125</v>
      </c>
      <c r="BK84" s="689">
        <f t="shared" si="84"/>
        <v>1887348.8754964694</v>
      </c>
      <c r="BL84" s="611">
        <f t="shared" si="85"/>
        <v>9.5243731698497008E-2</v>
      </c>
      <c r="BM84" s="914">
        <f t="shared" si="86"/>
        <v>22374926.485876482</v>
      </c>
      <c r="BN84" s="689">
        <f t="shared" si="86"/>
        <v>2558936.059639826</v>
      </c>
      <c r="BO84" s="611">
        <f t="shared" si="87"/>
        <v>0.12913490593191637</v>
      </c>
      <c r="BP84" s="913" t="s">
        <v>112</v>
      </c>
      <c r="BQ84" s="689">
        <f t="shared" si="88"/>
        <v>1887348.8754964692</v>
      </c>
      <c r="BR84" s="611">
        <f t="shared" si="89"/>
        <v>9.5243731698496994E-2</v>
      </c>
      <c r="BS84" s="723"/>
    </row>
    <row r="85" spans="1:71" ht="15">
      <c r="A85" s="477" t="s">
        <v>115</v>
      </c>
      <c r="B85" s="910"/>
      <c r="C85" s="914">
        <f t="shared" si="45"/>
        <v>7689791.6675401302</v>
      </c>
      <c r="D85" s="911"/>
      <c r="E85" s="913" t="s">
        <v>115</v>
      </c>
      <c r="F85" s="689">
        <f t="shared" si="46"/>
        <v>43233.646667096997</v>
      </c>
      <c r="G85" s="611">
        <f t="shared" si="47"/>
        <v>5.6222129982523841E-3</v>
      </c>
      <c r="H85" s="913" t="s">
        <v>115</v>
      </c>
      <c r="I85" s="689">
        <f t="shared" si="48"/>
        <v>78252.756677729136</v>
      </c>
      <c r="J85" s="611">
        <f t="shared" si="49"/>
        <v>1.0176186828057623E-2</v>
      </c>
      <c r="K85" s="914">
        <f t="shared" si="50"/>
        <v>7845594.5961493654</v>
      </c>
      <c r="L85" s="689">
        <f t="shared" si="50"/>
        <v>155802.92860923524</v>
      </c>
      <c r="M85" s="611">
        <f t="shared" si="51"/>
        <v>2.0261007754853087E-2</v>
      </c>
      <c r="N85" s="913" t="s">
        <v>115</v>
      </c>
      <c r="O85" s="689">
        <f t="shared" si="52"/>
        <v>9497.7631087611662</v>
      </c>
      <c r="P85" s="611">
        <f t="shared" si="53"/>
        <v>1.2351131889375858E-3</v>
      </c>
      <c r="Q85" s="913" t="s">
        <v>115</v>
      </c>
      <c r="R85" s="689">
        <f t="shared" si="54"/>
        <v>395626.76808123657</v>
      </c>
      <c r="S85" s="611">
        <f t="shared" si="55"/>
        <v>5.1448307728705046E-2</v>
      </c>
      <c r="T85" s="913" t="s">
        <v>115</v>
      </c>
      <c r="U85" s="689">
        <f t="shared" si="56"/>
        <v>382317.39407852094</v>
      </c>
      <c r="V85" s="611">
        <f t="shared" si="57"/>
        <v>4.971752299770945E-2</v>
      </c>
      <c r="W85" s="913" t="s">
        <v>115</v>
      </c>
      <c r="X85" s="689">
        <f t="shared" si="58"/>
        <v>-78854.628321599681</v>
      </c>
      <c r="Y85" s="611">
        <f t="shared" si="59"/>
        <v>-1.0254455742209243E-2</v>
      </c>
      <c r="Z85" s="914">
        <f t="shared" si="60"/>
        <v>7691585.1772670569</v>
      </c>
      <c r="AA85" s="689">
        <f t="shared" si="60"/>
        <v>1793.5097269263351</v>
      </c>
      <c r="AB85" s="611">
        <f t="shared" si="61"/>
        <v>2.3323255095414786E-4</v>
      </c>
      <c r="AC85" s="913" t="s">
        <v>115</v>
      </c>
      <c r="AD85" s="689">
        <f t="shared" si="62"/>
        <v>-18400.251031455817</v>
      </c>
      <c r="AE85" s="611">
        <f t="shared" si="63"/>
        <v>-2.3928152838166329E-3</v>
      </c>
      <c r="AF85" s="913" t="s">
        <v>115</v>
      </c>
      <c r="AG85" s="689">
        <f t="shared" si="64"/>
        <v>-9169.583660062839</v>
      </c>
      <c r="AH85" s="611">
        <f t="shared" si="65"/>
        <v>-1.1924359015822435E-3</v>
      </c>
      <c r="AI85" s="913" t="s">
        <v>115</v>
      </c>
      <c r="AJ85" s="689">
        <f t="shared" si="66"/>
        <v>70641.361287552165</v>
      </c>
      <c r="AK85" s="611">
        <f t="shared" si="67"/>
        <v>9.1863816786793995E-3</v>
      </c>
      <c r="AL85" s="913" t="s">
        <v>115</v>
      </c>
      <c r="AM85" s="689">
        <f t="shared" si="68"/>
        <v>-34133.50660414304</v>
      </c>
      <c r="AN85" s="611">
        <f t="shared" si="69"/>
        <v>-4.4388077180590162E-3</v>
      </c>
      <c r="AO85" s="913" t="s">
        <v>115</v>
      </c>
      <c r="AP85" s="689">
        <f t="shared" si="70"/>
        <v>1150439.4926149123</v>
      </c>
      <c r="AQ85" s="611">
        <f t="shared" si="71"/>
        <v>0.14960606767425258</v>
      </c>
      <c r="AR85" s="913" t="s">
        <v>115</v>
      </c>
      <c r="AS85" s="689">
        <f t="shared" si="72"/>
        <v>1113981.5869947313</v>
      </c>
      <c r="AT85" s="611">
        <f t="shared" si="73"/>
        <v>0.14486498921642182</v>
      </c>
      <c r="AU85" s="913" t="s">
        <v>115</v>
      </c>
      <c r="AV85" s="689">
        <f t="shared" si="74"/>
        <v>558104.0184059426</v>
      </c>
      <c r="AW85" s="611">
        <f t="shared" si="75"/>
        <v>7.257726119704791E-2</v>
      </c>
      <c r="AX85" s="913" t="s">
        <v>115</v>
      </c>
      <c r="AY85" s="689">
        <f t="shared" si="76"/>
        <v>337303.77786934504</v>
      </c>
      <c r="AZ85" s="611">
        <f t="shared" si="77"/>
        <v>4.3863838248461205E-2</v>
      </c>
      <c r="BA85" s="913" t="s">
        <v>115</v>
      </c>
      <c r="BB85" s="689">
        <f t="shared" si="78"/>
        <v>57998.5130578588</v>
      </c>
      <c r="BC85" s="611">
        <f t="shared" si="79"/>
        <v>7.5422736486711363E-3</v>
      </c>
      <c r="BD85" s="913" t="s">
        <v>115</v>
      </c>
      <c r="BE85" s="689">
        <f t="shared" si="80"/>
        <v>145456.50080715379</v>
      </c>
      <c r="BF85" s="611">
        <f t="shared" si="81"/>
        <v>1.8915532058059452E-2</v>
      </c>
      <c r="BG85" s="913" t="s">
        <v>115</v>
      </c>
      <c r="BH85" s="689">
        <f t="shared" si="82"/>
        <v>144549.62667817483</v>
      </c>
      <c r="BI85" s="611">
        <f t="shared" si="83"/>
        <v>1.8797599847645088E-2</v>
      </c>
      <c r="BJ85" s="914">
        <f t="shared" si="84"/>
        <v>8189838.9103383832</v>
      </c>
      <c r="BK85" s="689">
        <f t="shared" si="84"/>
        <v>500047.2427982532</v>
      </c>
      <c r="BL85" s="611">
        <f t="shared" si="85"/>
        <v>6.5027410938716904E-2</v>
      </c>
      <c r="BM85" s="914">
        <f t="shared" si="86"/>
        <v>8025758.2896767417</v>
      </c>
      <c r="BN85" s="689">
        <f t="shared" si="86"/>
        <v>335966.62213661091</v>
      </c>
      <c r="BO85" s="611">
        <f t="shared" si="87"/>
        <v>4.3689951127646412E-2</v>
      </c>
      <c r="BP85" s="913" t="s">
        <v>115</v>
      </c>
      <c r="BQ85" s="689">
        <f t="shared" si="88"/>
        <v>500047.2427982532</v>
      </c>
      <c r="BR85" s="611">
        <f t="shared" si="89"/>
        <v>6.5027410938716904E-2</v>
      </c>
      <c r="BS85" s="723"/>
    </row>
    <row r="86" spans="1:71" ht="15">
      <c r="A86" s="477" t="s">
        <v>120</v>
      </c>
      <c r="B86" s="910"/>
      <c r="C86" s="914">
        <f t="shared" si="45"/>
        <v>3362544.2134883902</v>
      </c>
      <c r="D86" s="911"/>
      <c r="E86" s="913" t="s">
        <v>120</v>
      </c>
      <c r="F86" s="689">
        <f t="shared" si="46"/>
        <v>4573.7747773647425</v>
      </c>
      <c r="G86" s="611">
        <f t="shared" si="47"/>
        <v>1.360212531635321E-3</v>
      </c>
      <c r="H86" s="913" t="s">
        <v>120</v>
      </c>
      <c r="I86" s="689">
        <f t="shared" si="48"/>
        <v>10604.422323714651</v>
      </c>
      <c r="J86" s="611">
        <f t="shared" si="49"/>
        <v>3.1536900782379155E-3</v>
      </c>
      <c r="K86" s="914">
        <f t="shared" si="50"/>
        <v>3435207.6077225814</v>
      </c>
      <c r="L86" s="689">
        <f t="shared" si="50"/>
        <v>72663.394234190579</v>
      </c>
      <c r="M86" s="611">
        <f t="shared" si="51"/>
        <v>2.1609647225666571E-2</v>
      </c>
      <c r="N86" s="913" t="s">
        <v>120</v>
      </c>
      <c r="O86" s="689">
        <f t="shared" si="52"/>
        <v>-1214.581044882827</v>
      </c>
      <c r="P86" s="611">
        <f t="shared" si="53"/>
        <v>-3.6120894411163421E-4</v>
      </c>
      <c r="Q86" s="913" t="s">
        <v>120</v>
      </c>
      <c r="R86" s="689">
        <f t="shared" si="54"/>
        <v>163919.38592757843</v>
      </c>
      <c r="S86" s="611">
        <f t="shared" si="55"/>
        <v>4.8748618760175118E-2</v>
      </c>
      <c r="T86" s="913" t="s">
        <v>120</v>
      </c>
      <c r="U86" s="689">
        <f t="shared" si="56"/>
        <v>62255.90641519404</v>
      </c>
      <c r="V86" s="611">
        <f t="shared" si="57"/>
        <v>1.8514524259774165E-2</v>
      </c>
      <c r="W86" s="913" t="s">
        <v>120</v>
      </c>
      <c r="X86" s="689">
        <f t="shared" si="58"/>
        <v>-26113.761885699525</v>
      </c>
      <c r="Y86" s="611">
        <f t="shared" si="59"/>
        <v>-7.7660724224674011E-3</v>
      </c>
      <c r="Z86" s="914">
        <f t="shared" si="60"/>
        <v>3368873.0528338454</v>
      </c>
      <c r="AA86" s="689">
        <f t="shared" si="60"/>
        <v>6328.8393454548204</v>
      </c>
      <c r="AB86" s="611">
        <f t="shared" si="61"/>
        <v>1.882157956486502E-3</v>
      </c>
      <c r="AC86" s="913" t="s">
        <v>120</v>
      </c>
      <c r="AD86" s="689">
        <f t="shared" si="62"/>
        <v>-6325.0083694340428</v>
      </c>
      <c r="AE86" s="611">
        <f t="shared" si="63"/>
        <v>-1.881018647743613E-3</v>
      </c>
      <c r="AF86" s="913" t="s">
        <v>120</v>
      </c>
      <c r="AG86" s="689">
        <f t="shared" si="64"/>
        <v>-8615.9186579528032</v>
      </c>
      <c r="AH86" s="611">
        <f t="shared" si="65"/>
        <v>-2.5623212992683378E-3</v>
      </c>
      <c r="AI86" s="913" t="s">
        <v>120</v>
      </c>
      <c r="AJ86" s="689">
        <f t="shared" si="66"/>
        <v>28147.410026706988</v>
      </c>
      <c r="AK86" s="611">
        <f t="shared" si="67"/>
        <v>8.3708668911467304E-3</v>
      </c>
      <c r="AL86" s="913" t="s">
        <v>120</v>
      </c>
      <c r="AM86" s="689">
        <f t="shared" si="68"/>
        <v>-13199.793053725734</v>
      </c>
      <c r="AN86" s="611">
        <f t="shared" si="69"/>
        <v>-3.9255373953973761E-3</v>
      </c>
      <c r="AO86" s="913" t="s">
        <v>120</v>
      </c>
      <c r="AP86" s="689">
        <f t="shared" si="70"/>
        <v>418416.25970926328</v>
      </c>
      <c r="AQ86" s="611">
        <f t="shared" si="71"/>
        <v>0.12443442617968953</v>
      </c>
      <c r="AR86" s="913" t="s">
        <v>120</v>
      </c>
      <c r="AS86" s="689">
        <f t="shared" si="72"/>
        <v>355983.88739558606</v>
      </c>
      <c r="AT86" s="611">
        <f t="shared" si="73"/>
        <v>0.1058674220453682</v>
      </c>
      <c r="AU86" s="913" t="s">
        <v>120</v>
      </c>
      <c r="AV86" s="689">
        <f t="shared" si="74"/>
        <v>335110.78129374946</v>
      </c>
      <c r="AW86" s="611">
        <f t="shared" si="75"/>
        <v>9.9659888470610442E-2</v>
      </c>
      <c r="AX86" s="913" t="s">
        <v>120</v>
      </c>
      <c r="AY86" s="689">
        <f t="shared" si="76"/>
        <v>37727.634481404501</v>
      </c>
      <c r="AZ86" s="611">
        <f t="shared" si="77"/>
        <v>1.1219966812648949E-2</v>
      </c>
      <c r="BA86" s="913" t="s">
        <v>120</v>
      </c>
      <c r="BB86" s="689">
        <f t="shared" si="78"/>
        <v>-40494.774026623054</v>
      </c>
      <c r="BC86" s="611">
        <f t="shared" si="79"/>
        <v>-1.2042897120633762E-2</v>
      </c>
      <c r="BD86" s="913" t="s">
        <v>120</v>
      </c>
      <c r="BE86" s="689">
        <f t="shared" si="80"/>
        <v>76167.968000013963</v>
      </c>
      <c r="BF86" s="611">
        <f t="shared" si="81"/>
        <v>2.2651885942339876E-2</v>
      </c>
      <c r="BG86" s="913" t="s">
        <v>120</v>
      </c>
      <c r="BH86" s="689">
        <f t="shared" si="82"/>
        <v>61270.49562964763</v>
      </c>
      <c r="BI86" s="611">
        <f t="shared" si="83"/>
        <v>1.8221469143474559E-2</v>
      </c>
      <c r="BJ86" s="914">
        <f t="shared" si="84"/>
        <v>3473253.1703848708</v>
      </c>
      <c r="BK86" s="689">
        <f t="shared" si="84"/>
        <v>110708.95689648052</v>
      </c>
      <c r="BL86" s="611">
        <f t="shared" si="85"/>
        <v>3.2924163926941558E-2</v>
      </c>
      <c r="BM86" s="914">
        <f t="shared" si="86"/>
        <v>3394592.9084602133</v>
      </c>
      <c r="BN86" s="689">
        <f t="shared" si="86"/>
        <v>32048.694971822959</v>
      </c>
      <c r="BO86" s="611">
        <f t="shared" si="87"/>
        <v>9.5310850763728142E-3</v>
      </c>
      <c r="BP86" s="913" t="s">
        <v>120</v>
      </c>
      <c r="BQ86" s="689">
        <f t="shared" si="88"/>
        <v>110708.95689648052</v>
      </c>
      <c r="BR86" s="611">
        <f t="shared" si="89"/>
        <v>3.2924163926941558E-2</v>
      </c>
      <c r="BS86" s="723"/>
    </row>
    <row r="87" spans="1:71" ht="15">
      <c r="A87" s="477" t="s">
        <v>124</v>
      </c>
      <c r="B87" s="910"/>
      <c r="C87" s="914">
        <f t="shared" si="45"/>
        <v>3464884.6150481161</v>
      </c>
      <c r="D87" s="911"/>
      <c r="E87" s="913" t="s">
        <v>124</v>
      </c>
      <c r="F87" s="689">
        <f t="shared" si="46"/>
        <v>-389093.94809682865</v>
      </c>
      <c r="G87" s="611">
        <f t="shared" si="47"/>
        <v>-0.11229636519697653</v>
      </c>
      <c r="H87" s="913" t="s">
        <v>124</v>
      </c>
      <c r="I87" s="689">
        <f t="shared" si="48"/>
        <v>-583004.32411810011</v>
      </c>
      <c r="J87" s="611">
        <f t="shared" si="49"/>
        <v>-0.16826081930292622</v>
      </c>
      <c r="K87" s="914">
        <f t="shared" si="50"/>
        <v>3599828.2416053494</v>
      </c>
      <c r="L87" s="689">
        <f t="shared" si="50"/>
        <v>134943.6265572331</v>
      </c>
      <c r="M87" s="611">
        <f t="shared" si="51"/>
        <v>3.8946066478279875E-2</v>
      </c>
      <c r="N87" s="913" t="s">
        <v>124</v>
      </c>
      <c r="O87" s="689">
        <f t="shared" si="52"/>
        <v>-201415.83367332647</v>
      </c>
      <c r="P87" s="611">
        <f t="shared" si="53"/>
        <v>-5.8130603483466783E-2</v>
      </c>
      <c r="Q87" s="913" t="s">
        <v>124</v>
      </c>
      <c r="R87" s="689">
        <f t="shared" si="54"/>
        <v>-92408.977201047281</v>
      </c>
      <c r="S87" s="611">
        <f t="shared" si="55"/>
        <v>-2.6670145608806664E-2</v>
      </c>
      <c r="T87" s="913" t="s">
        <v>124</v>
      </c>
      <c r="U87" s="689">
        <f t="shared" si="56"/>
        <v>193478.54178052885</v>
      </c>
      <c r="V87" s="611">
        <f t="shared" si="57"/>
        <v>5.5839822469194132E-2</v>
      </c>
      <c r="W87" s="913" t="s">
        <v>124</v>
      </c>
      <c r="X87" s="689">
        <f t="shared" si="58"/>
        <v>-72855.3497987421</v>
      </c>
      <c r="Y87" s="611">
        <f t="shared" si="59"/>
        <v>-2.102677517234737E-2</v>
      </c>
      <c r="Z87" s="914">
        <f t="shared" si="60"/>
        <v>3490084.3987781722</v>
      </c>
      <c r="AA87" s="689">
        <f t="shared" si="60"/>
        <v>25199.783730055642</v>
      </c>
      <c r="AB87" s="611">
        <f t="shared" si="61"/>
        <v>7.2729070459120323E-3</v>
      </c>
      <c r="AC87" s="913" t="s">
        <v>124</v>
      </c>
      <c r="AD87" s="689">
        <f t="shared" si="62"/>
        <v>-52233.227868931594</v>
      </c>
      <c r="AE87" s="611">
        <f t="shared" si="63"/>
        <v>-1.5075026637851327E-2</v>
      </c>
      <c r="AF87" s="913" t="s">
        <v>124</v>
      </c>
      <c r="AG87" s="689">
        <f t="shared" si="64"/>
        <v>-56379.495033910498</v>
      </c>
      <c r="AH87" s="611">
        <f t="shared" si="65"/>
        <v>-1.6271680387004047E-2</v>
      </c>
      <c r="AI87" s="913" t="s">
        <v>124</v>
      </c>
      <c r="AJ87" s="689">
        <f t="shared" si="66"/>
        <v>48144.946561448902</v>
      </c>
      <c r="AK87" s="611">
        <f t="shared" si="67"/>
        <v>1.3895108181194174E-2</v>
      </c>
      <c r="AL87" s="913" t="s">
        <v>124</v>
      </c>
      <c r="AM87" s="689">
        <f t="shared" si="68"/>
        <v>-149785.08017073106</v>
      </c>
      <c r="AN87" s="611">
        <f t="shared" si="69"/>
        <v>-4.3229456911843232E-2</v>
      </c>
      <c r="AO87" s="913" t="s">
        <v>124</v>
      </c>
      <c r="AP87" s="689">
        <f t="shared" si="70"/>
        <v>-184626.70606234446</v>
      </c>
      <c r="AQ87" s="611">
        <f t="shared" si="71"/>
        <v>-5.3285095053527659E-2</v>
      </c>
      <c r="AR87" s="913" t="s">
        <v>124</v>
      </c>
      <c r="AS87" s="689">
        <f t="shared" si="72"/>
        <v>39819.788607007577</v>
      </c>
      <c r="AT87" s="611">
        <f t="shared" si="73"/>
        <v>1.1492385181910194E-2</v>
      </c>
      <c r="AU87" s="913" t="s">
        <v>124</v>
      </c>
      <c r="AV87" s="689">
        <f t="shared" si="74"/>
        <v>-179133.66437856518</v>
      </c>
      <c r="AW87" s="611">
        <f t="shared" si="75"/>
        <v>-5.1699748846060087E-2</v>
      </c>
      <c r="AX87" s="913" t="s">
        <v>124</v>
      </c>
      <c r="AY87" s="689">
        <f t="shared" si="76"/>
        <v>46179.569582486816</v>
      </c>
      <c r="AZ87" s="611">
        <f t="shared" si="77"/>
        <v>1.3327880929115883E-2</v>
      </c>
      <c r="BA87" s="913" t="s">
        <v>124</v>
      </c>
      <c r="BB87" s="689">
        <f t="shared" si="78"/>
        <v>43090.181694707389</v>
      </c>
      <c r="BC87" s="611">
        <f t="shared" si="79"/>
        <v>1.2436253001778244E-2</v>
      </c>
      <c r="BD87" s="913" t="s">
        <v>124</v>
      </c>
      <c r="BE87" s="689">
        <f t="shared" si="80"/>
        <v>157727.22663589352</v>
      </c>
      <c r="BF87" s="611">
        <f t="shared" si="81"/>
        <v>4.5521639003757469E-2</v>
      </c>
      <c r="BG87" s="913" t="s">
        <v>124</v>
      </c>
      <c r="BH87" s="689">
        <f t="shared" si="82"/>
        <v>61732.297114340763</v>
      </c>
      <c r="BI87" s="611">
        <f t="shared" si="83"/>
        <v>1.781655205666452E-2</v>
      </c>
      <c r="BJ87" s="914">
        <f t="shared" si="84"/>
        <v>3635492.3174724225</v>
      </c>
      <c r="BK87" s="689">
        <f t="shared" si="84"/>
        <v>170607.70242430639</v>
      </c>
      <c r="BL87" s="611">
        <f t="shared" si="85"/>
        <v>4.9239071824600196E-2</v>
      </c>
      <c r="BM87" s="914">
        <f t="shared" si="86"/>
        <v>3284111.9561379552</v>
      </c>
      <c r="BN87" s="689">
        <f t="shared" si="86"/>
        <v>-180772.658910161</v>
      </c>
      <c r="BO87" s="611">
        <f t="shared" si="87"/>
        <v>-5.2172778892855182E-2</v>
      </c>
      <c r="BP87" s="913" t="s">
        <v>124</v>
      </c>
      <c r="BQ87" s="689">
        <f t="shared" si="88"/>
        <v>170607.70242430663</v>
      </c>
      <c r="BR87" s="611">
        <f t="shared" si="89"/>
        <v>4.9239071824600265E-2</v>
      </c>
      <c r="BS87" s="723"/>
    </row>
    <row r="88" spans="1:71">
      <c r="A88" s="909"/>
      <c r="B88" s="910"/>
      <c r="C88" s="603"/>
      <c r="D88" s="911"/>
      <c r="E88" s="603"/>
      <c r="F88" s="675"/>
      <c r="G88" s="588"/>
      <c r="H88" s="603"/>
      <c r="I88" s="675"/>
      <c r="J88" s="603"/>
      <c r="K88" s="603"/>
      <c r="L88" s="675"/>
      <c r="N88" s="603"/>
      <c r="O88" s="675"/>
      <c r="Q88" s="603"/>
      <c r="R88" s="675"/>
      <c r="W88" s="912"/>
      <c r="X88" s="675"/>
      <c r="Z88" s="912"/>
      <c r="AA88" s="675"/>
      <c r="AC88" s="912"/>
      <c r="AD88" s="675"/>
      <c r="AF88" s="912"/>
      <c r="AG88" s="675"/>
      <c r="AI88" s="912"/>
      <c r="AJ88" s="675"/>
      <c r="AL88" s="912"/>
      <c r="AM88" s="675"/>
      <c r="BD88" s="603"/>
      <c r="BE88" s="675"/>
      <c r="BG88" s="603"/>
      <c r="BH88" s="675"/>
      <c r="BJ88" s="603"/>
      <c r="BK88" s="675"/>
    </row>
    <row r="89" spans="1:71">
      <c r="E89" s="588"/>
      <c r="F89" s="588"/>
      <c r="K89" s="915" t="s">
        <v>338</v>
      </c>
      <c r="Q89" s="915" t="s">
        <v>339</v>
      </c>
      <c r="AF89" s="915" t="s">
        <v>340</v>
      </c>
      <c r="AI89" s="915"/>
      <c r="AX89" s="915"/>
      <c r="BP89" s="915" t="s">
        <v>341</v>
      </c>
    </row>
    <row r="90" spans="1:71">
      <c r="A90" s="588" t="s">
        <v>342</v>
      </c>
      <c r="E90" s="588" t="s">
        <v>343</v>
      </c>
      <c r="F90" s="588"/>
      <c r="H90" s="588" t="s">
        <v>344</v>
      </c>
      <c r="K90" s="588" t="s">
        <v>228</v>
      </c>
      <c r="N90" s="588" t="s">
        <v>345</v>
      </c>
      <c r="Q90" s="588" t="s">
        <v>346</v>
      </c>
      <c r="T90" s="588" t="s">
        <v>232</v>
      </c>
      <c r="W90" s="915" t="s">
        <v>232</v>
      </c>
      <c r="Z90" s="915" t="s">
        <v>232</v>
      </c>
      <c r="AC90" s="915" t="s">
        <v>232</v>
      </c>
      <c r="AF90" s="915" t="s">
        <v>232</v>
      </c>
      <c r="AI90" s="915" t="s">
        <v>232</v>
      </c>
      <c r="AL90" s="915" t="s">
        <v>232</v>
      </c>
      <c r="AO90" s="915" t="s">
        <v>232</v>
      </c>
      <c r="AR90" s="915" t="s">
        <v>232</v>
      </c>
      <c r="AU90" s="915" t="s">
        <v>232</v>
      </c>
      <c r="AX90" s="915" t="s">
        <v>232</v>
      </c>
      <c r="BA90" s="915" t="s">
        <v>232</v>
      </c>
      <c r="BD90" s="588" t="s">
        <v>228</v>
      </c>
      <c r="BG90" s="588" t="s">
        <v>228</v>
      </c>
      <c r="BJ90" s="588" t="s">
        <v>228</v>
      </c>
      <c r="BM90" s="588" t="s">
        <v>228</v>
      </c>
      <c r="BP90" s="588" t="s">
        <v>228</v>
      </c>
    </row>
    <row r="91" spans="1:71">
      <c r="A91" s="10" t="s">
        <v>347</v>
      </c>
      <c r="E91" s="588" t="s">
        <v>232</v>
      </c>
      <c r="F91" s="588"/>
      <c r="H91" s="588" t="s">
        <v>232</v>
      </c>
      <c r="K91" s="588" t="s">
        <v>232</v>
      </c>
      <c r="N91" s="588" t="s">
        <v>232</v>
      </c>
      <c r="Q91" s="588" t="s">
        <v>232</v>
      </c>
      <c r="T91" s="588" t="s">
        <v>348</v>
      </c>
      <c r="W91" s="915" t="s">
        <v>232</v>
      </c>
      <c r="Z91" s="915" t="s">
        <v>232</v>
      </c>
      <c r="AC91" s="915" t="s">
        <v>349</v>
      </c>
      <c r="AF91" s="915" t="s">
        <v>350</v>
      </c>
      <c r="AI91" s="915" t="s">
        <v>350</v>
      </c>
      <c r="AL91" s="915" t="s">
        <v>351</v>
      </c>
      <c r="AO91" s="915" t="s">
        <v>352</v>
      </c>
      <c r="AR91" s="915" t="s">
        <v>352</v>
      </c>
      <c r="AU91" s="915" t="s">
        <v>230</v>
      </c>
      <c r="AX91" s="915" t="s">
        <v>351</v>
      </c>
      <c r="BA91" s="915" t="s">
        <v>232</v>
      </c>
      <c r="BD91" s="572" t="s">
        <v>232</v>
      </c>
      <c r="BG91" s="915" t="s">
        <v>350</v>
      </c>
      <c r="BJ91" s="915" t="s">
        <v>230</v>
      </c>
      <c r="BM91" s="915" t="s">
        <v>352</v>
      </c>
      <c r="BP91" s="915" t="s">
        <v>351</v>
      </c>
    </row>
    <row r="92" spans="1:71">
      <c r="A92" s="10" t="s">
        <v>353</v>
      </c>
      <c r="E92" s="588" t="s">
        <v>232</v>
      </c>
      <c r="F92" s="588"/>
      <c r="H92" s="588" t="s">
        <v>232</v>
      </c>
      <c r="K92" s="588" t="s">
        <v>232</v>
      </c>
      <c r="N92" s="588" t="s">
        <v>232</v>
      </c>
      <c r="Q92" s="588" t="s">
        <v>232</v>
      </c>
      <c r="T92" s="588" t="s">
        <v>232</v>
      </c>
      <c r="W92" s="915" t="s">
        <v>232</v>
      </c>
      <c r="Z92" s="915" t="s">
        <v>232</v>
      </c>
      <c r="AC92" s="572" t="s">
        <v>232</v>
      </c>
      <c r="AF92" s="915" t="s">
        <v>354</v>
      </c>
      <c r="AI92" s="572" t="s">
        <v>232</v>
      </c>
      <c r="AL92" s="915" t="s">
        <v>232</v>
      </c>
      <c r="AO92" s="915" t="s">
        <v>232</v>
      </c>
      <c r="AR92" s="915" t="s">
        <v>355</v>
      </c>
      <c r="AU92" s="915" t="s">
        <v>232</v>
      </c>
      <c r="AX92" s="915" t="s">
        <v>355</v>
      </c>
      <c r="BA92" s="915" t="s">
        <v>232</v>
      </c>
      <c r="BD92" s="572" t="s">
        <v>232</v>
      </c>
      <c r="BG92" s="572" t="s">
        <v>232</v>
      </c>
      <c r="BJ92" s="572" t="s">
        <v>232</v>
      </c>
      <c r="BM92" s="572" t="s">
        <v>232</v>
      </c>
      <c r="BP92" s="572" t="s">
        <v>355</v>
      </c>
    </row>
    <row r="93" spans="1:71">
      <c r="A93" s="10" t="s">
        <v>356</v>
      </c>
      <c r="E93" s="588" t="s">
        <v>232</v>
      </c>
      <c r="F93" s="588"/>
      <c r="H93" s="588" t="s">
        <v>232</v>
      </c>
      <c r="K93" s="588" t="s">
        <v>232</v>
      </c>
      <c r="N93" s="588" t="s">
        <v>232</v>
      </c>
      <c r="Q93" s="588" t="s">
        <v>232</v>
      </c>
      <c r="T93" s="588" t="s">
        <v>232</v>
      </c>
      <c r="W93" s="588" t="s">
        <v>232</v>
      </c>
      <c r="Z93" s="588" t="s">
        <v>232</v>
      </c>
      <c r="AC93" s="588" t="s">
        <v>232</v>
      </c>
      <c r="AF93" s="588" t="s">
        <v>232</v>
      </c>
      <c r="AI93" s="588" t="s">
        <v>232</v>
      </c>
      <c r="AL93" s="588" t="s">
        <v>232</v>
      </c>
      <c r="AO93" s="588" t="s">
        <v>232</v>
      </c>
      <c r="AR93" s="588" t="s">
        <v>232</v>
      </c>
      <c r="AU93" s="588" t="s">
        <v>232</v>
      </c>
      <c r="AX93" s="588" t="s">
        <v>232</v>
      </c>
      <c r="BA93" s="915" t="s">
        <v>357</v>
      </c>
      <c r="BD93" s="572" t="s">
        <v>232</v>
      </c>
      <c r="BG93" s="572" t="s">
        <v>232</v>
      </c>
      <c r="BJ93" s="572" t="s">
        <v>232</v>
      </c>
      <c r="BM93" s="572" t="s">
        <v>232</v>
      </c>
      <c r="BP93" s="572" t="s">
        <v>232</v>
      </c>
    </row>
    <row r="94" spans="1:71">
      <c r="B94" s="1">
        <v>1</v>
      </c>
      <c r="C94" s="572">
        <f>B94+1</f>
        <v>2</v>
      </c>
      <c r="D94" s="572">
        <f t="shared" ref="D94:BO94" si="90">C94+1</f>
        <v>3</v>
      </c>
      <c r="E94" s="572">
        <f t="shared" si="90"/>
        <v>4</v>
      </c>
      <c r="F94" s="572">
        <f t="shared" si="90"/>
        <v>5</v>
      </c>
      <c r="G94" s="572">
        <f t="shared" si="90"/>
        <v>6</v>
      </c>
      <c r="H94" s="572">
        <f t="shared" si="90"/>
        <v>7</v>
      </c>
      <c r="I94" s="572">
        <f t="shared" si="90"/>
        <v>8</v>
      </c>
      <c r="J94" s="572">
        <f t="shared" si="90"/>
        <v>9</v>
      </c>
      <c r="K94" s="572">
        <f t="shared" si="90"/>
        <v>10</v>
      </c>
      <c r="L94" s="572">
        <f t="shared" si="90"/>
        <v>11</v>
      </c>
      <c r="M94" s="572">
        <f t="shared" si="90"/>
        <v>12</v>
      </c>
      <c r="N94" s="572">
        <f t="shared" si="90"/>
        <v>13</v>
      </c>
      <c r="O94" s="572">
        <f t="shared" si="90"/>
        <v>14</v>
      </c>
      <c r="P94" s="572">
        <f t="shared" si="90"/>
        <v>15</v>
      </c>
      <c r="Q94" s="572">
        <f t="shared" si="90"/>
        <v>16</v>
      </c>
      <c r="R94" s="572">
        <f t="shared" si="90"/>
        <v>17</v>
      </c>
      <c r="S94" s="572">
        <f t="shared" si="90"/>
        <v>18</v>
      </c>
      <c r="T94" s="572">
        <f t="shared" si="90"/>
        <v>19</v>
      </c>
      <c r="U94" s="572">
        <f t="shared" si="90"/>
        <v>20</v>
      </c>
      <c r="V94" s="572">
        <f t="shared" si="90"/>
        <v>21</v>
      </c>
      <c r="W94" s="572">
        <f t="shared" si="90"/>
        <v>22</v>
      </c>
      <c r="X94" s="572">
        <f t="shared" si="90"/>
        <v>23</v>
      </c>
      <c r="Y94" s="572">
        <f t="shared" si="90"/>
        <v>24</v>
      </c>
      <c r="Z94" s="572">
        <f t="shared" si="90"/>
        <v>25</v>
      </c>
      <c r="AA94" s="572">
        <f t="shared" si="90"/>
        <v>26</v>
      </c>
      <c r="AB94" s="572">
        <f t="shared" si="90"/>
        <v>27</v>
      </c>
      <c r="AC94" s="572">
        <f t="shared" si="90"/>
        <v>28</v>
      </c>
      <c r="AD94" s="572">
        <f t="shared" si="90"/>
        <v>29</v>
      </c>
      <c r="AE94" s="572">
        <f t="shared" si="90"/>
        <v>30</v>
      </c>
      <c r="AF94" s="572">
        <f t="shared" si="90"/>
        <v>31</v>
      </c>
      <c r="AG94" s="572">
        <f t="shared" si="90"/>
        <v>32</v>
      </c>
      <c r="AH94" s="572">
        <f t="shared" si="90"/>
        <v>33</v>
      </c>
      <c r="AI94" s="572">
        <f t="shared" si="90"/>
        <v>34</v>
      </c>
      <c r="AJ94" s="572">
        <f t="shared" si="90"/>
        <v>35</v>
      </c>
      <c r="AK94" s="572">
        <f t="shared" si="90"/>
        <v>36</v>
      </c>
      <c r="AL94" s="572">
        <f t="shared" si="90"/>
        <v>37</v>
      </c>
      <c r="AM94" s="572">
        <f t="shared" si="90"/>
        <v>38</v>
      </c>
      <c r="AN94" s="572">
        <f t="shared" si="90"/>
        <v>39</v>
      </c>
      <c r="AO94" s="572">
        <f t="shared" si="90"/>
        <v>40</v>
      </c>
      <c r="AP94" s="572">
        <f t="shared" si="90"/>
        <v>41</v>
      </c>
      <c r="AQ94" s="572">
        <f t="shared" si="90"/>
        <v>42</v>
      </c>
      <c r="AR94" s="572">
        <f t="shared" si="90"/>
        <v>43</v>
      </c>
      <c r="AS94" s="572">
        <f t="shared" si="90"/>
        <v>44</v>
      </c>
      <c r="AT94" s="572">
        <f t="shared" si="90"/>
        <v>45</v>
      </c>
      <c r="AU94" s="572">
        <f t="shared" si="90"/>
        <v>46</v>
      </c>
      <c r="AV94" s="572">
        <f t="shared" si="90"/>
        <v>47</v>
      </c>
      <c r="AW94" s="572">
        <f t="shared" si="90"/>
        <v>48</v>
      </c>
      <c r="AX94" s="572">
        <f t="shared" si="90"/>
        <v>49</v>
      </c>
      <c r="AY94" s="572">
        <f t="shared" si="90"/>
        <v>50</v>
      </c>
      <c r="AZ94" s="572">
        <f t="shared" si="90"/>
        <v>51</v>
      </c>
      <c r="BA94" s="572">
        <f t="shared" si="90"/>
        <v>52</v>
      </c>
      <c r="BB94" s="572">
        <f t="shared" si="90"/>
        <v>53</v>
      </c>
      <c r="BC94" s="572">
        <f t="shared" si="90"/>
        <v>54</v>
      </c>
      <c r="BD94" s="572">
        <f t="shared" si="90"/>
        <v>55</v>
      </c>
      <c r="BE94" s="572">
        <f t="shared" si="90"/>
        <v>56</v>
      </c>
      <c r="BF94" s="572">
        <f t="shared" si="90"/>
        <v>57</v>
      </c>
      <c r="BG94" s="572">
        <f t="shared" si="90"/>
        <v>58</v>
      </c>
      <c r="BH94" s="572">
        <f t="shared" si="90"/>
        <v>59</v>
      </c>
      <c r="BI94" s="572">
        <f t="shared" si="90"/>
        <v>60</v>
      </c>
      <c r="BJ94" s="572">
        <f t="shared" si="90"/>
        <v>61</v>
      </c>
      <c r="BK94" s="572">
        <f t="shared" si="90"/>
        <v>62</v>
      </c>
      <c r="BL94" s="572">
        <f t="shared" si="90"/>
        <v>63</v>
      </c>
      <c r="BM94" s="572">
        <f t="shared" si="90"/>
        <v>64</v>
      </c>
      <c r="BN94" s="572">
        <f t="shared" si="90"/>
        <v>65</v>
      </c>
      <c r="BO94" s="572">
        <f t="shared" si="90"/>
        <v>66</v>
      </c>
      <c r="BP94" s="572">
        <f t="shared" ref="BP94:BR94" si="91">BO94+1</f>
        <v>67</v>
      </c>
      <c r="BQ94" s="572">
        <f t="shared" si="91"/>
        <v>68</v>
      </c>
      <c r="BR94" s="572">
        <f t="shared" si="91"/>
        <v>69</v>
      </c>
    </row>
    <row r="95" spans="1:71" s="929" customFormat="1" ht="17.100000000000001" customHeight="1">
      <c r="A95" s="916" t="s">
        <v>252</v>
      </c>
      <c r="B95" s="917"/>
      <c r="C95" s="918"/>
      <c r="D95" s="919"/>
      <c r="E95" s="920" t="s">
        <v>358</v>
      </c>
      <c r="F95" s="921"/>
      <c r="G95" s="922"/>
      <c r="H95" s="922"/>
      <c r="I95" s="922"/>
      <c r="J95" s="922"/>
      <c r="K95" s="922"/>
      <c r="L95" s="922"/>
      <c r="M95" s="922"/>
      <c r="N95" s="923"/>
      <c r="O95" s="922"/>
      <c r="P95" s="924"/>
      <c r="Q95" s="924"/>
      <c r="R95" s="924"/>
      <c r="S95" s="924"/>
      <c r="T95" s="924"/>
      <c r="U95" s="924"/>
      <c r="V95" s="924"/>
      <c r="W95" s="925" t="s">
        <v>359</v>
      </c>
      <c r="X95" s="926"/>
      <c r="Y95" s="926"/>
      <c r="Z95" s="926"/>
      <c r="AA95" s="926"/>
      <c r="AB95" s="926"/>
      <c r="AC95" s="925" t="s">
        <v>360</v>
      </c>
      <c r="AD95" s="926"/>
      <c r="AE95" s="926"/>
      <c r="AF95" s="926"/>
      <c r="AG95" s="926"/>
      <c r="AH95" s="926"/>
      <c r="AI95" s="926"/>
      <c r="AJ95" s="926"/>
      <c r="AK95" s="926"/>
      <c r="AL95" s="926"/>
      <c r="AM95" s="926"/>
      <c r="AN95" s="926"/>
      <c r="AO95" s="926"/>
      <c r="AP95" s="926"/>
      <c r="AQ95" s="926"/>
      <c r="AR95" s="926"/>
      <c r="AS95" s="926"/>
      <c r="AT95" s="926"/>
      <c r="AU95" s="926"/>
      <c r="AV95" s="926"/>
      <c r="AW95" s="926"/>
      <c r="AX95" s="926"/>
      <c r="AY95" s="926"/>
      <c r="AZ95" s="926"/>
      <c r="BA95" s="926"/>
      <c r="BB95" s="926"/>
      <c r="BC95" s="926"/>
      <c r="BD95" s="927" t="s">
        <v>361</v>
      </c>
      <c r="BE95" s="926"/>
      <c r="BF95" s="928"/>
      <c r="BG95" s="926"/>
      <c r="BH95" s="926"/>
      <c r="BI95" s="926"/>
    </row>
    <row r="96" spans="1:71" ht="102" customHeight="1">
      <c r="A96" s="930" t="s">
        <v>362</v>
      </c>
      <c r="B96" s="931"/>
      <c r="C96" s="932"/>
      <c r="D96" s="933"/>
      <c r="E96" s="934" t="s">
        <v>363</v>
      </c>
      <c r="F96" s="935"/>
      <c r="G96" s="932"/>
      <c r="H96" s="934" t="s">
        <v>364</v>
      </c>
      <c r="I96" s="935"/>
      <c r="J96" s="936"/>
      <c r="K96" s="935" t="s">
        <v>365</v>
      </c>
      <c r="L96" s="935"/>
      <c r="M96" s="932"/>
      <c r="N96" s="937" t="s">
        <v>366</v>
      </c>
      <c r="O96" s="938"/>
      <c r="P96" s="939"/>
      <c r="Q96" s="934" t="s">
        <v>367</v>
      </c>
      <c r="R96" s="938"/>
      <c r="S96" s="940"/>
      <c r="T96" s="940"/>
      <c r="U96" s="940"/>
      <c r="V96" s="940"/>
      <c r="W96" s="941" t="s">
        <v>368</v>
      </c>
      <c r="X96" s="942"/>
      <c r="Y96" s="940"/>
      <c r="Z96" s="941" t="s">
        <v>368</v>
      </c>
      <c r="AA96" s="942"/>
      <c r="AB96" s="943"/>
      <c r="AC96" s="941" t="s">
        <v>369</v>
      </c>
      <c r="AD96" s="942"/>
      <c r="AE96" s="943"/>
      <c r="AF96" s="941" t="s">
        <v>369</v>
      </c>
      <c r="AG96" s="942"/>
      <c r="AH96" s="940"/>
      <c r="AI96" s="941" t="s">
        <v>370</v>
      </c>
      <c r="AJ96" s="942"/>
      <c r="AK96" s="943"/>
      <c r="AL96" s="940"/>
      <c r="AM96" s="940"/>
      <c r="AN96" s="940"/>
      <c r="AO96" s="940"/>
      <c r="AP96" s="940"/>
      <c r="AQ96" s="940"/>
      <c r="AR96" s="940"/>
      <c r="AS96" s="940"/>
      <c r="AT96" s="940"/>
      <c r="AU96" s="940"/>
      <c r="AV96" s="940"/>
      <c r="AW96" s="940"/>
      <c r="AX96" s="940"/>
      <c r="AY96" s="940"/>
      <c r="AZ96" s="940"/>
      <c r="BA96" s="940"/>
      <c r="BB96" s="940"/>
      <c r="BC96" s="940"/>
      <c r="BD96" s="941" t="s">
        <v>371</v>
      </c>
      <c r="BE96" s="942"/>
      <c r="BF96" s="943"/>
      <c r="BG96" s="942" t="s">
        <v>372</v>
      </c>
      <c r="BH96" s="942"/>
      <c r="BI96" s="940"/>
    </row>
    <row r="97" spans="1:61" ht="81" customHeight="1">
      <c r="A97" s="930" t="s">
        <v>362</v>
      </c>
      <c r="B97" s="931"/>
      <c r="C97" s="932"/>
      <c r="D97" s="933"/>
      <c r="E97" s="944"/>
      <c r="F97" s="932"/>
      <c r="G97" s="932"/>
      <c r="H97" s="944"/>
      <c r="I97" s="932"/>
      <c r="J97" s="936"/>
      <c r="K97" s="935" t="s">
        <v>373</v>
      </c>
      <c r="L97" s="935"/>
      <c r="M97" s="932"/>
      <c r="N97" s="934" t="s">
        <v>374</v>
      </c>
      <c r="O97" s="938"/>
      <c r="P97" s="945"/>
      <c r="Q97" s="946"/>
      <c r="R97" s="946"/>
      <c r="S97" s="946"/>
      <c r="T97" s="946"/>
      <c r="U97" s="946"/>
      <c r="V97" s="946"/>
      <c r="W97" s="947"/>
      <c r="X97" s="948"/>
      <c r="Y97" s="948"/>
      <c r="Z97" s="949"/>
      <c r="AA97" s="948"/>
      <c r="AB97" s="950"/>
      <c r="AC97" s="949"/>
      <c r="AD97" s="948"/>
      <c r="AE97" s="950"/>
      <c r="AF97" s="948"/>
      <c r="AG97" s="948"/>
      <c r="AH97" s="948"/>
      <c r="AI97" s="949"/>
      <c r="AJ97" s="948"/>
      <c r="AK97" s="950"/>
      <c r="AL97" s="948"/>
      <c r="AM97" s="948"/>
      <c r="AN97" s="948"/>
      <c r="AO97" s="948"/>
      <c r="AP97" s="948"/>
      <c r="AQ97" s="948"/>
      <c r="AR97" s="948"/>
      <c r="AS97" s="948"/>
      <c r="AT97" s="948"/>
      <c r="AU97" s="948"/>
      <c r="AV97" s="948"/>
      <c r="AW97" s="948"/>
      <c r="AX97" s="948"/>
      <c r="AY97" s="948"/>
      <c r="AZ97" s="948"/>
      <c r="BA97" s="948"/>
      <c r="BB97" s="948"/>
      <c r="BC97" s="948"/>
      <c r="BD97" s="951" t="s">
        <v>375</v>
      </c>
      <c r="BE97" s="952"/>
      <c r="BF97" s="950"/>
      <c r="BG97" s="952" t="s">
        <v>376</v>
      </c>
      <c r="BH97" s="952"/>
      <c r="BI97" s="948"/>
    </row>
    <row r="98" spans="1:61" ht="76.5" customHeight="1">
      <c r="A98" s="953" t="s">
        <v>377</v>
      </c>
      <c r="B98" s="954"/>
      <c r="C98" s="955"/>
      <c r="D98" s="956"/>
      <c r="E98" s="937" t="s">
        <v>378</v>
      </c>
      <c r="F98" s="938"/>
      <c r="G98" s="955"/>
      <c r="H98" s="937" t="s">
        <v>379</v>
      </c>
      <c r="I98" s="938"/>
      <c r="J98" s="957"/>
      <c r="K98" s="938" t="s">
        <v>380</v>
      </c>
      <c r="L98" s="938"/>
      <c r="M98" s="955"/>
      <c r="N98" s="937" t="s">
        <v>381</v>
      </c>
      <c r="O98" s="935"/>
      <c r="P98" s="958"/>
      <c r="Q98" s="959" t="s">
        <v>382</v>
      </c>
      <c r="R98" s="959"/>
      <c r="S98" s="960"/>
      <c r="T98" s="961"/>
      <c r="U98" s="961"/>
      <c r="V98" s="961"/>
      <c r="W98" s="959" t="s">
        <v>383</v>
      </c>
      <c r="X98" s="959"/>
      <c r="Y98" s="961"/>
      <c r="Z98" s="962" t="s">
        <v>383</v>
      </c>
      <c r="AA98" s="959"/>
      <c r="AB98" s="960"/>
      <c r="AC98" s="959" t="s">
        <v>384</v>
      </c>
      <c r="AD98" s="959"/>
      <c r="AE98" s="960"/>
      <c r="AF98" s="959"/>
      <c r="AG98" s="959"/>
      <c r="AH98" s="961"/>
      <c r="AI98" s="963"/>
      <c r="AJ98" s="961"/>
      <c r="AK98" s="960"/>
      <c r="AL98" s="959"/>
      <c r="AM98" s="959"/>
      <c r="AN98" s="961"/>
      <c r="AO98" s="961"/>
      <c r="AP98" s="961"/>
      <c r="AQ98" s="961"/>
      <c r="AR98" s="961"/>
      <c r="AS98" s="961"/>
      <c r="AT98" s="961"/>
      <c r="AU98" s="961"/>
      <c r="AV98" s="961"/>
      <c r="AW98" s="961"/>
      <c r="AX98" s="961"/>
      <c r="AY98" s="961"/>
      <c r="AZ98" s="961"/>
      <c r="BA98" s="961"/>
      <c r="BB98" s="961"/>
      <c r="BC98" s="961"/>
      <c r="BD98" s="963"/>
      <c r="BE98" s="961"/>
      <c r="BF98" s="960"/>
      <c r="BG98" s="959" t="s">
        <v>385</v>
      </c>
      <c r="BH98" s="959"/>
      <c r="BI98" s="961"/>
    </row>
    <row r="99" spans="1:61" ht="92.45" customHeight="1">
      <c r="A99" s="930" t="s">
        <v>377</v>
      </c>
      <c r="B99" s="931"/>
      <c r="C99" s="932"/>
      <c r="D99" s="933"/>
      <c r="E99" s="934" t="s">
        <v>386</v>
      </c>
      <c r="F99" s="935"/>
      <c r="G99" s="932"/>
      <c r="H99" s="934" t="s">
        <v>386</v>
      </c>
      <c r="I99" s="935"/>
      <c r="J99" s="936"/>
      <c r="K99" s="935" t="s">
        <v>387</v>
      </c>
      <c r="L99" s="935"/>
      <c r="M99" s="932"/>
      <c r="N99" s="934"/>
      <c r="O99" s="935"/>
      <c r="P99" s="939"/>
      <c r="Q99" s="940"/>
      <c r="R99" s="940"/>
      <c r="S99" s="943"/>
      <c r="T99" s="940"/>
      <c r="U99" s="940"/>
      <c r="V99" s="940"/>
      <c r="W99" s="942" t="s">
        <v>388</v>
      </c>
      <c r="X99" s="942"/>
      <c r="Y99" s="940"/>
      <c r="Z99" s="964"/>
      <c r="AA99" s="940"/>
      <c r="AB99" s="943"/>
      <c r="AC99" s="964"/>
      <c r="AD99" s="940"/>
      <c r="AE99" s="943"/>
      <c r="AF99" s="940"/>
      <c r="AG99" s="940"/>
      <c r="AH99" s="940"/>
      <c r="AI99" s="964"/>
      <c r="AJ99" s="940"/>
      <c r="AK99" s="943"/>
      <c r="AL99" s="940"/>
      <c r="AM99" s="940"/>
      <c r="AN99" s="940"/>
      <c r="AO99" s="940"/>
      <c r="AP99" s="940"/>
      <c r="AQ99" s="940"/>
      <c r="AR99" s="940"/>
      <c r="AS99" s="940"/>
      <c r="AT99" s="940"/>
      <c r="AU99" s="940"/>
      <c r="AV99" s="940"/>
      <c r="AW99" s="940"/>
      <c r="AX99" s="940"/>
      <c r="AY99" s="940"/>
      <c r="AZ99" s="940"/>
      <c r="BA99" s="940"/>
      <c r="BB99" s="940"/>
      <c r="BC99" s="940"/>
      <c r="BD99" s="964"/>
      <c r="BE99" s="940"/>
      <c r="BF99" s="943"/>
      <c r="BG99" s="940"/>
      <c r="BH99" s="940"/>
      <c r="BI99" s="940"/>
    </row>
    <row r="100" spans="1:61" ht="132.94999999999999" customHeight="1"/>
    <row r="101" spans="1:61" ht="132.94999999999999" customHeight="1"/>
    <row r="102" spans="1:61">
      <c r="B102" s="1" t="s">
        <v>389</v>
      </c>
    </row>
    <row r="103" spans="1:61">
      <c r="B103" s="1" t="s">
        <v>390</v>
      </c>
    </row>
    <row r="104" spans="1:61">
      <c r="B104" s="1" t="s">
        <v>391</v>
      </c>
    </row>
  </sheetData>
  <mergeCells count="2">
    <mergeCell ref="A12:A17"/>
    <mergeCell ref="B12:B17"/>
  </mergeCells>
  <conditionalFormatting sqref="F35:F72">
    <cfRule type="cellIs" dxfId="330" priority="156" operator="greaterThan">
      <formula>500000</formula>
    </cfRule>
    <cfRule type="cellIs" dxfId="329" priority="152" operator="greaterThan">
      <formula>500000</formula>
    </cfRule>
    <cfRule type="cellIs" dxfId="328" priority="155" operator="lessThan">
      <formula>-500000</formula>
    </cfRule>
    <cfRule type="cellIs" dxfId="327" priority="154" operator="lessThan">
      <formula>-1000000</formula>
    </cfRule>
    <cfRule type="cellIs" dxfId="326" priority="153" operator="greaterThan">
      <formula>1000000</formula>
    </cfRule>
  </conditionalFormatting>
  <conditionalFormatting sqref="F78:F87">
    <cfRule type="cellIs" dxfId="325" priority="110" operator="lessThan">
      <formula>-200000</formula>
    </cfRule>
    <cfRule type="cellIs" dxfId="324" priority="111" operator="greaterThan">
      <formula>200000</formula>
    </cfRule>
  </conditionalFormatting>
  <conditionalFormatting sqref="G35:G72">
    <cfRule type="cellIs" dxfId="323" priority="177" operator="lessThan">
      <formula>-0.05</formula>
    </cfRule>
    <cfRule type="cellIs" dxfId="322" priority="178" operator="greaterThan">
      <formula>0.05</formula>
    </cfRule>
  </conditionalFormatting>
  <conditionalFormatting sqref="I35:I72">
    <cfRule type="cellIs" dxfId="321" priority="148" operator="greaterThan">
      <formula>1000000</formula>
    </cfRule>
    <cfRule type="cellIs" dxfId="320" priority="149" operator="lessThan">
      <formula>-1000000</formula>
    </cfRule>
    <cfRule type="cellIs" dxfId="319" priority="147" operator="greaterThan">
      <formula>500000</formula>
    </cfRule>
    <cfRule type="cellIs" dxfId="318" priority="151" operator="greaterThan">
      <formula>500000</formula>
    </cfRule>
    <cfRule type="cellIs" dxfId="317" priority="150" operator="lessThan">
      <formula>-500000</formula>
    </cfRule>
  </conditionalFormatting>
  <conditionalFormatting sqref="I78:I87">
    <cfRule type="cellIs" dxfId="316" priority="84" operator="greaterThan">
      <formula>200000</formula>
    </cfRule>
    <cfRule type="cellIs" dxfId="315" priority="83" operator="lessThan">
      <formula>-200000</formula>
    </cfRule>
  </conditionalFormatting>
  <conditionalFormatting sqref="J35:J72">
    <cfRule type="cellIs" dxfId="314" priority="176" operator="greaterThan">
      <formula>0.05</formula>
    </cfRule>
    <cfRule type="cellIs" dxfId="313" priority="175" operator="lessThan">
      <formula>-0.05</formula>
    </cfRule>
  </conditionalFormatting>
  <conditionalFormatting sqref="L35:L72">
    <cfRule type="cellIs" dxfId="312" priority="109" operator="greaterThan">
      <formula>500000</formula>
    </cfRule>
    <cfRule type="cellIs" dxfId="311" priority="105" operator="greaterThan">
      <formula>500000</formula>
    </cfRule>
    <cfRule type="cellIs" dxfId="310" priority="107" operator="lessThan">
      <formula>-1000000</formula>
    </cfRule>
    <cfRule type="cellIs" dxfId="309" priority="108" operator="lessThan">
      <formula>-500000</formula>
    </cfRule>
    <cfRule type="cellIs" dxfId="308" priority="106" operator="greaterThan">
      <formula>1000000</formula>
    </cfRule>
  </conditionalFormatting>
  <conditionalFormatting sqref="L78:L87">
    <cfRule type="cellIs" dxfId="307" priority="81" operator="lessThan">
      <formula>-200000</formula>
    </cfRule>
    <cfRule type="cellIs" dxfId="306" priority="82" operator="greaterThan">
      <formula>200000</formula>
    </cfRule>
  </conditionalFormatting>
  <conditionalFormatting sqref="M35:M72">
    <cfRule type="cellIs" dxfId="305" priority="174" operator="greaterThan">
      <formula>0.05</formula>
    </cfRule>
    <cfRule type="cellIs" dxfId="304" priority="173" operator="lessThan">
      <formula>-0.05</formula>
    </cfRule>
  </conditionalFormatting>
  <conditionalFormatting sqref="O35:O72">
    <cfRule type="cellIs" dxfId="303" priority="102" operator="lessThan">
      <formula>-1000000</formula>
    </cfRule>
    <cfRule type="cellIs" dxfId="302" priority="103" operator="lessThan">
      <formula>-500000</formula>
    </cfRule>
    <cfRule type="cellIs" dxfId="301" priority="104" operator="greaterThan">
      <formula>500000</formula>
    </cfRule>
    <cfRule type="cellIs" dxfId="300" priority="101" operator="greaterThan">
      <formula>1000000</formula>
    </cfRule>
    <cfRule type="cellIs" dxfId="299" priority="100" operator="greaterThan">
      <formula>500000</formula>
    </cfRule>
  </conditionalFormatting>
  <conditionalFormatting sqref="O78:O87">
    <cfRule type="cellIs" dxfId="298" priority="79" operator="lessThan">
      <formula>-200000</formula>
    </cfRule>
    <cfRule type="cellIs" dxfId="297" priority="80" operator="greaterThan">
      <formula>200000</formula>
    </cfRule>
  </conditionalFormatting>
  <conditionalFormatting sqref="P35:P72 S35:S72 V35:V72">
    <cfRule type="cellIs" dxfId="296" priority="171" operator="lessThan">
      <formula>-0.05</formula>
    </cfRule>
    <cfRule type="cellIs" dxfId="295" priority="172" operator="greaterThan">
      <formula>0.05</formula>
    </cfRule>
  </conditionalFormatting>
  <conditionalFormatting sqref="R35:R72">
    <cfRule type="cellIs" dxfId="294" priority="96" operator="greaterThan">
      <formula>1000000</formula>
    </cfRule>
    <cfRule type="cellIs" dxfId="293" priority="98" operator="lessThan">
      <formula>-500000</formula>
    </cfRule>
    <cfRule type="cellIs" dxfId="292" priority="99" operator="greaterThan">
      <formula>500000</formula>
    </cfRule>
    <cfRule type="cellIs" dxfId="291" priority="97" operator="lessThan">
      <formula>-1000000</formula>
    </cfRule>
    <cfRule type="cellIs" dxfId="290" priority="95" operator="greaterThan">
      <formula>500000</formula>
    </cfRule>
  </conditionalFormatting>
  <conditionalFormatting sqref="R78:R87">
    <cfRule type="cellIs" dxfId="289" priority="78" operator="greaterThan">
      <formula>200000</formula>
    </cfRule>
    <cfRule type="cellIs" dxfId="288" priority="77" operator="lessThan">
      <formula>-200000</formula>
    </cfRule>
  </conditionalFormatting>
  <conditionalFormatting sqref="U35:U72">
    <cfRule type="cellIs" dxfId="287" priority="37" operator="greaterThan">
      <formula>500000</formula>
    </cfRule>
    <cfRule type="cellIs" dxfId="286" priority="34" operator="greaterThan">
      <formula>1000000</formula>
    </cfRule>
    <cfRule type="cellIs" dxfId="285" priority="33" operator="greaterThan">
      <formula>500000</formula>
    </cfRule>
    <cfRule type="cellIs" dxfId="284" priority="35" operator="lessThan">
      <formula>-1000000</formula>
    </cfRule>
    <cfRule type="cellIs" dxfId="283" priority="36" operator="lessThan">
      <formula>-500000</formula>
    </cfRule>
  </conditionalFormatting>
  <conditionalFormatting sqref="U78:U87">
    <cfRule type="cellIs" dxfId="282" priority="22" operator="greaterThan">
      <formula>200000</formula>
    </cfRule>
    <cfRule type="cellIs" dxfId="281" priority="21" operator="lessThan">
      <formula>-200000</formula>
    </cfRule>
  </conditionalFormatting>
  <conditionalFormatting sqref="X35:X72">
    <cfRule type="cellIs" dxfId="280" priority="91" operator="greaterThan">
      <formula>1000000</formula>
    </cfRule>
    <cfRule type="cellIs" dxfId="279" priority="90" operator="greaterThan">
      <formula>500000</formula>
    </cfRule>
    <cfRule type="cellIs" dxfId="278" priority="94" operator="greaterThan">
      <formula>500000</formula>
    </cfRule>
    <cfRule type="cellIs" dxfId="277" priority="93" operator="lessThan">
      <formula>-500000</formula>
    </cfRule>
    <cfRule type="cellIs" dxfId="276" priority="92" operator="lessThan">
      <formula>-1000000</formula>
    </cfRule>
  </conditionalFormatting>
  <conditionalFormatting sqref="X78:X87">
    <cfRule type="cellIs" dxfId="275" priority="76" operator="greaterThan">
      <formula>200000</formula>
    </cfRule>
    <cfRule type="cellIs" dxfId="274" priority="75" operator="lessThan">
      <formula>-200000</formula>
    </cfRule>
  </conditionalFormatting>
  <conditionalFormatting sqref="Y35:Y72">
    <cfRule type="cellIs" dxfId="273" priority="168" operator="greaterThan">
      <formula>0.05</formula>
    </cfRule>
    <cfRule type="cellIs" dxfId="272" priority="167" operator="lessThan">
      <formula>-0.05</formula>
    </cfRule>
  </conditionalFormatting>
  <conditionalFormatting sqref="AA35:AA72">
    <cfRule type="cellIs" dxfId="271" priority="87" operator="lessThan">
      <formula>-1000000</formula>
    </cfRule>
    <cfRule type="cellIs" dxfId="270" priority="88" operator="lessThan">
      <formula>-500000</formula>
    </cfRule>
    <cfRule type="cellIs" dxfId="269" priority="89" operator="greaterThan">
      <formula>500000</formula>
    </cfRule>
    <cfRule type="cellIs" dxfId="268" priority="85" operator="greaterThan">
      <formula>500000</formula>
    </cfRule>
    <cfRule type="cellIs" dxfId="267" priority="86" operator="greaterThan">
      <formula>1000000</formula>
    </cfRule>
  </conditionalFormatting>
  <conditionalFormatting sqref="AA78:AA87">
    <cfRule type="cellIs" dxfId="266" priority="74" operator="greaterThan">
      <formula>200000</formula>
    </cfRule>
    <cfRule type="cellIs" dxfId="265" priority="73" operator="lessThan">
      <formula>-200000</formula>
    </cfRule>
  </conditionalFormatting>
  <conditionalFormatting sqref="AB35:AB72">
    <cfRule type="cellIs" dxfId="264" priority="163" operator="lessThan">
      <formula>-0.05</formula>
    </cfRule>
    <cfRule type="cellIs" dxfId="263" priority="164" operator="greaterThan">
      <formula>0.05</formula>
    </cfRule>
  </conditionalFormatting>
  <conditionalFormatting sqref="AD35:AD72">
    <cfRule type="cellIs" dxfId="262" priority="142" operator="greaterThan">
      <formula>500000</formula>
    </cfRule>
    <cfRule type="cellIs" dxfId="261" priority="143" operator="greaterThan">
      <formula>1000000</formula>
    </cfRule>
    <cfRule type="cellIs" dxfId="260" priority="146" operator="greaterThan">
      <formula>500000</formula>
    </cfRule>
    <cfRule type="cellIs" dxfId="259" priority="145" operator="lessThan">
      <formula>-500000</formula>
    </cfRule>
    <cfRule type="cellIs" dxfId="258" priority="144" operator="lessThan">
      <formula>-1000000</formula>
    </cfRule>
  </conditionalFormatting>
  <conditionalFormatting sqref="AD78:AD87">
    <cfRule type="cellIs" dxfId="257" priority="71" operator="lessThan">
      <formula>-200000</formula>
    </cfRule>
    <cfRule type="cellIs" dxfId="256" priority="72" operator="greaterThan">
      <formula>200000</formula>
    </cfRule>
  </conditionalFormatting>
  <conditionalFormatting sqref="AE35:AE72 AH35:AH72 AK35:AK72 AN35:AN72 AQ35:AQ72 AT35:AT72 AW35:AW72 AZ35:AZ72 BC35:BC72">
    <cfRule type="cellIs" dxfId="255" priority="165" operator="lessThan">
      <formula>-0.05</formula>
    </cfRule>
    <cfRule type="cellIs" dxfId="254" priority="166" operator="greaterThan">
      <formula>0.05</formula>
    </cfRule>
  </conditionalFormatting>
  <conditionalFormatting sqref="AG35:AG72">
    <cfRule type="cellIs" dxfId="253" priority="138" operator="greaterThan">
      <formula>1000000</formula>
    </cfRule>
    <cfRule type="cellIs" dxfId="252" priority="139" operator="lessThan">
      <formula>-1000000</formula>
    </cfRule>
    <cfRule type="cellIs" dxfId="251" priority="140" operator="lessThan">
      <formula>-500000</formula>
    </cfRule>
    <cfRule type="cellIs" dxfId="250" priority="141" operator="greaterThan">
      <formula>500000</formula>
    </cfRule>
    <cfRule type="cellIs" dxfId="249" priority="137" operator="greaterThan">
      <formula>500000</formula>
    </cfRule>
  </conditionalFormatting>
  <conditionalFormatting sqref="AG78:AG87">
    <cfRule type="cellIs" dxfId="248" priority="69" operator="lessThan">
      <formula>-200000</formula>
    </cfRule>
    <cfRule type="cellIs" dxfId="247" priority="70" operator="greaterThan">
      <formula>200000</formula>
    </cfRule>
  </conditionalFormatting>
  <conditionalFormatting sqref="AJ35:AJ72">
    <cfRule type="cellIs" dxfId="246" priority="132" operator="greaterThan">
      <formula>500000</formula>
    </cfRule>
    <cfRule type="cellIs" dxfId="245" priority="133" operator="greaterThan">
      <formula>1000000</formula>
    </cfRule>
    <cfRule type="cellIs" dxfId="244" priority="135" operator="lessThan">
      <formula>-500000</formula>
    </cfRule>
    <cfRule type="cellIs" dxfId="243" priority="136" operator="greaterThan">
      <formula>500000</formula>
    </cfRule>
    <cfRule type="cellIs" dxfId="242" priority="134" operator="lessThan">
      <formula>-1000000</formula>
    </cfRule>
  </conditionalFormatting>
  <conditionalFormatting sqref="AJ78:AJ87">
    <cfRule type="cellIs" dxfId="241" priority="68" operator="greaterThan">
      <formula>200000</formula>
    </cfRule>
    <cfRule type="cellIs" dxfId="240" priority="67" operator="lessThan">
      <formula>-200000</formula>
    </cfRule>
  </conditionalFormatting>
  <conditionalFormatting sqref="AM35:AM72">
    <cfRule type="cellIs" dxfId="239" priority="130" operator="lessThan">
      <formula>-500000</formula>
    </cfRule>
    <cfRule type="cellIs" dxfId="238" priority="131" operator="greaterThan">
      <formula>500000</formula>
    </cfRule>
    <cfRule type="cellIs" dxfId="237" priority="129" operator="lessThan">
      <formula>-1000000</formula>
    </cfRule>
    <cfRule type="cellIs" dxfId="236" priority="128" operator="greaterThan">
      <formula>1000000</formula>
    </cfRule>
    <cfRule type="cellIs" dxfId="235" priority="127" operator="greaterThan">
      <formula>500000</formula>
    </cfRule>
  </conditionalFormatting>
  <conditionalFormatting sqref="AM78:AM87">
    <cfRule type="cellIs" dxfId="234" priority="65" operator="lessThan">
      <formula>-200000</formula>
    </cfRule>
    <cfRule type="cellIs" dxfId="233" priority="66" operator="greaterThan">
      <formula>200000</formula>
    </cfRule>
  </conditionalFormatting>
  <conditionalFormatting sqref="AP35:AP72">
    <cfRule type="cellIs" dxfId="232" priority="50" operator="lessThan">
      <formula>-500000</formula>
    </cfRule>
    <cfRule type="cellIs" dxfId="231" priority="49" operator="lessThan">
      <formula>-1000000</formula>
    </cfRule>
    <cfRule type="cellIs" dxfId="230" priority="48" operator="greaterThan">
      <formula>1000000</formula>
    </cfRule>
    <cfRule type="cellIs" dxfId="229" priority="47" operator="greaterThan">
      <formula>500000</formula>
    </cfRule>
    <cfRule type="cellIs" dxfId="228" priority="51" operator="greaterThan">
      <formula>500000</formula>
    </cfRule>
  </conditionalFormatting>
  <conditionalFormatting sqref="AP78:AP87">
    <cfRule type="cellIs" dxfId="227" priority="40" operator="lessThan">
      <formula>-200000</formula>
    </cfRule>
    <cfRule type="cellIs" dxfId="226" priority="41" operator="greaterThan">
      <formula>200000</formula>
    </cfRule>
  </conditionalFormatting>
  <conditionalFormatting sqref="AS35:AS72">
    <cfRule type="cellIs" dxfId="225" priority="45" operator="lessThan">
      <formula>-500000</formula>
    </cfRule>
    <cfRule type="cellIs" dxfId="224" priority="44" operator="lessThan">
      <formula>-1000000</formula>
    </cfRule>
    <cfRule type="cellIs" dxfId="223" priority="42" operator="greaterThan">
      <formula>500000</formula>
    </cfRule>
    <cfRule type="cellIs" dxfId="222" priority="46" operator="greaterThan">
      <formula>500000</formula>
    </cfRule>
    <cfRule type="cellIs" dxfId="221" priority="43" operator="greaterThan">
      <formula>1000000</formula>
    </cfRule>
  </conditionalFormatting>
  <conditionalFormatting sqref="AS78:AS87">
    <cfRule type="cellIs" dxfId="220" priority="38" operator="lessThan">
      <formula>-200000</formula>
    </cfRule>
    <cfRule type="cellIs" dxfId="219" priority="39" operator="greaterThan">
      <formula>200000</formula>
    </cfRule>
  </conditionalFormatting>
  <conditionalFormatting sqref="AV35:AV72">
    <cfRule type="cellIs" dxfId="218" priority="28" operator="greaterThan">
      <formula>500000</formula>
    </cfRule>
    <cfRule type="cellIs" dxfId="217" priority="30" operator="lessThan">
      <formula>-1000000</formula>
    </cfRule>
    <cfRule type="cellIs" dxfId="216" priority="31" operator="lessThan">
      <formula>-500000</formula>
    </cfRule>
    <cfRule type="cellIs" dxfId="215" priority="32" operator="greaterThan">
      <formula>500000</formula>
    </cfRule>
    <cfRule type="cellIs" dxfId="214" priority="29" operator="greaterThan">
      <formula>1000000</formula>
    </cfRule>
  </conditionalFormatting>
  <conditionalFormatting sqref="AV78:AV87">
    <cfRule type="cellIs" dxfId="213" priority="19" operator="lessThan">
      <formula>-200000</formula>
    </cfRule>
    <cfRule type="cellIs" dxfId="212" priority="20" operator="greaterThan">
      <formula>200000</formula>
    </cfRule>
  </conditionalFormatting>
  <conditionalFormatting sqref="AY35:AY72">
    <cfRule type="cellIs" dxfId="211" priority="26" operator="lessThan">
      <formula>-500000</formula>
    </cfRule>
    <cfRule type="cellIs" dxfId="210" priority="25" operator="lessThan">
      <formula>-1000000</formula>
    </cfRule>
    <cfRule type="cellIs" dxfId="209" priority="27" operator="greaterThan">
      <formula>500000</formula>
    </cfRule>
    <cfRule type="cellIs" dxfId="208" priority="24" operator="greaterThan">
      <formula>1000000</formula>
    </cfRule>
    <cfRule type="cellIs" dxfId="207" priority="23" operator="greaterThan">
      <formula>500000</formula>
    </cfRule>
  </conditionalFormatting>
  <conditionalFormatting sqref="AY78:AY87">
    <cfRule type="cellIs" dxfId="206" priority="18" operator="greaterThan">
      <formula>200000</formula>
    </cfRule>
    <cfRule type="cellIs" dxfId="205" priority="17" operator="lessThan">
      <formula>-200000</formula>
    </cfRule>
  </conditionalFormatting>
  <conditionalFormatting sqref="BB35:BB72">
    <cfRule type="cellIs" dxfId="204" priority="16" operator="greaterThan">
      <formula>500000</formula>
    </cfRule>
    <cfRule type="cellIs" dxfId="203" priority="15" operator="lessThan">
      <formula>-500000</formula>
    </cfRule>
    <cfRule type="cellIs" dxfId="202" priority="14" operator="lessThan">
      <formula>-1000000</formula>
    </cfRule>
    <cfRule type="cellIs" dxfId="201" priority="13" operator="greaterThan">
      <formula>1000000</formula>
    </cfRule>
    <cfRule type="cellIs" dxfId="200" priority="12" operator="greaterThan">
      <formula>500000</formula>
    </cfRule>
  </conditionalFormatting>
  <conditionalFormatting sqref="BB78:BB87">
    <cfRule type="cellIs" dxfId="199" priority="11" operator="greaterThan">
      <formula>200000</formula>
    </cfRule>
    <cfRule type="cellIs" dxfId="198" priority="10" operator="lessThan">
      <formula>-200000</formula>
    </cfRule>
  </conditionalFormatting>
  <conditionalFormatting sqref="BE35:BE72">
    <cfRule type="cellIs" dxfId="197" priority="124" operator="lessThan">
      <formula>-1000000</formula>
    </cfRule>
    <cfRule type="cellIs" dxfId="196" priority="125" operator="lessThan">
      <formula>-500000</formula>
    </cfRule>
    <cfRule type="cellIs" dxfId="195" priority="123" operator="greaterThan">
      <formula>1000000</formula>
    </cfRule>
    <cfRule type="cellIs" dxfId="194" priority="126" operator="greaterThan">
      <formula>500000</formula>
    </cfRule>
    <cfRule type="cellIs" dxfId="193" priority="122" operator="greaterThan">
      <formula>500000</formula>
    </cfRule>
  </conditionalFormatting>
  <conditionalFormatting sqref="BE78:BE87">
    <cfRule type="cellIs" dxfId="192" priority="64" operator="greaterThan">
      <formula>200000</formula>
    </cfRule>
    <cfRule type="cellIs" dxfId="191" priority="63" operator="lessThan">
      <formula>-200000</formula>
    </cfRule>
  </conditionalFormatting>
  <conditionalFormatting sqref="BF35:BF72">
    <cfRule type="cellIs" dxfId="190" priority="169" operator="lessThan">
      <formula>-0.05</formula>
    </cfRule>
    <cfRule type="cellIs" dxfId="189" priority="170" operator="greaterThan">
      <formula>0.05</formula>
    </cfRule>
  </conditionalFormatting>
  <conditionalFormatting sqref="BH35:BH72">
    <cfRule type="cellIs" dxfId="188" priority="117" operator="greaterThan">
      <formula>500000</formula>
    </cfRule>
    <cfRule type="cellIs" dxfId="187" priority="118" operator="greaterThan">
      <formula>1000000</formula>
    </cfRule>
    <cfRule type="cellIs" dxfId="186" priority="119" operator="lessThan">
      <formula>-1000000</formula>
    </cfRule>
    <cfRule type="cellIs" dxfId="185" priority="120" operator="lessThan">
      <formula>-500000</formula>
    </cfRule>
    <cfRule type="cellIs" dxfId="184" priority="121" operator="greaterThan">
      <formula>500000</formula>
    </cfRule>
  </conditionalFormatting>
  <conditionalFormatting sqref="BH78:BH87">
    <cfRule type="cellIs" dxfId="183" priority="61" operator="lessThan">
      <formula>-200000</formula>
    </cfRule>
    <cfRule type="cellIs" dxfId="182" priority="62" operator="greaterThan">
      <formula>200000</formula>
    </cfRule>
  </conditionalFormatting>
  <conditionalFormatting sqref="BI35:BI72">
    <cfRule type="cellIs" dxfId="181" priority="161" operator="lessThan">
      <formula>-0.05</formula>
    </cfRule>
    <cfRule type="cellIs" dxfId="180" priority="162" operator="greaterThan">
      <formula>0.05</formula>
    </cfRule>
  </conditionalFormatting>
  <conditionalFormatting sqref="BK35:BK72">
    <cfRule type="cellIs" dxfId="179" priority="114" operator="lessThan">
      <formula>-1000000</formula>
    </cfRule>
    <cfRule type="cellIs" dxfId="178" priority="115" operator="lessThan">
      <formula>-500000</formula>
    </cfRule>
    <cfRule type="cellIs" dxfId="177" priority="116" operator="greaterThan">
      <formula>500000</formula>
    </cfRule>
    <cfRule type="cellIs" dxfId="176" priority="112" operator="greaterThan">
      <formula>500000</formula>
    </cfRule>
    <cfRule type="cellIs" dxfId="175" priority="113" operator="greaterThan">
      <formula>1000000</formula>
    </cfRule>
  </conditionalFormatting>
  <conditionalFormatting sqref="BK78:BK87">
    <cfRule type="cellIs" dxfId="174" priority="59" operator="lessThan">
      <formula>-200000</formula>
    </cfRule>
    <cfRule type="cellIs" dxfId="173" priority="60" operator="greaterThan">
      <formula>200000</formula>
    </cfRule>
  </conditionalFormatting>
  <conditionalFormatting sqref="BL35:BL72">
    <cfRule type="cellIs" dxfId="172" priority="159" operator="lessThan">
      <formula>-0.05</formula>
    </cfRule>
    <cfRule type="cellIs" dxfId="171" priority="160" operator="greaterThan">
      <formula>0.05</formula>
    </cfRule>
  </conditionalFormatting>
  <conditionalFormatting sqref="BN35:BN72">
    <cfRule type="cellIs" dxfId="170" priority="7" operator="greaterThan">
      <formula>500000</formula>
    </cfRule>
    <cfRule type="cellIs" dxfId="169" priority="6" operator="lessThan">
      <formula>-500000</formula>
    </cfRule>
    <cfRule type="cellIs" dxfId="168" priority="5" operator="lessThan">
      <formula>-1000000</formula>
    </cfRule>
    <cfRule type="cellIs" dxfId="167" priority="4" operator="greaterThan">
      <formula>1000000</formula>
    </cfRule>
    <cfRule type="cellIs" dxfId="166" priority="3" operator="greaterThan">
      <formula>500000</formula>
    </cfRule>
  </conditionalFormatting>
  <conditionalFormatting sqref="BN78:BN87">
    <cfRule type="cellIs" dxfId="165" priority="2" operator="greaterThan">
      <formula>200000</formula>
    </cfRule>
    <cfRule type="cellIs" dxfId="164" priority="1" operator="lessThan">
      <formula>-200000</formula>
    </cfRule>
  </conditionalFormatting>
  <conditionalFormatting sqref="BO35:BO72">
    <cfRule type="cellIs" dxfId="163" priority="9" operator="greaterThan">
      <formula>0.05</formula>
    </cfRule>
    <cfRule type="cellIs" dxfId="162" priority="8" operator="lessThan">
      <formula>-0.05</formula>
    </cfRule>
  </conditionalFormatting>
  <conditionalFormatting sqref="BQ35:BQ72">
    <cfRule type="cellIs" dxfId="161" priority="55" operator="greaterThan">
      <formula>1000000</formula>
    </cfRule>
    <cfRule type="cellIs" dxfId="160" priority="54" operator="greaterThan">
      <formula>500000</formula>
    </cfRule>
    <cfRule type="cellIs" dxfId="159" priority="56" operator="lessThan">
      <formula>-1000000</formula>
    </cfRule>
    <cfRule type="cellIs" dxfId="158" priority="57" operator="lessThan">
      <formula>-500000</formula>
    </cfRule>
    <cfRule type="cellIs" dxfId="157" priority="58" operator="greaterThan">
      <formula>500000</formula>
    </cfRule>
  </conditionalFormatting>
  <conditionalFormatting sqref="BQ78:BQ87">
    <cfRule type="cellIs" dxfId="156" priority="52" operator="lessThan">
      <formula>-200000</formula>
    </cfRule>
    <cfRule type="cellIs" dxfId="155" priority="53" operator="greaterThan">
      <formula>200000</formula>
    </cfRule>
  </conditionalFormatting>
  <conditionalFormatting sqref="BR35:BS72">
    <cfRule type="cellIs" dxfId="154" priority="157" operator="lessThan">
      <formula>-0.05</formula>
    </cfRule>
    <cfRule type="cellIs" dxfId="153" priority="158" operator="greaterThan">
      <formula>0.05</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8A357-7BBB-4F02-A828-228A32770A85}">
  <sheetPr>
    <tabColor theme="0" tint="-0.14999847407452621"/>
  </sheetPr>
  <dimension ref="A1:BH106"/>
  <sheetViews>
    <sheetView topLeftCell="A5" zoomScale="80" zoomScaleNormal="80" workbookViewId="0">
      <pane xSplit="4" ySplit="7" topLeftCell="E12" activePane="bottomRight" state="frozen"/>
      <selection pane="topRight"/>
      <selection pane="bottomLeft"/>
      <selection pane="bottomRight" activeCell="A5" sqref="A5"/>
    </sheetView>
  </sheetViews>
  <sheetFormatPr defaultColWidth="8.7109375" defaultRowHeight="14.25"/>
  <cols>
    <col min="1" max="1" width="14.5703125" style="967" customWidth="1"/>
    <col min="2" max="2" width="43.85546875" style="1095" customWidth="1"/>
    <col min="3" max="3" width="17.5703125" style="966" customWidth="1"/>
    <col min="4" max="4" width="26.140625" style="966" customWidth="1"/>
    <col min="5" max="6" width="18.85546875" style="966" customWidth="1"/>
    <col min="7" max="7" width="8.85546875" style="966" customWidth="1"/>
    <col min="8" max="9" width="17.140625" style="966" customWidth="1"/>
    <col min="10" max="10" width="7" style="966" customWidth="1"/>
    <col min="11" max="11" width="20.85546875" style="966" customWidth="1"/>
    <col min="12" max="12" width="14.140625" style="966" customWidth="1"/>
    <col min="13" max="13" width="7" style="966" customWidth="1"/>
    <col min="14" max="14" width="21.28515625" style="966" customWidth="1"/>
    <col min="15" max="15" width="17.85546875" style="966" customWidth="1"/>
    <col min="16" max="16" width="7.42578125" style="966" customWidth="1"/>
    <col min="17" max="17" width="17.42578125" style="966" customWidth="1"/>
    <col min="18" max="19" width="14.140625" style="966" customWidth="1"/>
    <col min="20" max="20" width="16" style="966" customWidth="1"/>
    <col min="21" max="21" width="13.5703125" style="966" customWidth="1"/>
    <col min="22" max="22" width="6" style="966" customWidth="1"/>
    <col min="23" max="23" width="19.5703125" style="966" customWidth="1"/>
    <col min="24" max="24" width="13.5703125" style="966" customWidth="1"/>
    <col min="25" max="25" width="6" style="966" customWidth="1"/>
    <col min="26" max="26" width="16.7109375" style="966" customWidth="1"/>
    <col min="27" max="27" width="13.42578125" style="966" customWidth="1"/>
    <col min="28" max="28" width="8.42578125" style="966" customWidth="1"/>
    <col min="29" max="16384" width="8.7109375" style="966"/>
  </cols>
  <sheetData>
    <row r="1" spans="1:60" ht="23.25">
      <c r="A1" s="370" t="s">
        <v>156</v>
      </c>
      <c r="B1" s="965" t="s">
        <v>392</v>
      </c>
    </row>
    <row r="2" spans="1:60" ht="4.5" customHeight="1">
      <c r="B2" s="968"/>
    </row>
    <row r="3" spans="1:60" ht="20.25">
      <c r="A3" s="370" t="s">
        <v>156</v>
      </c>
      <c r="B3" s="970"/>
    </row>
    <row r="4" spans="1:60">
      <c r="A4" s="969"/>
      <c r="B4" s="970"/>
    </row>
    <row r="5" spans="1:60" ht="18">
      <c r="A5" s="1138" t="s">
        <v>436</v>
      </c>
      <c r="B5" s="968"/>
    </row>
    <row r="6" spans="1:60" s="572" customFormat="1">
      <c r="A6" s="9"/>
      <c r="B6" s="383"/>
    </row>
    <row r="7" spans="1:60" s="572" customFormat="1">
      <c r="A7" s="10"/>
      <c r="B7" s="11"/>
      <c r="H7" s="733"/>
    </row>
    <row r="8" spans="1:60" s="572" customFormat="1">
      <c r="A8" s="10"/>
      <c r="B8" s="26"/>
      <c r="BD8" s="604"/>
      <c r="BE8" s="604"/>
      <c r="BG8" s="604"/>
      <c r="BH8" s="604"/>
    </row>
    <row r="9" spans="1:60" ht="15" thickBot="1">
      <c r="A9" s="972" t="s">
        <v>272</v>
      </c>
      <c r="B9" s="973"/>
      <c r="C9" s="1139" t="s">
        <v>273</v>
      </c>
      <c r="D9" s="1141"/>
      <c r="E9" s="975" t="s">
        <v>276</v>
      </c>
      <c r="F9" s="976"/>
      <c r="G9" s="977"/>
      <c r="H9" s="975" t="s">
        <v>278</v>
      </c>
      <c r="I9" s="978"/>
      <c r="J9" s="977"/>
      <c r="K9" s="979" t="s">
        <v>279</v>
      </c>
      <c r="L9" s="980"/>
      <c r="M9" s="980"/>
      <c r="N9" s="981" t="s">
        <v>283</v>
      </c>
      <c r="O9" s="982"/>
      <c r="P9" s="983"/>
      <c r="Q9" s="984" t="s">
        <v>289</v>
      </c>
      <c r="R9" s="984"/>
      <c r="S9" s="984"/>
      <c r="T9" s="985" t="s">
        <v>292</v>
      </c>
      <c r="U9" s="985"/>
      <c r="V9" s="986"/>
      <c r="W9" s="985" t="s">
        <v>293</v>
      </c>
      <c r="X9" s="986"/>
      <c r="Y9" s="986"/>
      <c r="Z9" s="985" t="s">
        <v>225</v>
      </c>
      <c r="AA9" s="987"/>
      <c r="AB9" s="988"/>
    </row>
    <row r="10" spans="1:60" ht="145.5" customHeight="1" thickBot="1">
      <c r="A10" s="972" t="s">
        <v>296</v>
      </c>
      <c r="B10" s="973"/>
      <c r="C10" s="989"/>
      <c r="D10" s="1141" t="s">
        <v>297</v>
      </c>
      <c r="E10" s="990" t="s">
        <v>300</v>
      </c>
      <c r="F10" s="990"/>
      <c r="G10" s="991"/>
      <c r="H10" s="992" t="s">
        <v>302</v>
      </c>
      <c r="I10" s="993"/>
      <c r="J10" s="994"/>
      <c r="K10" s="995" t="s">
        <v>303</v>
      </c>
      <c r="L10" s="996"/>
      <c r="M10" s="996"/>
      <c r="N10" s="997" t="s">
        <v>307</v>
      </c>
      <c r="O10" s="998"/>
      <c r="P10" s="999"/>
      <c r="Q10" s="1000" t="s">
        <v>313</v>
      </c>
      <c r="R10" s="1001"/>
      <c r="S10" s="1001"/>
      <c r="T10" s="1002" t="s">
        <v>393</v>
      </c>
      <c r="U10" s="1003"/>
      <c r="V10" s="1004"/>
      <c r="W10" s="1004" t="s">
        <v>315</v>
      </c>
      <c r="X10" s="1004"/>
      <c r="Y10" s="1004"/>
      <c r="Z10" s="1003" t="s">
        <v>315</v>
      </c>
      <c r="AA10" s="1003"/>
      <c r="AB10" s="1005"/>
    </row>
    <row r="11" spans="1:60" ht="1.5" customHeight="1">
      <c r="A11" s="1006"/>
      <c r="B11" s="1006"/>
      <c r="C11" s="1007"/>
      <c r="D11" s="1142"/>
      <c r="E11" s="1007"/>
      <c r="F11" s="1007"/>
      <c r="G11" s="1007"/>
      <c r="H11" s="1007"/>
      <c r="I11" s="1007"/>
      <c r="J11" s="1007"/>
      <c r="K11" s="1007"/>
      <c r="L11" s="1007"/>
      <c r="M11" s="1007"/>
      <c r="N11" s="1007"/>
      <c r="O11" s="1007"/>
      <c r="P11" s="1007"/>
      <c r="Q11" s="1007"/>
      <c r="R11" s="1007"/>
      <c r="S11" s="1007"/>
      <c r="T11" s="1007"/>
      <c r="U11" s="1007"/>
      <c r="V11" s="1007"/>
      <c r="W11" s="1007"/>
      <c r="X11" s="1007"/>
      <c r="Y11" s="1007"/>
      <c r="Z11" s="1007"/>
      <c r="AA11" s="1007"/>
      <c r="AB11" s="1008"/>
    </row>
    <row r="12" spans="1:60" ht="12.6" customHeight="1">
      <c r="A12" s="1154" t="s">
        <v>29</v>
      </c>
      <c r="B12" s="1152" t="s">
        <v>171</v>
      </c>
      <c r="C12" s="1009"/>
      <c r="D12" s="1010"/>
      <c r="E12" s="1011"/>
      <c r="F12" s="1011"/>
      <c r="G12" s="1011"/>
      <c r="H12" s="1011"/>
      <c r="I12" s="1011"/>
      <c r="J12" s="1011"/>
      <c r="K12" s="1011"/>
      <c r="L12" s="1011"/>
      <c r="M12" s="1011"/>
      <c r="N12" s="1012"/>
      <c r="O12" s="1012"/>
      <c r="P12" s="1012"/>
      <c r="Q12" s="1012"/>
      <c r="R12" s="1012"/>
      <c r="S12" s="1012"/>
      <c r="T12" s="1012"/>
      <c r="U12" s="1012"/>
      <c r="V12" s="1013"/>
      <c r="W12" s="1012"/>
      <c r="X12" s="1012"/>
      <c r="Y12" s="1012"/>
      <c r="Z12" s="1012"/>
      <c r="AA12" s="1012"/>
      <c r="AB12" s="1014"/>
    </row>
    <row r="13" spans="1:60" ht="12.6" customHeight="1">
      <c r="A13" s="1154"/>
      <c r="B13" s="1152"/>
      <c r="C13" s="1139"/>
      <c r="D13" s="1143" t="s">
        <v>316</v>
      </c>
      <c r="E13" s="978"/>
      <c r="F13" s="978"/>
      <c r="G13" s="1015"/>
      <c r="H13" s="978"/>
      <c r="I13" s="978"/>
      <c r="J13" s="1015"/>
      <c r="K13" s="1015"/>
      <c r="L13" s="1015"/>
      <c r="M13" s="1015"/>
      <c r="N13" s="1016"/>
      <c r="O13" s="1016"/>
      <c r="P13" s="1017"/>
      <c r="Q13" s="1018"/>
      <c r="R13" s="1018"/>
      <c r="S13" s="1018"/>
      <c r="T13" s="1019"/>
      <c r="U13" s="1019"/>
      <c r="V13" s="1020"/>
      <c r="W13" s="1020"/>
      <c r="X13" s="1020"/>
      <c r="Y13" s="1020"/>
      <c r="Z13" s="1019"/>
      <c r="AA13" s="1019"/>
      <c r="AB13" s="1021"/>
    </row>
    <row r="14" spans="1:60" ht="12.6" customHeight="1">
      <c r="A14" s="1154"/>
      <c r="B14" s="1152"/>
      <c r="C14" s="1039">
        <v>0.5</v>
      </c>
      <c r="D14" s="1022" t="s">
        <v>235</v>
      </c>
      <c r="E14" s="1023">
        <v>0.35</v>
      </c>
      <c r="F14" s="1023"/>
      <c r="G14" s="1024"/>
      <c r="H14" s="1023">
        <v>0</v>
      </c>
      <c r="I14" s="1023"/>
      <c r="J14" s="1024"/>
      <c r="K14" s="1023">
        <v>0.5</v>
      </c>
      <c r="L14" s="1024"/>
      <c r="M14" s="1024"/>
      <c r="N14" s="1025">
        <v>0.35</v>
      </c>
      <c r="O14" s="1026"/>
      <c r="P14" s="1027"/>
      <c r="Q14" s="1028">
        <v>0.5</v>
      </c>
      <c r="R14" s="1029"/>
      <c r="S14" s="1029"/>
      <c r="T14" s="1030">
        <v>0.35</v>
      </c>
      <c r="U14" s="1031"/>
      <c r="V14" s="1032"/>
      <c r="W14" s="1030">
        <v>0.4</v>
      </c>
      <c r="X14" s="1032"/>
      <c r="Y14" s="1032"/>
      <c r="Z14" s="1030">
        <v>0.35</v>
      </c>
      <c r="AA14" s="1031"/>
      <c r="AB14" s="1033"/>
    </row>
    <row r="15" spans="1:60" ht="12.6" customHeight="1">
      <c r="A15" s="1154"/>
      <c r="B15" s="1152"/>
      <c r="C15" s="1039">
        <v>0.3</v>
      </c>
      <c r="D15" s="1034" t="s">
        <v>133</v>
      </c>
      <c r="E15" s="1023">
        <v>0.35</v>
      </c>
      <c r="F15" s="1023"/>
      <c r="G15" s="1024"/>
      <c r="H15" s="1023">
        <v>0.6</v>
      </c>
      <c r="I15" s="1023"/>
      <c r="J15" s="1024"/>
      <c r="K15" s="1023">
        <v>0.3</v>
      </c>
      <c r="L15" s="1023"/>
      <c r="M15" s="1024"/>
      <c r="N15" s="1025">
        <v>0.35</v>
      </c>
      <c r="O15" s="1026"/>
      <c r="P15" s="1027"/>
      <c r="Q15" s="1028">
        <v>0.3</v>
      </c>
      <c r="R15" s="1029"/>
      <c r="S15" s="1029"/>
      <c r="T15" s="1030">
        <v>0.35</v>
      </c>
      <c r="U15" s="1032"/>
      <c r="V15" s="1032"/>
      <c r="W15" s="1030">
        <v>0.4</v>
      </c>
      <c r="X15" s="1032"/>
      <c r="Y15" s="1032"/>
      <c r="Z15" s="1030">
        <v>0.35</v>
      </c>
      <c r="AA15" s="1032"/>
      <c r="AB15" s="1033"/>
    </row>
    <row r="16" spans="1:60" ht="12.6" customHeight="1">
      <c r="A16" s="1154"/>
      <c r="B16" s="1152"/>
      <c r="C16" s="1039">
        <v>0.1</v>
      </c>
      <c r="D16" s="1034" t="s">
        <v>136</v>
      </c>
      <c r="E16" s="1023">
        <v>0.15</v>
      </c>
      <c r="F16" s="1023"/>
      <c r="G16" s="1024"/>
      <c r="H16" s="1023">
        <v>0.2</v>
      </c>
      <c r="I16" s="1023"/>
      <c r="J16" s="1024"/>
      <c r="K16" s="1023">
        <v>0.1</v>
      </c>
      <c r="L16" s="1023"/>
      <c r="M16" s="1024"/>
      <c r="N16" s="1025">
        <v>0.15</v>
      </c>
      <c r="O16" s="1035"/>
      <c r="P16" s="1027"/>
      <c r="Q16" s="1028">
        <v>0.1</v>
      </c>
      <c r="R16" s="1029"/>
      <c r="S16" s="1029"/>
      <c r="T16" s="1030">
        <v>0.15</v>
      </c>
      <c r="U16" s="1032"/>
      <c r="V16" s="1032"/>
      <c r="W16" s="1030">
        <v>0.1</v>
      </c>
      <c r="X16" s="1032"/>
      <c r="Y16" s="1032"/>
      <c r="Z16" s="1030">
        <v>0.15</v>
      </c>
      <c r="AA16" s="1032"/>
      <c r="AB16" s="1033"/>
    </row>
    <row r="17" spans="1:28" ht="12.75" customHeight="1">
      <c r="A17" s="1155"/>
      <c r="B17" s="1153"/>
      <c r="C17" s="1039">
        <v>0.1</v>
      </c>
      <c r="D17" s="1037" t="s">
        <v>137</v>
      </c>
      <c r="E17" s="1023">
        <v>0.15</v>
      </c>
      <c r="F17" s="1023"/>
      <c r="G17" s="1024"/>
      <c r="H17" s="1023">
        <v>0.2</v>
      </c>
      <c r="I17" s="1023"/>
      <c r="J17" s="1024"/>
      <c r="K17" s="1023">
        <v>0.1</v>
      </c>
      <c r="L17" s="1023"/>
      <c r="M17" s="1024"/>
      <c r="N17" s="1025">
        <v>0.15</v>
      </c>
      <c r="O17" s="1038"/>
      <c r="P17" s="1027"/>
      <c r="Q17" s="1028">
        <v>0.1</v>
      </c>
      <c r="R17" s="1029"/>
      <c r="S17" s="1029"/>
      <c r="T17" s="1030">
        <v>0.15</v>
      </c>
      <c r="U17" s="1032"/>
      <c r="V17" s="1032"/>
      <c r="W17" s="1030">
        <v>0.1</v>
      </c>
      <c r="X17" s="1032"/>
      <c r="Y17" s="1032"/>
      <c r="Z17" s="1030">
        <v>0.15</v>
      </c>
      <c r="AA17" s="1032"/>
      <c r="AB17" s="1033"/>
    </row>
    <row r="18" spans="1:28" ht="39" customHeight="1">
      <c r="A18" s="1036"/>
      <c r="B18" s="835"/>
      <c r="C18" s="1039"/>
      <c r="D18" s="1144" t="s">
        <v>317</v>
      </c>
      <c r="E18" s="1040"/>
      <c r="F18" s="1040"/>
      <c r="G18" s="1041"/>
      <c r="H18" s="1040"/>
      <c r="I18" s="1040"/>
      <c r="J18" s="1041"/>
      <c r="K18" s="1040"/>
      <c r="L18" s="1040"/>
      <c r="M18" s="1041"/>
      <c r="N18" s="1042"/>
      <c r="O18" s="1043"/>
      <c r="P18" s="1044"/>
      <c r="Q18" s="1043"/>
      <c r="R18" s="1043"/>
      <c r="S18" s="1043"/>
      <c r="T18" s="1043"/>
      <c r="U18" s="1043"/>
      <c r="V18" s="1043"/>
      <c r="W18" s="1043"/>
      <c r="X18" s="1043"/>
      <c r="Y18" s="1043"/>
      <c r="Z18" s="1043"/>
      <c r="AA18" s="1043"/>
      <c r="AB18" s="1044"/>
    </row>
    <row r="19" spans="1:28" ht="14.45" customHeight="1">
      <c r="A19" s="1036"/>
      <c r="B19" s="835"/>
      <c r="C19" s="1140">
        <v>0.2</v>
      </c>
      <c r="D19" s="1145" t="s">
        <v>238</v>
      </c>
      <c r="E19" s="1023">
        <v>0.2</v>
      </c>
      <c r="F19" s="1023"/>
      <c r="G19" s="1024"/>
      <c r="H19" s="1023">
        <v>0.2</v>
      </c>
      <c r="I19" s="1023"/>
      <c r="J19" s="1024"/>
      <c r="K19" s="1023">
        <v>0</v>
      </c>
      <c r="L19" s="1023"/>
      <c r="M19" s="1024"/>
      <c r="N19" s="1025">
        <v>0.2</v>
      </c>
      <c r="O19" s="1038"/>
      <c r="P19" s="1027"/>
      <c r="Q19" s="1028">
        <v>0</v>
      </c>
      <c r="R19" s="1029"/>
      <c r="S19" s="1029"/>
      <c r="T19" s="1030">
        <v>0.2</v>
      </c>
      <c r="U19" s="1032"/>
      <c r="V19" s="1032"/>
      <c r="W19" s="1045">
        <v>0</v>
      </c>
      <c r="X19" s="1032"/>
      <c r="Y19" s="1032"/>
      <c r="Z19" s="1030">
        <v>0</v>
      </c>
      <c r="AA19" s="1032"/>
      <c r="AB19" s="1033"/>
    </row>
    <row r="20" spans="1:28" ht="15">
      <c r="A20" s="1036"/>
      <c r="B20" s="835"/>
      <c r="C20" s="1140">
        <v>0.2</v>
      </c>
      <c r="D20" s="1145" t="s">
        <v>240</v>
      </c>
      <c r="E20" s="1023">
        <v>0.2</v>
      </c>
      <c r="F20" s="1023"/>
      <c r="G20" s="1024"/>
      <c r="H20" s="1023">
        <v>0.2</v>
      </c>
      <c r="I20" s="1023"/>
      <c r="J20" s="1024"/>
      <c r="K20" s="1023">
        <v>0</v>
      </c>
      <c r="L20" s="1023"/>
      <c r="M20" s="1024"/>
      <c r="N20" s="1025">
        <v>0.2</v>
      </c>
      <c r="O20" s="1038"/>
      <c r="P20" s="1027"/>
      <c r="Q20" s="1028">
        <v>0</v>
      </c>
      <c r="R20" s="1029"/>
      <c r="S20" s="1029"/>
      <c r="T20" s="1030">
        <v>0.2</v>
      </c>
      <c r="U20" s="1032"/>
      <c r="V20" s="1032"/>
      <c r="W20" s="1045">
        <v>0</v>
      </c>
      <c r="X20" s="1032"/>
      <c r="Y20" s="1032"/>
      <c r="Z20" s="1030">
        <v>0</v>
      </c>
      <c r="AA20" s="1032"/>
      <c r="AB20" s="1033"/>
    </row>
    <row r="21" spans="1:28" ht="15">
      <c r="A21" s="1036"/>
      <c r="B21" s="835"/>
      <c r="C21" s="1140">
        <v>0.2</v>
      </c>
      <c r="D21" s="1145" t="s">
        <v>242</v>
      </c>
      <c r="E21" s="1023">
        <v>0.2</v>
      </c>
      <c r="F21" s="1023"/>
      <c r="G21" s="1024"/>
      <c r="H21" s="1023">
        <v>0.2</v>
      </c>
      <c r="I21" s="1023"/>
      <c r="J21" s="1024"/>
      <c r="K21" s="1023">
        <v>0</v>
      </c>
      <c r="L21" s="1023"/>
      <c r="M21" s="1024"/>
      <c r="N21" s="1025">
        <v>0.2</v>
      </c>
      <c r="O21" s="1038"/>
      <c r="P21" s="1027"/>
      <c r="Q21" s="1028">
        <v>0</v>
      </c>
      <c r="R21" s="1029"/>
      <c r="S21" s="1029"/>
      <c r="T21" s="1030">
        <v>0.2</v>
      </c>
      <c r="U21" s="1032"/>
      <c r="V21" s="1032"/>
      <c r="W21" s="1045">
        <v>0</v>
      </c>
      <c r="X21" s="1032"/>
      <c r="Y21" s="1032"/>
      <c r="Z21" s="1030">
        <v>0</v>
      </c>
      <c r="AA21" s="1032"/>
      <c r="AB21" s="1033"/>
    </row>
    <row r="22" spans="1:28" ht="15">
      <c r="A22" s="1036"/>
      <c r="B22" s="835"/>
      <c r="C22" s="1140">
        <v>0.2</v>
      </c>
      <c r="D22" s="1145" t="s">
        <v>243</v>
      </c>
      <c r="E22" s="1023">
        <v>0.2</v>
      </c>
      <c r="F22" s="1023"/>
      <c r="G22" s="1024"/>
      <c r="H22" s="1023">
        <v>0.2</v>
      </c>
      <c r="I22" s="1023"/>
      <c r="J22" s="1024"/>
      <c r="K22" s="1023">
        <v>0</v>
      </c>
      <c r="L22" s="1023"/>
      <c r="M22" s="1024"/>
      <c r="N22" s="1025">
        <v>0.2</v>
      </c>
      <c r="O22" s="1026"/>
      <c r="P22" s="1027"/>
      <c r="Q22" s="1028">
        <v>0</v>
      </c>
      <c r="R22" s="1029"/>
      <c r="S22" s="1029"/>
      <c r="T22" s="1030">
        <v>0.2</v>
      </c>
      <c r="U22" s="1032"/>
      <c r="V22" s="1032"/>
      <c r="W22" s="1045">
        <v>0</v>
      </c>
      <c r="X22" s="1032"/>
      <c r="Y22" s="1032"/>
      <c r="Z22" s="1030">
        <v>0</v>
      </c>
      <c r="AA22" s="1032"/>
      <c r="AB22" s="1033"/>
    </row>
    <row r="23" spans="1:28" ht="15">
      <c r="A23" s="1036"/>
      <c r="B23" s="835"/>
      <c r="C23" s="1140">
        <v>0.2</v>
      </c>
      <c r="D23" s="1145" t="s">
        <v>244</v>
      </c>
      <c r="E23" s="1023">
        <v>0.2</v>
      </c>
      <c r="F23" s="1023"/>
      <c r="G23" s="1024"/>
      <c r="H23" s="1023">
        <v>0.2</v>
      </c>
      <c r="I23" s="1023"/>
      <c r="J23" s="1024"/>
      <c r="K23" s="1023">
        <v>0</v>
      </c>
      <c r="L23" s="1023"/>
      <c r="M23" s="1024"/>
      <c r="N23" s="1025">
        <v>0.2</v>
      </c>
      <c r="O23" s="1026"/>
      <c r="P23" s="1027"/>
      <c r="Q23" s="1028">
        <v>0</v>
      </c>
      <c r="R23" s="1029"/>
      <c r="S23" s="1029"/>
      <c r="T23" s="1030">
        <v>0.2</v>
      </c>
      <c r="U23" s="1032"/>
      <c r="V23" s="1032"/>
      <c r="W23" s="1045">
        <v>0</v>
      </c>
      <c r="X23" s="1032"/>
      <c r="Y23" s="1032"/>
      <c r="Z23" s="1030">
        <v>0</v>
      </c>
      <c r="AA23" s="1032"/>
      <c r="AB23" s="1033"/>
    </row>
    <row r="24" spans="1:28" ht="53.25" customHeight="1">
      <c r="A24" s="1036"/>
      <c r="B24" s="835"/>
      <c r="C24" s="1046"/>
      <c r="D24" s="1146" t="s">
        <v>318</v>
      </c>
      <c r="E24" s="1047" t="s">
        <v>246</v>
      </c>
      <c r="F24" s="1023"/>
      <c r="G24" s="1024"/>
      <c r="H24" s="1047" t="s">
        <v>246</v>
      </c>
      <c r="I24" s="1023"/>
      <c r="J24" s="1024"/>
      <c r="K24" s="1047" t="s">
        <v>246</v>
      </c>
      <c r="L24" s="1023"/>
      <c r="M24" s="1024"/>
      <c r="N24" s="1048" t="s">
        <v>247</v>
      </c>
      <c r="O24" s="1026"/>
      <c r="P24" s="1027"/>
      <c r="Q24" s="1049" t="s">
        <v>247</v>
      </c>
      <c r="R24" s="1029"/>
      <c r="S24" s="1029"/>
      <c r="T24" s="1050" t="s">
        <v>247</v>
      </c>
      <c r="U24" s="1032"/>
      <c r="V24" s="1032"/>
      <c r="W24" s="1050" t="s">
        <v>247</v>
      </c>
      <c r="X24" s="1032"/>
      <c r="Y24" s="1032"/>
      <c r="Z24" s="1051" t="s">
        <v>247</v>
      </c>
      <c r="AA24" s="1032"/>
      <c r="AB24" s="1033"/>
    </row>
    <row r="25" spans="1:28" ht="30">
      <c r="A25" s="1036"/>
      <c r="B25" s="835"/>
      <c r="C25" s="1039"/>
      <c r="D25" s="1146" t="s">
        <v>320</v>
      </c>
      <c r="E25" s="1040"/>
      <c r="F25" s="1040"/>
      <c r="G25" s="1041"/>
      <c r="H25" s="1040"/>
      <c r="I25" s="1040"/>
      <c r="J25" s="1041"/>
      <c r="K25" s="1040"/>
      <c r="L25" s="1040"/>
      <c r="M25" s="1041"/>
      <c r="N25" s="1052"/>
      <c r="O25" s="1053"/>
      <c r="P25" s="1044"/>
      <c r="Q25" s="1054"/>
      <c r="R25" s="1043"/>
      <c r="S25" s="1043"/>
      <c r="T25" s="1043"/>
      <c r="U25" s="1043"/>
      <c r="V25" s="1043"/>
      <c r="W25" s="1055"/>
      <c r="X25" s="1043"/>
      <c r="Y25" s="1043"/>
      <c r="Z25" s="1043"/>
      <c r="AA25" s="1043"/>
      <c r="AB25" s="1044"/>
    </row>
    <row r="26" spans="1:28" ht="15">
      <c r="A26" s="1036"/>
      <c r="B26" s="835"/>
      <c r="C26" s="1039"/>
      <c r="D26" s="1147" t="s">
        <v>249</v>
      </c>
      <c r="E26" s="1023" t="s">
        <v>155</v>
      </c>
      <c r="F26" s="1023"/>
      <c r="G26" s="1024"/>
      <c r="H26" s="1023" t="s">
        <v>155</v>
      </c>
      <c r="I26" s="1023"/>
      <c r="J26" s="1024"/>
      <c r="K26" s="1023" t="s">
        <v>155</v>
      </c>
      <c r="L26" s="1023"/>
      <c r="M26" s="1024"/>
      <c r="N26" s="1056" t="s">
        <v>321</v>
      </c>
      <c r="O26" s="1026"/>
      <c r="P26" s="1027"/>
      <c r="Q26" s="1028" t="s">
        <v>323</v>
      </c>
      <c r="R26" s="1029"/>
      <c r="S26" s="1029"/>
      <c r="T26" s="1030" t="s">
        <v>321</v>
      </c>
      <c r="U26" s="1032"/>
      <c r="V26" s="1032"/>
      <c r="W26" s="1031" t="s">
        <v>324</v>
      </c>
      <c r="X26" s="1032"/>
      <c r="Y26" s="1032"/>
      <c r="Z26" s="1031" t="s">
        <v>324</v>
      </c>
      <c r="AA26" s="1032"/>
      <c r="AB26" s="1033"/>
    </row>
    <row r="27" spans="1:28" ht="15">
      <c r="A27" s="1036"/>
      <c r="B27" s="835"/>
      <c r="C27" s="1039"/>
      <c r="D27" s="1145" t="s">
        <v>252</v>
      </c>
      <c r="E27" s="1023" t="s">
        <v>155</v>
      </c>
      <c r="F27" s="1023"/>
      <c r="G27" s="1024"/>
      <c r="H27" s="1023" t="s">
        <v>155</v>
      </c>
      <c r="I27" s="1023"/>
      <c r="J27" s="1024"/>
      <c r="K27" s="1023" t="s">
        <v>155</v>
      </c>
      <c r="L27" s="1023"/>
      <c r="M27" s="1024"/>
      <c r="N27" s="1056" t="s">
        <v>327</v>
      </c>
      <c r="O27" s="1026"/>
      <c r="P27" s="1027"/>
      <c r="Q27" s="1028" t="s">
        <v>329</v>
      </c>
      <c r="R27" s="1029"/>
      <c r="S27" s="1029"/>
      <c r="T27" s="1031" t="s">
        <v>253</v>
      </c>
      <c r="U27" s="1032"/>
      <c r="V27" s="1032"/>
      <c r="W27" s="1031" t="s">
        <v>253</v>
      </c>
      <c r="X27" s="1032"/>
      <c r="Y27" s="1032"/>
      <c r="Z27" s="1031" t="s">
        <v>253</v>
      </c>
      <c r="AA27" s="1032"/>
      <c r="AB27" s="1033"/>
    </row>
    <row r="28" spans="1:28" ht="15">
      <c r="A28" s="1036"/>
      <c r="B28" s="835"/>
      <c r="C28" s="1046" t="s">
        <v>155</v>
      </c>
      <c r="D28" s="1145" t="s">
        <v>240</v>
      </c>
      <c r="E28" s="1023" t="s">
        <v>155</v>
      </c>
      <c r="F28" s="1023"/>
      <c r="G28" s="1024"/>
      <c r="H28" s="1023" t="s">
        <v>155</v>
      </c>
      <c r="I28" s="1023"/>
      <c r="J28" s="1024"/>
      <c r="K28" s="1023" t="s">
        <v>155</v>
      </c>
      <c r="L28" s="1023"/>
      <c r="M28" s="1024"/>
      <c r="N28" s="1035">
        <v>0.25</v>
      </c>
      <c r="O28" s="1026"/>
      <c r="P28" s="1027"/>
      <c r="Q28" s="1028">
        <v>0.25</v>
      </c>
      <c r="R28" s="1029"/>
      <c r="S28" s="1029"/>
      <c r="T28" s="1030">
        <v>0.25</v>
      </c>
      <c r="U28" s="1032"/>
      <c r="V28" s="1032"/>
      <c r="W28" s="1045">
        <v>0.25</v>
      </c>
      <c r="X28" s="1032"/>
      <c r="Y28" s="1032"/>
      <c r="Z28" s="1030">
        <v>0.25</v>
      </c>
      <c r="AA28" s="1032"/>
      <c r="AB28" s="1033"/>
    </row>
    <row r="29" spans="1:28" ht="15">
      <c r="A29" s="1036"/>
      <c r="B29" s="835"/>
      <c r="C29" s="1046" t="s">
        <v>155</v>
      </c>
      <c r="D29" s="1145" t="s">
        <v>238</v>
      </c>
      <c r="E29" s="1023" t="s">
        <v>155</v>
      </c>
      <c r="F29" s="1023"/>
      <c r="G29" s="1024"/>
      <c r="H29" s="1023" t="s">
        <v>155</v>
      </c>
      <c r="I29" s="1023"/>
      <c r="J29" s="1024"/>
      <c r="K29" s="1023" t="s">
        <v>155</v>
      </c>
      <c r="L29" s="1023"/>
      <c r="M29" s="1024"/>
      <c r="N29" s="1035">
        <v>0.25</v>
      </c>
      <c r="O29" s="1026"/>
      <c r="P29" s="1027"/>
      <c r="Q29" s="1028">
        <v>0.25</v>
      </c>
      <c r="R29" s="1029"/>
      <c r="S29" s="1029"/>
      <c r="T29" s="1030">
        <v>0.25</v>
      </c>
      <c r="U29" s="1032"/>
      <c r="V29" s="1032"/>
      <c r="W29" s="1045">
        <v>0.25</v>
      </c>
      <c r="X29" s="1032"/>
      <c r="Y29" s="1032"/>
      <c r="Z29" s="1030">
        <v>0.25</v>
      </c>
      <c r="AA29" s="1032"/>
      <c r="AB29" s="1033"/>
    </row>
    <row r="30" spans="1:28" ht="15">
      <c r="A30" s="1036"/>
      <c r="B30" s="835"/>
      <c r="C30" s="1046" t="s">
        <v>155</v>
      </c>
      <c r="D30" s="1145" t="s">
        <v>166</v>
      </c>
      <c r="E30" s="1023" t="s">
        <v>155</v>
      </c>
      <c r="F30" s="1023"/>
      <c r="G30" s="1024"/>
      <c r="H30" s="1023" t="s">
        <v>155</v>
      </c>
      <c r="I30" s="1023"/>
      <c r="J30" s="1024"/>
      <c r="K30" s="1023" t="s">
        <v>155</v>
      </c>
      <c r="L30" s="1023"/>
      <c r="M30" s="1024"/>
      <c r="N30" s="1035">
        <v>0.5</v>
      </c>
      <c r="O30" s="1035"/>
      <c r="P30" s="1027"/>
      <c r="Q30" s="1028">
        <v>0.5</v>
      </c>
      <c r="R30" s="1029"/>
      <c r="S30" s="1029"/>
      <c r="T30" s="1030">
        <v>0.5</v>
      </c>
      <c r="U30" s="1032"/>
      <c r="V30" s="1032"/>
      <c r="W30" s="1045">
        <v>0.5</v>
      </c>
      <c r="X30" s="1032"/>
      <c r="Y30" s="1032"/>
      <c r="Z30" s="1030">
        <v>0.5</v>
      </c>
      <c r="AA30" s="1032"/>
      <c r="AB30" s="1033"/>
    </row>
    <row r="31" spans="1:28" ht="15">
      <c r="A31" s="1036"/>
      <c r="B31" s="835"/>
      <c r="C31" s="1046"/>
      <c r="D31" s="1144" t="s">
        <v>330</v>
      </c>
      <c r="E31" s="1040"/>
      <c r="F31" s="1040"/>
      <c r="G31" s="1041"/>
      <c r="H31" s="1040"/>
      <c r="I31" s="1040"/>
      <c r="J31" s="1041"/>
      <c r="K31" s="1040"/>
      <c r="L31" s="1040"/>
      <c r="M31" s="1041"/>
      <c r="N31" s="1052"/>
      <c r="O31" s="1052"/>
      <c r="P31" s="1044"/>
      <c r="Q31" s="1054"/>
      <c r="R31" s="1043"/>
      <c r="S31" s="1043"/>
      <c r="T31" s="1054"/>
      <c r="U31" s="1043"/>
      <c r="V31" s="1043"/>
      <c r="W31" s="1057"/>
      <c r="X31" s="1043"/>
      <c r="Y31" s="1043"/>
      <c r="Z31" s="1043"/>
      <c r="AA31" s="1043"/>
      <c r="AB31" s="1044"/>
    </row>
    <row r="32" spans="1:28" ht="15">
      <c r="A32" s="1036"/>
      <c r="B32" s="835"/>
      <c r="C32" s="1046">
        <v>0.3</v>
      </c>
      <c r="D32" s="1145" t="s">
        <v>256</v>
      </c>
      <c r="E32" s="1023">
        <v>0.3</v>
      </c>
      <c r="F32" s="1023"/>
      <c r="G32" s="1024"/>
      <c r="H32" s="1023">
        <v>0.3</v>
      </c>
      <c r="I32" s="1023"/>
      <c r="J32" s="1024"/>
      <c r="K32" s="1023">
        <v>0.3</v>
      </c>
      <c r="L32" s="1023"/>
      <c r="M32" s="1024"/>
      <c r="N32" s="1035">
        <v>0.3</v>
      </c>
      <c r="O32" s="1035"/>
      <c r="P32" s="1027"/>
      <c r="Q32" s="1028">
        <v>0.3</v>
      </c>
      <c r="R32" s="1029"/>
      <c r="S32" s="1029"/>
      <c r="T32" s="1030">
        <v>0.3</v>
      </c>
      <c r="U32" s="1032"/>
      <c r="V32" s="1032"/>
      <c r="W32" s="1045">
        <v>0.3</v>
      </c>
      <c r="X32" s="1032"/>
      <c r="Y32" s="1032"/>
      <c r="Z32" s="1045">
        <v>0.3</v>
      </c>
      <c r="AA32" s="1032"/>
      <c r="AB32" s="1033"/>
    </row>
    <row r="33" spans="1:28" ht="15">
      <c r="A33" s="1036"/>
      <c r="B33" s="835"/>
      <c r="C33" s="1046">
        <v>0.3</v>
      </c>
      <c r="D33" s="1145" t="s">
        <v>332</v>
      </c>
      <c r="E33" s="1023">
        <v>0.3</v>
      </c>
      <c r="F33" s="1023"/>
      <c r="G33" s="1024"/>
      <c r="H33" s="1023">
        <v>0.3</v>
      </c>
      <c r="I33" s="1023"/>
      <c r="J33" s="1024"/>
      <c r="K33" s="1023">
        <v>0.3</v>
      </c>
      <c r="L33" s="1023"/>
      <c r="M33" s="1024"/>
      <c r="N33" s="1035">
        <v>0.3</v>
      </c>
      <c r="O33" s="1035"/>
      <c r="P33" s="1027"/>
      <c r="Q33" s="1028">
        <v>0.4</v>
      </c>
      <c r="R33" s="1029"/>
      <c r="S33" s="1029"/>
      <c r="T33" s="1030">
        <v>0.3</v>
      </c>
      <c r="U33" s="1032"/>
      <c r="V33" s="1032"/>
      <c r="W33" s="1045">
        <v>0.3</v>
      </c>
      <c r="X33" s="1032"/>
      <c r="Y33" s="1032"/>
      <c r="Z33" s="1058">
        <v>0.3</v>
      </c>
      <c r="AA33" s="1032"/>
      <c r="AB33" s="1033"/>
    </row>
    <row r="34" spans="1:28" ht="15">
      <c r="A34" s="1036"/>
      <c r="B34" s="835"/>
      <c r="C34" s="1039"/>
      <c r="D34" s="1148"/>
      <c r="E34" s="1059"/>
      <c r="F34" s="1059"/>
      <c r="G34" s="1060"/>
      <c r="H34" s="1059"/>
      <c r="I34" s="1059"/>
      <c r="J34" s="1060"/>
      <c r="K34" s="1060"/>
      <c r="L34" s="1059"/>
      <c r="M34" s="1060"/>
      <c r="N34" s="1061"/>
      <c r="O34" s="1061"/>
      <c r="P34" s="1062"/>
      <c r="Q34" s="1063"/>
      <c r="R34" s="1063"/>
      <c r="S34" s="1063"/>
      <c r="T34" s="1064"/>
      <c r="U34" s="1064"/>
      <c r="V34" s="1064"/>
      <c r="W34" s="1065"/>
      <c r="X34" s="1064"/>
      <c r="Y34" s="1064"/>
      <c r="Z34" s="1064"/>
      <c r="AA34" s="1064"/>
      <c r="AB34" s="1066"/>
    </row>
    <row r="35" spans="1:28" ht="15">
      <c r="A35" s="1067" t="s">
        <v>82</v>
      </c>
      <c r="B35" s="428" t="s">
        <v>83</v>
      </c>
      <c r="C35" s="1068">
        <v>641176</v>
      </c>
      <c r="D35" s="1069"/>
      <c r="E35" s="1068">
        <v>690641</v>
      </c>
      <c r="F35" s="1068">
        <f>E35-$C35</f>
        <v>49465</v>
      </c>
      <c r="G35" s="1070">
        <f>(E35-$C35)/$C35</f>
        <v>7.7147304328296751E-2</v>
      </c>
      <c r="H35" s="1071">
        <v>738975</v>
      </c>
      <c r="I35" s="1068">
        <f>H35-$C35</f>
        <v>97799</v>
      </c>
      <c r="J35" s="1070">
        <f t="shared" ref="J35:J74" si="0">(H35-$C35)/$C35</f>
        <v>0.15253066240782562</v>
      </c>
      <c r="K35" s="1071">
        <v>650679</v>
      </c>
      <c r="L35" s="1068">
        <f>K35-$C35</f>
        <v>9503</v>
      </c>
      <c r="M35" s="1070">
        <f t="shared" ref="M35:M74" si="1">(K35-$C35)/$C35</f>
        <v>1.482120353849801E-2</v>
      </c>
      <c r="N35" s="683">
        <v>677811</v>
      </c>
      <c r="O35" s="1068">
        <f>N35-$C35</f>
        <v>36635</v>
      </c>
      <c r="P35" s="1070">
        <f t="shared" ref="P35:P74" si="2">(N35-$C35)/$C35</f>
        <v>5.7137197898860841E-2</v>
      </c>
      <c r="Q35" s="683">
        <v>626080.33947360353</v>
      </c>
      <c r="R35" s="1068">
        <f>Q35-$C35</f>
        <v>-15095.660526396474</v>
      </c>
      <c r="S35" s="1070">
        <f t="shared" ref="S35:S74" si="3">(Q35-$C35)/$C35</f>
        <v>-2.35437080090279E-2</v>
      </c>
      <c r="T35" s="1072">
        <v>677809</v>
      </c>
      <c r="U35" s="1068">
        <f>T35-$C35</f>
        <v>36633</v>
      </c>
      <c r="V35" s="1070">
        <f t="shared" ref="V35:V56" si="4">(T35-$C35)/$C35</f>
        <v>5.7134078630516429E-2</v>
      </c>
      <c r="W35" s="1072">
        <v>608841.39445172437</v>
      </c>
      <c r="X35" s="1068">
        <f>W35-$C35</f>
        <v>-32334.605548275635</v>
      </c>
      <c r="Y35" s="1070">
        <f t="shared" ref="Y35:Y56" si="5">(W35-$C35)/$C35</f>
        <v>-5.0430155757975402E-2</v>
      </c>
      <c r="Z35" s="1072">
        <v>673452.9504600591</v>
      </c>
      <c r="AA35" s="1068">
        <f>Z35-$C35</f>
        <v>32276.950460059103</v>
      </c>
      <c r="AB35" s="1070">
        <f t="shared" ref="AB35:AB56" si="6">(Z35-$C35)/$C35</f>
        <v>5.0340234912191195E-2</v>
      </c>
    </row>
    <row r="36" spans="1:28" ht="15">
      <c r="A36" s="1073" t="s">
        <v>82</v>
      </c>
      <c r="B36" s="428" t="s">
        <v>84</v>
      </c>
      <c r="C36" s="1068">
        <v>119644</v>
      </c>
      <c r="D36" s="1069"/>
      <c r="E36" s="1068">
        <v>119644</v>
      </c>
      <c r="F36" s="1068">
        <f t="shared" ref="F36:F74" si="7">E36-$C36</f>
        <v>0</v>
      </c>
      <c r="G36" s="1070">
        <f t="shared" ref="G36:G74" si="8">(E36-$C36)/$C36</f>
        <v>0</v>
      </c>
      <c r="H36" s="1071">
        <v>119644</v>
      </c>
      <c r="I36" s="1068">
        <f t="shared" ref="I36:I74" si="9">H36-$C36</f>
        <v>0</v>
      </c>
      <c r="J36" s="1070">
        <f t="shared" si="0"/>
        <v>0</v>
      </c>
      <c r="K36" s="1071">
        <v>119644</v>
      </c>
      <c r="L36" s="1068">
        <f t="shared" ref="L36:L74" si="10">K36-$C36</f>
        <v>0</v>
      </c>
      <c r="M36" s="1070">
        <f t="shared" si="1"/>
        <v>0</v>
      </c>
      <c r="N36" s="683">
        <v>119644</v>
      </c>
      <c r="O36" s="1068">
        <f t="shared" ref="O36:O74" si="11">N36-$C36</f>
        <v>0</v>
      </c>
      <c r="P36" s="1070">
        <f t="shared" si="2"/>
        <v>0</v>
      </c>
      <c r="Q36" s="683">
        <v>119644.2</v>
      </c>
      <c r="R36" s="1068">
        <f t="shared" ref="R36:R74" si="12">Q36-$C36</f>
        <v>0.19999999999708962</v>
      </c>
      <c r="S36" s="1070">
        <f t="shared" si="3"/>
        <v>1.6716258232513926E-6</v>
      </c>
      <c r="T36" s="1072">
        <v>119644</v>
      </c>
      <c r="U36" s="1068">
        <f t="shared" ref="U36:U74" si="13">T36-$C36</f>
        <v>0</v>
      </c>
      <c r="V36" s="1070">
        <f t="shared" si="4"/>
        <v>0</v>
      </c>
      <c r="W36" s="1072">
        <v>119644.2</v>
      </c>
      <c r="X36" s="1068">
        <f t="shared" ref="X36:X74" si="14">W36-$C36</f>
        <v>0.19999999999708962</v>
      </c>
      <c r="Y36" s="1070">
        <f t="shared" si="5"/>
        <v>1.6716258232513926E-6</v>
      </c>
      <c r="Z36" s="1072">
        <v>119644.2</v>
      </c>
      <c r="AA36" s="1068">
        <f t="shared" ref="AA36:AA74" si="15">Z36-$C36</f>
        <v>0.19999999999708962</v>
      </c>
      <c r="AB36" s="1070">
        <f t="shared" si="6"/>
        <v>1.6716258232513926E-6</v>
      </c>
    </row>
    <row r="37" spans="1:28" ht="15">
      <c r="A37" s="1073" t="s">
        <v>82</v>
      </c>
      <c r="B37" s="428" t="s">
        <v>85</v>
      </c>
      <c r="C37" s="1068">
        <v>760150</v>
      </c>
      <c r="D37" s="1069"/>
      <c r="E37" s="1068">
        <v>810564</v>
      </c>
      <c r="F37" s="1068">
        <f t="shared" si="7"/>
        <v>50414</v>
      </c>
      <c r="G37" s="1070">
        <f t="shared" si="8"/>
        <v>6.6321120831414851E-2</v>
      </c>
      <c r="H37" s="1071">
        <v>810564</v>
      </c>
      <c r="I37" s="1068">
        <f t="shared" si="9"/>
        <v>50414</v>
      </c>
      <c r="J37" s="1070">
        <f t="shared" si="0"/>
        <v>6.6321120831414851E-2</v>
      </c>
      <c r="K37" s="1071">
        <v>707959</v>
      </c>
      <c r="L37" s="1068">
        <f t="shared" si="10"/>
        <v>-52191</v>
      </c>
      <c r="M37" s="1070">
        <f t="shared" si="1"/>
        <v>-6.8658817338683148E-2</v>
      </c>
      <c r="N37" s="683">
        <v>799900</v>
      </c>
      <c r="O37" s="1068">
        <f t="shared" si="11"/>
        <v>39750</v>
      </c>
      <c r="P37" s="1070">
        <f t="shared" si="2"/>
        <v>5.2292310728145761E-2</v>
      </c>
      <c r="Q37" s="683">
        <v>686465.98969875323</v>
      </c>
      <c r="R37" s="1068">
        <f t="shared" si="12"/>
        <v>-73684.010301246773</v>
      </c>
      <c r="S37" s="1070">
        <f t="shared" si="3"/>
        <v>-9.6933513518709172E-2</v>
      </c>
      <c r="T37" s="1072">
        <v>799900</v>
      </c>
      <c r="U37" s="1068">
        <f t="shared" si="13"/>
        <v>39750</v>
      </c>
      <c r="V37" s="1070">
        <f t="shared" si="4"/>
        <v>5.2292310728145761E-2</v>
      </c>
      <c r="W37" s="1072">
        <v>679228.79824357782</v>
      </c>
      <c r="X37" s="1068">
        <f t="shared" si="14"/>
        <v>-80921.201756422175</v>
      </c>
      <c r="Y37" s="1070">
        <f t="shared" si="5"/>
        <v>-0.10645425476080007</v>
      </c>
      <c r="Z37" s="1072">
        <v>733881.79903173714</v>
      </c>
      <c r="AA37" s="1068">
        <f t="shared" si="15"/>
        <v>-26268.200968262856</v>
      </c>
      <c r="AB37" s="1070">
        <f t="shared" si="6"/>
        <v>-3.4556601944698881E-2</v>
      </c>
    </row>
    <row r="38" spans="1:28" ht="15">
      <c r="A38" s="1073" t="s">
        <v>82</v>
      </c>
      <c r="B38" s="428" t="s">
        <v>86</v>
      </c>
      <c r="C38" s="1068">
        <v>645662</v>
      </c>
      <c r="D38" s="1069"/>
      <c r="E38" s="1068">
        <v>645662</v>
      </c>
      <c r="F38" s="1068">
        <f t="shared" si="7"/>
        <v>0</v>
      </c>
      <c r="G38" s="1070">
        <f t="shared" si="8"/>
        <v>0</v>
      </c>
      <c r="H38" s="1071">
        <v>645662</v>
      </c>
      <c r="I38" s="1068">
        <f t="shared" si="9"/>
        <v>0</v>
      </c>
      <c r="J38" s="1070">
        <f t="shared" si="0"/>
        <v>0</v>
      </c>
      <c r="K38" s="1071">
        <v>645662</v>
      </c>
      <c r="L38" s="1068">
        <f t="shared" si="10"/>
        <v>0</v>
      </c>
      <c r="M38" s="1070">
        <f t="shared" si="1"/>
        <v>0</v>
      </c>
      <c r="N38" s="683">
        <v>645662</v>
      </c>
      <c r="O38" s="1068">
        <f t="shared" si="11"/>
        <v>0</v>
      </c>
      <c r="P38" s="1070">
        <f t="shared" si="2"/>
        <v>0</v>
      </c>
      <c r="Q38" s="683">
        <v>651818.54861551488</v>
      </c>
      <c r="R38" s="1068">
        <f t="shared" si="12"/>
        <v>6156.5486155148828</v>
      </c>
      <c r="S38" s="1070">
        <f t="shared" si="3"/>
        <v>9.5352500464869899E-3</v>
      </c>
      <c r="T38" s="1072">
        <v>645662</v>
      </c>
      <c r="U38" s="1068">
        <f t="shared" si="13"/>
        <v>0</v>
      </c>
      <c r="V38" s="1070">
        <f t="shared" si="4"/>
        <v>0</v>
      </c>
      <c r="W38" s="1072">
        <v>648189.11019025918</v>
      </c>
      <c r="X38" s="1068">
        <f t="shared" si="14"/>
        <v>2527.1101902591763</v>
      </c>
      <c r="Y38" s="1070">
        <f t="shared" si="5"/>
        <v>3.9139831525770085E-3</v>
      </c>
      <c r="Z38" s="1072">
        <v>645662.4</v>
      </c>
      <c r="AA38" s="1068">
        <f t="shared" si="15"/>
        <v>0.40000000002328306</v>
      </c>
      <c r="AB38" s="1070">
        <f t="shared" si="6"/>
        <v>6.195191911918048E-7</v>
      </c>
    </row>
    <row r="39" spans="1:28" ht="15">
      <c r="A39" s="1073" t="s">
        <v>82</v>
      </c>
      <c r="B39" s="428" t="s">
        <v>87</v>
      </c>
      <c r="C39" s="1068">
        <v>127169</v>
      </c>
      <c r="D39" s="1069"/>
      <c r="E39" s="1068">
        <v>135230</v>
      </c>
      <c r="F39" s="1068">
        <f t="shared" si="7"/>
        <v>8061</v>
      </c>
      <c r="G39" s="1070">
        <f t="shared" si="8"/>
        <v>6.3388089864668276E-2</v>
      </c>
      <c r="H39" s="1071">
        <v>136821</v>
      </c>
      <c r="I39" s="1068">
        <f t="shared" si="9"/>
        <v>9652</v>
      </c>
      <c r="J39" s="1070">
        <f t="shared" si="0"/>
        <v>7.5899000542585068E-2</v>
      </c>
      <c r="K39" s="1071">
        <v>133259</v>
      </c>
      <c r="L39" s="1068">
        <f t="shared" si="10"/>
        <v>6090</v>
      </c>
      <c r="M39" s="1070">
        <f t="shared" si="1"/>
        <v>4.7889029559090662E-2</v>
      </c>
      <c r="N39" s="683">
        <v>135230</v>
      </c>
      <c r="O39" s="1068">
        <f t="shared" si="11"/>
        <v>8061</v>
      </c>
      <c r="P39" s="1070">
        <f t="shared" si="2"/>
        <v>6.3388089864668276E-2</v>
      </c>
      <c r="Q39" s="683">
        <v>129389.84723220134</v>
      </c>
      <c r="R39" s="1068">
        <f t="shared" si="12"/>
        <v>2220.8472322013404</v>
      </c>
      <c r="S39" s="1070">
        <f t="shared" si="3"/>
        <v>1.7463746921036891E-2</v>
      </c>
      <c r="T39" s="1072">
        <v>135230</v>
      </c>
      <c r="U39" s="1068">
        <f t="shared" si="13"/>
        <v>8061</v>
      </c>
      <c r="V39" s="1070">
        <f t="shared" si="4"/>
        <v>6.3388089864668276E-2</v>
      </c>
      <c r="W39" s="1072">
        <v>129673.09612672283</v>
      </c>
      <c r="X39" s="1068">
        <f t="shared" si="14"/>
        <v>2504.0961267228267</v>
      </c>
      <c r="Y39" s="1070">
        <f t="shared" si="5"/>
        <v>1.9691089233404579E-2</v>
      </c>
      <c r="Z39" s="1072">
        <v>137868.281069613</v>
      </c>
      <c r="AA39" s="1068">
        <f t="shared" si="15"/>
        <v>10699.281069613004</v>
      </c>
      <c r="AB39" s="1070">
        <f t="shared" si="6"/>
        <v>8.4134349327375416E-2</v>
      </c>
    </row>
    <row r="40" spans="1:28" ht="15">
      <c r="A40" s="1073" t="s">
        <v>88</v>
      </c>
      <c r="B40" s="428" t="s">
        <v>89</v>
      </c>
      <c r="C40" s="1068">
        <v>2600883</v>
      </c>
      <c r="D40" s="1069"/>
      <c r="E40" s="1068">
        <v>2582640</v>
      </c>
      <c r="F40" s="1068">
        <f t="shared" si="7"/>
        <v>-18243</v>
      </c>
      <c r="G40" s="1070">
        <f t="shared" si="8"/>
        <v>-7.0141563461332173E-3</v>
      </c>
      <c r="H40" s="1071">
        <v>2892099</v>
      </c>
      <c r="I40" s="1068">
        <f t="shared" si="9"/>
        <v>291216</v>
      </c>
      <c r="J40" s="1070">
        <f t="shared" si="0"/>
        <v>0.11196812774738425</v>
      </c>
      <c r="K40" s="1071">
        <v>2633042</v>
      </c>
      <c r="L40" s="1068">
        <f t="shared" si="10"/>
        <v>32159</v>
      </c>
      <c r="M40" s="1070">
        <f t="shared" si="1"/>
        <v>1.236464692952355E-2</v>
      </c>
      <c r="N40" s="683">
        <v>2685276</v>
      </c>
      <c r="O40" s="1068">
        <f t="shared" si="11"/>
        <v>84393</v>
      </c>
      <c r="P40" s="1074">
        <f t="shared" si="2"/>
        <v>3.244782637281262E-2</v>
      </c>
      <c r="Q40" s="683">
        <v>2718366.2916738931</v>
      </c>
      <c r="R40" s="1068">
        <f t="shared" si="12"/>
        <v>117483.29167389311</v>
      </c>
      <c r="S40" s="1074">
        <f t="shared" si="3"/>
        <v>4.5170540802447902E-2</v>
      </c>
      <c r="T40" s="1072">
        <v>2685276</v>
      </c>
      <c r="U40" s="1068">
        <f t="shared" si="13"/>
        <v>84393</v>
      </c>
      <c r="V40" s="1074">
        <f t="shared" si="4"/>
        <v>3.244782637281262E-2</v>
      </c>
      <c r="W40" s="1072">
        <v>2931818.8758706022</v>
      </c>
      <c r="X40" s="1068">
        <f t="shared" si="14"/>
        <v>330935.87587060221</v>
      </c>
      <c r="Y40" s="1074">
        <f t="shared" si="5"/>
        <v>0.12723981658175404</v>
      </c>
      <c r="Z40" s="1072">
        <v>2750081.8829921298</v>
      </c>
      <c r="AA40" s="1068">
        <f t="shared" si="15"/>
        <v>149198.88299212977</v>
      </c>
      <c r="AB40" s="1074">
        <f t="shared" si="6"/>
        <v>5.7364703830249102E-2</v>
      </c>
    </row>
    <row r="41" spans="1:28" ht="3" customHeight="1">
      <c r="A41" s="1075"/>
      <c r="B41" s="428">
        <v>0</v>
      </c>
      <c r="C41" s="1068">
        <v>0</v>
      </c>
      <c r="D41" s="1069"/>
      <c r="E41" s="1068">
        <v>0</v>
      </c>
      <c r="F41" s="1068">
        <f t="shared" si="7"/>
        <v>0</v>
      </c>
      <c r="G41" s="1070" t="e">
        <f t="shared" si="8"/>
        <v>#DIV/0!</v>
      </c>
      <c r="H41" s="1071">
        <v>0</v>
      </c>
      <c r="I41" s="1068">
        <f t="shared" si="9"/>
        <v>0</v>
      </c>
      <c r="J41" s="1070" t="e">
        <f t="shared" si="0"/>
        <v>#DIV/0!</v>
      </c>
      <c r="K41" s="1071">
        <v>0</v>
      </c>
      <c r="L41" s="1068">
        <f t="shared" si="10"/>
        <v>0</v>
      </c>
      <c r="M41" s="1070" t="e">
        <f t="shared" si="1"/>
        <v>#DIV/0!</v>
      </c>
      <c r="N41" s="683">
        <v>0</v>
      </c>
      <c r="O41" s="1068">
        <f t="shared" si="11"/>
        <v>0</v>
      </c>
      <c r="P41" s="1074" t="e">
        <f t="shared" si="2"/>
        <v>#DIV/0!</v>
      </c>
      <c r="Q41" s="683">
        <v>0</v>
      </c>
      <c r="R41" s="1068">
        <f t="shared" si="12"/>
        <v>0</v>
      </c>
      <c r="S41" s="1074" t="e">
        <f t="shared" si="3"/>
        <v>#DIV/0!</v>
      </c>
      <c r="T41" s="1072">
        <v>0</v>
      </c>
      <c r="U41" s="1068">
        <f t="shared" si="13"/>
        <v>0</v>
      </c>
      <c r="V41" s="1074" t="e">
        <f t="shared" si="4"/>
        <v>#DIV/0!</v>
      </c>
      <c r="W41" s="1072">
        <v>0</v>
      </c>
      <c r="X41" s="1068">
        <f t="shared" si="14"/>
        <v>0</v>
      </c>
      <c r="Y41" s="1074" t="e">
        <f t="shared" si="5"/>
        <v>#DIV/0!</v>
      </c>
      <c r="Z41" s="1072">
        <v>0</v>
      </c>
      <c r="AA41" s="1068">
        <f t="shared" si="15"/>
        <v>0</v>
      </c>
      <c r="AB41" s="1074" t="e">
        <f t="shared" si="6"/>
        <v>#DIV/0!</v>
      </c>
    </row>
    <row r="42" spans="1:28" ht="15">
      <c r="A42" s="1073" t="s">
        <v>90</v>
      </c>
      <c r="B42" s="428" t="s">
        <v>91</v>
      </c>
      <c r="C42" s="1068">
        <v>1053666</v>
      </c>
      <c r="D42" s="1069"/>
      <c r="E42" s="1068">
        <v>1059665</v>
      </c>
      <c r="F42" s="1068">
        <f t="shared" si="7"/>
        <v>5999</v>
      </c>
      <c r="G42" s="1070">
        <f t="shared" si="8"/>
        <v>5.6934550417304915E-3</v>
      </c>
      <c r="H42" s="1071">
        <v>1095029</v>
      </c>
      <c r="I42" s="1068">
        <f t="shared" si="9"/>
        <v>41363</v>
      </c>
      <c r="J42" s="1070">
        <f t="shared" si="0"/>
        <v>3.925627286065983E-2</v>
      </c>
      <c r="K42" s="1071">
        <v>977470</v>
      </c>
      <c r="L42" s="1068">
        <f t="shared" si="10"/>
        <v>-76196</v>
      </c>
      <c r="M42" s="1070">
        <f t="shared" si="1"/>
        <v>-7.2315135915935413E-2</v>
      </c>
      <c r="N42" s="683">
        <v>1053717</v>
      </c>
      <c r="O42" s="1068">
        <f t="shared" si="11"/>
        <v>51</v>
      </c>
      <c r="P42" s="1074">
        <f t="shared" si="2"/>
        <v>4.8402434927197042E-5</v>
      </c>
      <c r="Q42" s="683">
        <v>959692.24222098885</v>
      </c>
      <c r="R42" s="1068">
        <f t="shared" si="12"/>
        <v>-93973.757779011154</v>
      </c>
      <c r="S42" s="1074">
        <f t="shared" si="3"/>
        <v>-8.9187425407113025E-2</v>
      </c>
      <c r="T42" s="1072">
        <v>1053717</v>
      </c>
      <c r="U42" s="1068">
        <f t="shared" si="13"/>
        <v>51</v>
      </c>
      <c r="V42" s="1074">
        <f t="shared" si="4"/>
        <v>4.8402434927197042E-5</v>
      </c>
      <c r="W42" s="1072">
        <v>963177.12337701023</v>
      </c>
      <c r="X42" s="1068">
        <f t="shared" si="14"/>
        <v>-90488.876622989774</v>
      </c>
      <c r="Y42" s="1074">
        <f t="shared" si="5"/>
        <v>-8.5880038478027929E-2</v>
      </c>
      <c r="Z42" s="1072">
        <v>969664.9212815027</v>
      </c>
      <c r="AA42" s="1068">
        <f t="shared" si="15"/>
        <v>-84001.078718497301</v>
      </c>
      <c r="AB42" s="1074">
        <f t="shared" si="6"/>
        <v>-7.9722681303655341E-2</v>
      </c>
    </row>
    <row r="43" spans="1:28" ht="15">
      <c r="A43" s="1073" t="s">
        <v>92</v>
      </c>
      <c r="B43" s="428" t="s">
        <v>93</v>
      </c>
      <c r="C43" s="1068">
        <v>434023</v>
      </c>
      <c r="D43" s="1069"/>
      <c r="E43" s="1068">
        <v>452792</v>
      </c>
      <c r="F43" s="1068">
        <f t="shared" si="7"/>
        <v>18769</v>
      </c>
      <c r="G43" s="1070">
        <f t="shared" si="8"/>
        <v>4.3244252032726374E-2</v>
      </c>
      <c r="H43" s="1071">
        <v>451752</v>
      </c>
      <c r="I43" s="1068">
        <f t="shared" si="9"/>
        <v>17729</v>
      </c>
      <c r="J43" s="1070">
        <f t="shared" si="0"/>
        <v>4.0848065655506735E-2</v>
      </c>
      <c r="K43" s="1071">
        <v>464153</v>
      </c>
      <c r="L43" s="1068">
        <f t="shared" si="10"/>
        <v>30130</v>
      </c>
      <c r="M43" s="1070">
        <f t="shared" si="1"/>
        <v>6.9420284178488237E-2</v>
      </c>
      <c r="N43" s="683">
        <v>443122</v>
      </c>
      <c r="O43" s="1068">
        <f t="shared" si="11"/>
        <v>9099</v>
      </c>
      <c r="P43" s="1074">
        <f t="shared" si="2"/>
        <v>2.0964326775309142E-2</v>
      </c>
      <c r="Q43" s="683">
        <v>444481.05466768797</v>
      </c>
      <c r="R43" s="1068">
        <f t="shared" si="12"/>
        <v>10458.054667687975</v>
      </c>
      <c r="S43" s="1074">
        <f t="shared" si="3"/>
        <v>2.4095623198973268E-2</v>
      </c>
      <c r="T43" s="1072">
        <v>443122</v>
      </c>
      <c r="U43" s="1068">
        <f t="shared" si="13"/>
        <v>9099</v>
      </c>
      <c r="V43" s="1074">
        <f t="shared" si="4"/>
        <v>2.0964326775309142E-2</v>
      </c>
      <c r="W43" s="1072">
        <v>423344.67961924925</v>
      </c>
      <c r="X43" s="1068">
        <f t="shared" si="14"/>
        <v>-10678.320380750753</v>
      </c>
      <c r="Y43" s="1074">
        <f t="shared" si="5"/>
        <v>-2.4603120988405575E-2</v>
      </c>
      <c r="Z43" s="1072">
        <v>462385.14455377223</v>
      </c>
      <c r="AA43" s="1068">
        <f t="shared" si="15"/>
        <v>28362.144553772232</v>
      </c>
      <c r="AB43" s="1074">
        <f t="shared" si="6"/>
        <v>6.5347100392772348E-2</v>
      </c>
    </row>
    <row r="44" spans="1:28" ht="15">
      <c r="A44" s="1073" t="s">
        <v>92</v>
      </c>
      <c r="B44" s="428" t="s">
        <v>94</v>
      </c>
      <c r="C44" s="1068">
        <v>57885</v>
      </c>
      <c r="D44" s="1069"/>
      <c r="E44" s="1068">
        <v>58570</v>
      </c>
      <c r="F44" s="1068">
        <f t="shared" si="7"/>
        <v>685</v>
      </c>
      <c r="G44" s="1074">
        <f t="shared" si="8"/>
        <v>1.1833808413233135E-2</v>
      </c>
      <c r="H44" s="1071">
        <v>58570</v>
      </c>
      <c r="I44" s="1068">
        <f t="shared" si="9"/>
        <v>685</v>
      </c>
      <c r="J44" s="1074">
        <f t="shared" si="0"/>
        <v>1.1833808413233135E-2</v>
      </c>
      <c r="K44" s="1071">
        <v>53391</v>
      </c>
      <c r="L44" s="1068">
        <f t="shared" si="10"/>
        <v>-4494</v>
      </c>
      <c r="M44" s="1074">
        <f t="shared" si="1"/>
        <v>-7.7636693443897384E-2</v>
      </c>
      <c r="N44" s="683">
        <v>58570</v>
      </c>
      <c r="O44" s="1068">
        <f t="shared" si="11"/>
        <v>685</v>
      </c>
      <c r="P44" s="1074">
        <f t="shared" si="2"/>
        <v>1.1833808413233135E-2</v>
      </c>
      <c r="Q44" s="683">
        <v>51518.942416389458</v>
      </c>
      <c r="R44" s="1068">
        <f t="shared" si="12"/>
        <v>-6366.0575836105418</v>
      </c>
      <c r="S44" s="1074">
        <f t="shared" si="3"/>
        <v>-0.10997767268913435</v>
      </c>
      <c r="T44" s="1072">
        <v>58570</v>
      </c>
      <c r="U44" s="1068">
        <f t="shared" si="13"/>
        <v>685</v>
      </c>
      <c r="V44" s="1074">
        <f t="shared" si="4"/>
        <v>1.1833808413233135E-2</v>
      </c>
      <c r="W44" s="1072">
        <v>50719.719603420053</v>
      </c>
      <c r="X44" s="1068">
        <f t="shared" si="14"/>
        <v>-7165.2803965799467</v>
      </c>
      <c r="Y44" s="1074">
        <f t="shared" si="5"/>
        <v>-0.12378475246747771</v>
      </c>
      <c r="Z44" s="1072">
        <v>56425.237378606478</v>
      </c>
      <c r="AA44" s="1068">
        <f t="shared" si="15"/>
        <v>-1459.7626213935218</v>
      </c>
      <c r="AB44" s="1074">
        <f t="shared" si="6"/>
        <v>-2.5218322905649508E-2</v>
      </c>
    </row>
    <row r="45" spans="1:28" ht="15">
      <c r="A45" s="1073" t="s">
        <v>92</v>
      </c>
      <c r="B45" s="428" t="s">
        <v>95</v>
      </c>
      <c r="C45" s="1068">
        <v>24937766</v>
      </c>
      <c r="D45" s="1069"/>
      <c r="E45" s="1068">
        <v>24550350</v>
      </c>
      <c r="F45" s="1068">
        <f t="shared" si="7"/>
        <v>-387416</v>
      </c>
      <c r="G45" s="1070">
        <f t="shared" si="8"/>
        <v>-1.5535312986736664E-2</v>
      </c>
      <c r="H45" s="1071">
        <v>24005977</v>
      </c>
      <c r="I45" s="1068">
        <f t="shared" si="9"/>
        <v>-931789</v>
      </c>
      <c r="J45" s="1074">
        <f t="shared" si="0"/>
        <v>-3.7364573875623024E-2</v>
      </c>
      <c r="K45" s="1071">
        <v>26463953</v>
      </c>
      <c r="L45" s="1068">
        <f t="shared" si="10"/>
        <v>1526187</v>
      </c>
      <c r="M45" s="1074">
        <f t="shared" si="1"/>
        <v>6.1199828404837869E-2</v>
      </c>
      <c r="N45" s="683">
        <v>24497150</v>
      </c>
      <c r="O45" s="1068">
        <f t="shared" si="11"/>
        <v>-440616</v>
      </c>
      <c r="P45" s="1074">
        <f t="shared" si="2"/>
        <v>-1.7668623564757163E-2</v>
      </c>
      <c r="Q45" s="683">
        <v>25929887.89250024</v>
      </c>
      <c r="R45" s="1068">
        <f t="shared" si="12"/>
        <v>992121.89250024036</v>
      </c>
      <c r="S45" s="1074">
        <f t="shared" si="3"/>
        <v>3.9783912179633105E-2</v>
      </c>
      <c r="T45" s="1072">
        <v>24497150</v>
      </c>
      <c r="U45" s="1068">
        <f t="shared" si="13"/>
        <v>-440616</v>
      </c>
      <c r="V45" s="1074">
        <f t="shared" si="4"/>
        <v>-1.7668623564757163E-2</v>
      </c>
      <c r="W45" s="1072">
        <v>25619719.269698974</v>
      </c>
      <c r="X45" s="1068">
        <f t="shared" si="14"/>
        <v>681953.26969897375</v>
      </c>
      <c r="Y45" s="1074">
        <f t="shared" si="5"/>
        <v>2.7346205337678352E-2</v>
      </c>
      <c r="Z45" s="1072">
        <v>25625678.545050491</v>
      </c>
      <c r="AA45" s="1068">
        <f t="shared" si="15"/>
        <v>687912.54505049065</v>
      </c>
      <c r="AB45" s="1074">
        <f t="shared" si="6"/>
        <v>2.7585171223857449E-2</v>
      </c>
    </row>
    <row r="46" spans="1:28" ht="15">
      <c r="A46" s="1073" t="s">
        <v>92</v>
      </c>
      <c r="B46" s="428" t="s">
        <v>96</v>
      </c>
      <c r="C46" s="1068">
        <v>374043</v>
      </c>
      <c r="D46" s="1069"/>
      <c r="E46" s="1068">
        <v>374043</v>
      </c>
      <c r="F46" s="1068">
        <f t="shared" si="7"/>
        <v>0</v>
      </c>
      <c r="G46" s="1070">
        <f t="shared" si="8"/>
        <v>0</v>
      </c>
      <c r="H46" s="1071">
        <v>374043</v>
      </c>
      <c r="I46" s="1068">
        <f t="shared" si="9"/>
        <v>0</v>
      </c>
      <c r="J46" s="1074">
        <f t="shared" si="0"/>
        <v>0</v>
      </c>
      <c r="K46" s="1071">
        <v>374043</v>
      </c>
      <c r="L46" s="1068">
        <f t="shared" si="10"/>
        <v>0</v>
      </c>
      <c r="M46" s="1074">
        <f t="shared" si="1"/>
        <v>0</v>
      </c>
      <c r="N46" s="683">
        <v>374043</v>
      </c>
      <c r="O46" s="1068">
        <f t="shared" si="11"/>
        <v>0</v>
      </c>
      <c r="P46" s="1074">
        <f t="shared" si="2"/>
        <v>0</v>
      </c>
      <c r="Q46" s="683">
        <v>369858.98666975525</v>
      </c>
      <c r="R46" s="1068">
        <f t="shared" si="12"/>
        <v>-4184.0133302447503</v>
      </c>
      <c r="S46" s="1074">
        <f t="shared" si="3"/>
        <v>-1.118591533659165E-2</v>
      </c>
      <c r="T46" s="1072">
        <v>374043</v>
      </c>
      <c r="U46" s="1068">
        <f t="shared" si="13"/>
        <v>0</v>
      </c>
      <c r="V46" s="1074">
        <f t="shared" si="4"/>
        <v>0</v>
      </c>
      <c r="W46" s="1072">
        <v>374042.7</v>
      </c>
      <c r="X46" s="1068">
        <f t="shared" si="14"/>
        <v>-0.29999999998835847</v>
      </c>
      <c r="Y46" s="1074">
        <f t="shared" si="5"/>
        <v>-8.0204682346243205E-7</v>
      </c>
      <c r="Z46" s="1072">
        <v>374042.7</v>
      </c>
      <c r="AA46" s="1068">
        <f t="shared" si="15"/>
        <v>-0.29999999998835847</v>
      </c>
      <c r="AB46" s="1074">
        <f t="shared" si="6"/>
        <v>-8.0204682346243205E-7</v>
      </c>
    </row>
    <row r="47" spans="1:28" ht="15">
      <c r="A47" s="1073" t="s">
        <v>92</v>
      </c>
      <c r="B47" s="428" t="s">
        <v>97</v>
      </c>
      <c r="C47" s="1068">
        <v>11946</v>
      </c>
      <c r="D47" s="1069"/>
      <c r="E47" s="1068">
        <v>11812</v>
      </c>
      <c r="F47" s="1068">
        <f t="shared" si="7"/>
        <v>-134</v>
      </c>
      <c r="G47" s="1070">
        <f t="shared" si="8"/>
        <v>-1.1217143813828897E-2</v>
      </c>
      <c r="H47" s="1071">
        <v>11705</v>
      </c>
      <c r="I47" s="1068">
        <f t="shared" si="9"/>
        <v>-241</v>
      </c>
      <c r="J47" s="1074">
        <f t="shared" si="0"/>
        <v>-2.0174116859199731E-2</v>
      </c>
      <c r="K47" s="1071">
        <v>11307</v>
      </c>
      <c r="L47" s="1068">
        <f t="shared" si="10"/>
        <v>-639</v>
      </c>
      <c r="M47" s="1074">
        <f t="shared" si="1"/>
        <v>-5.3490708186840784E-2</v>
      </c>
      <c r="N47" s="683">
        <v>11762</v>
      </c>
      <c r="O47" s="1068">
        <f t="shared" si="11"/>
        <v>-184</v>
      </c>
      <c r="P47" s="1074">
        <f t="shared" si="2"/>
        <v>-1.540264523689938E-2</v>
      </c>
      <c r="Q47" s="683">
        <v>11110.531729069146</v>
      </c>
      <c r="R47" s="1068">
        <f t="shared" si="12"/>
        <v>-835.46827093085449</v>
      </c>
      <c r="S47" s="1074">
        <f t="shared" si="3"/>
        <v>-6.9937072738226566E-2</v>
      </c>
      <c r="T47" s="1072">
        <v>11762</v>
      </c>
      <c r="U47" s="1068">
        <f t="shared" si="13"/>
        <v>-184</v>
      </c>
      <c r="V47" s="1074">
        <f t="shared" si="4"/>
        <v>-1.540264523689938E-2</v>
      </c>
      <c r="W47" s="1072">
        <v>11042.179151252649</v>
      </c>
      <c r="X47" s="1068">
        <f t="shared" si="14"/>
        <v>-903.82084874735119</v>
      </c>
      <c r="Y47" s="1074">
        <f t="shared" si="5"/>
        <v>-7.5658868972656224E-2</v>
      </c>
      <c r="Z47" s="1072">
        <v>11041.925674233287</v>
      </c>
      <c r="AA47" s="1068">
        <f t="shared" si="15"/>
        <v>-904.07432576671272</v>
      </c>
      <c r="AB47" s="1074">
        <f t="shared" si="6"/>
        <v>-7.5680087541161289E-2</v>
      </c>
    </row>
    <row r="48" spans="1:28" ht="15">
      <c r="A48" s="1073" t="s">
        <v>92</v>
      </c>
      <c r="B48" s="428" t="s">
        <v>98</v>
      </c>
      <c r="C48" s="1068">
        <v>2373202</v>
      </c>
      <c r="D48" s="1069"/>
      <c r="E48" s="1068">
        <v>2373202</v>
      </c>
      <c r="F48" s="1068">
        <f t="shared" si="7"/>
        <v>0</v>
      </c>
      <c r="G48" s="1070">
        <f t="shared" si="8"/>
        <v>0</v>
      </c>
      <c r="H48" s="1071">
        <v>2373202</v>
      </c>
      <c r="I48" s="1068">
        <f t="shared" si="9"/>
        <v>0</v>
      </c>
      <c r="J48" s="1074">
        <f t="shared" si="0"/>
        <v>0</v>
      </c>
      <c r="K48" s="1071">
        <v>2373202</v>
      </c>
      <c r="L48" s="1068">
        <f t="shared" si="10"/>
        <v>0</v>
      </c>
      <c r="M48" s="1074">
        <f t="shared" si="1"/>
        <v>0</v>
      </c>
      <c r="N48" s="683">
        <v>2373202</v>
      </c>
      <c r="O48" s="1068">
        <f t="shared" si="11"/>
        <v>0</v>
      </c>
      <c r="P48" s="1074">
        <f t="shared" si="2"/>
        <v>0</v>
      </c>
      <c r="Q48" s="683">
        <v>2373202.1999999997</v>
      </c>
      <c r="R48" s="1068">
        <f t="shared" si="12"/>
        <v>0.19999999972060323</v>
      </c>
      <c r="S48" s="1074">
        <f t="shared" si="3"/>
        <v>8.4274326298647666E-8</v>
      </c>
      <c r="T48" s="1072">
        <v>2373202</v>
      </c>
      <c r="U48" s="1068">
        <f t="shared" si="13"/>
        <v>0</v>
      </c>
      <c r="V48" s="1074">
        <f t="shared" si="4"/>
        <v>0</v>
      </c>
      <c r="W48" s="1072">
        <v>2373202.1999999997</v>
      </c>
      <c r="X48" s="1068">
        <f t="shared" si="14"/>
        <v>0.19999999972060323</v>
      </c>
      <c r="Y48" s="1074">
        <f t="shared" si="5"/>
        <v>8.4274326298647666E-8</v>
      </c>
      <c r="Z48" s="1072">
        <v>2373202.1999999997</v>
      </c>
      <c r="AA48" s="1068">
        <f t="shared" si="15"/>
        <v>0.19999999972060323</v>
      </c>
      <c r="AB48" s="1074">
        <f t="shared" si="6"/>
        <v>8.4274326298647666E-8</v>
      </c>
    </row>
    <row r="49" spans="1:28" ht="15">
      <c r="A49" s="1073" t="s">
        <v>99</v>
      </c>
      <c r="B49" s="428" t="s">
        <v>100</v>
      </c>
      <c r="C49" s="1068">
        <v>786477</v>
      </c>
      <c r="D49" s="1069"/>
      <c r="E49" s="1068">
        <v>791695</v>
      </c>
      <c r="F49" s="1068">
        <f t="shared" si="7"/>
        <v>5218</v>
      </c>
      <c r="G49" s="1070">
        <f t="shared" si="8"/>
        <v>6.6346504729318211E-3</v>
      </c>
      <c r="H49" s="1071">
        <v>818141</v>
      </c>
      <c r="I49" s="1068">
        <f t="shared" si="9"/>
        <v>31664</v>
      </c>
      <c r="J49" s="1074">
        <f t="shared" si="0"/>
        <v>4.0260554345518049E-2</v>
      </c>
      <c r="K49" s="1071">
        <v>805483</v>
      </c>
      <c r="L49" s="1068">
        <f t="shared" si="10"/>
        <v>19006</v>
      </c>
      <c r="M49" s="1074">
        <f t="shared" si="1"/>
        <v>2.4165995954109273E-2</v>
      </c>
      <c r="N49" s="683">
        <v>790182</v>
      </c>
      <c r="O49" s="1068">
        <f t="shared" si="11"/>
        <v>3705</v>
      </c>
      <c r="P49" s="1074">
        <f t="shared" si="2"/>
        <v>4.7108815642415477E-3</v>
      </c>
      <c r="Q49" s="683">
        <v>790789.461483908</v>
      </c>
      <c r="R49" s="1068">
        <f t="shared" si="12"/>
        <v>4312.4614839080023</v>
      </c>
      <c r="S49" s="1074">
        <f t="shared" si="3"/>
        <v>5.4832645886758319E-3</v>
      </c>
      <c r="T49" s="1072">
        <v>790182</v>
      </c>
      <c r="U49" s="1068">
        <f t="shared" si="13"/>
        <v>3705</v>
      </c>
      <c r="V49" s="1074">
        <f t="shared" si="4"/>
        <v>4.7108815642415477E-3</v>
      </c>
      <c r="W49" s="1072">
        <v>793098.08928657288</v>
      </c>
      <c r="X49" s="1068">
        <f t="shared" si="14"/>
        <v>6621.089286572882</v>
      </c>
      <c r="Y49" s="1074">
        <f t="shared" si="5"/>
        <v>8.418668678897007E-3</v>
      </c>
      <c r="Z49" s="1072">
        <v>799658.30842543277</v>
      </c>
      <c r="AA49" s="1068">
        <f t="shared" si="15"/>
        <v>13181.30842543277</v>
      </c>
      <c r="AB49" s="1074">
        <f t="shared" si="6"/>
        <v>1.6759941391080439E-2</v>
      </c>
    </row>
    <row r="50" spans="1:28" ht="15">
      <c r="A50" s="1073" t="s">
        <v>99</v>
      </c>
      <c r="B50" s="428" t="s">
        <v>101</v>
      </c>
      <c r="C50" s="1068">
        <v>210911</v>
      </c>
      <c r="D50" s="1069"/>
      <c r="E50" s="1068">
        <v>210911</v>
      </c>
      <c r="F50" s="1068">
        <f t="shared" si="7"/>
        <v>0</v>
      </c>
      <c r="G50" s="1070">
        <f t="shared" si="8"/>
        <v>0</v>
      </c>
      <c r="H50" s="1071">
        <v>210911</v>
      </c>
      <c r="I50" s="1068">
        <f t="shared" si="9"/>
        <v>0</v>
      </c>
      <c r="J50" s="1074">
        <f t="shared" si="0"/>
        <v>0</v>
      </c>
      <c r="K50" s="1071">
        <v>210911</v>
      </c>
      <c r="L50" s="1068">
        <f t="shared" si="10"/>
        <v>0</v>
      </c>
      <c r="M50" s="1074">
        <f t="shared" si="1"/>
        <v>0</v>
      </c>
      <c r="N50" s="683">
        <v>210911</v>
      </c>
      <c r="O50" s="1068">
        <f t="shared" si="11"/>
        <v>0</v>
      </c>
      <c r="P50" s="1074">
        <f t="shared" si="2"/>
        <v>0</v>
      </c>
      <c r="Q50" s="683">
        <v>210911.4</v>
      </c>
      <c r="R50" s="1068">
        <f t="shared" si="12"/>
        <v>0.39999999999417923</v>
      </c>
      <c r="S50" s="1074">
        <f t="shared" si="3"/>
        <v>1.8965345572027027E-6</v>
      </c>
      <c r="T50" s="1072">
        <v>210911</v>
      </c>
      <c r="U50" s="1068">
        <f t="shared" si="13"/>
        <v>0</v>
      </c>
      <c r="V50" s="1074">
        <f t="shared" si="4"/>
        <v>0</v>
      </c>
      <c r="W50" s="1072">
        <v>210911.4</v>
      </c>
      <c r="X50" s="1068">
        <f t="shared" si="14"/>
        <v>0.39999999999417923</v>
      </c>
      <c r="Y50" s="1074">
        <f t="shared" si="5"/>
        <v>1.8965345572027027E-6</v>
      </c>
      <c r="Z50" s="1072">
        <v>210911.4</v>
      </c>
      <c r="AA50" s="1068">
        <f t="shared" si="15"/>
        <v>0.39999999999417923</v>
      </c>
      <c r="AB50" s="1074">
        <f t="shared" si="6"/>
        <v>1.8965345572027027E-6</v>
      </c>
    </row>
    <row r="51" spans="1:28" ht="15">
      <c r="A51" s="1073" t="s">
        <v>99</v>
      </c>
      <c r="B51" s="428" t="s">
        <v>102</v>
      </c>
      <c r="C51" s="1068">
        <v>1652305</v>
      </c>
      <c r="D51" s="1069"/>
      <c r="E51" s="1068">
        <v>1666398</v>
      </c>
      <c r="F51" s="1068">
        <f t="shared" si="7"/>
        <v>14093</v>
      </c>
      <c r="G51" s="1070">
        <f t="shared" si="8"/>
        <v>8.5292969518339524E-3</v>
      </c>
      <c r="H51" s="1071">
        <v>1698404</v>
      </c>
      <c r="I51" s="1068">
        <f t="shared" si="9"/>
        <v>46099</v>
      </c>
      <c r="J51" s="1074">
        <f t="shared" si="0"/>
        <v>2.7899812685914526E-2</v>
      </c>
      <c r="K51" s="1071">
        <v>1935100</v>
      </c>
      <c r="L51" s="1068">
        <f t="shared" si="10"/>
        <v>282795</v>
      </c>
      <c r="M51" s="1074">
        <f t="shared" si="1"/>
        <v>0.17115181519150521</v>
      </c>
      <c r="N51" s="683">
        <v>1665081</v>
      </c>
      <c r="O51" s="1068">
        <f t="shared" si="11"/>
        <v>12776</v>
      </c>
      <c r="P51" s="1074">
        <f t="shared" si="2"/>
        <v>7.7322286139665502E-3</v>
      </c>
      <c r="Q51" s="683">
        <v>1890587.0035201048</v>
      </c>
      <c r="R51" s="1068">
        <f t="shared" si="12"/>
        <v>238282.0035201048</v>
      </c>
      <c r="S51" s="1074">
        <f t="shared" si="3"/>
        <v>0.14421187584622985</v>
      </c>
      <c r="T51" s="1072">
        <v>1665081</v>
      </c>
      <c r="U51" s="1068">
        <f t="shared" si="13"/>
        <v>12776</v>
      </c>
      <c r="V51" s="1074">
        <f t="shared" si="4"/>
        <v>7.7322286139665502E-3</v>
      </c>
      <c r="W51" s="1072">
        <v>1875698.0409270546</v>
      </c>
      <c r="X51" s="1068">
        <f t="shared" si="14"/>
        <v>223393.04092705459</v>
      </c>
      <c r="Y51" s="1074">
        <f t="shared" si="5"/>
        <v>0.13520085028312243</v>
      </c>
      <c r="Z51" s="1072">
        <v>1912229.168832175</v>
      </c>
      <c r="AA51" s="1068">
        <f t="shared" si="15"/>
        <v>259924.16883217497</v>
      </c>
      <c r="AB51" s="1074">
        <f t="shared" si="6"/>
        <v>0.15731004193062115</v>
      </c>
    </row>
    <row r="52" spans="1:28" ht="15">
      <c r="A52" s="1073" t="s">
        <v>99</v>
      </c>
      <c r="B52" s="428" t="s">
        <v>103</v>
      </c>
      <c r="C52" s="1068">
        <v>49284</v>
      </c>
      <c r="D52" s="1069"/>
      <c r="E52" s="1068">
        <v>53175</v>
      </c>
      <c r="F52" s="1068">
        <f t="shared" si="7"/>
        <v>3891</v>
      </c>
      <c r="G52" s="1070">
        <f t="shared" si="8"/>
        <v>7.8950572193815433E-2</v>
      </c>
      <c r="H52" s="1071">
        <v>53175</v>
      </c>
      <c r="I52" s="1068">
        <f t="shared" si="9"/>
        <v>3891</v>
      </c>
      <c r="J52" s="1074">
        <f t="shared" si="0"/>
        <v>7.8950572193815433E-2</v>
      </c>
      <c r="K52" s="1071">
        <v>52798</v>
      </c>
      <c r="L52" s="1068">
        <f t="shared" si="10"/>
        <v>3514</v>
      </c>
      <c r="M52" s="1074">
        <f t="shared" si="1"/>
        <v>7.1301030760490214E-2</v>
      </c>
      <c r="N52" s="683">
        <v>53175</v>
      </c>
      <c r="O52" s="1068">
        <f t="shared" si="11"/>
        <v>3891</v>
      </c>
      <c r="P52" s="1074">
        <f t="shared" si="2"/>
        <v>7.8950572193815433E-2</v>
      </c>
      <c r="Q52" s="683">
        <v>51650.769458164577</v>
      </c>
      <c r="R52" s="1068">
        <f t="shared" si="12"/>
        <v>2366.7694581645774</v>
      </c>
      <c r="S52" s="1074">
        <f t="shared" si="3"/>
        <v>4.8023079664081189E-2</v>
      </c>
      <c r="T52" s="1072">
        <v>53175</v>
      </c>
      <c r="U52" s="1068">
        <f t="shared" si="13"/>
        <v>3891</v>
      </c>
      <c r="V52" s="1074">
        <f t="shared" si="4"/>
        <v>7.8950572193815433E-2</v>
      </c>
      <c r="W52" s="1072">
        <v>52558.182589151307</v>
      </c>
      <c r="X52" s="1068">
        <f t="shared" si="14"/>
        <v>3274.1825891513072</v>
      </c>
      <c r="Y52" s="1074">
        <f t="shared" si="5"/>
        <v>6.6435000997307592E-2</v>
      </c>
      <c r="Z52" s="1072">
        <v>53175.299999999996</v>
      </c>
      <c r="AA52" s="1068">
        <f t="shared" si="15"/>
        <v>3891.2999999999956</v>
      </c>
      <c r="AB52" s="1074">
        <f t="shared" si="6"/>
        <v>7.8956659362064682E-2</v>
      </c>
    </row>
    <row r="53" spans="1:28" ht="15">
      <c r="A53" s="1073" t="s">
        <v>104</v>
      </c>
      <c r="B53" s="428" t="s">
        <v>105</v>
      </c>
      <c r="C53" s="1068">
        <v>3226579</v>
      </c>
      <c r="D53" s="1069"/>
      <c r="E53" s="1068">
        <v>3089595</v>
      </c>
      <c r="F53" s="1068">
        <f t="shared" si="7"/>
        <v>-136984</v>
      </c>
      <c r="G53" s="1070">
        <f t="shared" si="8"/>
        <v>-4.2454872482589147E-2</v>
      </c>
      <c r="H53" s="1071">
        <v>2559373</v>
      </c>
      <c r="I53" s="1068">
        <f t="shared" si="9"/>
        <v>-667206</v>
      </c>
      <c r="J53" s="1074">
        <f t="shared" si="0"/>
        <v>-0.20678433721907941</v>
      </c>
      <c r="K53" s="1071">
        <v>3667456</v>
      </c>
      <c r="L53" s="1068">
        <f t="shared" si="10"/>
        <v>440877</v>
      </c>
      <c r="M53" s="1074">
        <f t="shared" si="1"/>
        <v>0.1366391462908548</v>
      </c>
      <c r="N53" s="683">
        <v>3023933</v>
      </c>
      <c r="O53" s="1068">
        <f t="shared" si="11"/>
        <v>-202646</v>
      </c>
      <c r="P53" s="1074">
        <f t="shared" si="2"/>
        <v>-6.2805218778154814E-2</v>
      </c>
      <c r="Q53" s="683">
        <v>3507408.1057218523</v>
      </c>
      <c r="R53" s="1068">
        <f t="shared" si="12"/>
        <v>280829.10572185228</v>
      </c>
      <c r="S53" s="1074">
        <f t="shared" si="3"/>
        <v>8.7036178479390172E-2</v>
      </c>
      <c r="T53" s="1072">
        <v>3023933</v>
      </c>
      <c r="U53" s="1068">
        <f t="shared" si="13"/>
        <v>-202646</v>
      </c>
      <c r="V53" s="1074">
        <f t="shared" si="4"/>
        <v>-6.2805218778154814E-2</v>
      </c>
      <c r="W53" s="1072">
        <v>3240693.6969466228</v>
      </c>
      <c r="X53" s="1068">
        <f t="shared" si="14"/>
        <v>14114.696946622804</v>
      </c>
      <c r="Y53" s="1074">
        <f t="shared" si="5"/>
        <v>4.3745084024357696E-3</v>
      </c>
      <c r="Z53" s="1072">
        <v>3347570.432322117</v>
      </c>
      <c r="AA53" s="1068">
        <f t="shared" si="15"/>
        <v>120991.43232211703</v>
      </c>
      <c r="AB53" s="1074">
        <f t="shared" si="6"/>
        <v>3.7498363536772862E-2</v>
      </c>
    </row>
    <row r="54" spans="1:28" ht="15">
      <c r="A54" s="1073" t="s">
        <v>104</v>
      </c>
      <c r="B54" s="428" t="s">
        <v>106</v>
      </c>
      <c r="C54" s="1068">
        <v>5574618</v>
      </c>
      <c r="D54" s="1069"/>
      <c r="E54" s="1068">
        <v>5580591</v>
      </c>
      <c r="F54" s="1068">
        <f t="shared" si="7"/>
        <v>5973</v>
      </c>
      <c r="G54" s="1070">
        <f t="shared" si="8"/>
        <v>1.071463551403881E-3</v>
      </c>
      <c r="H54" s="1071">
        <v>6018217</v>
      </c>
      <c r="I54" s="1068">
        <f t="shared" si="9"/>
        <v>443599</v>
      </c>
      <c r="J54" s="1074">
        <f t="shared" si="0"/>
        <v>7.9574779832447706E-2</v>
      </c>
      <c r="K54" s="1071">
        <v>5788543</v>
      </c>
      <c r="L54" s="1068">
        <f t="shared" si="10"/>
        <v>213925</v>
      </c>
      <c r="M54" s="1074">
        <f t="shared" si="1"/>
        <v>3.8374826759429971E-2</v>
      </c>
      <c r="N54" s="683">
        <v>5679171</v>
      </c>
      <c r="O54" s="1068">
        <f t="shared" si="11"/>
        <v>104553</v>
      </c>
      <c r="P54" s="1074">
        <f t="shared" si="2"/>
        <v>1.8755186454031469E-2</v>
      </c>
      <c r="Q54" s="683">
        <v>5812096.4215376284</v>
      </c>
      <c r="R54" s="1068">
        <f t="shared" si="12"/>
        <v>237478.4215376284</v>
      </c>
      <c r="S54" s="1074">
        <f t="shared" si="3"/>
        <v>4.2599945240665529E-2</v>
      </c>
      <c r="T54" s="1072">
        <v>5679171</v>
      </c>
      <c r="U54" s="1068">
        <f t="shared" si="13"/>
        <v>104553</v>
      </c>
      <c r="V54" s="1074">
        <f t="shared" si="4"/>
        <v>1.8755186454031469E-2</v>
      </c>
      <c r="W54" s="1072">
        <v>6040737.7394439997</v>
      </c>
      <c r="X54" s="1068">
        <f t="shared" si="14"/>
        <v>466119.73944399972</v>
      </c>
      <c r="Y54" s="1074">
        <f t="shared" si="5"/>
        <v>8.3614651164259091E-2</v>
      </c>
      <c r="Z54" s="1072">
        <v>5882121.6186835831</v>
      </c>
      <c r="AA54" s="1068">
        <f t="shared" si="15"/>
        <v>307503.6186835831</v>
      </c>
      <c r="AB54" s="1074">
        <f t="shared" si="6"/>
        <v>5.516137943148447E-2</v>
      </c>
    </row>
    <row r="55" spans="1:28" ht="15">
      <c r="A55" s="1073" t="s">
        <v>104</v>
      </c>
      <c r="B55" s="428" t="s">
        <v>107</v>
      </c>
      <c r="C55" s="1068">
        <v>9437848</v>
      </c>
      <c r="D55" s="1069"/>
      <c r="E55" s="1068">
        <v>9608534</v>
      </c>
      <c r="F55" s="1068">
        <f t="shared" si="7"/>
        <v>170686</v>
      </c>
      <c r="G55" s="1070">
        <f t="shared" si="8"/>
        <v>1.8085266895588911E-2</v>
      </c>
      <c r="H55" s="1071">
        <v>9608534</v>
      </c>
      <c r="I55" s="1068">
        <f t="shared" si="9"/>
        <v>170686</v>
      </c>
      <c r="J55" s="1074">
        <f t="shared" si="0"/>
        <v>1.8085266895588911E-2</v>
      </c>
      <c r="K55" s="1071">
        <v>9300226</v>
      </c>
      <c r="L55" s="1068">
        <f t="shared" si="10"/>
        <v>-137622</v>
      </c>
      <c r="M55" s="1074">
        <f t="shared" si="1"/>
        <v>-1.4581925879713256E-2</v>
      </c>
      <c r="N55" s="683">
        <v>9608534</v>
      </c>
      <c r="O55" s="1068">
        <f t="shared" si="11"/>
        <v>170686</v>
      </c>
      <c r="P55" s="1074">
        <f t="shared" si="2"/>
        <v>1.8085266895588911E-2</v>
      </c>
      <c r="Q55" s="683">
        <v>9714044.4446212668</v>
      </c>
      <c r="R55" s="1068">
        <f t="shared" si="12"/>
        <v>276196.4446212668</v>
      </c>
      <c r="S55" s="1074">
        <f t="shared" si="3"/>
        <v>2.9264769322547554E-2</v>
      </c>
      <c r="T55" s="1072">
        <v>9608534</v>
      </c>
      <c r="U55" s="1068">
        <f t="shared" si="13"/>
        <v>170686</v>
      </c>
      <c r="V55" s="1074">
        <f t="shared" si="4"/>
        <v>1.8085266895588911E-2</v>
      </c>
      <c r="W55" s="1072">
        <v>9608533.7999999989</v>
      </c>
      <c r="X55" s="1068">
        <f t="shared" si="14"/>
        <v>170685.79999999888</v>
      </c>
      <c r="Y55" s="1074">
        <f t="shared" si="5"/>
        <v>1.8085245704317222E-2</v>
      </c>
      <c r="Z55" s="1072">
        <v>9608533.7999999989</v>
      </c>
      <c r="AA55" s="1068">
        <f t="shared" si="15"/>
        <v>170685.79999999888</v>
      </c>
      <c r="AB55" s="1074">
        <f t="shared" si="6"/>
        <v>1.8085245704317222E-2</v>
      </c>
    </row>
    <row r="56" spans="1:28" ht="15">
      <c r="A56" s="1073" t="s">
        <v>104</v>
      </c>
      <c r="B56" s="428" t="s">
        <v>108</v>
      </c>
      <c r="C56" s="1068">
        <v>1598498</v>
      </c>
      <c r="D56" s="1069"/>
      <c r="E56" s="1068">
        <v>1598498</v>
      </c>
      <c r="F56" s="1068">
        <f t="shared" si="7"/>
        <v>0</v>
      </c>
      <c r="G56" s="1074">
        <f t="shared" si="8"/>
        <v>0</v>
      </c>
      <c r="H56" s="1071">
        <v>1598498</v>
      </c>
      <c r="I56" s="1068">
        <f t="shared" si="9"/>
        <v>0</v>
      </c>
      <c r="J56" s="1074">
        <f t="shared" si="0"/>
        <v>0</v>
      </c>
      <c r="K56" s="1071">
        <v>1557482</v>
      </c>
      <c r="L56" s="1068">
        <f t="shared" si="10"/>
        <v>-41016</v>
      </c>
      <c r="M56" s="1074">
        <f t="shared" si="1"/>
        <v>-2.5659087468360924E-2</v>
      </c>
      <c r="N56" s="683">
        <v>1598498</v>
      </c>
      <c r="O56" s="1068">
        <f t="shared" si="11"/>
        <v>0</v>
      </c>
      <c r="P56" s="1076">
        <f t="shared" si="2"/>
        <v>0</v>
      </c>
      <c r="Q56" s="683">
        <v>1674620.1908470262</v>
      </c>
      <c r="R56" s="1068">
        <f t="shared" si="12"/>
        <v>76122.190847026184</v>
      </c>
      <c r="S56" s="1074">
        <f t="shared" si="3"/>
        <v>4.7621073562197878E-2</v>
      </c>
      <c r="T56" s="1072">
        <v>1598498</v>
      </c>
      <c r="U56" s="1068">
        <f t="shared" si="13"/>
        <v>0</v>
      </c>
      <c r="V56" s="1074">
        <f t="shared" si="4"/>
        <v>0</v>
      </c>
      <c r="W56" s="1072">
        <v>1598497.5</v>
      </c>
      <c r="X56" s="1068">
        <f t="shared" si="14"/>
        <v>-0.5</v>
      </c>
      <c r="Y56" s="1074">
        <f t="shared" si="5"/>
        <v>-3.1279363502487962E-7</v>
      </c>
      <c r="Z56" s="1072">
        <v>1598497.5</v>
      </c>
      <c r="AA56" s="1068">
        <f t="shared" si="15"/>
        <v>-0.5</v>
      </c>
      <c r="AB56" s="1074">
        <f t="shared" si="6"/>
        <v>-3.1279363502487962E-7</v>
      </c>
    </row>
    <row r="57" spans="1:28" ht="15">
      <c r="A57" s="1073" t="s">
        <v>104</v>
      </c>
      <c r="B57" s="428" t="s">
        <v>109</v>
      </c>
      <c r="C57" s="1068">
        <v>26810560</v>
      </c>
      <c r="D57" s="1069"/>
      <c r="E57" s="1068">
        <v>26549196</v>
      </c>
      <c r="F57" s="1068">
        <f t="shared" si="7"/>
        <v>-261364</v>
      </c>
      <c r="G57" s="1070">
        <f t="shared" si="8"/>
        <v>-9.7485468412446437E-3</v>
      </c>
      <c r="H57" s="1071">
        <v>27517377</v>
      </c>
      <c r="I57" s="1068">
        <f t="shared" si="9"/>
        <v>706817</v>
      </c>
      <c r="J57" s="1070">
        <f t="shared" si="0"/>
        <v>2.6363380697754915E-2</v>
      </c>
      <c r="K57" s="1071">
        <v>25148191</v>
      </c>
      <c r="L57" s="1068">
        <f t="shared" si="10"/>
        <v>-1662369</v>
      </c>
      <c r="M57" s="1070">
        <f t="shared" si="1"/>
        <v>-6.2004262499552418E-2</v>
      </c>
      <c r="N57" s="683">
        <v>26690329</v>
      </c>
      <c r="O57" s="1068">
        <f t="shared" si="11"/>
        <v>-120231</v>
      </c>
      <c r="P57" s="1076">
        <f t="shared" si="2"/>
        <v>-4.4844643304727686E-3</v>
      </c>
      <c r="Q57" s="683">
        <v>25034746.294773094</v>
      </c>
      <c r="R57" s="1068">
        <f t="shared" si="12"/>
        <v>-1775813.7052269056</v>
      </c>
      <c r="S57" s="1074">
        <f>(Q57-$C57)/$C57</f>
        <v>-6.6235606612726691E-2</v>
      </c>
      <c r="T57" s="1072">
        <v>26690329</v>
      </c>
      <c r="U57" s="1068">
        <f t="shared" si="13"/>
        <v>-120231</v>
      </c>
      <c r="V57" s="1074">
        <f>(T57-$C57)/$C57</f>
        <v>-4.4844643304727686E-3</v>
      </c>
      <c r="W57" s="1072">
        <v>25551788.43501167</v>
      </c>
      <c r="X57" s="1068">
        <f t="shared" si="14"/>
        <v>-1258771.56498833</v>
      </c>
      <c r="Y57" s="1074">
        <f>(W57-$C57)/$C57</f>
        <v>-4.6950588312527977E-2</v>
      </c>
      <c r="Z57" s="1072">
        <v>25001162.799620394</v>
      </c>
      <c r="AA57" s="1068">
        <f t="shared" si="15"/>
        <v>-1809397.2003796063</v>
      </c>
      <c r="AB57" s="1074">
        <f>(Z57-$C57)/$C57</f>
        <v>-6.7488228533070793E-2</v>
      </c>
    </row>
    <row r="58" spans="1:28" ht="1.5" customHeight="1">
      <c r="A58" s="1073" t="s">
        <v>104</v>
      </c>
      <c r="B58" s="428" t="s">
        <v>110</v>
      </c>
      <c r="C58" s="1068">
        <v>0</v>
      </c>
      <c r="D58" s="1069"/>
      <c r="E58" s="1068">
        <v>0</v>
      </c>
      <c r="F58" s="1068">
        <f t="shared" si="7"/>
        <v>0</v>
      </c>
      <c r="G58" s="1070"/>
      <c r="H58" s="1071">
        <v>0</v>
      </c>
      <c r="I58" s="1068">
        <f t="shared" si="9"/>
        <v>0</v>
      </c>
      <c r="J58" s="1070" t="e">
        <f t="shared" si="0"/>
        <v>#DIV/0!</v>
      </c>
      <c r="K58" s="1071">
        <v>0</v>
      </c>
      <c r="L58" s="1068">
        <f t="shared" si="10"/>
        <v>0</v>
      </c>
      <c r="M58" s="1070" t="e">
        <f t="shared" si="1"/>
        <v>#DIV/0!</v>
      </c>
      <c r="N58" s="683">
        <v>0</v>
      </c>
      <c r="O58" s="1068">
        <f t="shared" si="11"/>
        <v>0</v>
      </c>
      <c r="P58" s="1074" t="e">
        <f t="shared" si="2"/>
        <v>#DIV/0!</v>
      </c>
      <c r="Q58" s="683">
        <v>0</v>
      </c>
      <c r="R58" s="1068">
        <f t="shared" si="12"/>
        <v>0</v>
      </c>
      <c r="S58" s="1074" t="e">
        <f t="shared" si="3"/>
        <v>#DIV/0!</v>
      </c>
      <c r="T58" s="1072">
        <v>0</v>
      </c>
      <c r="U58" s="1068">
        <f t="shared" si="13"/>
        <v>0</v>
      </c>
      <c r="V58" s="1074" t="e">
        <f t="shared" ref="V58:V74" si="16">(T58-$C58)/$C58</f>
        <v>#DIV/0!</v>
      </c>
      <c r="W58" s="1072">
        <v>0</v>
      </c>
      <c r="X58" s="1068">
        <f t="shared" si="14"/>
        <v>0</v>
      </c>
      <c r="Y58" s="1074" t="e">
        <f t="shared" ref="Y58:Y74" si="17">(W58-$C58)/$C58</f>
        <v>#DIV/0!</v>
      </c>
      <c r="Z58" s="1072">
        <v>0</v>
      </c>
      <c r="AA58" s="1068">
        <f t="shared" si="15"/>
        <v>0</v>
      </c>
      <c r="AB58" s="1074" t="e">
        <f t="shared" ref="AB58:AB74" si="18">(Z58-$C58)/$C58</f>
        <v>#DIV/0!</v>
      </c>
    </row>
    <row r="59" spans="1:28" ht="15">
      <c r="A59" s="1073" t="s">
        <v>104</v>
      </c>
      <c r="B59" s="428" t="s">
        <v>111</v>
      </c>
      <c r="C59" s="1068">
        <v>7946250</v>
      </c>
      <c r="D59" s="1069"/>
      <c r="E59" s="1068">
        <v>7527613</v>
      </c>
      <c r="F59" s="1068">
        <f t="shared" si="7"/>
        <v>-418637</v>
      </c>
      <c r="G59" s="1070">
        <f t="shared" si="8"/>
        <v>-5.2683592889727862E-2</v>
      </c>
      <c r="H59" s="1071">
        <v>6379844</v>
      </c>
      <c r="I59" s="1068">
        <f t="shared" si="9"/>
        <v>-1566406</v>
      </c>
      <c r="J59" s="1070">
        <f t="shared" si="0"/>
        <v>-0.19712518483561428</v>
      </c>
      <c r="K59" s="1071">
        <v>8135680</v>
      </c>
      <c r="L59" s="1068">
        <f t="shared" si="10"/>
        <v>189430</v>
      </c>
      <c r="M59" s="1070">
        <f t="shared" si="1"/>
        <v>2.3838917728488281E-2</v>
      </c>
      <c r="N59" s="683">
        <v>7413568</v>
      </c>
      <c r="O59" s="1068">
        <f t="shared" si="11"/>
        <v>-532682</v>
      </c>
      <c r="P59" s="1074">
        <f t="shared" si="2"/>
        <v>-6.7035645744848202E-2</v>
      </c>
      <c r="Q59" s="683">
        <v>7859310.555806933</v>
      </c>
      <c r="R59" s="1068">
        <f t="shared" si="12"/>
        <v>-86939.444193067029</v>
      </c>
      <c r="S59" s="1074">
        <f t="shared" si="3"/>
        <v>-1.0940939964519997E-2</v>
      </c>
      <c r="T59" s="1072">
        <v>7413568</v>
      </c>
      <c r="U59" s="1068">
        <f t="shared" si="13"/>
        <v>-532682</v>
      </c>
      <c r="V59" s="1074">
        <f t="shared" si="16"/>
        <v>-6.7035645744848202E-2</v>
      </c>
      <c r="W59" s="1072">
        <v>7419738.9384887675</v>
      </c>
      <c r="X59" s="1068">
        <f t="shared" si="14"/>
        <v>-526511.06151123252</v>
      </c>
      <c r="Y59" s="1074">
        <f t="shared" si="17"/>
        <v>-6.6259060753340565E-2</v>
      </c>
      <c r="Z59" s="1072">
        <v>7443520.328812805</v>
      </c>
      <c r="AA59" s="1068">
        <f t="shared" si="15"/>
        <v>-502729.671187195</v>
      </c>
      <c r="AB59" s="1074">
        <f t="shared" si="18"/>
        <v>-6.3266279211854015E-2</v>
      </c>
    </row>
    <row r="60" spans="1:28" ht="15">
      <c r="A60" s="1073" t="s">
        <v>112</v>
      </c>
      <c r="B60" s="428" t="s">
        <v>113</v>
      </c>
      <c r="C60" s="1068">
        <v>1335726</v>
      </c>
      <c r="D60" s="1069"/>
      <c r="E60" s="1068">
        <v>1363492</v>
      </c>
      <c r="F60" s="1068">
        <f t="shared" si="7"/>
        <v>27766</v>
      </c>
      <c r="G60" s="1070">
        <f t="shared" si="8"/>
        <v>2.0787197374311797E-2</v>
      </c>
      <c r="H60" s="1071">
        <v>1420967</v>
      </c>
      <c r="I60" s="1068">
        <f t="shared" si="9"/>
        <v>85241</v>
      </c>
      <c r="J60" s="1070">
        <f t="shared" si="0"/>
        <v>6.3816231772084994E-2</v>
      </c>
      <c r="K60" s="1071">
        <v>1216789</v>
      </c>
      <c r="L60" s="1068">
        <f t="shared" si="10"/>
        <v>-118937</v>
      </c>
      <c r="M60" s="1070">
        <f t="shared" si="1"/>
        <v>-8.9042962403966086E-2</v>
      </c>
      <c r="N60" s="683">
        <v>1381697</v>
      </c>
      <c r="O60" s="1068">
        <f t="shared" si="11"/>
        <v>45971</v>
      </c>
      <c r="P60" s="1070">
        <f t="shared" si="2"/>
        <v>3.4416489609395938E-2</v>
      </c>
      <c r="Q60" s="683">
        <v>1226561.8929094048</v>
      </c>
      <c r="R60" s="1068">
        <f t="shared" si="12"/>
        <v>-109164.10709059518</v>
      </c>
      <c r="S60" s="1070">
        <f t="shared" si="3"/>
        <v>-8.1726422253212999E-2</v>
      </c>
      <c r="T60" s="1072">
        <v>1381697</v>
      </c>
      <c r="U60" s="1068">
        <f t="shared" si="13"/>
        <v>45971</v>
      </c>
      <c r="V60" s="1070">
        <f t="shared" si="16"/>
        <v>3.4416489609395938E-2</v>
      </c>
      <c r="W60" s="1072">
        <v>1295816.9814018745</v>
      </c>
      <c r="X60" s="1068">
        <f t="shared" si="14"/>
        <v>-39909.018598125549</v>
      </c>
      <c r="Y60" s="1070">
        <f t="shared" si="17"/>
        <v>-2.9878147612703167E-2</v>
      </c>
      <c r="Z60" s="1072">
        <v>1267340.3244299218</v>
      </c>
      <c r="AA60" s="1068">
        <f t="shared" si="15"/>
        <v>-68385.675570078194</v>
      </c>
      <c r="AB60" s="1070">
        <f t="shared" si="18"/>
        <v>-5.1197382973812142E-2</v>
      </c>
    </row>
    <row r="61" spans="1:28" ht="15">
      <c r="A61" s="1073" t="s">
        <v>112</v>
      </c>
      <c r="B61" s="428" t="s">
        <v>114</v>
      </c>
      <c r="C61" s="1068">
        <v>20270143</v>
      </c>
      <c r="D61" s="1069"/>
      <c r="E61" s="1068">
        <v>20640889</v>
      </c>
      <c r="F61" s="1068">
        <f t="shared" si="7"/>
        <v>370746</v>
      </c>
      <c r="G61" s="1070">
        <f t="shared" si="8"/>
        <v>1.8290250838388263E-2</v>
      </c>
      <c r="H61" s="1071">
        <v>20640889</v>
      </c>
      <c r="I61" s="1068">
        <f t="shared" si="9"/>
        <v>370746</v>
      </c>
      <c r="J61" s="1070">
        <f t="shared" si="0"/>
        <v>1.8290250838388263E-2</v>
      </c>
      <c r="K61" s="1071">
        <v>19522963</v>
      </c>
      <c r="L61" s="1068">
        <f t="shared" si="10"/>
        <v>-747180</v>
      </c>
      <c r="M61" s="1070">
        <f t="shared" si="1"/>
        <v>-3.6861111438631688E-2</v>
      </c>
      <c r="N61" s="683">
        <v>20640889</v>
      </c>
      <c r="O61" s="1068">
        <f t="shared" si="11"/>
        <v>370746</v>
      </c>
      <c r="P61" s="1070">
        <f t="shared" si="2"/>
        <v>1.8290250838388263E-2</v>
      </c>
      <c r="Q61" s="683">
        <v>20361868.760051448</v>
      </c>
      <c r="R61" s="1068">
        <f t="shared" si="12"/>
        <v>91725.760051447898</v>
      </c>
      <c r="S61" s="1070">
        <f t="shared" si="3"/>
        <v>4.5251659078797768E-3</v>
      </c>
      <c r="T61" s="1072">
        <v>20640889</v>
      </c>
      <c r="U61" s="1068">
        <f t="shared" si="13"/>
        <v>370746</v>
      </c>
      <c r="V61" s="1070">
        <f t="shared" si="16"/>
        <v>1.8290250838388263E-2</v>
      </c>
      <c r="W61" s="1072">
        <v>20640888.599999998</v>
      </c>
      <c r="X61" s="1068">
        <f t="shared" si="14"/>
        <v>370745.59999999776</v>
      </c>
      <c r="Y61" s="1070">
        <f t="shared" si="17"/>
        <v>1.8290231104930922E-2</v>
      </c>
      <c r="Z61" s="1072">
        <v>20640888.599999998</v>
      </c>
      <c r="AA61" s="1068">
        <f t="shared" si="15"/>
        <v>370745.59999999776</v>
      </c>
      <c r="AB61" s="1070">
        <f t="shared" si="18"/>
        <v>1.8290231104930922E-2</v>
      </c>
    </row>
    <row r="62" spans="1:28" ht="15">
      <c r="A62" s="1073" t="s">
        <v>115</v>
      </c>
      <c r="B62" s="428" t="s">
        <v>116</v>
      </c>
      <c r="C62" s="1068">
        <v>3606217</v>
      </c>
      <c r="D62" s="1069"/>
      <c r="E62" s="1068">
        <v>3606217</v>
      </c>
      <c r="F62" s="1068">
        <f t="shared" si="7"/>
        <v>0</v>
      </c>
      <c r="G62" s="1070">
        <f t="shared" si="8"/>
        <v>0</v>
      </c>
      <c r="H62" s="1071">
        <v>3606217</v>
      </c>
      <c r="I62" s="1068">
        <f t="shared" si="9"/>
        <v>0</v>
      </c>
      <c r="J62" s="1070">
        <f t="shared" si="0"/>
        <v>0</v>
      </c>
      <c r="K62" s="1071">
        <v>3606217</v>
      </c>
      <c r="L62" s="1068">
        <f t="shared" si="10"/>
        <v>0</v>
      </c>
      <c r="M62" s="1070">
        <f t="shared" si="1"/>
        <v>0</v>
      </c>
      <c r="N62" s="683">
        <v>3606217</v>
      </c>
      <c r="O62" s="1068">
        <f t="shared" si="11"/>
        <v>0</v>
      </c>
      <c r="P62" s="1070">
        <f t="shared" si="2"/>
        <v>0</v>
      </c>
      <c r="Q62" s="683">
        <v>3606217.1999999997</v>
      </c>
      <c r="R62" s="1068">
        <f t="shared" si="12"/>
        <v>0.19999999972060323</v>
      </c>
      <c r="S62" s="1070">
        <f t="shared" si="3"/>
        <v>5.5459779519813486E-8</v>
      </c>
      <c r="T62" s="1072">
        <v>3606217</v>
      </c>
      <c r="U62" s="1068">
        <f t="shared" si="13"/>
        <v>0</v>
      </c>
      <c r="V62" s="1070">
        <f t="shared" si="16"/>
        <v>0</v>
      </c>
      <c r="W62" s="1072">
        <v>3606217.1999999997</v>
      </c>
      <c r="X62" s="1068">
        <f t="shared" si="14"/>
        <v>0.19999999972060323</v>
      </c>
      <c r="Y62" s="1070">
        <f t="shared" si="17"/>
        <v>5.5459779519813486E-8</v>
      </c>
      <c r="Z62" s="1072">
        <v>3606217.1999999997</v>
      </c>
      <c r="AA62" s="1068">
        <f t="shared" si="15"/>
        <v>0.19999999972060323</v>
      </c>
      <c r="AB62" s="1070">
        <f t="shared" si="18"/>
        <v>5.5459779519813486E-8</v>
      </c>
    </row>
    <row r="63" spans="1:28" ht="15">
      <c r="A63" s="1073" t="s">
        <v>115</v>
      </c>
      <c r="B63" s="428" t="s">
        <v>117</v>
      </c>
      <c r="C63" s="1068">
        <v>506115</v>
      </c>
      <c r="D63" s="1069"/>
      <c r="E63" s="1068">
        <v>516711</v>
      </c>
      <c r="F63" s="1068">
        <f t="shared" si="7"/>
        <v>10596</v>
      </c>
      <c r="G63" s="1070">
        <f t="shared" si="8"/>
        <v>2.0935953291248036E-2</v>
      </c>
      <c r="H63" s="1071">
        <v>511247</v>
      </c>
      <c r="I63" s="1068">
        <f t="shared" si="9"/>
        <v>5132</v>
      </c>
      <c r="J63" s="1070">
        <f t="shared" si="0"/>
        <v>1.0139987947403258E-2</v>
      </c>
      <c r="K63" s="1071">
        <v>597750</v>
      </c>
      <c r="L63" s="1068">
        <f t="shared" si="10"/>
        <v>91635</v>
      </c>
      <c r="M63" s="1070">
        <f t="shared" si="1"/>
        <v>0.18105568892445392</v>
      </c>
      <c r="N63" s="683">
        <v>510141</v>
      </c>
      <c r="O63" s="1068">
        <f t="shared" si="11"/>
        <v>4026</v>
      </c>
      <c r="P63" s="1070">
        <f t="shared" si="2"/>
        <v>7.9547138496191584E-3</v>
      </c>
      <c r="Q63" s="683">
        <v>576434.98029298405</v>
      </c>
      <c r="R63" s="1068">
        <f t="shared" si="12"/>
        <v>70319.980292984052</v>
      </c>
      <c r="S63" s="1070">
        <f t="shared" si="3"/>
        <v>0.13894071563376714</v>
      </c>
      <c r="T63" s="1072">
        <v>510141</v>
      </c>
      <c r="U63" s="1068">
        <f t="shared" si="13"/>
        <v>4026</v>
      </c>
      <c r="V63" s="1070">
        <f t="shared" si="16"/>
        <v>7.9547138496191584E-3</v>
      </c>
      <c r="W63" s="1072">
        <v>555940.24428784673</v>
      </c>
      <c r="X63" s="1068">
        <f t="shared" si="14"/>
        <v>49825.244287846726</v>
      </c>
      <c r="Y63" s="1070">
        <f t="shared" si="17"/>
        <v>9.8446488027121748E-2</v>
      </c>
      <c r="Z63" s="1072">
        <v>588017.36768881278</v>
      </c>
      <c r="AA63" s="1068">
        <f t="shared" si="15"/>
        <v>81902.367688812781</v>
      </c>
      <c r="AB63" s="1070">
        <f t="shared" si="18"/>
        <v>0.16182560818946837</v>
      </c>
    </row>
    <row r="64" spans="1:28" ht="15">
      <c r="A64" s="1073" t="s">
        <v>115</v>
      </c>
      <c r="B64" s="428" t="s">
        <v>118</v>
      </c>
      <c r="C64" s="1068">
        <v>3433985</v>
      </c>
      <c r="D64" s="1069"/>
      <c r="E64" s="1068">
        <v>3609037</v>
      </c>
      <c r="F64" s="1068">
        <f t="shared" si="7"/>
        <v>175052</v>
      </c>
      <c r="G64" s="1070">
        <f t="shared" si="8"/>
        <v>5.0976343810470927E-2</v>
      </c>
      <c r="H64" s="1071">
        <v>3823529</v>
      </c>
      <c r="I64" s="1068">
        <f t="shared" si="9"/>
        <v>389544</v>
      </c>
      <c r="J64" s="1070">
        <f t="shared" si="0"/>
        <v>0.11343788630410441</v>
      </c>
      <c r="K64" s="1071">
        <v>3534213</v>
      </c>
      <c r="L64" s="1068">
        <f t="shared" si="10"/>
        <v>100228</v>
      </c>
      <c r="M64" s="1070">
        <f t="shared" si="1"/>
        <v>2.9187081481136346E-2</v>
      </c>
      <c r="N64" s="683">
        <v>3654941</v>
      </c>
      <c r="O64" s="1068">
        <f t="shared" si="11"/>
        <v>220956</v>
      </c>
      <c r="P64" s="1070">
        <f t="shared" si="2"/>
        <v>6.4343903657121393E-2</v>
      </c>
      <c r="Q64" s="683">
        <v>3530116.6275953432</v>
      </c>
      <c r="R64" s="1068">
        <f t="shared" si="12"/>
        <v>96131.627595343161</v>
      </c>
      <c r="S64" s="1070">
        <f t="shared" si="3"/>
        <v>2.7994189722827315E-2</v>
      </c>
      <c r="T64" s="1072">
        <v>3654941</v>
      </c>
      <c r="U64" s="1068">
        <f t="shared" si="13"/>
        <v>220956</v>
      </c>
      <c r="V64" s="1070">
        <f t="shared" si="16"/>
        <v>6.4343903657121393E-2</v>
      </c>
      <c r="W64" s="1072">
        <v>3704512.7063642242</v>
      </c>
      <c r="X64" s="1068">
        <f t="shared" si="14"/>
        <v>270527.7063642242</v>
      </c>
      <c r="Y64" s="1070">
        <f t="shared" si="17"/>
        <v>7.8779524769101841E-2</v>
      </c>
      <c r="Z64" s="1072">
        <v>3745143.657417655</v>
      </c>
      <c r="AA64" s="1068">
        <f t="shared" si="15"/>
        <v>311158.65741765499</v>
      </c>
      <c r="AB64" s="1070">
        <f t="shared" si="18"/>
        <v>9.0611536572715076E-2</v>
      </c>
    </row>
    <row r="65" spans="1:28" ht="15">
      <c r="A65" s="1073" t="s">
        <v>115</v>
      </c>
      <c r="B65" s="428" t="s">
        <v>119</v>
      </c>
      <c r="C65" s="1068">
        <v>204230</v>
      </c>
      <c r="D65" s="1069"/>
      <c r="E65" s="1068">
        <v>220944</v>
      </c>
      <c r="F65" s="1068">
        <f t="shared" si="7"/>
        <v>16714</v>
      </c>
      <c r="G65" s="1070">
        <f t="shared" si="8"/>
        <v>8.1839102972139255E-2</v>
      </c>
      <c r="H65" s="1071">
        <v>220944</v>
      </c>
      <c r="I65" s="1068">
        <f t="shared" si="9"/>
        <v>16714</v>
      </c>
      <c r="J65" s="1070">
        <f t="shared" si="0"/>
        <v>8.1839102972139255E-2</v>
      </c>
      <c r="K65" s="1071">
        <v>216411</v>
      </c>
      <c r="L65" s="1068">
        <f t="shared" si="10"/>
        <v>12181</v>
      </c>
      <c r="M65" s="1070">
        <f t="shared" si="1"/>
        <v>5.9643539147040105E-2</v>
      </c>
      <c r="N65" s="683">
        <v>220944</v>
      </c>
      <c r="O65" s="1068">
        <f t="shared" si="11"/>
        <v>16714</v>
      </c>
      <c r="P65" s="1070">
        <f t="shared" si="2"/>
        <v>8.1839102972139255E-2</v>
      </c>
      <c r="Q65" s="683">
        <v>206257.10926802966</v>
      </c>
      <c r="R65" s="1068">
        <f t="shared" si="12"/>
        <v>2027.109268029657</v>
      </c>
      <c r="S65" s="1070">
        <f t="shared" si="3"/>
        <v>9.9256194879775595E-3</v>
      </c>
      <c r="T65" s="1072">
        <v>220944</v>
      </c>
      <c r="U65" s="1068">
        <f t="shared" si="13"/>
        <v>16714</v>
      </c>
      <c r="V65" s="1070">
        <f t="shared" si="16"/>
        <v>8.1839102972139255E-2</v>
      </c>
      <c r="W65" s="1072">
        <v>198224.05891899689</v>
      </c>
      <c r="X65" s="1068">
        <f t="shared" si="14"/>
        <v>-6005.9410810031113</v>
      </c>
      <c r="Y65" s="1070">
        <f t="shared" si="17"/>
        <v>-2.940773187584151E-2</v>
      </c>
      <c r="Z65" s="1072">
        <v>220944.3</v>
      </c>
      <c r="AA65" s="1068">
        <f t="shared" si="15"/>
        <v>16714.299999999988</v>
      </c>
      <c r="AB65" s="1070">
        <f t="shared" si="18"/>
        <v>8.184057190422557E-2</v>
      </c>
    </row>
    <row r="66" spans="1:28" ht="15">
      <c r="A66" s="1073" t="s">
        <v>120</v>
      </c>
      <c r="B66" s="428" t="s">
        <v>121</v>
      </c>
      <c r="C66" s="1068">
        <v>661136</v>
      </c>
      <c r="D66" s="1069"/>
      <c r="E66" s="1068">
        <v>747633</v>
      </c>
      <c r="F66" s="1068">
        <f t="shared" si="7"/>
        <v>86497</v>
      </c>
      <c r="G66" s="1070">
        <f t="shared" si="8"/>
        <v>0.13083087292175891</v>
      </c>
      <c r="H66" s="1071">
        <v>904183</v>
      </c>
      <c r="I66" s="1068">
        <f t="shared" si="9"/>
        <v>243047</v>
      </c>
      <c r="J66" s="1070">
        <f t="shared" si="0"/>
        <v>0.36762027782483481</v>
      </c>
      <c r="K66" s="1071">
        <v>683903</v>
      </c>
      <c r="L66" s="1068">
        <f t="shared" si="10"/>
        <v>22767</v>
      </c>
      <c r="M66" s="1070">
        <f t="shared" si="1"/>
        <v>3.4436182570605746E-2</v>
      </c>
      <c r="N66" s="683">
        <v>740621</v>
      </c>
      <c r="O66" s="1068">
        <f t="shared" si="11"/>
        <v>79485</v>
      </c>
      <c r="P66" s="1070">
        <f t="shared" si="2"/>
        <v>0.12022488565136372</v>
      </c>
      <c r="Q66" s="683">
        <v>665097.19472715922</v>
      </c>
      <c r="R66" s="1068">
        <f t="shared" si="12"/>
        <v>3961.1947271592217</v>
      </c>
      <c r="S66" s="1070">
        <f t="shared" si="3"/>
        <v>5.9914975544505542E-3</v>
      </c>
      <c r="T66" s="1072">
        <v>740621</v>
      </c>
      <c r="U66" s="1068">
        <f t="shared" si="13"/>
        <v>79485</v>
      </c>
      <c r="V66" s="1070">
        <f t="shared" si="16"/>
        <v>0.12022488565136372</v>
      </c>
      <c r="W66" s="1072">
        <v>683396.36961841607</v>
      </c>
      <c r="X66" s="1068">
        <f t="shared" si="14"/>
        <v>22260.369618416065</v>
      </c>
      <c r="Y66" s="1070">
        <f t="shared" si="17"/>
        <v>3.366987975003035E-2</v>
      </c>
      <c r="Z66" s="1072">
        <v>753347.56852768874</v>
      </c>
      <c r="AA66" s="1068">
        <f t="shared" si="15"/>
        <v>92211.568527688738</v>
      </c>
      <c r="AB66" s="1070">
        <f t="shared" si="18"/>
        <v>0.13947443268508861</v>
      </c>
    </row>
    <row r="67" spans="1:28" ht="15">
      <c r="A67" s="1073" t="s">
        <v>120</v>
      </c>
      <c r="B67" s="428" t="s">
        <v>122</v>
      </c>
      <c r="C67" s="1068">
        <v>1973597</v>
      </c>
      <c r="D67" s="1069"/>
      <c r="E67" s="1068">
        <v>1973597</v>
      </c>
      <c r="F67" s="1068">
        <f t="shared" si="7"/>
        <v>0</v>
      </c>
      <c r="G67" s="1070">
        <f t="shared" si="8"/>
        <v>0</v>
      </c>
      <c r="H67" s="1071">
        <v>1973597</v>
      </c>
      <c r="I67" s="1068">
        <f t="shared" si="9"/>
        <v>0</v>
      </c>
      <c r="J67" s="1070">
        <f t="shared" si="0"/>
        <v>0</v>
      </c>
      <c r="K67" s="1071">
        <v>1973597</v>
      </c>
      <c r="L67" s="1068">
        <f t="shared" si="10"/>
        <v>0</v>
      </c>
      <c r="M67" s="1070">
        <f t="shared" si="1"/>
        <v>0</v>
      </c>
      <c r="N67" s="683">
        <v>1973597</v>
      </c>
      <c r="O67" s="1068">
        <f t="shared" si="11"/>
        <v>0</v>
      </c>
      <c r="P67" s="1070">
        <f t="shared" si="2"/>
        <v>0</v>
      </c>
      <c r="Q67" s="683">
        <v>1973597.4</v>
      </c>
      <c r="R67" s="1068">
        <f t="shared" si="12"/>
        <v>0.39999999990686774</v>
      </c>
      <c r="S67" s="1070">
        <f t="shared" si="3"/>
        <v>2.0267562217963836E-7</v>
      </c>
      <c r="T67" s="1072">
        <v>1973597</v>
      </c>
      <c r="U67" s="1068">
        <f t="shared" si="13"/>
        <v>0</v>
      </c>
      <c r="V67" s="1070">
        <f t="shared" si="16"/>
        <v>0</v>
      </c>
      <c r="W67" s="1072">
        <v>1973597.4</v>
      </c>
      <c r="X67" s="1068">
        <f t="shared" si="14"/>
        <v>0.39999999990686774</v>
      </c>
      <c r="Y67" s="1070">
        <f t="shared" si="17"/>
        <v>2.0267562217963836E-7</v>
      </c>
      <c r="Z67" s="1072">
        <v>1973597.4</v>
      </c>
      <c r="AA67" s="1068">
        <f t="shared" si="15"/>
        <v>0.39999999990686774</v>
      </c>
      <c r="AB67" s="1070">
        <f t="shared" si="18"/>
        <v>2.0267562217963836E-7</v>
      </c>
    </row>
    <row r="68" spans="1:28" ht="15">
      <c r="A68" s="1073" t="s">
        <v>120</v>
      </c>
      <c r="B68" s="428" t="s">
        <v>123</v>
      </c>
      <c r="C68" s="1068">
        <v>522225</v>
      </c>
      <c r="D68" s="1069"/>
      <c r="E68" s="1068">
        <v>534981</v>
      </c>
      <c r="F68" s="1068">
        <f t="shared" si="7"/>
        <v>12756</v>
      </c>
      <c r="G68" s="1070">
        <f t="shared" si="8"/>
        <v>2.4426253051845467E-2</v>
      </c>
      <c r="H68" s="1071">
        <v>576981</v>
      </c>
      <c r="I68" s="1068">
        <f t="shared" si="9"/>
        <v>54756</v>
      </c>
      <c r="J68" s="1070">
        <f t="shared" si="0"/>
        <v>0.10485135717363206</v>
      </c>
      <c r="K68" s="1071">
        <v>492027</v>
      </c>
      <c r="L68" s="1068">
        <f t="shared" si="10"/>
        <v>-30198</v>
      </c>
      <c r="M68" s="1070">
        <f t="shared" si="1"/>
        <v>-5.7825649863564553E-2</v>
      </c>
      <c r="N68" s="683">
        <v>540284</v>
      </c>
      <c r="O68" s="1068">
        <f t="shared" si="11"/>
        <v>18059</v>
      </c>
      <c r="P68" s="1070">
        <f t="shared" si="2"/>
        <v>3.4580879888936759E-2</v>
      </c>
      <c r="Q68" s="683">
        <v>492593.68163859926</v>
      </c>
      <c r="R68" s="1068">
        <f t="shared" si="12"/>
        <v>-29631.318361400743</v>
      </c>
      <c r="S68" s="1070">
        <f t="shared" si="3"/>
        <v>-5.6740520582891939E-2</v>
      </c>
      <c r="T68" s="1072">
        <v>540284</v>
      </c>
      <c r="U68" s="1068">
        <f t="shared" si="13"/>
        <v>18059</v>
      </c>
      <c r="V68" s="1070">
        <f t="shared" si="16"/>
        <v>3.4580879888936759E-2</v>
      </c>
      <c r="W68" s="1072">
        <v>514726.96955786261</v>
      </c>
      <c r="X68" s="1068">
        <f t="shared" si="14"/>
        <v>-7498.0304421373876</v>
      </c>
      <c r="Y68" s="1070">
        <f t="shared" si="17"/>
        <v>-1.435785426231488E-2</v>
      </c>
      <c r="Z68" s="1072">
        <v>509769.71394746541</v>
      </c>
      <c r="AA68" s="1068">
        <f t="shared" si="15"/>
        <v>-12455.28605253459</v>
      </c>
      <c r="AB68" s="1070">
        <f t="shared" si="18"/>
        <v>-2.385042089623168E-2</v>
      </c>
    </row>
    <row r="69" spans="1:28" ht="15">
      <c r="A69" s="1073" t="s">
        <v>124</v>
      </c>
      <c r="B69" s="428" t="s">
        <v>125</v>
      </c>
      <c r="C69" s="1068">
        <v>1179698</v>
      </c>
      <c r="D69" s="1069"/>
      <c r="E69" s="1068">
        <v>1277129</v>
      </c>
      <c r="F69" s="1068">
        <f t="shared" si="7"/>
        <v>97431</v>
      </c>
      <c r="G69" s="1070">
        <f t="shared" si="8"/>
        <v>8.2589781452541242E-2</v>
      </c>
      <c r="H69" s="1071">
        <v>1311131</v>
      </c>
      <c r="I69" s="1068">
        <f t="shared" si="9"/>
        <v>131433</v>
      </c>
      <c r="J69" s="1070">
        <f t="shared" si="0"/>
        <v>0.11141241232925715</v>
      </c>
      <c r="K69" s="1071">
        <v>1141503</v>
      </c>
      <c r="L69" s="1068">
        <f t="shared" si="10"/>
        <v>-38195</v>
      </c>
      <c r="M69" s="1070">
        <f t="shared" si="1"/>
        <v>-3.237693036692442E-2</v>
      </c>
      <c r="N69" s="683">
        <v>1239095</v>
      </c>
      <c r="O69" s="1068">
        <f t="shared" si="11"/>
        <v>59397</v>
      </c>
      <c r="P69" s="1070">
        <f t="shared" si="2"/>
        <v>5.0349326692085604E-2</v>
      </c>
      <c r="Q69" s="683">
        <v>1083800.9970877098</v>
      </c>
      <c r="R69" s="1068">
        <f t="shared" si="12"/>
        <v>-95897.002912290161</v>
      </c>
      <c r="S69" s="1070">
        <f t="shared" si="3"/>
        <v>-8.1289451124177681E-2</v>
      </c>
      <c r="T69" s="1072">
        <v>1239095</v>
      </c>
      <c r="U69" s="1068">
        <f t="shared" si="13"/>
        <v>59397</v>
      </c>
      <c r="V69" s="1070">
        <f t="shared" si="16"/>
        <v>5.0349326692085604E-2</v>
      </c>
      <c r="W69" s="1072">
        <v>1019745.0124525543</v>
      </c>
      <c r="X69" s="1068">
        <f t="shared" si="14"/>
        <v>-159952.98754744569</v>
      </c>
      <c r="Y69" s="1070">
        <f t="shared" si="17"/>
        <v>-0.13558808063372635</v>
      </c>
      <c r="Z69" s="1072">
        <v>1167067.9874098042</v>
      </c>
      <c r="AA69" s="1068">
        <f t="shared" si="15"/>
        <v>-12630.012590195751</v>
      </c>
      <c r="AB69" s="1070">
        <f t="shared" si="18"/>
        <v>-1.0706140546305708E-2</v>
      </c>
    </row>
    <row r="70" spans="1:28" ht="15">
      <c r="A70" s="1073" t="s">
        <v>124</v>
      </c>
      <c r="B70" s="428" t="s">
        <v>126</v>
      </c>
      <c r="C70" s="1068">
        <v>214936</v>
      </c>
      <c r="D70" s="1069"/>
      <c r="E70" s="1068">
        <v>214936</v>
      </c>
      <c r="F70" s="1068">
        <f t="shared" si="7"/>
        <v>0</v>
      </c>
      <c r="G70" s="1070">
        <f t="shared" si="8"/>
        <v>0</v>
      </c>
      <c r="H70" s="1071">
        <v>214936</v>
      </c>
      <c r="I70" s="1068">
        <f t="shared" si="9"/>
        <v>0</v>
      </c>
      <c r="J70" s="1070">
        <f t="shared" si="0"/>
        <v>0</v>
      </c>
      <c r="K70" s="1071">
        <v>214936</v>
      </c>
      <c r="L70" s="1068">
        <f t="shared" si="10"/>
        <v>0</v>
      </c>
      <c r="M70" s="1070">
        <f t="shared" si="1"/>
        <v>0</v>
      </c>
      <c r="N70" s="683">
        <v>214936</v>
      </c>
      <c r="O70" s="1068">
        <f t="shared" si="11"/>
        <v>0</v>
      </c>
      <c r="P70" s="1070">
        <f t="shared" si="2"/>
        <v>0</v>
      </c>
      <c r="Q70" s="683">
        <v>214936.19999999998</v>
      </c>
      <c r="R70" s="1068">
        <f t="shared" si="12"/>
        <v>0.1999999999825377</v>
      </c>
      <c r="S70" s="1070">
        <f t="shared" si="3"/>
        <v>9.3050954694670832E-7</v>
      </c>
      <c r="T70" s="1072">
        <v>214936</v>
      </c>
      <c r="U70" s="1068">
        <f t="shared" si="13"/>
        <v>0</v>
      </c>
      <c r="V70" s="1070">
        <f t="shared" si="16"/>
        <v>0</v>
      </c>
      <c r="W70" s="1072">
        <v>214936.19999999998</v>
      </c>
      <c r="X70" s="1068">
        <f t="shared" si="14"/>
        <v>0.1999999999825377</v>
      </c>
      <c r="Y70" s="1070">
        <f t="shared" si="17"/>
        <v>9.3050954694670832E-7</v>
      </c>
      <c r="Z70" s="1072">
        <v>214936.19999999998</v>
      </c>
      <c r="AA70" s="1068">
        <f t="shared" si="15"/>
        <v>0.1999999999825377</v>
      </c>
      <c r="AB70" s="1070">
        <f t="shared" si="18"/>
        <v>9.3050954694670832E-7</v>
      </c>
    </row>
    <row r="71" spans="1:28" ht="15">
      <c r="A71" s="1073" t="s">
        <v>124</v>
      </c>
      <c r="B71" s="428" t="s">
        <v>127</v>
      </c>
      <c r="C71" s="1068">
        <v>1873883</v>
      </c>
      <c r="D71" s="1069"/>
      <c r="E71" s="1068">
        <v>1876792</v>
      </c>
      <c r="F71" s="1068">
        <f t="shared" si="7"/>
        <v>2909</v>
      </c>
      <c r="G71" s="1070">
        <f t="shared" si="8"/>
        <v>1.5523914780165037E-3</v>
      </c>
      <c r="H71" s="1071">
        <v>1683924</v>
      </c>
      <c r="I71" s="1068">
        <f t="shared" si="9"/>
        <v>-189959</v>
      </c>
      <c r="J71" s="1070">
        <f t="shared" si="0"/>
        <v>-0.10137185726109901</v>
      </c>
      <c r="K71" s="1071">
        <v>1782393</v>
      </c>
      <c r="L71" s="1068">
        <f t="shared" si="10"/>
        <v>-91490</v>
      </c>
      <c r="M71" s="1070">
        <f t="shared" si="1"/>
        <v>-4.882375260355102E-2</v>
      </c>
      <c r="N71" s="683">
        <v>1823649</v>
      </c>
      <c r="O71" s="1068">
        <f t="shared" si="11"/>
        <v>-50234</v>
      </c>
      <c r="P71" s="1070">
        <f t="shared" si="2"/>
        <v>-2.6807436750320057E-2</v>
      </c>
      <c r="Q71" s="683">
        <v>1696101.6905040906</v>
      </c>
      <c r="R71" s="1068">
        <f t="shared" si="12"/>
        <v>-177781.30949590937</v>
      </c>
      <c r="S71" s="1070">
        <f t="shared" si="3"/>
        <v>-9.4873217535945076E-2</v>
      </c>
      <c r="T71" s="1072">
        <v>1823649</v>
      </c>
      <c r="U71" s="1068">
        <f t="shared" si="13"/>
        <v>-50234</v>
      </c>
      <c r="V71" s="1070">
        <f t="shared" si="16"/>
        <v>-2.6807436750320057E-2</v>
      </c>
      <c r="W71" s="1072">
        <v>1569963.6002932275</v>
      </c>
      <c r="X71" s="1068">
        <f t="shared" si="14"/>
        <v>-303919.39970677253</v>
      </c>
      <c r="Y71" s="1070">
        <f t="shared" si="17"/>
        <v>-0.16218696669256966</v>
      </c>
      <c r="Z71" s="1072">
        <v>1690752.4334685521</v>
      </c>
      <c r="AA71" s="1068">
        <f t="shared" si="15"/>
        <v>-183130.56653144793</v>
      </c>
      <c r="AB71" s="1070">
        <f t="shared" si="18"/>
        <v>-9.7727855224391244E-2</v>
      </c>
    </row>
    <row r="72" spans="1:28" s="1077" customFormat="1" ht="15">
      <c r="A72" s="1073" t="s">
        <v>124</v>
      </c>
      <c r="B72" s="428" t="s">
        <v>128</v>
      </c>
      <c r="C72" s="1068">
        <v>51181</v>
      </c>
      <c r="D72" s="1069"/>
      <c r="E72" s="1068">
        <v>51181</v>
      </c>
      <c r="F72" s="1068">
        <f t="shared" si="7"/>
        <v>0</v>
      </c>
      <c r="G72" s="1070">
        <f t="shared" si="8"/>
        <v>0</v>
      </c>
      <c r="H72" s="1071">
        <v>51181</v>
      </c>
      <c r="I72" s="1068">
        <f t="shared" si="9"/>
        <v>0</v>
      </c>
      <c r="J72" s="1070">
        <f t="shared" si="0"/>
        <v>0</v>
      </c>
      <c r="K72" s="1071">
        <v>51181</v>
      </c>
      <c r="L72" s="1068">
        <f t="shared" si="10"/>
        <v>0</v>
      </c>
      <c r="M72" s="1070">
        <f t="shared" si="1"/>
        <v>0</v>
      </c>
      <c r="N72" s="683">
        <v>51181</v>
      </c>
      <c r="O72" s="1068">
        <f t="shared" si="11"/>
        <v>0</v>
      </c>
      <c r="P72" s="1070">
        <f t="shared" si="2"/>
        <v>0</v>
      </c>
      <c r="Q72" s="683">
        <v>51180.9</v>
      </c>
      <c r="R72" s="1068">
        <f t="shared" si="12"/>
        <v>-9.9999999998544808E-2</v>
      </c>
      <c r="S72" s="1070">
        <f t="shared" si="3"/>
        <v>-1.9538500615178447E-6</v>
      </c>
      <c r="T72" s="1072">
        <v>51181</v>
      </c>
      <c r="U72" s="1068">
        <f t="shared" si="13"/>
        <v>0</v>
      </c>
      <c r="V72" s="1070">
        <f t="shared" si="16"/>
        <v>0</v>
      </c>
      <c r="W72" s="1072">
        <v>51180.9</v>
      </c>
      <c r="X72" s="1068">
        <f t="shared" si="14"/>
        <v>-9.9999999998544808E-2</v>
      </c>
      <c r="Y72" s="1070">
        <f t="shared" si="17"/>
        <v>-1.9538500615178447E-6</v>
      </c>
      <c r="Z72" s="1072">
        <v>51180.9</v>
      </c>
      <c r="AA72" s="1068">
        <f t="shared" si="15"/>
        <v>-9.9999999998544808E-2</v>
      </c>
      <c r="AB72" s="1070">
        <f t="shared" si="18"/>
        <v>-1.9538500615178447E-6</v>
      </c>
    </row>
    <row r="73" spans="1:28" ht="15">
      <c r="A73" s="1078" t="s">
        <v>124</v>
      </c>
      <c r="B73" s="1079" t="s">
        <v>129</v>
      </c>
      <c r="C73" s="1068">
        <v>324509</v>
      </c>
      <c r="D73" s="1069"/>
      <c r="E73" s="1068">
        <v>351155</v>
      </c>
      <c r="F73" s="1068">
        <f t="shared" si="7"/>
        <v>26646</v>
      </c>
      <c r="G73" s="1070">
        <f t="shared" si="8"/>
        <v>8.2111744204320991E-2</v>
      </c>
      <c r="H73" s="1071">
        <v>379807</v>
      </c>
      <c r="I73" s="1068">
        <f t="shared" si="9"/>
        <v>55298</v>
      </c>
      <c r="J73" s="1070">
        <f t="shared" si="0"/>
        <v>0.17040513514263086</v>
      </c>
      <c r="K73" s="1071">
        <v>318453</v>
      </c>
      <c r="L73" s="1068">
        <f t="shared" si="10"/>
        <v>-6056</v>
      </c>
      <c r="M73" s="1070">
        <f t="shared" si="1"/>
        <v>-1.8662040189948506E-2</v>
      </c>
      <c r="N73" s="683">
        <v>344051</v>
      </c>
      <c r="O73" s="1068">
        <f t="shared" si="11"/>
        <v>19542</v>
      </c>
      <c r="P73" s="1070">
        <f t="shared" si="2"/>
        <v>6.0220209608978489E-2</v>
      </c>
      <c r="Q73" s="683">
        <v>306061.13098977361</v>
      </c>
      <c r="R73" s="1068">
        <f t="shared" si="12"/>
        <v>-18447.869010226394</v>
      </c>
      <c r="S73" s="1070">
        <f t="shared" si="3"/>
        <v>-5.6848558931266599E-2</v>
      </c>
      <c r="T73" s="1072">
        <v>344051</v>
      </c>
      <c r="U73" s="1068">
        <f t="shared" si="13"/>
        <v>19542</v>
      </c>
      <c r="V73" s="1070">
        <f t="shared" si="16"/>
        <v>6.0220209608978489E-2</v>
      </c>
      <c r="W73" s="1072">
        <v>298541.18768433423</v>
      </c>
      <c r="X73" s="1068">
        <f t="shared" si="14"/>
        <v>-25967.812315665768</v>
      </c>
      <c r="Y73" s="1070">
        <f t="shared" si="17"/>
        <v>-8.0021855528400659E-2</v>
      </c>
      <c r="Z73" s="1072">
        <v>330677.55605254276</v>
      </c>
      <c r="AA73" s="1068">
        <f t="shared" si="15"/>
        <v>6168.5560525427572</v>
      </c>
      <c r="AB73" s="1070">
        <f t="shared" si="18"/>
        <v>1.9008890516265364E-2</v>
      </c>
    </row>
    <row r="74" spans="1:28" ht="15.75" thickBot="1">
      <c r="A74" s="1080" t="s">
        <v>124</v>
      </c>
      <c r="B74" s="888" t="s">
        <v>130</v>
      </c>
      <c r="C74" s="1081">
        <v>1086084</v>
      </c>
      <c r="D74" s="1069"/>
      <c r="E74" s="1082">
        <v>1148495</v>
      </c>
      <c r="F74" s="1082">
        <f t="shared" si="7"/>
        <v>62411</v>
      </c>
      <c r="G74" s="1083">
        <f t="shared" si="8"/>
        <v>5.7464247700914475E-2</v>
      </c>
      <c r="H74" s="1084">
        <v>1178163</v>
      </c>
      <c r="I74" s="1082">
        <f t="shared" si="9"/>
        <v>92079</v>
      </c>
      <c r="J74" s="1083">
        <f t="shared" si="0"/>
        <v>8.4780735191753123E-2</v>
      </c>
      <c r="K74" s="1084">
        <v>1112243</v>
      </c>
      <c r="L74" s="1082">
        <f t="shared" si="10"/>
        <v>26159</v>
      </c>
      <c r="M74" s="1083">
        <f t="shared" si="1"/>
        <v>2.4085614004073351E-2</v>
      </c>
      <c r="N74" s="890">
        <v>1123498</v>
      </c>
      <c r="O74" s="1082">
        <f t="shared" si="11"/>
        <v>37414</v>
      </c>
      <c r="P74" s="1083">
        <f t="shared" si="2"/>
        <v>3.4448532526029293E-2</v>
      </c>
      <c r="Q74" s="890">
        <v>1065703.520267375</v>
      </c>
      <c r="R74" s="1082">
        <f t="shared" si="12"/>
        <v>-20380.479732624954</v>
      </c>
      <c r="S74" s="1083">
        <f t="shared" si="3"/>
        <v>-1.8765104478682085E-2</v>
      </c>
      <c r="T74" s="1072">
        <v>1123498</v>
      </c>
      <c r="U74" s="1082">
        <f t="shared" si="13"/>
        <v>37414</v>
      </c>
      <c r="V74" s="1083">
        <f t="shared" si="16"/>
        <v>3.4448532526029293E-2</v>
      </c>
      <c r="W74" s="1072">
        <v>1021624.4003940272</v>
      </c>
      <c r="X74" s="1082">
        <f t="shared" si="14"/>
        <v>-64459.599605972762</v>
      </c>
      <c r="Y74" s="1083">
        <f t="shared" si="17"/>
        <v>-5.9350473449542356E-2</v>
      </c>
      <c r="Z74" s="1072">
        <v>1123916.9468689137</v>
      </c>
      <c r="AA74" s="1082">
        <f t="shared" si="15"/>
        <v>37832.946868913714</v>
      </c>
      <c r="AB74" s="1083">
        <f t="shared" si="18"/>
        <v>3.4834273287253761E-2</v>
      </c>
    </row>
    <row r="75" spans="1:28" ht="15" thickTop="1">
      <c r="A75" s="1085"/>
      <c r="B75" s="896" t="s">
        <v>131</v>
      </c>
      <c r="C75" s="1086">
        <f>SUM(C35:C74)</f>
        <v>128674210</v>
      </c>
      <c r="D75" s="1087"/>
      <c r="E75" s="1086">
        <f>SUM(E35:E74)</f>
        <v>128674210</v>
      </c>
      <c r="F75" s="1086">
        <f>SUM(F35:F74)</f>
        <v>0</v>
      </c>
      <c r="G75" s="1088"/>
      <c r="H75" s="1086">
        <f>SUM(H35:H74)</f>
        <v>128674213</v>
      </c>
      <c r="I75" s="1086">
        <f>SUM(I35:I74)</f>
        <v>3</v>
      </c>
      <c r="J75" s="1077"/>
      <c r="K75" s="1089">
        <f>SUM(K35:K74)</f>
        <v>128674213</v>
      </c>
      <c r="L75" s="1086">
        <f>SUM(L35:L74)</f>
        <v>3</v>
      </c>
      <c r="M75" s="1077"/>
      <c r="N75" s="1086">
        <f>SUM(N35:N74)</f>
        <v>128674212</v>
      </c>
      <c r="O75" s="1086">
        <f>SUM(O35:O74)</f>
        <v>2</v>
      </c>
      <c r="P75" s="1077"/>
      <c r="Q75" s="1089">
        <f>SUM(Q35:Q74)</f>
        <v>128674211.00000003</v>
      </c>
      <c r="R75" s="1089">
        <f>SUM(R35:R74)</f>
        <v>0.99999999191641109</v>
      </c>
      <c r="S75" s="1077"/>
      <c r="T75" s="1090">
        <f>SUM(T35:T74)</f>
        <v>128674210</v>
      </c>
      <c r="U75" s="1089">
        <f>SUM(U35:U74)</f>
        <v>0</v>
      </c>
      <c r="V75" s="1077"/>
      <c r="W75" s="1090">
        <f>SUM(W35:W74)</f>
        <v>128674211.00000001</v>
      </c>
      <c r="X75" s="1089">
        <f>SUM(X35:X74)</f>
        <v>0.99999999100691639</v>
      </c>
      <c r="Y75" s="1077"/>
      <c r="Z75" s="1090">
        <f>SUM(Z35:Z74)</f>
        <v>128674210.99999999</v>
      </c>
      <c r="AA75" s="1089">
        <f>SUM(AA35:AA74)</f>
        <v>1.0000000035579433</v>
      </c>
      <c r="AB75" s="1077"/>
    </row>
    <row r="76" spans="1:28">
      <c r="A76" s="1091"/>
      <c r="B76" s="910" t="s">
        <v>334</v>
      </c>
      <c r="C76" s="1092"/>
      <c r="D76" s="1093"/>
      <c r="E76" s="1092"/>
      <c r="F76" s="675">
        <f>COUNTIF(F35:F72,0)</f>
        <v>12</v>
      </c>
      <c r="H76" s="1092"/>
      <c r="I76" s="675">
        <f>COUNTIF(I35:I72,0)</f>
        <v>12</v>
      </c>
      <c r="N76" s="912"/>
      <c r="O76" s="675">
        <f>COUNTIF(O35:O72,0)</f>
        <v>12</v>
      </c>
      <c r="R76" s="675">
        <f>COUNTIF(R35:R72,0)</f>
        <v>2</v>
      </c>
      <c r="T76" s="1092"/>
      <c r="U76" s="675">
        <f>COUNTIF(U35:U72,0)</f>
        <v>12</v>
      </c>
      <c r="X76" s="675">
        <f>COUNTIF(X35:X72,0)</f>
        <v>2</v>
      </c>
      <c r="Z76" s="1092"/>
      <c r="AA76" s="675">
        <f>COUNTIF(AA35:AA72,0)</f>
        <v>2</v>
      </c>
    </row>
    <row r="77" spans="1:28">
      <c r="A77" s="1091"/>
      <c r="B77" s="910" t="s">
        <v>335</v>
      </c>
      <c r="C77" s="1092"/>
      <c r="D77" s="1093"/>
      <c r="E77" s="1092"/>
      <c r="F77" s="675">
        <f>COUNTIF(F35:F72,"&lt;0")</f>
        <v>6</v>
      </c>
      <c r="H77" s="1092"/>
      <c r="I77" s="675">
        <f>COUNTIF(I35:I72,"&lt;0")</f>
        <v>5</v>
      </c>
      <c r="N77" s="912"/>
      <c r="O77" s="675">
        <f>COUNTIF(O35:O72,"&lt;0")</f>
        <v>6</v>
      </c>
      <c r="R77" s="675">
        <f>COUNTIF(R35:R72,"&lt;0")</f>
        <v>13</v>
      </c>
      <c r="T77" s="1092"/>
      <c r="U77" s="675">
        <f>COUNTIF(U35:U72,"&lt;0")</f>
        <v>6</v>
      </c>
      <c r="X77" s="675">
        <f>COUNTIF(X35:X72,"&lt;0")</f>
        <v>16</v>
      </c>
      <c r="Z77" s="1092"/>
      <c r="AA77" s="675">
        <f>COUNTIF(AA35:AA72,"&lt;0")</f>
        <v>13</v>
      </c>
    </row>
    <row r="78" spans="1:28">
      <c r="A78" s="1091"/>
      <c r="B78" s="910" t="s">
        <v>336</v>
      </c>
      <c r="C78" s="1092"/>
      <c r="D78" s="1093"/>
      <c r="E78" s="1092"/>
      <c r="F78" s="675">
        <f>COUNTIF(F35:F72,"&gt;0")</f>
        <v>20</v>
      </c>
      <c r="H78" s="1092"/>
      <c r="I78" s="675">
        <f>COUNTIF(I35:I72,"&gt;0")</f>
        <v>21</v>
      </c>
      <c r="N78" s="912"/>
      <c r="O78" s="675">
        <f>COUNTIF(O35:O72,"&gt;0")</f>
        <v>20</v>
      </c>
      <c r="R78" s="675">
        <f>COUNTIF(R35:R72,"&gt;0")</f>
        <v>23</v>
      </c>
      <c r="T78" s="1092"/>
      <c r="U78" s="675">
        <f>COUNTIF(U35:U72,"&gt;0")</f>
        <v>20</v>
      </c>
      <c r="X78" s="675">
        <f>COUNTIF(X35:X72,"&gt;0")</f>
        <v>20</v>
      </c>
      <c r="Z78" s="1092"/>
      <c r="AA78" s="675">
        <f>COUNTIF(AA35:AA72,"&gt;0")</f>
        <v>23</v>
      </c>
    </row>
    <row r="79" spans="1:28">
      <c r="A79" s="1091"/>
      <c r="B79" s="910"/>
      <c r="C79" s="1092"/>
      <c r="D79" s="1093"/>
      <c r="E79" s="1092" t="s">
        <v>337</v>
      </c>
      <c r="F79" s="675"/>
      <c r="H79" s="1092" t="s">
        <v>337</v>
      </c>
      <c r="I79" s="675"/>
      <c r="K79" s="1092" t="s">
        <v>337</v>
      </c>
      <c r="L79" s="675"/>
      <c r="N79" s="1092" t="s">
        <v>337</v>
      </c>
      <c r="O79" s="675"/>
      <c r="Q79" s="1092" t="s">
        <v>337</v>
      </c>
      <c r="R79" s="675"/>
      <c r="T79" s="1092" t="s">
        <v>337</v>
      </c>
      <c r="U79" s="675"/>
      <c r="W79" s="1092" t="s">
        <v>337</v>
      </c>
      <c r="X79" s="675"/>
      <c r="Z79" s="1092" t="s">
        <v>337</v>
      </c>
      <c r="AA79" s="675"/>
    </row>
    <row r="80" spans="1:28" ht="15">
      <c r="A80" s="608" t="s">
        <v>82</v>
      </c>
      <c r="B80" s="910"/>
      <c r="C80" s="914">
        <f>SUMIF($A$35:$A$74,$A80,C$35:C$74)</f>
        <v>2293801</v>
      </c>
      <c r="D80" s="1093"/>
      <c r="E80" s="914">
        <f>SUMIF($A$35:$A$74,$A80,E$35:E$74)</f>
        <v>2401741</v>
      </c>
      <c r="F80" s="914">
        <f>SUMIF($A$35:$A$74,$A80,F$35:F$74)</f>
        <v>107940</v>
      </c>
      <c r="G80" s="707">
        <f>F80/$C80</f>
        <v>4.7057264339844654E-2</v>
      </c>
      <c r="H80" s="914">
        <f>SUMIF($A$35:$A$74,$A80,H$35:H$74)</f>
        <v>2451666</v>
      </c>
      <c r="I80" s="914">
        <f>SUMIF($A$35:$A$74,$A80,I$35:I$74)</f>
        <v>157865</v>
      </c>
      <c r="J80" s="707">
        <f>I80/$C80</f>
        <v>6.8822447980448176E-2</v>
      </c>
      <c r="K80" s="914">
        <f>SUMIF($A$35:$A$74,$A80,K$35:K$74)</f>
        <v>2257203</v>
      </c>
      <c r="L80" s="914">
        <f>SUMIF($A$35:$A$74,$A80,L$35:L$74)</f>
        <v>-36598</v>
      </c>
      <c r="M80" s="707">
        <f>L80/$C80</f>
        <v>-1.5955176582449829E-2</v>
      </c>
      <c r="N80" s="914">
        <f>SUMIF($A$35:$A$74,$A80,N$35:N$74)</f>
        <v>2378247</v>
      </c>
      <c r="O80" s="914">
        <f>SUMIF($A$35:$A$74,$A80,O$35:O$74)</f>
        <v>84446</v>
      </c>
      <c r="P80" s="707">
        <f>O80/$C80</f>
        <v>3.6814876268691135E-2</v>
      </c>
      <c r="Q80" s="914">
        <f>SUMIF($A$35:$A$74,$A80,Q$35:Q$74)</f>
        <v>2213398.9250200726</v>
      </c>
      <c r="R80" s="914">
        <f>SUMIF($A$35:$A$74,$A80,R$35:R$74)</f>
        <v>-80402.074979927027</v>
      </c>
      <c r="S80" s="707">
        <f>R80/$C80</f>
        <v>-3.5051896385051289E-2</v>
      </c>
      <c r="T80" s="914">
        <f>SUMIF($A$35:$A$74,$A80,T$35:T$74)</f>
        <v>2378245</v>
      </c>
      <c r="U80" s="914">
        <f>SUMIF($A$35:$A$74,$A80,U$35:U$74)</f>
        <v>84444</v>
      </c>
      <c r="V80" s="707">
        <f>U80/$C80</f>
        <v>3.6814004353472686E-2</v>
      </c>
      <c r="W80" s="914">
        <f>SUMIF($A$35:$A$74,$A80,W$35:W$74)</f>
        <v>2185576.5990122841</v>
      </c>
      <c r="X80" s="689">
        <f>SUMIF($A$35:$A$72,$A80,X$35:X$72)</f>
        <v>-108224.40098771581</v>
      </c>
      <c r="Y80" s="707">
        <f>X80/$C80</f>
        <v>-4.7181251114510721E-2</v>
      </c>
      <c r="Z80" s="914">
        <f>SUMIF($A$35:$A$74,$A80,Z$35:Z$74)</f>
        <v>2310509.6305614091</v>
      </c>
      <c r="AA80" s="689">
        <f>SUMIF($A$35:$A$74,$A80,AA$35:AA$74)</f>
        <v>16708.630561409271</v>
      </c>
      <c r="AB80" s="707">
        <f>AA80/$C80</f>
        <v>7.2842546329909483E-3</v>
      </c>
    </row>
    <row r="81" spans="1:28" ht="15">
      <c r="A81" s="1094" t="s">
        <v>88</v>
      </c>
      <c r="B81" s="910"/>
      <c r="C81" s="914">
        <f t="shared" ref="C81:AA89" si="19">SUMIF($A$35:$A$74,$A81,C$35:C$74)</f>
        <v>2600883</v>
      </c>
      <c r="D81" s="1093"/>
      <c r="E81" s="914">
        <f t="shared" si="19"/>
        <v>2582640</v>
      </c>
      <c r="F81" s="914">
        <f t="shared" si="19"/>
        <v>-18243</v>
      </c>
      <c r="G81" s="707">
        <f t="shared" ref="G81:G89" si="20">F81/$C81</f>
        <v>-7.0141563461332173E-3</v>
      </c>
      <c r="H81" s="914">
        <f t="shared" si="19"/>
        <v>2892099</v>
      </c>
      <c r="I81" s="914">
        <f t="shared" si="19"/>
        <v>291216</v>
      </c>
      <c r="J81" s="707">
        <f t="shared" ref="J81:J89" si="21">I81/$C81</f>
        <v>0.11196812774738425</v>
      </c>
      <c r="K81" s="914">
        <f t="shared" si="19"/>
        <v>2633042</v>
      </c>
      <c r="L81" s="914">
        <f t="shared" si="19"/>
        <v>32159</v>
      </c>
      <c r="M81" s="707">
        <f t="shared" ref="M81:M89" si="22">L81/$C81</f>
        <v>1.236464692952355E-2</v>
      </c>
      <c r="N81" s="914">
        <f t="shared" si="19"/>
        <v>2685276</v>
      </c>
      <c r="O81" s="914">
        <f t="shared" si="19"/>
        <v>84393</v>
      </c>
      <c r="P81" s="707">
        <f t="shared" ref="P81:P89" si="23">O81/$C81</f>
        <v>3.244782637281262E-2</v>
      </c>
      <c r="Q81" s="914">
        <f t="shared" si="19"/>
        <v>2718366.2916738931</v>
      </c>
      <c r="R81" s="914">
        <f t="shared" si="19"/>
        <v>117483.29167389311</v>
      </c>
      <c r="S81" s="707">
        <f t="shared" ref="S81:S89" si="24">R81/$C81</f>
        <v>4.5170540802447902E-2</v>
      </c>
      <c r="T81" s="914">
        <f t="shared" si="19"/>
        <v>2685276</v>
      </c>
      <c r="U81" s="914">
        <f t="shared" si="19"/>
        <v>84393</v>
      </c>
      <c r="V81" s="707">
        <f t="shared" ref="V81:V89" si="25">U81/$C81</f>
        <v>3.244782637281262E-2</v>
      </c>
      <c r="W81" s="914">
        <f t="shared" si="19"/>
        <v>2931818.8758706022</v>
      </c>
      <c r="X81" s="689">
        <f t="shared" ref="X81:X89" si="26">SUMIF($A$35:$A$72,$A81,X$35:X$72)</f>
        <v>330935.87587060221</v>
      </c>
      <c r="Y81" s="707">
        <f t="shared" ref="Y81:Y89" si="27">X81/$C81</f>
        <v>0.12723981658175404</v>
      </c>
      <c r="Z81" s="914">
        <f t="shared" si="19"/>
        <v>2750081.8829921298</v>
      </c>
      <c r="AA81" s="689">
        <f t="shared" si="19"/>
        <v>149198.88299212977</v>
      </c>
      <c r="AB81" s="707">
        <f t="shared" ref="AB81:AB89" si="28">AA81/$C81</f>
        <v>5.7364703830249102E-2</v>
      </c>
    </row>
    <row r="82" spans="1:28" ht="15">
      <c r="A82" s="1094" t="s">
        <v>90</v>
      </c>
      <c r="B82" s="910"/>
      <c r="C82" s="914">
        <f t="shared" si="19"/>
        <v>1053666</v>
      </c>
      <c r="D82" s="1093"/>
      <c r="E82" s="914">
        <f t="shared" si="19"/>
        <v>1059665</v>
      </c>
      <c r="F82" s="914">
        <f t="shared" si="19"/>
        <v>5999</v>
      </c>
      <c r="G82" s="707">
        <f t="shared" si="20"/>
        <v>5.6934550417304915E-3</v>
      </c>
      <c r="H82" s="914">
        <f t="shared" si="19"/>
        <v>1095029</v>
      </c>
      <c r="I82" s="914">
        <f t="shared" si="19"/>
        <v>41363</v>
      </c>
      <c r="J82" s="707">
        <f t="shared" si="21"/>
        <v>3.925627286065983E-2</v>
      </c>
      <c r="K82" s="914">
        <f t="shared" si="19"/>
        <v>977470</v>
      </c>
      <c r="L82" s="914">
        <f t="shared" si="19"/>
        <v>-76196</v>
      </c>
      <c r="M82" s="707">
        <f t="shared" si="22"/>
        <v>-7.2315135915935413E-2</v>
      </c>
      <c r="N82" s="914">
        <f t="shared" si="19"/>
        <v>1053717</v>
      </c>
      <c r="O82" s="914">
        <f t="shared" si="19"/>
        <v>51</v>
      </c>
      <c r="P82" s="707">
        <f t="shared" si="23"/>
        <v>4.8402434927197042E-5</v>
      </c>
      <c r="Q82" s="914">
        <f t="shared" si="19"/>
        <v>959692.24222098885</v>
      </c>
      <c r="R82" s="914">
        <f t="shared" si="19"/>
        <v>-93973.757779011154</v>
      </c>
      <c r="S82" s="707">
        <f t="shared" si="24"/>
        <v>-8.9187425407113025E-2</v>
      </c>
      <c r="T82" s="914">
        <f t="shared" si="19"/>
        <v>1053717</v>
      </c>
      <c r="U82" s="914">
        <f t="shared" si="19"/>
        <v>51</v>
      </c>
      <c r="V82" s="707">
        <f t="shared" si="25"/>
        <v>4.8402434927197042E-5</v>
      </c>
      <c r="W82" s="914">
        <f t="shared" si="19"/>
        <v>963177.12337701023</v>
      </c>
      <c r="X82" s="689">
        <f t="shared" si="26"/>
        <v>-90488.876622989774</v>
      </c>
      <c r="Y82" s="707">
        <f t="shared" si="27"/>
        <v>-8.5880038478027929E-2</v>
      </c>
      <c r="Z82" s="914">
        <f t="shared" si="19"/>
        <v>969664.9212815027</v>
      </c>
      <c r="AA82" s="689">
        <f t="shared" si="19"/>
        <v>-84001.078718497301</v>
      </c>
      <c r="AB82" s="707">
        <f t="shared" si="28"/>
        <v>-7.9722681303655341E-2</v>
      </c>
    </row>
    <row r="83" spans="1:28" ht="15">
      <c r="A83" s="1094" t="s">
        <v>92</v>
      </c>
      <c r="B83" s="910"/>
      <c r="C83" s="914">
        <f t="shared" si="19"/>
        <v>28188865</v>
      </c>
      <c r="D83" s="1093"/>
      <c r="E83" s="914">
        <f t="shared" si="19"/>
        <v>27820769</v>
      </c>
      <c r="F83" s="914">
        <f t="shared" si="19"/>
        <v>-368096</v>
      </c>
      <c r="G83" s="707">
        <f t="shared" si="20"/>
        <v>-1.3058205784447156E-2</v>
      </c>
      <c r="H83" s="914">
        <f t="shared" si="19"/>
        <v>27275249</v>
      </c>
      <c r="I83" s="914">
        <f t="shared" si="19"/>
        <v>-913616</v>
      </c>
      <c r="J83" s="707">
        <f t="shared" si="21"/>
        <v>-3.2410528057798711E-2</v>
      </c>
      <c r="K83" s="914">
        <f t="shared" si="19"/>
        <v>29740049</v>
      </c>
      <c r="L83" s="914">
        <f t="shared" si="19"/>
        <v>1551184</v>
      </c>
      <c r="M83" s="707">
        <f t="shared" si="22"/>
        <v>5.5028253177274077E-2</v>
      </c>
      <c r="N83" s="914">
        <f t="shared" si="19"/>
        <v>27757849</v>
      </c>
      <c r="O83" s="914">
        <f t="shared" si="19"/>
        <v>-431016</v>
      </c>
      <c r="P83" s="707">
        <f t="shared" si="23"/>
        <v>-1.5290292815975387E-2</v>
      </c>
      <c r="Q83" s="914">
        <f t="shared" si="19"/>
        <v>29180059.607983142</v>
      </c>
      <c r="R83" s="914">
        <f t="shared" si="19"/>
        <v>991194.60798314202</v>
      </c>
      <c r="S83" s="707">
        <f t="shared" si="24"/>
        <v>3.5162629214874098E-2</v>
      </c>
      <c r="T83" s="914">
        <f t="shared" si="19"/>
        <v>27757849</v>
      </c>
      <c r="U83" s="914">
        <f t="shared" si="19"/>
        <v>-431016</v>
      </c>
      <c r="V83" s="707">
        <f t="shared" si="25"/>
        <v>-1.5290292815975387E-2</v>
      </c>
      <c r="W83" s="914">
        <f t="shared" si="19"/>
        <v>28852070.748072892</v>
      </c>
      <c r="X83" s="689">
        <f t="shared" si="26"/>
        <v>663205.74807289545</v>
      </c>
      <c r="Y83" s="707">
        <f t="shared" si="27"/>
        <v>2.352722424520801E-2</v>
      </c>
      <c r="Z83" s="914">
        <f t="shared" si="19"/>
        <v>28902775.752657101</v>
      </c>
      <c r="AA83" s="689">
        <f t="shared" si="19"/>
        <v>713910.7526571023</v>
      </c>
      <c r="AB83" s="707">
        <f t="shared" si="28"/>
        <v>2.5325984308240231E-2</v>
      </c>
    </row>
    <row r="84" spans="1:28" ht="15">
      <c r="A84" s="1094" t="s">
        <v>99</v>
      </c>
      <c r="B84" s="910"/>
      <c r="C84" s="914">
        <f t="shared" si="19"/>
        <v>2698977</v>
      </c>
      <c r="D84" s="1093"/>
      <c r="E84" s="914">
        <f t="shared" si="19"/>
        <v>2722179</v>
      </c>
      <c r="F84" s="914">
        <f t="shared" si="19"/>
        <v>23202</v>
      </c>
      <c r="G84" s="707">
        <f t="shared" si="20"/>
        <v>8.5965904859507877E-3</v>
      </c>
      <c r="H84" s="914">
        <f t="shared" si="19"/>
        <v>2780631</v>
      </c>
      <c r="I84" s="914">
        <f t="shared" si="19"/>
        <v>81654</v>
      </c>
      <c r="J84" s="707">
        <f t="shared" si="21"/>
        <v>3.0253685007319439E-2</v>
      </c>
      <c r="K84" s="914">
        <f t="shared" si="19"/>
        <v>3004292</v>
      </c>
      <c r="L84" s="914">
        <f t="shared" si="19"/>
        <v>305315</v>
      </c>
      <c r="M84" s="707">
        <f t="shared" si="22"/>
        <v>0.11312249048435759</v>
      </c>
      <c r="N84" s="914">
        <f t="shared" si="19"/>
        <v>2719349</v>
      </c>
      <c r="O84" s="914">
        <f t="shared" si="19"/>
        <v>20372</v>
      </c>
      <c r="P84" s="707">
        <f t="shared" si="23"/>
        <v>7.5480450555895804E-3</v>
      </c>
      <c r="Q84" s="914">
        <f t="shared" si="19"/>
        <v>2943938.6344621773</v>
      </c>
      <c r="R84" s="914">
        <f t="shared" si="19"/>
        <v>244961.63446217738</v>
      </c>
      <c r="S84" s="707">
        <f t="shared" si="24"/>
        <v>9.0760919586264491E-2</v>
      </c>
      <c r="T84" s="914">
        <f t="shared" si="19"/>
        <v>2719349</v>
      </c>
      <c r="U84" s="914">
        <f t="shared" si="19"/>
        <v>20372</v>
      </c>
      <c r="V84" s="707">
        <f t="shared" si="25"/>
        <v>7.5480450555895804E-3</v>
      </c>
      <c r="W84" s="914">
        <f t="shared" si="19"/>
        <v>2932265.7128027789</v>
      </c>
      <c r="X84" s="689">
        <f t="shared" si="26"/>
        <v>233288.71280277878</v>
      </c>
      <c r="Y84" s="707">
        <f t="shared" si="27"/>
        <v>8.6435976595124295E-2</v>
      </c>
      <c r="Z84" s="914">
        <f t="shared" si="19"/>
        <v>2975974.1772576077</v>
      </c>
      <c r="AA84" s="689">
        <f t="shared" si="19"/>
        <v>276997.17725760775</v>
      </c>
      <c r="AB84" s="707">
        <f t="shared" si="28"/>
        <v>0.1026304326630452</v>
      </c>
    </row>
    <row r="85" spans="1:28" ht="15">
      <c r="A85" s="1094" t="s">
        <v>104</v>
      </c>
      <c r="B85" s="910"/>
      <c r="C85" s="914">
        <f t="shared" si="19"/>
        <v>54594353</v>
      </c>
      <c r="D85" s="1093"/>
      <c r="E85" s="914">
        <f t="shared" si="19"/>
        <v>53954027</v>
      </c>
      <c r="F85" s="914">
        <f t="shared" si="19"/>
        <v>-640326</v>
      </c>
      <c r="G85" s="707">
        <f t="shared" si="20"/>
        <v>-1.1728795467179545E-2</v>
      </c>
      <c r="H85" s="914">
        <f t="shared" si="19"/>
        <v>53681843</v>
      </c>
      <c r="I85" s="914">
        <f t="shared" si="19"/>
        <v>-912510</v>
      </c>
      <c r="J85" s="707">
        <f t="shared" si="21"/>
        <v>-1.6714366044414886E-2</v>
      </c>
      <c r="K85" s="914">
        <f t="shared" si="19"/>
        <v>53597578</v>
      </c>
      <c r="L85" s="914">
        <f t="shared" si="19"/>
        <v>-996775</v>
      </c>
      <c r="M85" s="707">
        <f t="shared" si="22"/>
        <v>-1.8257840696454447E-2</v>
      </c>
      <c r="N85" s="914">
        <f t="shared" si="19"/>
        <v>54014033</v>
      </c>
      <c r="O85" s="914">
        <f t="shared" si="19"/>
        <v>-580320</v>
      </c>
      <c r="P85" s="707">
        <f t="shared" si="23"/>
        <v>-1.0629670801300639E-2</v>
      </c>
      <c r="Q85" s="914">
        <f t="shared" si="19"/>
        <v>53602226.013307802</v>
      </c>
      <c r="R85" s="914">
        <f t="shared" si="19"/>
        <v>-992126.98669219902</v>
      </c>
      <c r="S85" s="707">
        <f t="shared" si="24"/>
        <v>-1.8172703442280908E-2</v>
      </c>
      <c r="T85" s="914">
        <f t="shared" si="19"/>
        <v>54014033</v>
      </c>
      <c r="U85" s="914">
        <f t="shared" si="19"/>
        <v>-580320</v>
      </c>
      <c r="V85" s="707">
        <f t="shared" si="25"/>
        <v>-1.0629670801300639E-2</v>
      </c>
      <c r="W85" s="914">
        <f t="shared" si="19"/>
        <v>53459990.109891057</v>
      </c>
      <c r="X85" s="689">
        <f t="shared" si="26"/>
        <v>-1134362.8901089411</v>
      </c>
      <c r="Y85" s="707">
        <f t="shared" si="27"/>
        <v>-2.0778026073666283E-2</v>
      </c>
      <c r="Z85" s="914">
        <f t="shared" si="19"/>
        <v>52881406.479438901</v>
      </c>
      <c r="AA85" s="689">
        <f t="shared" si="19"/>
        <v>-1712946.5205611023</v>
      </c>
      <c r="AB85" s="707">
        <f t="shared" si="28"/>
        <v>-3.1375891945474695E-2</v>
      </c>
    </row>
    <row r="86" spans="1:28" ht="15">
      <c r="A86" s="1094" t="s">
        <v>112</v>
      </c>
      <c r="B86" s="910"/>
      <c r="C86" s="914">
        <f t="shared" si="19"/>
        <v>21605869</v>
      </c>
      <c r="D86" s="1093"/>
      <c r="E86" s="914">
        <f t="shared" si="19"/>
        <v>22004381</v>
      </c>
      <c r="F86" s="914">
        <f t="shared" si="19"/>
        <v>398512</v>
      </c>
      <c r="G86" s="707">
        <f t="shared" si="20"/>
        <v>1.8444617987825436E-2</v>
      </c>
      <c r="H86" s="914">
        <f t="shared" si="19"/>
        <v>22061856</v>
      </c>
      <c r="I86" s="914">
        <f t="shared" si="19"/>
        <v>455987</v>
      </c>
      <c r="J86" s="707">
        <f t="shared" si="21"/>
        <v>2.1104774818360695E-2</v>
      </c>
      <c r="K86" s="914">
        <f t="shared" si="19"/>
        <v>20739752</v>
      </c>
      <c r="L86" s="914">
        <f t="shared" si="19"/>
        <v>-866117</v>
      </c>
      <c r="M86" s="707">
        <f t="shared" si="22"/>
        <v>-4.0087117069903554E-2</v>
      </c>
      <c r="N86" s="914">
        <f t="shared" si="19"/>
        <v>22022586</v>
      </c>
      <c r="O86" s="914">
        <f t="shared" si="19"/>
        <v>416717</v>
      </c>
      <c r="P86" s="707">
        <f t="shared" si="23"/>
        <v>1.9287213117880148E-2</v>
      </c>
      <c r="Q86" s="914">
        <f t="shared" si="19"/>
        <v>21588430.652960852</v>
      </c>
      <c r="R86" s="914">
        <f t="shared" si="19"/>
        <v>-17438.34703914728</v>
      </c>
      <c r="S86" s="707">
        <f t="shared" si="24"/>
        <v>-8.0711157876349612E-4</v>
      </c>
      <c r="T86" s="914">
        <f t="shared" si="19"/>
        <v>22022586</v>
      </c>
      <c r="U86" s="914">
        <f t="shared" si="19"/>
        <v>416717</v>
      </c>
      <c r="V86" s="707">
        <f t="shared" si="25"/>
        <v>1.9287213117880148E-2</v>
      </c>
      <c r="W86" s="914">
        <f t="shared" si="19"/>
        <v>21936705.581401873</v>
      </c>
      <c r="X86" s="689">
        <f t="shared" si="26"/>
        <v>330836.58140187222</v>
      </c>
      <c r="Y86" s="707">
        <f t="shared" si="27"/>
        <v>1.5312347834834702E-2</v>
      </c>
      <c r="Z86" s="914">
        <f t="shared" si="19"/>
        <v>21908228.92442992</v>
      </c>
      <c r="AA86" s="689">
        <f t="shared" si="19"/>
        <v>302359.92442991957</v>
      </c>
      <c r="AB86" s="707">
        <f t="shared" si="28"/>
        <v>1.3994342205347982E-2</v>
      </c>
    </row>
    <row r="87" spans="1:28" ht="15">
      <c r="A87" s="1094" t="s">
        <v>115</v>
      </c>
      <c r="B87" s="910"/>
      <c r="C87" s="914">
        <f t="shared" si="19"/>
        <v>7750547</v>
      </c>
      <c r="D87" s="1093"/>
      <c r="E87" s="914">
        <f t="shared" si="19"/>
        <v>7952909</v>
      </c>
      <c r="F87" s="914">
        <f t="shared" si="19"/>
        <v>202362</v>
      </c>
      <c r="G87" s="707">
        <f t="shared" si="20"/>
        <v>2.6109382989355463E-2</v>
      </c>
      <c r="H87" s="914">
        <f t="shared" si="19"/>
        <v>8161937</v>
      </c>
      <c r="I87" s="914">
        <f t="shared" si="19"/>
        <v>411390</v>
      </c>
      <c r="J87" s="707">
        <f t="shared" si="21"/>
        <v>5.3078834306791507E-2</v>
      </c>
      <c r="K87" s="914">
        <f t="shared" si="19"/>
        <v>7954591</v>
      </c>
      <c r="L87" s="914">
        <f t="shared" si="19"/>
        <v>204044</v>
      </c>
      <c r="M87" s="707">
        <f t="shared" si="22"/>
        <v>2.632639993022428E-2</v>
      </c>
      <c r="N87" s="914">
        <f t="shared" si="19"/>
        <v>7992243</v>
      </c>
      <c r="O87" s="914">
        <f t="shared" si="19"/>
        <v>241696</v>
      </c>
      <c r="P87" s="707">
        <f t="shared" si="23"/>
        <v>3.1184379631527943E-2</v>
      </c>
      <c r="Q87" s="914">
        <f t="shared" si="19"/>
        <v>7919025.9171563564</v>
      </c>
      <c r="R87" s="914">
        <f t="shared" si="19"/>
        <v>168478.91715635659</v>
      </c>
      <c r="S87" s="707">
        <f t="shared" si="24"/>
        <v>2.173768085741001E-2</v>
      </c>
      <c r="T87" s="914">
        <f t="shared" si="19"/>
        <v>7992243</v>
      </c>
      <c r="U87" s="914">
        <f t="shared" si="19"/>
        <v>241696</v>
      </c>
      <c r="V87" s="707">
        <f t="shared" si="25"/>
        <v>3.1184379631527943E-2</v>
      </c>
      <c r="W87" s="914">
        <f t="shared" si="19"/>
        <v>8064894.2095710672</v>
      </c>
      <c r="X87" s="689">
        <f t="shared" si="26"/>
        <v>314347.20957106753</v>
      </c>
      <c r="Y87" s="707">
        <f t="shared" si="27"/>
        <v>4.0558067652653101E-2</v>
      </c>
      <c r="Z87" s="914">
        <f t="shared" si="19"/>
        <v>8160322.5251064673</v>
      </c>
      <c r="AA87" s="689">
        <f t="shared" si="19"/>
        <v>409775.52510646748</v>
      </c>
      <c r="AB87" s="707">
        <f t="shared" si="28"/>
        <v>5.2870529667966334E-2</v>
      </c>
    </row>
    <row r="88" spans="1:28" ht="15">
      <c r="A88" s="1094" t="s">
        <v>120</v>
      </c>
      <c r="B88" s="910"/>
      <c r="C88" s="914">
        <f t="shared" si="19"/>
        <v>3156958</v>
      </c>
      <c r="D88" s="1093"/>
      <c r="E88" s="914">
        <f t="shared" si="19"/>
        <v>3256211</v>
      </c>
      <c r="F88" s="914">
        <f t="shared" si="19"/>
        <v>99253</v>
      </c>
      <c r="G88" s="707">
        <f t="shared" si="20"/>
        <v>3.1439442653339068E-2</v>
      </c>
      <c r="H88" s="914">
        <f t="shared" si="19"/>
        <v>3454761</v>
      </c>
      <c r="I88" s="914">
        <f t="shared" si="19"/>
        <v>297803</v>
      </c>
      <c r="J88" s="707">
        <f t="shared" si="21"/>
        <v>9.4332265427668024E-2</v>
      </c>
      <c r="K88" s="914">
        <f t="shared" si="19"/>
        <v>3149527</v>
      </c>
      <c r="L88" s="914">
        <f t="shared" si="19"/>
        <v>-7431</v>
      </c>
      <c r="M88" s="707">
        <f t="shared" si="22"/>
        <v>-2.3538482298465801E-3</v>
      </c>
      <c r="N88" s="914">
        <f t="shared" si="19"/>
        <v>3254502</v>
      </c>
      <c r="O88" s="914">
        <f t="shared" si="19"/>
        <v>97544</v>
      </c>
      <c r="P88" s="707">
        <f t="shared" si="23"/>
        <v>3.0898098739356051E-2</v>
      </c>
      <c r="Q88" s="914">
        <f t="shared" si="19"/>
        <v>3131288.2763657584</v>
      </c>
      <c r="R88" s="914">
        <f t="shared" si="19"/>
        <v>-25669.723634241614</v>
      </c>
      <c r="S88" s="707">
        <f t="shared" si="24"/>
        <v>-8.1311577899489361E-3</v>
      </c>
      <c r="T88" s="914">
        <f t="shared" si="19"/>
        <v>3254502</v>
      </c>
      <c r="U88" s="914">
        <f t="shared" si="19"/>
        <v>97544</v>
      </c>
      <c r="V88" s="707">
        <f t="shared" si="25"/>
        <v>3.0898098739356051E-2</v>
      </c>
      <c r="W88" s="914">
        <f t="shared" si="19"/>
        <v>3171720.7391762789</v>
      </c>
      <c r="X88" s="689">
        <f t="shared" si="26"/>
        <v>14762.739176278585</v>
      </c>
      <c r="Y88" s="707">
        <f t="shared" si="27"/>
        <v>4.6762545387929091E-3</v>
      </c>
      <c r="Z88" s="914">
        <f t="shared" si="19"/>
        <v>3236714.6824751543</v>
      </c>
      <c r="AA88" s="689">
        <f t="shared" si="19"/>
        <v>79756.682475154055</v>
      </c>
      <c r="AB88" s="707">
        <f t="shared" si="28"/>
        <v>2.5263776862141991E-2</v>
      </c>
    </row>
    <row r="89" spans="1:28" ht="15">
      <c r="A89" s="1094" t="s">
        <v>124</v>
      </c>
      <c r="B89" s="910"/>
      <c r="C89" s="914">
        <f t="shared" si="19"/>
        <v>4730291</v>
      </c>
      <c r="D89" s="1093"/>
      <c r="E89" s="914">
        <f t="shared" si="19"/>
        <v>4919688</v>
      </c>
      <c r="F89" s="914">
        <f t="shared" si="19"/>
        <v>189397</v>
      </c>
      <c r="G89" s="707">
        <f t="shared" si="20"/>
        <v>4.0039185749883043E-2</v>
      </c>
      <c r="H89" s="914">
        <f t="shared" si="19"/>
        <v>4819142</v>
      </c>
      <c r="I89" s="914">
        <f t="shared" si="19"/>
        <v>88851</v>
      </c>
      <c r="J89" s="707">
        <f t="shared" si="21"/>
        <v>1.8783410999450141E-2</v>
      </c>
      <c r="K89" s="914">
        <f t="shared" si="19"/>
        <v>4620709</v>
      </c>
      <c r="L89" s="914">
        <f t="shared" si="19"/>
        <v>-109582</v>
      </c>
      <c r="M89" s="707">
        <f t="shared" si="22"/>
        <v>-2.3166016636185807E-2</v>
      </c>
      <c r="N89" s="914">
        <f t="shared" si="19"/>
        <v>4796410</v>
      </c>
      <c r="O89" s="914">
        <f t="shared" si="19"/>
        <v>66119</v>
      </c>
      <c r="P89" s="707">
        <f t="shared" si="23"/>
        <v>1.3977786990271846E-2</v>
      </c>
      <c r="Q89" s="914">
        <f t="shared" si="19"/>
        <v>4417784.438848949</v>
      </c>
      <c r="R89" s="914">
        <f t="shared" si="19"/>
        <v>-312506.5611510509</v>
      </c>
      <c r="S89" s="707">
        <f t="shared" si="24"/>
        <v>-6.606497594990475E-2</v>
      </c>
      <c r="T89" s="914">
        <f t="shared" si="19"/>
        <v>4796410</v>
      </c>
      <c r="U89" s="914">
        <f t="shared" si="19"/>
        <v>66119</v>
      </c>
      <c r="V89" s="707">
        <f t="shared" si="25"/>
        <v>1.3977786990271846E-2</v>
      </c>
      <c r="W89" s="914">
        <f t="shared" si="19"/>
        <v>4175991.300824143</v>
      </c>
      <c r="X89" s="689">
        <f t="shared" si="26"/>
        <v>-463872.28725421824</v>
      </c>
      <c r="Y89" s="707">
        <f t="shared" si="27"/>
        <v>-9.8064217878819346E-2</v>
      </c>
      <c r="Z89" s="914">
        <f t="shared" si="19"/>
        <v>4578532.0237998124</v>
      </c>
      <c r="AA89" s="689">
        <f t="shared" si="19"/>
        <v>-151758.97620018723</v>
      </c>
      <c r="AB89" s="707">
        <f t="shared" si="28"/>
        <v>-3.2082376369696332E-2</v>
      </c>
    </row>
    <row r="90" spans="1:28">
      <c r="A90" s="1091"/>
      <c r="B90" s="910"/>
      <c r="C90" s="1092"/>
      <c r="D90" s="1093"/>
      <c r="E90" s="1092"/>
      <c r="F90" s="675"/>
      <c r="H90" s="1092"/>
      <c r="I90" s="675"/>
      <c r="N90" s="912"/>
      <c r="O90" s="675"/>
      <c r="T90" s="1092"/>
      <c r="U90" s="675"/>
      <c r="Z90" s="1092"/>
      <c r="AA90" s="675"/>
    </row>
    <row r="91" spans="1:28">
      <c r="E91" s="1096" t="s">
        <v>338</v>
      </c>
      <c r="H91" s="1096" t="s">
        <v>339</v>
      </c>
      <c r="N91" s="1096" t="s">
        <v>340</v>
      </c>
      <c r="Q91" s="1096"/>
    </row>
    <row r="92" spans="1:28">
      <c r="A92" s="1068" t="s">
        <v>342</v>
      </c>
      <c r="E92" s="1068" t="s">
        <v>228</v>
      </c>
      <c r="H92" s="1068" t="s">
        <v>346</v>
      </c>
      <c r="N92" s="1096" t="s">
        <v>232</v>
      </c>
      <c r="Q92" s="1096" t="s">
        <v>232</v>
      </c>
      <c r="T92" s="1068" t="s">
        <v>228</v>
      </c>
      <c r="W92" s="1068" t="s">
        <v>228</v>
      </c>
      <c r="Z92" s="1068" t="s">
        <v>228</v>
      </c>
    </row>
    <row r="93" spans="1:28">
      <c r="A93" s="967" t="s">
        <v>347</v>
      </c>
      <c r="E93" s="1068" t="s">
        <v>232</v>
      </c>
      <c r="H93" s="1068" t="s">
        <v>232</v>
      </c>
      <c r="N93" s="1096" t="s">
        <v>350</v>
      </c>
      <c r="Q93" s="1096" t="s">
        <v>351</v>
      </c>
      <c r="T93" s="1096" t="s">
        <v>350</v>
      </c>
      <c r="W93" s="1096" t="s">
        <v>351</v>
      </c>
      <c r="Z93" s="1096" t="s">
        <v>230</v>
      </c>
    </row>
    <row r="94" spans="1:28">
      <c r="A94" s="967" t="s">
        <v>353</v>
      </c>
      <c r="E94" s="1068" t="s">
        <v>232</v>
      </c>
      <c r="H94" s="1068" t="s">
        <v>232</v>
      </c>
      <c r="N94" s="1096" t="s">
        <v>354</v>
      </c>
      <c r="Q94" s="1096" t="s">
        <v>355</v>
      </c>
      <c r="T94" s="966" t="s">
        <v>232</v>
      </c>
      <c r="W94" s="1096" t="s">
        <v>355</v>
      </c>
      <c r="Z94" s="966" t="s">
        <v>355</v>
      </c>
    </row>
    <row r="95" spans="1:28">
      <c r="A95" s="967" t="s">
        <v>356</v>
      </c>
      <c r="E95" s="1068" t="s">
        <v>232</v>
      </c>
      <c r="H95" s="1068" t="s">
        <v>232</v>
      </c>
      <c r="N95" s="1068" t="s">
        <v>232</v>
      </c>
      <c r="Q95" s="1068" t="s">
        <v>232</v>
      </c>
      <c r="T95" s="966" t="s">
        <v>232</v>
      </c>
      <c r="W95" s="966" t="s">
        <v>394</v>
      </c>
      <c r="Z95" s="966" t="s">
        <v>232</v>
      </c>
    </row>
    <row r="97" spans="1:25" s="1105" customFormat="1" ht="17.100000000000001" customHeight="1">
      <c r="A97" s="1097" t="s">
        <v>252</v>
      </c>
      <c r="B97" s="1098"/>
      <c r="C97" s="1099"/>
      <c r="D97" s="1100"/>
      <c r="E97" s="1101"/>
      <c r="F97" s="1101"/>
      <c r="G97" s="1101"/>
      <c r="H97" s="1102"/>
      <c r="I97" s="1102"/>
      <c r="J97" s="1102"/>
      <c r="K97" s="1101"/>
      <c r="L97" s="1101"/>
      <c r="M97" s="1101"/>
      <c r="N97" s="1103"/>
      <c r="O97" s="1103"/>
      <c r="P97" s="1103"/>
      <c r="Q97" s="1103"/>
      <c r="R97" s="1103"/>
      <c r="S97" s="1103"/>
      <c r="T97" s="1103"/>
      <c r="U97" s="1103"/>
      <c r="V97" s="1103"/>
      <c r="W97" s="1104"/>
      <c r="X97" s="1104"/>
      <c r="Y97" s="1104"/>
    </row>
    <row r="98" spans="1:25" ht="102" customHeight="1">
      <c r="A98" s="1106" t="s">
        <v>362</v>
      </c>
      <c r="B98" s="1107"/>
      <c r="C98" s="1108"/>
      <c r="D98" s="1109"/>
      <c r="E98" s="1110" t="s">
        <v>365</v>
      </c>
      <c r="F98" s="1110"/>
      <c r="G98" s="1108"/>
      <c r="H98" s="1111" t="s">
        <v>367</v>
      </c>
      <c r="I98" s="1112"/>
      <c r="J98" s="1113"/>
      <c r="K98" s="1113"/>
      <c r="L98" s="1113"/>
      <c r="M98" s="1113"/>
      <c r="N98" s="1114" t="s">
        <v>369</v>
      </c>
      <c r="O98" s="1115"/>
      <c r="P98" s="1113"/>
      <c r="Q98" s="1113"/>
      <c r="R98" s="1113"/>
      <c r="S98" s="1113"/>
      <c r="T98" s="1115" t="s">
        <v>372</v>
      </c>
      <c r="U98" s="1115"/>
      <c r="V98" s="1113"/>
      <c r="W98" s="1116"/>
      <c r="X98" s="1116"/>
      <c r="Y98" s="1116"/>
    </row>
    <row r="99" spans="1:25" ht="81" customHeight="1">
      <c r="A99" s="1106" t="s">
        <v>362</v>
      </c>
      <c r="B99" s="1107"/>
      <c r="C99" s="1108"/>
      <c r="D99" s="1109"/>
      <c r="E99" s="1110" t="s">
        <v>373</v>
      </c>
      <c r="F99" s="1110"/>
      <c r="G99" s="1108"/>
      <c r="H99" s="1117"/>
      <c r="I99" s="1117"/>
      <c r="J99" s="1117"/>
      <c r="K99" s="1117"/>
      <c r="L99" s="1117"/>
      <c r="M99" s="1117"/>
      <c r="N99" s="1118"/>
      <c r="O99" s="1118"/>
      <c r="P99" s="1118"/>
      <c r="Q99" s="1118"/>
      <c r="R99" s="1118"/>
      <c r="S99" s="1118"/>
      <c r="T99" s="1119" t="s">
        <v>376</v>
      </c>
      <c r="U99" s="1119"/>
      <c r="V99" s="1118"/>
      <c r="W99" s="1116"/>
      <c r="X99" s="1116"/>
      <c r="Y99" s="1116"/>
    </row>
    <row r="100" spans="1:25" ht="76.5" customHeight="1">
      <c r="A100" s="1120" t="s">
        <v>377</v>
      </c>
      <c r="B100" s="1121"/>
      <c r="C100" s="1122"/>
      <c r="D100" s="1123"/>
      <c r="E100" s="1112" t="s">
        <v>380</v>
      </c>
      <c r="F100" s="1112"/>
      <c r="G100" s="1122"/>
      <c r="H100" s="1124" t="s">
        <v>382</v>
      </c>
      <c r="I100" s="1124"/>
      <c r="J100" s="1125"/>
      <c r="K100" s="1126"/>
      <c r="L100" s="1126"/>
      <c r="M100" s="1126"/>
      <c r="N100" s="1124"/>
      <c r="O100" s="1124"/>
      <c r="P100" s="1126"/>
      <c r="Q100" s="1126"/>
      <c r="R100" s="1126"/>
      <c r="S100" s="1126"/>
      <c r="T100" s="1124" t="s">
        <v>385</v>
      </c>
      <c r="U100" s="1124"/>
      <c r="V100" s="1126"/>
      <c r="W100" s="1116"/>
      <c r="X100" s="1116"/>
      <c r="Y100" s="1116"/>
    </row>
    <row r="101" spans="1:25" ht="92.45" customHeight="1">
      <c r="A101" s="1106" t="s">
        <v>377</v>
      </c>
      <c r="B101" s="1107"/>
      <c r="C101" s="1108"/>
      <c r="D101" s="1109"/>
      <c r="E101" s="1110" t="s">
        <v>387</v>
      </c>
      <c r="F101" s="1110"/>
      <c r="G101" s="1108"/>
      <c r="H101" s="1113"/>
      <c r="I101" s="1113"/>
      <c r="J101" s="1127"/>
      <c r="K101" s="1113"/>
      <c r="L101" s="1113"/>
      <c r="M101" s="1113"/>
      <c r="N101" s="1113"/>
      <c r="O101" s="1113"/>
      <c r="P101" s="1113"/>
      <c r="Q101" s="1113"/>
      <c r="R101" s="1113"/>
      <c r="S101" s="1113"/>
      <c r="T101" s="1113"/>
      <c r="U101" s="1113"/>
      <c r="V101" s="1113"/>
      <c r="W101" s="1116"/>
      <c r="X101" s="1116"/>
      <c r="Y101" s="1116"/>
    </row>
    <row r="102" spans="1:25" ht="132.94999999999999" customHeight="1"/>
    <row r="103" spans="1:25" ht="132.94999999999999" customHeight="1"/>
    <row r="104" spans="1:25">
      <c r="B104" s="1095" t="s">
        <v>389</v>
      </c>
    </row>
    <row r="105" spans="1:25">
      <c r="B105" s="1095" t="s">
        <v>390</v>
      </c>
    </row>
    <row r="106" spans="1:25">
      <c r="B106" s="1095" t="s">
        <v>391</v>
      </c>
    </row>
  </sheetData>
  <mergeCells count="2">
    <mergeCell ref="A12:A17"/>
    <mergeCell ref="B12:B17"/>
  </mergeCells>
  <conditionalFormatting sqref="F35:F74">
    <cfRule type="cellIs" dxfId="152" priority="45" operator="greaterThan">
      <formula>500000</formula>
    </cfRule>
    <cfRule type="cellIs" dxfId="151" priority="44" operator="lessThan">
      <formula>-500000</formula>
    </cfRule>
    <cfRule type="cellIs" dxfId="150" priority="43" operator="lessThan">
      <formula>-1000000</formula>
    </cfRule>
    <cfRule type="cellIs" dxfId="149" priority="42" operator="greaterThan">
      <formula>1000000</formula>
    </cfRule>
    <cfRule type="cellIs" dxfId="148" priority="41" operator="greaterThan">
      <formula>500000</formula>
    </cfRule>
  </conditionalFormatting>
  <conditionalFormatting sqref="G35:G74">
    <cfRule type="cellIs" dxfId="147" priority="56" operator="greaterThan">
      <formula>0.05</formula>
    </cfRule>
    <cfRule type="cellIs" dxfId="146" priority="55" operator="lessThan">
      <formula>-0.05</formula>
    </cfRule>
  </conditionalFormatting>
  <conditionalFormatting sqref="I35:I74">
    <cfRule type="cellIs" dxfId="145" priority="40" operator="greaterThan">
      <formula>500000</formula>
    </cfRule>
    <cfRule type="cellIs" dxfId="144" priority="36" operator="greaterThan">
      <formula>500000</formula>
    </cfRule>
    <cfRule type="cellIs" dxfId="143" priority="39" operator="lessThan">
      <formula>-500000</formula>
    </cfRule>
    <cfRule type="cellIs" dxfId="142" priority="38" operator="lessThan">
      <formula>-1000000</formula>
    </cfRule>
    <cfRule type="cellIs" dxfId="141" priority="37" operator="greaterThan">
      <formula>1000000</formula>
    </cfRule>
  </conditionalFormatting>
  <conditionalFormatting sqref="J35:J74 M35:M74">
    <cfRule type="cellIs" dxfId="140" priority="53" operator="lessThan">
      <formula>-0.05</formula>
    </cfRule>
    <cfRule type="cellIs" dxfId="139" priority="54" operator="greaterThan">
      <formula>0.05</formula>
    </cfRule>
  </conditionalFormatting>
  <conditionalFormatting sqref="L35:L74">
    <cfRule type="cellIs" dxfId="138" priority="30" operator="greaterThan">
      <formula>500000</formula>
    </cfRule>
    <cfRule type="cellIs" dxfId="137" priority="26" operator="greaterThan">
      <formula>500000</formula>
    </cfRule>
    <cfRule type="cellIs" dxfId="136" priority="27" operator="greaterThan">
      <formula>1000000</formula>
    </cfRule>
    <cfRule type="cellIs" dxfId="135" priority="28" operator="lessThan">
      <formula>-1000000</formula>
    </cfRule>
    <cfRule type="cellIs" dxfId="134" priority="29" operator="lessThan">
      <formula>-500000</formula>
    </cfRule>
  </conditionalFormatting>
  <conditionalFormatting sqref="O35:O74">
    <cfRule type="cellIs" dxfId="133" priority="49" operator="lessThan">
      <formula>-500000</formula>
    </cfRule>
    <cfRule type="cellIs" dxfId="132" priority="50" operator="greaterThan">
      <formula>500000</formula>
    </cfRule>
    <cfRule type="cellIs" dxfId="131" priority="48" operator="lessThan">
      <formula>-1000000</formula>
    </cfRule>
    <cfRule type="cellIs" dxfId="130" priority="47" operator="greaterThan">
      <formula>1000000</formula>
    </cfRule>
    <cfRule type="cellIs" dxfId="129" priority="46" operator="greaterThan">
      <formula>500000</formula>
    </cfRule>
  </conditionalFormatting>
  <conditionalFormatting sqref="P35:P74 S35:S74">
    <cfRule type="cellIs" dxfId="128" priority="52" operator="greaterThan">
      <formula>0.05</formula>
    </cfRule>
    <cfRule type="cellIs" dxfId="127" priority="51" operator="lessThan">
      <formula>-0.05</formula>
    </cfRule>
  </conditionalFormatting>
  <conditionalFormatting sqref="R35:R74">
    <cfRule type="cellIs" dxfId="126" priority="31" operator="greaterThan">
      <formula>500000</formula>
    </cfRule>
    <cfRule type="cellIs" dxfId="125" priority="32" operator="greaterThan">
      <formula>1000000</formula>
    </cfRule>
    <cfRule type="cellIs" dxfId="124" priority="33" operator="lessThan">
      <formula>-1000000</formula>
    </cfRule>
    <cfRule type="cellIs" dxfId="123" priority="34" operator="lessThan">
      <formula>-500000</formula>
    </cfRule>
    <cfRule type="cellIs" dxfId="122" priority="35" operator="greaterThan">
      <formula>500000</formula>
    </cfRule>
  </conditionalFormatting>
  <conditionalFormatting sqref="U35:U74">
    <cfRule type="cellIs" dxfId="121" priority="19" operator="greaterThan">
      <formula>500000</formula>
    </cfRule>
    <cfRule type="cellIs" dxfId="120" priority="20" operator="greaterThan">
      <formula>1000000</formula>
    </cfRule>
    <cfRule type="cellIs" dxfId="119" priority="21" operator="lessThan">
      <formula>-1000000</formula>
    </cfRule>
    <cfRule type="cellIs" dxfId="118" priority="23" operator="greaterThan">
      <formula>500000</formula>
    </cfRule>
    <cfRule type="cellIs" dxfId="117" priority="22" operator="lessThan">
      <formula>-500000</formula>
    </cfRule>
  </conditionalFormatting>
  <conditionalFormatting sqref="V35:V74">
    <cfRule type="cellIs" dxfId="116" priority="25" operator="greaterThan">
      <formula>0.05</formula>
    </cfRule>
    <cfRule type="cellIs" dxfId="115" priority="24" operator="lessThan">
      <formula>-0.05</formula>
    </cfRule>
  </conditionalFormatting>
  <conditionalFormatting sqref="X35:X74">
    <cfRule type="cellIs" dxfId="114" priority="9" operator="greaterThan">
      <formula>500000</formula>
    </cfRule>
    <cfRule type="cellIs" dxfId="113" priority="7" operator="lessThan">
      <formula>-1000000</formula>
    </cfRule>
    <cfRule type="cellIs" dxfId="112" priority="6" operator="greaterThan">
      <formula>1000000</formula>
    </cfRule>
    <cfRule type="cellIs" dxfId="111" priority="5" operator="greaterThan">
      <formula>500000</formula>
    </cfRule>
    <cfRule type="cellIs" dxfId="110" priority="8" operator="lessThan">
      <formula>-500000</formula>
    </cfRule>
  </conditionalFormatting>
  <conditionalFormatting sqref="X80:X89">
    <cfRule type="cellIs" dxfId="109" priority="4" operator="greaterThan">
      <formula>200000</formula>
    </cfRule>
    <cfRule type="cellIs" dxfId="108" priority="3" operator="lessThan">
      <formula>-200000</formula>
    </cfRule>
  </conditionalFormatting>
  <conditionalFormatting sqref="Y35:Y74">
    <cfRule type="cellIs" dxfId="107" priority="11" operator="greaterThan">
      <formula>0.05</formula>
    </cfRule>
    <cfRule type="cellIs" dxfId="106" priority="10" operator="lessThan">
      <formula>-0.05</formula>
    </cfRule>
  </conditionalFormatting>
  <conditionalFormatting sqref="AA35:AA74">
    <cfRule type="cellIs" dxfId="105" priority="12" operator="greaterThan">
      <formula>500000</formula>
    </cfRule>
    <cfRule type="cellIs" dxfId="104" priority="16" operator="greaterThan">
      <formula>500000</formula>
    </cfRule>
    <cfRule type="cellIs" dxfId="103" priority="15" operator="lessThan">
      <formula>-500000</formula>
    </cfRule>
    <cfRule type="cellIs" dxfId="102" priority="14" operator="lessThan">
      <formula>-1000000</formula>
    </cfRule>
    <cfRule type="cellIs" dxfId="101" priority="13" operator="greaterThan">
      <formula>1000000</formula>
    </cfRule>
  </conditionalFormatting>
  <conditionalFormatting sqref="AA80:AA89">
    <cfRule type="cellIs" dxfId="100" priority="2" operator="greaterThan">
      <formula>200000</formula>
    </cfRule>
    <cfRule type="cellIs" dxfId="99" priority="1" operator="lessThan">
      <formula>-200000</formula>
    </cfRule>
  </conditionalFormatting>
  <conditionalFormatting sqref="AB35:AB74">
    <cfRule type="cellIs" dxfId="98" priority="18" operator="greaterThan">
      <formula>0.05</formula>
    </cfRule>
    <cfRule type="cellIs" dxfId="97" priority="17" operator="lessThan">
      <formula>-0.05</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AF2F-B6E1-4E64-BE81-256AA0B2A850}">
  <sheetPr>
    <tabColor theme="0" tint="-0.14999847407452621"/>
  </sheetPr>
  <dimension ref="A1:Q106"/>
  <sheetViews>
    <sheetView topLeftCell="A5" zoomScale="80" zoomScaleNormal="80" workbookViewId="0">
      <pane xSplit="4" ySplit="7" topLeftCell="E12" activePane="bottomRight" state="frozen"/>
      <selection pane="topRight"/>
      <selection pane="bottomLeft"/>
      <selection pane="bottomRight" activeCell="A5" sqref="A5"/>
    </sheetView>
  </sheetViews>
  <sheetFormatPr defaultColWidth="8.7109375" defaultRowHeight="14.25"/>
  <cols>
    <col min="1" max="1" width="14.5703125" style="967" customWidth="1"/>
    <col min="2" max="2" width="43.85546875" style="1095" customWidth="1"/>
    <col min="3" max="3" width="17.5703125" style="966" customWidth="1"/>
    <col min="4" max="4" width="26.140625" style="966" customWidth="1"/>
    <col min="5" max="6" width="18.85546875" style="966" customWidth="1"/>
    <col min="7" max="7" width="5.7109375" style="966" customWidth="1"/>
    <col min="8" max="10" width="14.140625" style="966" customWidth="1"/>
    <col min="11" max="11" width="18" style="966" customWidth="1"/>
    <col min="12" max="12" width="12.7109375" style="966" customWidth="1"/>
    <col min="13" max="13" width="14.140625" style="966" customWidth="1"/>
    <col min="14" max="14" width="19.42578125" style="966" customWidth="1"/>
    <col min="15" max="15" width="17.140625" style="966" customWidth="1"/>
    <col min="16" max="16" width="8.42578125" style="966" customWidth="1"/>
    <col min="17" max="17" width="33.28515625" style="966" customWidth="1"/>
    <col min="18" max="16384" width="8.7109375" style="966"/>
  </cols>
  <sheetData>
    <row r="1" spans="1:17" ht="23.25">
      <c r="B1" s="965" t="s">
        <v>271</v>
      </c>
    </row>
    <row r="2" spans="1:17" ht="3" customHeight="1">
      <c r="B2" s="965"/>
    </row>
    <row r="3" spans="1:17" ht="20.25">
      <c r="A3" s="370" t="s">
        <v>439</v>
      </c>
      <c r="B3" s="1128"/>
    </row>
    <row r="4" spans="1:17">
      <c r="B4" s="968"/>
    </row>
    <row r="5" spans="1:17" ht="18">
      <c r="A5" s="1138" t="s">
        <v>437</v>
      </c>
      <c r="B5" s="970"/>
    </row>
    <row r="6" spans="1:17">
      <c r="A6" s="969"/>
      <c r="B6" s="970"/>
    </row>
    <row r="7" spans="1:17">
      <c r="B7" s="968"/>
    </row>
    <row r="8" spans="1:17">
      <c r="B8" s="971"/>
    </row>
    <row r="9" spans="1:17" ht="15" thickBot="1">
      <c r="A9" s="972" t="s">
        <v>272</v>
      </c>
      <c r="B9" s="973"/>
      <c r="C9" s="974" t="s">
        <v>273</v>
      </c>
      <c r="D9" s="1141"/>
      <c r="E9" s="975" t="s">
        <v>276</v>
      </c>
      <c r="F9" s="976"/>
      <c r="G9" s="977"/>
      <c r="H9" s="984" t="s">
        <v>289</v>
      </c>
      <c r="I9" s="984"/>
      <c r="J9" s="984"/>
      <c r="K9" s="985" t="s">
        <v>293</v>
      </c>
      <c r="L9" s="987"/>
      <c r="M9" s="988"/>
      <c r="N9" s="985" t="s">
        <v>225</v>
      </c>
      <c r="O9" s="987"/>
      <c r="P9" s="988"/>
      <c r="Q9" s="966" t="s">
        <v>295</v>
      </c>
    </row>
    <row r="10" spans="1:17" ht="145.5" customHeight="1" thickBot="1">
      <c r="A10" s="972" t="s">
        <v>296</v>
      </c>
      <c r="B10" s="973"/>
      <c r="C10" s="989"/>
      <c r="D10" s="1141" t="s">
        <v>297</v>
      </c>
      <c r="E10" s="990" t="s">
        <v>300</v>
      </c>
      <c r="F10" s="990"/>
      <c r="G10" s="991"/>
      <c r="H10" s="1000" t="s">
        <v>313</v>
      </c>
      <c r="I10" s="1001"/>
      <c r="J10" s="1001"/>
      <c r="K10" s="1003" t="s">
        <v>393</v>
      </c>
      <c r="L10" s="1003"/>
      <c r="M10" s="1005"/>
      <c r="N10" s="1003" t="s">
        <v>395</v>
      </c>
      <c r="O10" s="1003"/>
      <c r="P10" s="1005"/>
    </row>
    <row r="11" spans="1:17" ht="1.5" customHeight="1">
      <c r="A11" s="1006"/>
      <c r="B11" s="1006"/>
      <c r="C11" s="1007"/>
      <c r="D11" s="1142"/>
      <c r="E11" s="1007"/>
      <c r="F11" s="1007"/>
      <c r="G11" s="1007"/>
      <c r="H11" s="1007"/>
      <c r="I11" s="1007"/>
      <c r="J11" s="1007"/>
      <c r="K11" s="1007"/>
      <c r="L11" s="1007"/>
      <c r="M11" s="1007"/>
      <c r="N11" s="1007"/>
      <c r="O11" s="1007"/>
      <c r="P11" s="1008"/>
    </row>
    <row r="12" spans="1:17" ht="12.6" customHeight="1">
      <c r="A12" s="1154" t="s">
        <v>29</v>
      </c>
      <c r="B12" s="1152" t="s">
        <v>171</v>
      </c>
      <c r="C12" s="1009"/>
      <c r="D12" s="1010"/>
      <c r="E12" s="1011"/>
      <c r="F12" s="1011"/>
      <c r="G12" s="1011"/>
      <c r="H12" s="1012"/>
      <c r="I12" s="1012"/>
      <c r="J12" s="1012"/>
      <c r="K12" s="1012"/>
      <c r="L12" s="1012"/>
      <c r="M12" s="1012"/>
      <c r="N12" s="1012"/>
      <c r="O12" s="1012"/>
      <c r="P12" s="1014"/>
    </row>
    <row r="13" spans="1:17" ht="12.6" customHeight="1">
      <c r="A13" s="1154"/>
      <c r="B13" s="1152"/>
      <c r="C13" s="1139"/>
      <c r="D13" s="1143" t="s">
        <v>316</v>
      </c>
      <c r="E13" s="978"/>
      <c r="F13" s="978"/>
      <c r="G13" s="1015"/>
      <c r="H13" s="1018"/>
      <c r="I13" s="1018"/>
      <c r="J13" s="1018"/>
      <c r="K13" s="1019"/>
      <c r="L13" s="1019"/>
      <c r="M13" s="1021"/>
      <c r="N13" s="1019"/>
      <c r="O13" s="1019"/>
      <c r="P13" s="1021"/>
      <c r="Q13" s="966" t="s">
        <v>315</v>
      </c>
    </row>
    <row r="14" spans="1:17" ht="12.6" customHeight="1">
      <c r="A14" s="1154"/>
      <c r="B14" s="1152"/>
      <c r="C14" s="1039">
        <v>0.5</v>
      </c>
      <c r="D14" s="1022" t="s">
        <v>235</v>
      </c>
      <c r="E14" s="1023">
        <v>0.35</v>
      </c>
      <c r="F14" s="1023"/>
      <c r="G14" s="1024"/>
      <c r="H14" s="1028">
        <v>0.5</v>
      </c>
      <c r="I14" s="1029"/>
      <c r="J14" s="1029"/>
      <c r="K14" s="1129">
        <v>0.4</v>
      </c>
      <c r="L14" s="1031"/>
      <c r="M14" s="1033"/>
      <c r="N14" s="1030">
        <v>0.35</v>
      </c>
      <c r="O14" s="1031"/>
      <c r="P14" s="1033"/>
      <c r="Q14" s="966" t="s">
        <v>315</v>
      </c>
    </row>
    <row r="15" spans="1:17" ht="12.6" customHeight="1">
      <c r="A15" s="1154"/>
      <c r="B15" s="1152"/>
      <c r="C15" s="1039">
        <v>0.3</v>
      </c>
      <c r="D15" s="1034" t="s">
        <v>133</v>
      </c>
      <c r="E15" s="1023">
        <v>0.35</v>
      </c>
      <c r="F15" s="1023"/>
      <c r="G15" s="1024"/>
      <c r="H15" s="1028">
        <v>0.3</v>
      </c>
      <c r="I15" s="1029"/>
      <c r="J15" s="1029"/>
      <c r="K15" s="1129">
        <v>0.4</v>
      </c>
      <c r="L15" s="1032"/>
      <c r="M15" s="1033"/>
      <c r="N15" s="1030">
        <v>0.35</v>
      </c>
      <c r="O15" s="1032"/>
      <c r="P15" s="1033"/>
      <c r="Q15" s="966" t="s">
        <v>315</v>
      </c>
    </row>
    <row r="16" spans="1:17" ht="12.6" customHeight="1">
      <c r="A16" s="1154"/>
      <c r="B16" s="1152"/>
      <c r="C16" s="1039">
        <v>0.1</v>
      </c>
      <c r="D16" s="1034" t="s">
        <v>136</v>
      </c>
      <c r="E16" s="1023">
        <v>0.15</v>
      </c>
      <c r="F16" s="1023"/>
      <c r="G16" s="1024"/>
      <c r="H16" s="1028">
        <v>0.1</v>
      </c>
      <c r="I16" s="1029"/>
      <c r="J16" s="1029"/>
      <c r="K16" s="1129">
        <v>0.1</v>
      </c>
      <c r="L16" s="1032"/>
      <c r="M16" s="1033"/>
      <c r="N16" s="1030">
        <v>0.15</v>
      </c>
      <c r="O16" s="1032"/>
      <c r="P16" s="1033"/>
      <c r="Q16" s="966" t="s">
        <v>315</v>
      </c>
    </row>
    <row r="17" spans="1:17" ht="15">
      <c r="A17" s="1155"/>
      <c r="B17" s="1153"/>
      <c r="C17" s="1039">
        <v>0.1</v>
      </c>
      <c r="D17" s="1037" t="s">
        <v>137</v>
      </c>
      <c r="E17" s="1023">
        <v>0.15</v>
      </c>
      <c r="F17" s="1023"/>
      <c r="G17" s="1024"/>
      <c r="H17" s="1028">
        <v>0.1</v>
      </c>
      <c r="I17" s="1029"/>
      <c r="J17" s="1029"/>
      <c r="K17" s="1129">
        <v>0.1</v>
      </c>
      <c r="L17" s="1032"/>
      <c r="M17" s="1033"/>
      <c r="N17" s="1030">
        <v>0.15</v>
      </c>
      <c r="O17" s="1032"/>
      <c r="P17" s="1033"/>
      <c r="Q17" s="966" t="s">
        <v>315</v>
      </c>
    </row>
    <row r="18" spans="1:17" ht="39" customHeight="1">
      <c r="A18" s="1036"/>
      <c r="B18" s="835"/>
      <c r="C18" s="1039"/>
      <c r="D18" s="1144" t="s">
        <v>317</v>
      </c>
      <c r="E18" s="1040"/>
      <c r="F18" s="1040"/>
      <c r="G18" s="1041"/>
      <c r="H18" s="1043"/>
      <c r="I18" s="1043"/>
      <c r="J18" s="1043"/>
      <c r="K18" s="1043"/>
      <c r="L18" s="1043"/>
      <c r="M18" s="1044"/>
      <c r="N18" s="1043"/>
      <c r="O18" s="1043"/>
      <c r="P18" s="1044"/>
      <c r="Q18" s="966" t="s">
        <v>315</v>
      </c>
    </row>
    <row r="19" spans="1:17" ht="14.45" customHeight="1">
      <c r="A19" s="1036"/>
      <c r="B19" s="835"/>
      <c r="C19" s="1140">
        <v>0.2</v>
      </c>
      <c r="D19" s="1145" t="s">
        <v>238</v>
      </c>
      <c r="E19" s="1023">
        <v>0.2</v>
      </c>
      <c r="F19" s="1023"/>
      <c r="G19" s="1024"/>
      <c r="H19" s="1028">
        <v>0</v>
      </c>
      <c r="I19" s="1029"/>
      <c r="J19" s="1029"/>
      <c r="K19" s="1030">
        <v>0</v>
      </c>
      <c r="L19" s="1032"/>
      <c r="M19" s="1033"/>
      <c r="N19" s="1030">
        <v>0</v>
      </c>
      <c r="O19" s="1032"/>
      <c r="P19" s="1033"/>
      <c r="Q19" s="966" t="s">
        <v>315</v>
      </c>
    </row>
    <row r="20" spans="1:17" ht="15">
      <c r="A20" s="1036"/>
      <c r="B20" s="835"/>
      <c r="C20" s="1140">
        <v>0.2</v>
      </c>
      <c r="D20" s="1145" t="s">
        <v>240</v>
      </c>
      <c r="E20" s="1023">
        <v>0.2</v>
      </c>
      <c r="F20" s="1023"/>
      <c r="G20" s="1024"/>
      <c r="H20" s="1028">
        <v>0</v>
      </c>
      <c r="I20" s="1029"/>
      <c r="J20" s="1029"/>
      <c r="K20" s="1030">
        <v>0</v>
      </c>
      <c r="L20" s="1032"/>
      <c r="M20" s="1033"/>
      <c r="N20" s="1030">
        <v>0</v>
      </c>
      <c r="O20" s="1032"/>
      <c r="P20" s="1033"/>
      <c r="Q20" s="966" t="s">
        <v>315</v>
      </c>
    </row>
    <row r="21" spans="1:17" ht="15">
      <c r="A21" s="1036"/>
      <c r="B21" s="835"/>
      <c r="C21" s="1140">
        <v>0.2</v>
      </c>
      <c r="D21" s="1145" t="s">
        <v>242</v>
      </c>
      <c r="E21" s="1023">
        <v>0.2</v>
      </c>
      <c r="F21" s="1023"/>
      <c r="G21" s="1024"/>
      <c r="H21" s="1028">
        <v>0</v>
      </c>
      <c r="I21" s="1029"/>
      <c r="J21" s="1029"/>
      <c r="K21" s="1030">
        <v>0</v>
      </c>
      <c r="L21" s="1032"/>
      <c r="M21" s="1033"/>
      <c r="N21" s="1030">
        <v>0</v>
      </c>
      <c r="O21" s="1032"/>
      <c r="P21" s="1033"/>
      <c r="Q21" s="966" t="s">
        <v>315</v>
      </c>
    </row>
    <row r="22" spans="1:17" ht="15">
      <c r="A22" s="1036"/>
      <c r="B22" s="835"/>
      <c r="C22" s="1140">
        <v>0.2</v>
      </c>
      <c r="D22" s="1145" t="s">
        <v>243</v>
      </c>
      <c r="E22" s="1023">
        <v>0.2</v>
      </c>
      <c r="F22" s="1023"/>
      <c r="G22" s="1024"/>
      <c r="H22" s="1028">
        <v>0</v>
      </c>
      <c r="I22" s="1029"/>
      <c r="J22" s="1029"/>
      <c r="K22" s="1030">
        <v>0</v>
      </c>
      <c r="L22" s="1032"/>
      <c r="M22" s="1033"/>
      <c r="N22" s="1030">
        <v>0</v>
      </c>
      <c r="O22" s="1032"/>
      <c r="P22" s="1033"/>
      <c r="Q22" s="966" t="s">
        <v>315</v>
      </c>
    </row>
    <row r="23" spans="1:17" ht="15">
      <c r="A23" s="1036"/>
      <c r="B23" s="835"/>
      <c r="C23" s="1140">
        <v>0.2</v>
      </c>
      <c r="D23" s="1145" t="s">
        <v>244</v>
      </c>
      <c r="E23" s="1023">
        <v>0.2</v>
      </c>
      <c r="F23" s="1023"/>
      <c r="G23" s="1024"/>
      <c r="H23" s="1028">
        <v>0</v>
      </c>
      <c r="I23" s="1029"/>
      <c r="J23" s="1029"/>
      <c r="K23" s="1030">
        <v>0</v>
      </c>
      <c r="L23" s="1032"/>
      <c r="M23" s="1033"/>
      <c r="N23" s="1030">
        <v>0</v>
      </c>
      <c r="O23" s="1032"/>
      <c r="P23" s="1033"/>
      <c r="Q23" s="966" t="s">
        <v>315</v>
      </c>
    </row>
    <row r="24" spans="1:17" ht="33" customHeight="1">
      <c r="A24" s="1036"/>
      <c r="B24" s="835"/>
      <c r="C24" s="1046"/>
      <c r="D24" s="1146" t="s">
        <v>318</v>
      </c>
      <c r="E24" s="1047" t="s">
        <v>246</v>
      </c>
      <c r="F24" s="1023"/>
      <c r="G24" s="1024"/>
      <c r="H24" s="1049" t="s">
        <v>247</v>
      </c>
      <c r="I24" s="1029"/>
      <c r="J24" s="1029"/>
      <c r="K24" s="1050" t="s">
        <v>247</v>
      </c>
      <c r="L24" s="1032"/>
      <c r="M24" s="1033"/>
      <c r="N24" s="1050" t="s">
        <v>247</v>
      </c>
      <c r="O24" s="1032"/>
      <c r="P24" s="1033"/>
      <c r="Q24" s="966" t="s">
        <v>315</v>
      </c>
    </row>
    <row r="25" spans="1:17" ht="30">
      <c r="A25" s="1036"/>
      <c r="B25" s="835"/>
      <c r="C25" s="1039"/>
      <c r="D25" s="1146" t="s">
        <v>320</v>
      </c>
      <c r="E25" s="1040"/>
      <c r="F25" s="1040"/>
      <c r="G25" s="1041"/>
      <c r="H25" s="1054"/>
      <c r="I25" s="1043"/>
      <c r="J25" s="1043"/>
      <c r="K25" s="1043"/>
      <c r="L25" s="1043"/>
      <c r="M25" s="1044"/>
      <c r="N25" s="1043"/>
      <c r="O25" s="1043"/>
      <c r="P25" s="1044"/>
      <c r="Q25" s="966" t="s">
        <v>315</v>
      </c>
    </row>
    <row r="26" spans="1:17" ht="15">
      <c r="A26" s="1036"/>
      <c r="B26" s="835"/>
      <c r="C26" s="1039"/>
      <c r="D26" s="1147" t="s">
        <v>249</v>
      </c>
      <c r="E26" s="1023" t="s">
        <v>155</v>
      </c>
      <c r="F26" s="1023"/>
      <c r="G26" s="1024"/>
      <c r="H26" s="1028" t="s">
        <v>323</v>
      </c>
      <c r="I26" s="1029"/>
      <c r="J26" s="1029"/>
      <c r="K26" s="1045" t="s">
        <v>323</v>
      </c>
      <c r="L26" s="1032"/>
      <c r="M26" s="1033"/>
      <c r="N26" s="1045" t="s">
        <v>323</v>
      </c>
      <c r="O26" s="1032"/>
      <c r="P26" s="1033"/>
      <c r="Q26" s="966" t="s">
        <v>315</v>
      </c>
    </row>
    <row r="27" spans="1:17" ht="15">
      <c r="A27" s="1036"/>
      <c r="B27" s="835"/>
      <c r="C27" s="1039"/>
      <c r="D27" s="1145" t="s">
        <v>252</v>
      </c>
      <c r="E27" s="1023" t="s">
        <v>155</v>
      </c>
      <c r="F27" s="1023"/>
      <c r="G27" s="1024"/>
      <c r="H27" s="1028" t="s">
        <v>329</v>
      </c>
      <c r="I27" s="1029"/>
      <c r="J27" s="1029"/>
      <c r="K27" s="1031" t="s">
        <v>329</v>
      </c>
      <c r="L27" s="1032"/>
      <c r="M27" s="1033"/>
      <c r="N27" s="1031" t="s">
        <v>253</v>
      </c>
      <c r="O27" s="1032"/>
      <c r="P27" s="1033"/>
      <c r="Q27" s="966" t="s">
        <v>315</v>
      </c>
    </row>
    <row r="28" spans="1:17" ht="15">
      <c r="A28" s="1036"/>
      <c r="B28" s="835"/>
      <c r="C28" s="1046" t="s">
        <v>155</v>
      </c>
      <c r="D28" s="1145" t="s">
        <v>240</v>
      </c>
      <c r="E28" s="1023" t="s">
        <v>155</v>
      </c>
      <c r="F28" s="1023"/>
      <c r="G28" s="1024"/>
      <c r="H28" s="1028">
        <v>0.25</v>
      </c>
      <c r="I28" s="1029"/>
      <c r="J28" s="1029"/>
      <c r="K28" s="1030">
        <v>0.25</v>
      </c>
      <c r="L28" s="1032"/>
      <c r="M28" s="1033"/>
      <c r="N28" s="1030">
        <v>0.25</v>
      </c>
      <c r="O28" s="1032"/>
      <c r="P28" s="1033"/>
      <c r="Q28" s="966" t="s">
        <v>315</v>
      </c>
    </row>
    <row r="29" spans="1:17" ht="15">
      <c r="A29" s="1036"/>
      <c r="B29" s="835"/>
      <c r="C29" s="1046" t="s">
        <v>155</v>
      </c>
      <c r="D29" s="1145" t="s">
        <v>238</v>
      </c>
      <c r="E29" s="1023" t="s">
        <v>155</v>
      </c>
      <c r="F29" s="1023"/>
      <c r="G29" s="1024"/>
      <c r="H29" s="1028">
        <v>0.25</v>
      </c>
      <c r="I29" s="1029"/>
      <c r="J29" s="1029"/>
      <c r="K29" s="1030">
        <v>0.25</v>
      </c>
      <c r="L29" s="1032"/>
      <c r="M29" s="1033"/>
      <c r="N29" s="1030">
        <v>0.25</v>
      </c>
      <c r="O29" s="1032"/>
      <c r="P29" s="1033"/>
      <c r="Q29" s="966" t="s">
        <v>315</v>
      </c>
    </row>
    <row r="30" spans="1:17" ht="15">
      <c r="A30" s="1036"/>
      <c r="B30" s="835"/>
      <c r="C30" s="1046" t="s">
        <v>155</v>
      </c>
      <c r="D30" s="1145" t="s">
        <v>166</v>
      </c>
      <c r="E30" s="1023" t="s">
        <v>155</v>
      </c>
      <c r="F30" s="1023"/>
      <c r="G30" s="1024"/>
      <c r="H30" s="1028">
        <v>0.5</v>
      </c>
      <c r="I30" s="1029"/>
      <c r="J30" s="1029"/>
      <c r="K30" s="1030">
        <v>0.5</v>
      </c>
      <c r="L30" s="1032"/>
      <c r="M30" s="1033"/>
      <c r="N30" s="1030">
        <v>0.5</v>
      </c>
      <c r="O30" s="1032"/>
      <c r="P30" s="1033"/>
      <c r="Q30" s="966" t="s">
        <v>315</v>
      </c>
    </row>
    <row r="31" spans="1:17" ht="15">
      <c r="A31" s="1036"/>
      <c r="B31" s="835"/>
      <c r="C31" s="1046"/>
      <c r="D31" s="1144" t="s">
        <v>330</v>
      </c>
      <c r="E31" s="1040"/>
      <c r="F31" s="1040"/>
      <c r="G31" s="1041"/>
      <c r="H31" s="1054"/>
      <c r="I31" s="1043"/>
      <c r="J31" s="1043"/>
      <c r="K31" s="1043"/>
      <c r="L31" s="1043"/>
      <c r="M31" s="1044"/>
      <c r="N31" s="1043"/>
      <c r="O31" s="1043"/>
      <c r="P31" s="1044"/>
      <c r="Q31" s="966" t="s">
        <v>315</v>
      </c>
    </row>
    <row r="32" spans="1:17" ht="15">
      <c r="A32" s="1036"/>
      <c r="B32" s="835"/>
      <c r="C32" s="1046">
        <v>0.3</v>
      </c>
      <c r="D32" s="1145" t="s">
        <v>256</v>
      </c>
      <c r="E32" s="1023">
        <v>0.3</v>
      </c>
      <c r="F32" s="1023"/>
      <c r="G32" s="1024"/>
      <c r="H32" s="1028">
        <v>0.3</v>
      </c>
      <c r="I32" s="1029"/>
      <c r="J32" s="1029"/>
      <c r="K32" s="1045">
        <v>0.3</v>
      </c>
      <c r="L32" s="1032"/>
      <c r="M32" s="1033"/>
      <c r="N32" s="1045">
        <v>0.3</v>
      </c>
      <c r="O32" s="1032"/>
      <c r="P32" s="1033"/>
    </row>
    <row r="33" spans="1:17" ht="15">
      <c r="A33" s="1036"/>
      <c r="B33" s="835"/>
      <c r="C33" s="1046">
        <v>0.3</v>
      </c>
      <c r="D33" s="1145" t="s">
        <v>332</v>
      </c>
      <c r="E33" s="1023">
        <v>0.3</v>
      </c>
      <c r="F33" s="1023"/>
      <c r="G33" s="1024"/>
      <c r="H33" s="1028">
        <v>0.3</v>
      </c>
      <c r="I33" s="1029"/>
      <c r="J33" s="1029"/>
      <c r="K33" s="1058">
        <v>0.3</v>
      </c>
      <c r="L33" s="1032"/>
      <c r="M33" s="1033"/>
      <c r="N33" s="1058">
        <v>0.3</v>
      </c>
      <c r="O33" s="1032"/>
      <c r="P33" s="1033"/>
      <c r="Q33" s="966" t="s">
        <v>315</v>
      </c>
    </row>
    <row r="34" spans="1:17" ht="15">
      <c r="A34" s="1036"/>
      <c r="B34" s="835"/>
      <c r="C34" s="1039"/>
      <c r="D34" s="1148"/>
      <c r="E34" s="1059"/>
      <c r="F34" s="1059"/>
      <c r="G34" s="1060"/>
      <c r="H34" s="1063"/>
      <c r="I34" s="1063"/>
      <c r="J34" s="1063"/>
      <c r="K34" s="1064"/>
      <c r="L34" s="1064"/>
      <c r="M34" s="1066"/>
      <c r="N34" s="1064"/>
      <c r="O34" s="1064"/>
      <c r="P34" s="1066"/>
      <c r="Q34" s="966" t="s">
        <v>315</v>
      </c>
    </row>
    <row r="35" spans="1:17" ht="15">
      <c r="A35" s="1067" t="s">
        <v>82</v>
      </c>
      <c r="B35" s="90" t="s">
        <v>83</v>
      </c>
      <c r="C35" s="1068">
        <v>679385</v>
      </c>
      <c r="D35" s="1069"/>
      <c r="E35" s="1068">
        <v>691640</v>
      </c>
      <c r="F35" s="1068">
        <f>E35-$C35</f>
        <v>12255</v>
      </c>
      <c r="G35" s="1070">
        <f>(E35-$C35)/$C35</f>
        <v>1.8038372940232712E-2</v>
      </c>
      <c r="H35" s="683">
        <v>639320.72053693724</v>
      </c>
      <c r="I35" s="1068">
        <f>H35-$C35</f>
        <v>-40064.279463062761</v>
      </c>
      <c r="J35" s="1070">
        <f t="shared" ref="J35:J74" si="0">(H35-$C35)/$C35</f>
        <v>-5.8971392455033245E-2</v>
      </c>
      <c r="K35" s="683">
        <v>623397.59821405821</v>
      </c>
      <c r="L35" s="1068">
        <f>K35-$C35</f>
        <v>-55987.401785941795</v>
      </c>
      <c r="M35" s="1070">
        <f t="shared" ref="M35:M56" si="1">(K35-$C35)/$C35</f>
        <v>-8.2408946011380574E-2</v>
      </c>
      <c r="N35" s="1072">
        <v>682168.81132677174</v>
      </c>
      <c r="O35" s="1068">
        <f>N35-$C35</f>
        <v>2783.8113267717417</v>
      </c>
      <c r="P35" s="1070">
        <f t="shared" ref="P35:P74" si="2">(N35-$C35)/$C35</f>
        <v>4.0975460552878581E-3</v>
      </c>
    </row>
    <row r="36" spans="1:17" ht="15">
      <c r="A36" s="1073" t="s">
        <v>82</v>
      </c>
      <c r="B36" s="90" t="s">
        <v>84</v>
      </c>
      <c r="C36" s="1068">
        <v>135923</v>
      </c>
      <c r="D36" s="1069"/>
      <c r="E36" s="1068">
        <v>135923</v>
      </c>
      <c r="F36" s="1068">
        <f>E36-$C36</f>
        <v>0</v>
      </c>
      <c r="G36" s="1070">
        <f>(E36-$C36)/$C36</f>
        <v>0</v>
      </c>
      <c r="H36" s="683">
        <v>135923.4</v>
      </c>
      <c r="I36" s="1068">
        <f t="shared" ref="I36:I74" si="3">H36-$C36</f>
        <v>0.39999999999417923</v>
      </c>
      <c r="J36" s="1070">
        <f t="shared" si="0"/>
        <v>2.9428426388041704E-6</v>
      </c>
      <c r="K36" s="683">
        <v>135923.4</v>
      </c>
      <c r="L36" s="1068">
        <f t="shared" ref="L36:L74" si="4">K36-$C36</f>
        <v>0.39999999999417923</v>
      </c>
      <c r="M36" s="1070">
        <f t="shared" si="1"/>
        <v>2.9428426388041704E-6</v>
      </c>
      <c r="N36" s="1072">
        <v>138160.15556945791</v>
      </c>
      <c r="O36" s="1068">
        <f t="shared" ref="O36:O74" si="5">N36-$C36</f>
        <v>2237.1555694579147</v>
      </c>
      <c r="P36" s="1070">
        <f t="shared" si="2"/>
        <v>1.645899199883695E-2</v>
      </c>
    </row>
    <row r="37" spans="1:17" ht="15">
      <c r="A37" s="1073" t="s">
        <v>82</v>
      </c>
      <c r="B37" s="90" t="s">
        <v>85</v>
      </c>
      <c r="C37" s="1068">
        <v>787517</v>
      </c>
      <c r="D37" s="1069"/>
      <c r="E37" s="1068">
        <v>787517</v>
      </c>
      <c r="F37" s="1068">
        <f t="shared" ref="F37:F74" si="6">E37-$C37</f>
        <v>0</v>
      </c>
      <c r="G37" s="1070">
        <f t="shared" ref="G37:G74" si="7">(E37-$C37)/$C37</f>
        <v>0</v>
      </c>
      <c r="H37" s="683">
        <v>736017.48688949016</v>
      </c>
      <c r="I37" s="1068">
        <f t="shared" si="3"/>
        <v>-51499.513110509841</v>
      </c>
      <c r="J37" s="1070">
        <f t="shared" si="0"/>
        <v>-6.539479542728581E-2</v>
      </c>
      <c r="K37" s="683">
        <v>730270.87142248638</v>
      </c>
      <c r="L37" s="1068">
        <f t="shared" si="4"/>
        <v>-57246.12857751362</v>
      </c>
      <c r="M37" s="1070">
        <f t="shared" si="1"/>
        <v>-7.2691927383807101E-2</v>
      </c>
      <c r="N37" s="1072">
        <v>777326.95164208661</v>
      </c>
      <c r="O37" s="1068">
        <f t="shared" si="5"/>
        <v>-10190.048357913387</v>
      </c>
      <c r="P37" s="1070">
        <f t="shared" si="2"/>
        <v>-1.2939464618431585E-2</v>
      </c>
    </row>
    <row r="38" spans="1:17" ht="15">
      <c r="A38" s="1073" t="s">
        <v>82</v>
      </c>
      <c r="B38" s="90" t="s">
        <v>86</v>
      </c>
      <c r="C38" s="1068">
        <v>650062</v>
      </c>
      <c r="D38" s="1069"/>
      <c r="E38" s="1068">
        <v>650062</v>
      </c>
      <c r="F38" s="1068">
        <f t="shared" si="6"/>
        <v>0</v>
      </c>
      <c r="G38" s="1070">
        <f t="shared" si="7"/>
        <v>0</v>
      </c>
      <c r="H38" s="683">
        <v>652497.61990075978</v>
      </c>
      <c r="I38" s="1068">
        <f t="shared" si="3"/>
        <v>2435.6199007597752</v>
      </c>
      <c r="J38" s="1070">
        <f t="shared" si="0"/>
        <v>3.7467501573077264E-3</v>
      </c>
      <c r="K38" s="683">
        <v>642406.94633657462</v>
      </c>
      <c r="L38" s="1068">
        <f t="shared" si="4"/>
        <v>-7655.0536634253804</v>
      </c>
      <c r="M38" s="1070">
        <f t="shared" si="1"/>
        <v>-1.1775882398025697E-2</v>
      </c>
      <c r="N38" s="1072">
        <v>650061.9</v>
      </c>
      <c r="O38" s="1068">
        <f t="shared" si="5"/>
        <v>-9.9999999976716936E-2</v>
      </c>
      <c r="P38" s="1070">
        <f t="shared" si="2"/>
        <v>-1.5383148065371755E-7</v>
      </c>
    </row>
    <row r="39" spans="1:17" ht="15">
      <c r="A39" s="1073" t="s">
        <v>82</v>
      </c>
      <c r="B39" s="90" t="s">
        <v>87</v>
      </c>
      <c r="C39" s="1068">
        <v>140658</v>
      </c>
      <c r="D39" s="1069"/>
      <c r="E39" s="1068">
        <v>142818</v>
      </c>
      <c r="F39" s="1068">
        <f t="shared" si="6"/>
        <v>2160</v>
      </c>
      <c r="G39" s="1070">
        <f t="shared" si="7"/>
        <v>1.535639636565286E-2</v>
      </c>
      <c r="H39" s="683">
        <v>139119.77868514691</v>
      </c>
      <c r="I39" s="1068">
        <f t="shared" si="3"/>
        <v>-1538.2213148530864</v>
      </c>
      <c r="J39" s="1070">
        <f t="shared" si="0"/>
        <v>-1.0935896393046157E-2</v>
      </c>
      <c r="K39" s="683">
        <v>142346.62536353161</v>
      </c>
      <c r="L39" s="1068">
        <f t="shared" si="4"/>
        <v>1688.6253635316098</v>
      </c>
      <c r="M39" s="1070">
        <f t="shared" si="1"/>
        <v>1.2005185368280579E-2</v>
      </c>
      <c r="N39" s="1072">
        <v>142818</v>
      </c>
      <c r="O39" s="1068">
        <f t="shared" si="5"/>
        <v>2160</v>
      </c>
      <c r="P39" s="1070">
        <f t="shared" si="2"/>
        <v>1.535639636565286E-2</v>
      </c>
    </row>
    <row r="40" spans="1:17" ht="15">
      <c r="A40" s="1073" t="s">
        <v>88</v>
      </c>
      <c r="B40" s="90" t="s">
        <v>89</v>
      </c>
      <c r="C40" s="1068">
        <v>2759211</v>
      </c>
      <c r="D40" s="1069"/>
      <c r="E40" s="1068">
        <v>2759211</v>
      </c>
      <c r="F40" s="1068">
        <f t="shared" si="6"/>
        <v>0</v>
      </c>
      <c r="G40" s="1070">
        <f t="shared" si="7"/>
        <v>0</v>
      </c>
      <c r="H40" s="683">
        <v>2759210.6999999997</v>
      </c>
      <c r="I40" s="1068">
        <f t="shared" si="3"/>
        <v>-0.30000000027939677</v>
      </c>
      <c r="J40" s="1074">
        <f t="shared" si="0"/>
        <v>-1.087267339393025E-7</v>
      </c>
      <c r="K40" s="683">
        <v>2759210.6999999997</v>
      </c>
      <c r="L40" s="1068">
        <f t="shared" si="4"/>
        <v>-0.30000000027939677</v>
      </c>
      <c r="M40" s="1074">
        <f t="shared" si="1"/>
        <v>-1.087267339393025E-7</v>
      </c>
      <c r="N40" s="1072">
        <v>2759210.6999999997</v>
      </c>
      <c r="O40" s="1068">
        <f t="shared" si="5"/>
        <v>-0.30000000027939677</v>
      </c>
      <c r="P40" s="1074">
        <f t="shared" si="2"/>
        <v>-1.087267339393025E-7</v>
      </c>
    </row>
    <row r="41" spans="1:17" ht="15">
      <c r="A41" s="1075"/>
      <c r="B41" s="137"/>
      <c r="C41" s="1068">
        <v>0</v>
      </c>
      <c r="D41" s="1069"/>
      <c r="E41" s="1068">
        <v>0</v>
      </c>
      <c r="F41" s="1068">
        <f t="shared" si="6"/>
        <v>0</v>
      </c>
      <c r="G41" s="1070"/>
      <c r="H41" s="683">
        <v>0</v>
      </c>
      <c r="I41" s="1068">
        <f t="shared" si="3"/>
        <v>0</v>
      </c>
      <c r="J41" s="1074" t="e">
        <f t="shared" si="0"/>
        <v>#DIV/0!</v>
      </c>
      <c r="K41" s="683">
        <v>0</v>
      </c>
      <c r="L41" s="1068">
        <f t="shared" si="4"/>
        <v>0</v>
      </c>
      <c r="M41" s="1074"/>
      <c r="N41" s="1072">
        <v>0</v>
      </c>
      <c r="O41" s="1068">
        <f t="shared" si="5"/>
        <v>0</v>
      </c>
      <c r="P41" s="1074" t="e">
        <f t="shared" si="2"/>
        <v>#DIV/0!</v>
      </c>
    </row>
    <row r="42" spans="1:17" ht="15">
      <c r="A42" s="1073" t="s">
        <v>90</v>
      </c>
      <c r="B42" s="90" t="s">
        <v>91</v>
      </c>
      <c r="C42" s="1068">
        <v>1083494</v>
      </c>
      <c r="D42" s="1069"/>
      <c r="E42" s="1068">
        <v>1085230</v>
      </c>
      <c r="F42" s="1068">
        <f t="shared" si="6"/>
        <v>1736</v>
      </c>
      <c r="G42" s="1070">
        <f t="shared" si="7"/>
        <v>1.6022239163299473E-3</v>
      </c>
      <c r="H42" s="683">
        <v>1029605.5133403199</v>
      </c>
      <c r="I42" s="1068">
        <f t="shared" si="3"/>
        <v>-53888.486659680144</v>
      </c>
      <c r="J42" s="1074">
        <f t="shared" si="0"/>
        <v>-4.9735842247100717E-2</v>
      </c>
      <c r="K42" s="683">
        <v>998376.42887443048</v>
      </c>
      <c r="L42" s="1068">
        <f t="shared" si="4"/>
        <v>-85117.571125569521</v>
      </c>
      <c r="M42" s="1074">
        <f t="shared" si="1"/>
        <v>-7.8558414837156018E-2</v>
      </c>
      <c r="N42" s="1072">
        <v>1021327.0925876829</v>
      </c>
      <c r="O42" s="1068">
        <f t="shared" si="5"/>
        <v>-62166.907412317116</v>
      </c>
      <c r="P42" s="1074">
        <f t="shared" si="2"/>
        <v>-5.7376328260532239E-2</v>
      </c>
    </row>
    <row r="43" spans="1:17" ht="15">
      <c r="A43" s="1073" t="s">
        <v>92</v>
      </c>
      <c r="B43" s="90" t="s">
        <v>93</v>
      </c>
      <c r="C43" s="1068">
        <v>484752</v>
      </c>
      <c r="D43" s="1069"/>
      <c r="E43" s="1068">
        <v>516021</v>
      </c>
      <c r="F43" s="1068">
        <f t="shared" si="6"/>
        <v>31269</v>
      </c>
      <c r="G43" s="1070">
        <f t="shared" si="7"/>
        <v>6.45051490246559E-2</v>
      </c>
      <c r="H43" s="683">
        <v>465949.3004894827</v>
      </c>
      <c r="I43" s="1068">
        <f t="shared" si="3"/>
        <v>-18802.699510517297</v>
      </c>
      <c r="J43" s="1074">
        <f t="shared" si="0"/>
        <v>-3.878828660947721E-2</v>
      </c>
      <c r="K43" s="683">
        <v>455140.50657931715</v>
      </c>
      <c r="L43" s="1068">
        <f t="shared" si="4"/>
        <v>-29611.493420682847</v>
      </c>
      <c r="M43" s="1074">
        <f t="shared" si="1"/>
        <v>-6.1085861266550419E-2</v>
      </c>
      <c r="N43" s="1072">
        <v>490423.36029795307</v>
      </c>
      <c r="O43" s="1068">
        <f t="shared" si="5"/>
        <v>5671.3602979530697</v>
      </c>
      <c r="P43" s="1074">
        <f t="shared" si="2"/>
        <v>1.1699508816782746E-2</v>
      </c>
    </row>
    <row r="44" spans="1:17" ht="15">
      <c r="A44" s="1073" t="s">
        <v>92</v>
      </c>
      <c r="B44" s="90" t="s">
        <v>94</v>
      </c>
      <c r="C44" s="1068">
        <v>50261</v>
      </c>
      <c r="D44" s="1069"/>
      <c r="E44" s="1068">
        <v>50261</v>
      </c>
      <c r="F44" s="1068">
        <f t="shared" si="6"/>
        <v>0</v>
      </c>
      <c r="G44" s="1074"/>
      <c r="H44" s="683">
        <v>46877.940223285579</v>
      </c>
      <c r="I44" s="1068">
        <f t="shared" si="3"/>
        <v>-3383.0597767144209</v>
      </c>
      <c r="J44" s="1074">
        <f t="shared" si="0"/>
        <v>-6.7309838178994066E-2</v>
      </c>
      <c r="K44" s="683">
        <v>45084.28651973512</v>
      </c>
      <c r="L44" s="1068">
        <f t="shared" si="4"/>
        <v>-5176.7134802648798</v>
      </c>
      <c r="M44" s="1074">
        <f t="shared" si="1"/>
        <v>-0.10299662721125484</v>
      </c>
      <c r="N44" s="1072">
        <v>50261.4</v>
      </c>
      <c r="O44" s="1068">
        <f t="shared" si="5"/>
        <v>0.40000000000145519</v>
      </c>
      <c r="P44" s="1074">
        <f t="shared" si="2"/>
        <v>7.9584568552447264E-6</v>
      </c>
    </row>
    <row r="45" spans="1:17" ht="15">
      <c r="A45" s="1073" t="s">
        <v>92</v>
      </c>
      <c r="B45" s="90" t="s">
        <v>95</v>
      </c>
      <c r="C45" s="1068">
        <v>26837084</v>
      </c>
      <c r="D45" s="1069"/>
      <c r="E45" s="1068">
        <v>27170604</v>
      </c>
      <c r="F45" s="1068">
        <f t="shared" si="6"/>
        <v>333520</v>
      </c>
      <c r="G45" s="1070">
        <f t="shared" si="7"/>
        <v>1.2427579687867727E-2</v>
      </c>
      <c r="H45" s="683">
        <v>26991861.625127539</v>
      </c>
      <c r="I45" s="1068">
        <f t="shared" si="3"/>
        <v>154777.62512753904</v>
      </c>
      <c r="J45" s="1074">
        <f t="shared" si="0"/>
        <v>5.7673041202069139E-3</v>
      </c>
      <c r="K45" s="683">
        <v>27527055.069272045</v>
      </c>
      <c r="L45" s="1068">
        <f t="shared" si="4"/>
        <v>689971.06927204505</v>
      </c>
      <c r="M45" s="1074">
        <f t="shared" si="1"/>
        <v>2.5709613953291091E-2</v>
      </c>
      <c r="N45" s="1072">
        <v>27326294.797366373</v>
      </c>
      <c r="O45" s="1068">
        <f t="shared" si="5"/>
        <v>489210.79736637324</v>
      </c>
      <c r="P45" s="1074">
        <f t="shared" si="2"/>
        <v>1.8228910315531047E-2</v>
      </c>
    </row>
    <row r="46" spans="1:17" ht="15">
      <c r="A46" s="1073" t="s">
        <v>92</v>
      </c>
      <c r="B46" s="90" t="s">
        <v>96</v>
      </c>
      <c r="C46" s="1068">
        <v>360295</v>
      </c>
      <c r="D46" s="1069"/>
      <c r="E46" s="1068">
        <v>360295</v>
      </c>
      <c r="F46" s="1068">
        <f t="shared" si="6"/>
        <v>0</v>
      </c>
      <c r="G46" s="1070">
        <f t="shared" si="7"/>
        <v>0</v>
      </c>
      <c r="H46" s="683">
        <v>360295.2</v>
      </c>
      <c r="I46" s="1068">
        <f t="shared" si="3"/>
        <v>0.20000000001164153</v>
      </c>
      <c r="J46" s="1074">
        <f t="shared" si="0"/>
        <v>5.5510068141839756E-7</v>
      </c>
      <c r="K46" s="683">
        <v>360295.2</v>
      </c>
      <c r="L46" s="1068">
        <f t="shared" si="4"/>
        <v>0.20000000001164153</v>
      </c>
      <c r="M46" s="1074">
        <f t="shared" si="1"/>
        <v>5.5510068141839756E-7</v>
      </c>
      <c r="N46" s="1072">
        <v>360295.2</v>
      </c>
      <c r="O46" s="1068">
        <f t="shared" si="5"/>
        <v>0.20000000001164153</v>
      </c>
      <c r="P46" s="1074">
        <f t="shared" si="2"/>
        <v>5.5510068141839756E-7</v>
      </c>
    </row>
    <row r="47" spans="1:17" ht="15">
      <c r="A47" s="1073" t="s">
        <v>92</v>
      </c>
      <c r="B47" s="90" t="s">
        <v>97</v>
      </c>
      <c r="C47" s="1068">
        <v>17722</v>
      </c>
      <c r="D47" s="1069"/>
      <c r="E47" s="1068">
        <v>17912</v>
      </c>
      <c r="F47" s="1068">
        <f t="shared" si="6"/>
        <v>190</v>
      </c>
      <c r="G47" s="1070">
        <f t="shared" si="7"/>
        <v>1.0721137569123124E-2</v>
      </c>
      <c r="H47" s="683">
        <v>16646.085915490414</v>
      </c>
      <c r="I47" s="1068">
        <f t="shared" si="3"/>
        <v>-1075.9140845095862</v>
      </c>
      <c r="J47" s="1074">
        <f t="shared" si="0"/>
        <v>-6.071064690833914E-2</v>
      </c>
      <c r="K47" s="683">
        <v>16284.004994968225</v>
      </c>
      <c r="L47" s="1068">
        <f t="shared" si="4"/>
        <v>-1437.9950050317748</v>
      </c>
      <c r="M47" s="1074">
        <f t="shared" si="1"/>
        <v>-8.1141801435039768E-2</v>
      </c>
      <c r="N47" s="1072">
        <v>16697.616364274076</v>
      </c>
      <c r="O47" s="1068">
        <f t="shared" si="5"/>
        <v>-1024.3836357259243</v>
      </c>
      <c r="P47" s="1074">
        <f t="shared" si="2"/>
        <v>-5.7802936221979698E-2</v>
      </c>
    </row>
    <row r="48" spans="1:17" ht="15">
      <c r="A48" s="1073" t="s">
        <v>92</v>
      </c>
      <c r="B48" s="90" t="s">
        <v>98</v>
      </c>
      <c r="C48" s="1068">
        <v>2239285</v>
      </c>
      <c r="D48" s="1069"/>
      <c r="E48" s="1068">
        <v>2239285</v>
      </c>
      <c r="F48" s="1068">
        <f t="shared" si="6"/>
        <v>0</v>
      </c>
      <c r="G48" s="1070">
        <f t="shared" si="7"/>
        <v>0</v>
      </c>
      <c r="H48" s="683">
        <v>2239285.1999999997</v>
      </c>
      <c r="I48" s="1068">
        <f t="shared" si="3"/>
        <v>0.19999999972060323</v>
      </c>
      <c r="J48" s="1074">
        <f t="shared" si="0"/>
        <v>8.9314222941967288E-8</v>
      </c>
      <c r="K48" s="683">
        <v>2239285.1999999997</v>
      </c>
      <c r="L48" s="1068">
        <f t="shared" si="4"/>
        <v>0.19999999972060323</v>
      </c>
      <c r="M48" s="1074">
        <f t="shared" si="1"/>
        <v>8.9314222941967288E-8</v>
      </c>
      <c r="N48" s="1072">
        <v>2239285.1999999997</v>
      </c>
      <c r="O48" s="1068">
        <f t="shared" si="5"/>
        <v>0.19999999972060323</v>
      </c>
      <c r="P48" s="1074">
        <f t="shared" si="2"/>
        <v>8.9314222941967288E-8</v>
      </c>
    </row>
    <row r="49" spans="1:16" ht="15">
      <c r="A49" s="1073" t="s">
        <v>99</v>
      </c>
      <c r="B49" s="90" t="s">
        <v>100</v>
      </c>
      <c r="C49" s="1068">
        <v>950704</v>
      </c>
      <c r="D49" s="1069"/>
      <c r="E49" s="1068">
        <v>950704</v>
      </c>
      <c r="F49" s="1068">
        <f t="shared" si="6"/>
        <v>0</v>
      </c>
      <c r="G49" s="1070">
        <f t="shared" si="7"/>
        <v>0</v>
      </c>
      <c r="H49" s="683">
        <v>938744.27345968608</v>
      </c>
      <c r="I49" s="1068">
        <f t="shared" si="3"/>
        <v>-11959.726540313917</v>
      </c>
      <c r="J49" s="1074">
        <f t="shared" si="0"/>
        <v>-1.2579863490964504E-2</v>
      </c>
      <c r="K49" s="683">
        <v>968827.50790046586</v>
      </c>
      <c r="L49" s="1068">
        <f t="shared" si="4"/>
        <v>18123.507900465862</v>
      </c>
      <c r="M49" s="1074">
        <f t="shared" si="1"/>
        <v>1.9063249865852949E-2</v>
      </c>
      <c r="N49" s="1072">
        <v>950703.89999999991</v>
      </c>
      <c r="O49" s="1068">
        <f t="shared" si="5"/>
        <v>-0.10000000009313226</v>
      </c>
      <c r="P49" s="1074">
        <f t="shared" si="2"/>
        <v>-1.0518521021593709E-7</v>
      </c>
    </row>
    <row r="50" spans="1:16" ht="15">
      <c r="A50" s="1073" t="s">
        <v>99</v>
      </c>
      <c r="B50" s="90" t="s">
        <v>101</v>
      </c>
      <c r="C50" s="1068">
        <v>181796</v>
      </c>
      <c r="D50" s="1069"/>
      <c r="E50" s="1068">
        <v>181796</v>
      </c>
      <c r="F50" s="1068">
        <f t="shared" si="6"/>
        <v>0</v>
      </c>
      <c r="G50" s="1070">
        <f t="shared" si="7"/>
        <v>0</v>
      </c>
      <c r="H50" s="683">
        <v>181796.4</v>
      </c>
      <c r="I50" s="1068">
        <f t="shared" si="3"/>
        <v>0.39999999999417923</v>
      </c>
      <c r="J50" s="1074">
        <f t="shared" si="0"/>
        <v>2.2002684327167773E-6</v>
      </c>
      <c r="K50" s="683">
        <v>181796.4</v>
      </c>
      <c r="L50" s="1068">
        <f t="shared" si="4"/>
        <v>0.39999999999417923</v>
      </c>
      <c r="M50" s="1074">
        <f t="shared" si="1"/>
        <v>2.2002684327167773E-6</v>
      </c>
      <c r="N50" s="1072">
        <v>181796.4</v>
      </c>
      <c r="O50" s="1068">
        <f t="shared" si="5"/>
        <v>0.39999999999417923</v>
      </c>
      <c r="P50" s="1074">
        <f t="shared" si="2"/>
        <v>2.2002684327167773E-6</v>
      </c>
    </row>
    <row r="51" spans="1:16" ht="15">
      <c r="A51" s="1073" t="s">
        <v>99</v>
      </c>
      <c r="B51" s="90" t="s">
        <v>102</v>
      </c>
      <c r="C51" s="1068">
        <v>1790245</v>
      </c>
      <c r="D51" s="1069"/>
      <c r="E51" s="1068">
        <v>1821287</v>
      </c>
      <c r="F51" s="1068">
        <f t="shared" si="6"/>
        <v>31042</v>
      </c>
      <c r="G51" s="1070">
        <f t="shared" si="7"/>
        <v>1.7339526154241457E-2</v>
      </c>
      <c r="H51" s="683">
        <v>2036051.0515713664</v>
      </c>
      <c r="I51" s="1068">
        <f t="shared" si="3"/>
        <v>245806.05157136638</v>
      </c>
      <c r="J51" s="1074">
        <f t="shared" si="0"/>
        <v>0.13730302364836455</v>
      </c>
      <c r="K51" s="683">
        <v>2049158.1210849169</v>
      </c>
      <c r="L51" s="1068">
        <f t="shared" si="4"/>
        <v>258913.12108491687</v>
      </c>
      <c r="M51" s="1074">
        <f t="shared" si="1"/>
        <v>0.1446244067627151</v>
      </c>
      <c r="N51" s="1072">
        <v>2064520.6141590429</v>
      </c>
      <c r="O51" s="1068">
        <f t="shared" si="5"/>
        <v>274275.61415904295</v>
      </c>
      <c r="P51" s="1074">
        <f t="shared" si="2"/>
        <v>0.15320563060309786</v>
      </c>
    </row>
    <row r="52" spans="1:16" ht="15">
      <c r="A52" s="1073" t="s">
        <v>99</v>
      </c>
      <c r="B52" s="90" t="s">
        <v>103</v>
      </c>
      <c r="C52" s="1068">
        <v>32351</v>
      </c>
      <c r="D52" s="1069"/>
      <c r="E52" s="1068">
        <v>32351</v>
      </c>
      <c r="F52" s="1068">
        <f t="shared" si="6"/>
        <v>0</v>
      </c>
      <c r="G52" s="1070">
        <f t="shared" si="7"/>
        <v>0</v>
      </c>
      <c r="H52" s="683">
        <v>32350.799999999999</v>
      </c>
      <c r="I52" s="1068">
        <f t="shared" si="3"/>
        <v>-0.2000000000007276</v>
      </c>
      <c r="J52" s="1074">
        <f t="shared" si="0"/>
        <v>-6.1821891131874624E-6</v>
      </c>
      <c r="K52" s="683">
        <v>32350.799999999999</v>
      </c>
      <c r="L52" s="1068">
        <f t="shared" si="4"/>
        <v>-0.2000000000007276</v>
      </c>
      <c r="M52" s="1074">
        <f t="shared" si="1"/>
        <v>-6.1821891131874624E-6</v>
      </c>
      <c r="N52" s="1072">
        <v>32350.799999999999</v>
      </c>
      <c r="O52" s="1068">
        <f t="shared" si="5"/>
        <v>-0.2000000000007276</v>
      </c>
      <c r="P52" s="1074">
        <f t="shared" si="2"/>
        <v>-6.1821891131874624E-6</v>
      </c>
    </row>
    <row r="53" spans="1:16" ht="15">
      <c r="A53" s="1073" t="s">
        <v>104</v>
      </c>
      <c r="B53" s="90" t="s">
        <v>105</v>
      </c>
      <c r="C53" s="1068">
        <v>3156033</v>
      </c>
      <c r="D53" s="1069"/>
      <c r="E53" s="1068">
        <v>3052795</v>
      </c>
      <c r="F53" s="1068">
        <f t="shared" si="6"/>
        <v>-103238</v>
      </c>
      <c r="G53" s="1070">
        <f t="shared" si="7"/>
        <v>-3.2711318291031813E-2</v>
      </c>
      <c r="H53" s="683">
        <v>3312070.8462763391</v>
      </c>
      <c r="I53" s="1068">
        <f t="shared" si="3"/>
        <v>156037.84627633914</v>
      </c>
      <c r="J53" s="1074">
        <f t="shared" si="0"/>
        <v>4.9441132673941984E-2</v>
      </c>
      <c r="K53" s="683">
        <v>3088789.102602236</v>
      </c>
      <c r="L53" s="1068">
        <f t="shared" si="4"/>
        <v>-67243.897397764027</v>
      </c>
      <c r="M53" s="1074">
        <f t="shared" si="1"/>
        <v>-2.1306462067337075E-2</v>
      </c>
      <c r="N53" s="1072">
        <v>3158256.3022046098</v>
      </c>
      <c r="O53" s="1068">
        <f t="shared" si="5"/>
        <v>2223.3022046098486</v>
      </c>
      <c r="P53" s="1074">
        <f t="shared" si="2"/>
        <v>7.04461013116735E-4</v>
      </c>
    </row>
    <row r="54" spans="1:16" ht="15">
      <c r="A54" s="1073" t="s">
        <v>104</v>
      </c>
      <c r="B54" s="90" t="s">
        <v>106</v>
      </c>
      <c r="C54" s="1068">
        <v>6545690</v>
      </c>
      <c r="D54" s="1069"/>
      <c r="E54" s="1068">
        <v>6452877</v>
      </c>
      <c r="F54" s="1068">
        <f t="shared" si="6"/>
        <v>-92813</v>
      </c>
      <c r="G54" s="1070">
        <f t="shared" si="7"/>
        <v>-1.4179253829619185E-2</v>
      </c>
      <c r="H54" s="683">
        <v>7129921.8777082162</v>
      </c>
      <c r="I54" s="1068">
        <f t="shared" si="3"/>
        <v>584231.8777082162</v>
      </c>
      <c r="J54" s="1074">
        <f t="shared" si="0"/>
        <v>8.9254437302746722E-2</v>
      </c>
      <c r="K54" s="683">
        <v>7387267.7109892583</v>
      </c>
      <c r="L54" s="1068">
        <f t="shared" si="4"/>
        <v>841577.71098925825</v>
      </c>
      <c r="M54" s="1074">
        <f t="shared" si="1"/>
        <v>0.12856974757271705</v>
      </c>
      <c r="N54" s="1072">
        <v>7075081.69740305</v>
      </c>
      <c r="O54" s="1068">
        <f t="shared" si="5"/>
        <v>529391.69740305003</v>
      </c>
      <c r="P54" s="1074">
        <f t="shared" si="2"/>
        <v>8.0876377800208996E-2</v>
      </c>
    </row>
    <row r="55" spans="1:16" ht="15">
      <c r="A55" s="1073" t="s">
        <v>104</v>
      </c>
      <c r="B55" s="90" t="s">
        <v>107</v>
      </c>
      <c r="C55" s="1068">
        <v>8180859</v>
      </c>
      <c r="D55" s="1069"/>
      <c r="E55" s="1068">
        <v>8180859</v>
      </c>
      <c r="F55" s="1068">
        <f t="shared" si="6"/>
        <v>0</v>
      </c>
      <c r="G55" s="1070">
        <f t="shared" si="7"/>
        <v>0</v>
      </c>
      <c r="H55" s="683">
        <v>8180859.2999999998</v>
      </c>
      <c r="I55" s="1068">
        <f t="shared" si="3"/>
        <v>0.29999999981373549</v>
      </c>
      <c r="J55" s="1074">
        <f t="shared" si="0"/>
        <v>3.6670965703446969E-8</v>
      </c>
      <c r="K55" s="683">
        <v>8180859.2999999998</v>
      </c>
      <c r="L55" s="1068">
        <f t="shared" si="4"/>
        <v>0.29999999981373549</v>
      </c>
      <c r="M55" s="1074">
        <f t="shared" si="1"/>
        <v>3.6670965703446969E-8</v>
      </c>
      <c r="N55" s="1072">
        <v>8180859.2999999998</v>
      </c>
      <c r="O55" s="1068">
        <f t="shared" si="5"/>
        <v>0.29999999981373549</v>
      </c>
      <c r="P55" s="1074">
        <f t="shared" si="2"/>
        <v>3.6670965703446969E-8</v>
      </c>
    </row>
    <row r="56" spans="1:16" ht="15">
      <c r="A56" s="1073" t="s">
        <v>104</v>
      </c>
      <c r="B56" s="90" t="s">
        <v>108</v>
      </c>
      <c r="C56" s="1068">
        <v>1539916</v>
      </c>
      <c r="D56" s="1069"/>
      <c r="E56" s="1068">
        <v>1535540</v>
      </c>
      <c r="F56" s="1068">
        <f t="shared" si="6"/>
        <v>-4376</v>
      </c>
      <c r="G56" s="1130">
        <f t="shared" si="7"/>
        <v>-2.8417134441099385E-3</v>
      </c>
      <c r="H56" s="683">
        <v>1606043.6778614225</v>
      </c>
      <c r="I56" s="1068">
        <f t="shared" si="3"/>
        <v>66127.677861422533</v>
      </c>
      <c r="J56" s="1074">
        <f t="shared" si="0"/>
        <v>4.294239287170374E-2</v>
      </c>
      <c r="K56" s="683">
        <v>1603847.0999999999</v>
      </c>
      <c r="L56" s="1068">
        <f t="shared" si="4"/>
        <v>63931.09999999986</v>
      </c>
      <c r="M56" s="1074">
        <f t="shared" si="1"/>
        <v>4.1515965805926987E-2</v>
      </c>
      <c r="N56" s="1072">
        <v>1626076.3850113684</v>
      </c>
      <c r="O56" s="1068">
        <f t="shared" si="5"/>
        <v>86160.385011368431</v>
      </c>
      <c r="P56" s="1074">
        <f t="shared" si="2"/>
        <v>5.5951353847462089E-2</v>
      </c>
    </row>
    <row r="57" spans="1:16" ht="15">
      <c r="A57" s="1073" t="s">
        <v>104</v>
      </c>
      <c r="B57" s="90" t="s">
        <v>109</v>
      </c>
      <c r="C57" s="1068">
        <v>26403560</v>
      </c>
      <c r="D57" s="1069"/>
      <c r="E57" s="1068">
        <v>25992182</v>
      </c>
      <c r="F57" s="1068">
        <f t="shared" si="6"/>
        <v>-411378</v>
      </c>
      <c r="G57" s="1070">
        <f t="shared" si="7"/>
        <v>-1.5580399006800598E-2</v>
      </c>
      <c r="H57" s="683">
        <v>25262878.48606018</v>
      </c>
      <c r="I57" s="1068">
        <f t="shared" si="3"/>
        <v>-1140681.5139398202</v>
      </c>
      <c r="J57" s="1074">
        <f>(H57-$C57)/$C57</f>
        <v>-4.3201807405509718E-2</v>
      </c>
      <c r="K57" s="683">
        <v>25019596.699957356</v>
      </c>
      <c r="L57" s="1068">
        <f t="shared" si="4"/>
        <v>-1383963.3000426441</v>
      </c>
      <c r="M57" s="1074">
        <f>(K57-$C57)/$C57</f>
        <v>-5.2415784085276536E-2</v>
      </c>
      <c r="N57" s="1072">
        <v>24770211.250363905</v>
      </c>
      <c r="O57" s="1068">
        <f t="shared" si="5"/>
        <v>-1633348.749636095</v>
      </c>
      <c r="P57" s="1070">
        <f t="shared" si="2"/>
        <v>-6.1860928967006533E-2</v>
      </c>
    </row>
    <row r="58" spans="1:16" ht="15">
      <c r="A58" s="1073" t="s">
        <v>104</v>
      </c>
      <c r="B58" s="90" t="s">
        <v>110</v>
      </c>
      <c r="C58" s="1068">
        <v>6737550</v>
      </c>
      <c r="D58" s="1069"/>
      <c r="E58" s="1068">
        <v>6929727</v>
      </c>
      <c r="F58" s="1068">
        <f t="shared" si="6"/>
        <v>192177</v>
      </c>
      <c r="G58" s="1070">
        <f t="shared" si="7"/>
        <v>2.8523276265111204E-2</v>
      </c>
      <c r="H58" s="683">
        <v>7730852.5241689766</v>
      </c>
      <c r="I58" s="1068">
        <f t="shared" si="3"/>
        <v>993302.52416897658</v>
      </c>
      <c r="J58" s="1074">
        <f t="shared" si="0"/>
        <v>0.14742785198907268</v>
      </c>
      <c r="K58" s="683">
        <v>7965514.0872662431</v>
      </c>
      <c r="L58" s="1068">
        <f t="shared" si="4"/>
        <v>1227964.0872662431</v>
      </c>
      <c r="M58" s="1074">
        <f t="shared" ref="M58:M74" si="8">(K58-$C58)/$C58</f>
        <v>0.18225676800413251</v>
      </c>
      <c r="N58" s="1072">
        <v>7877528.9466659352</v>
      </c>
      <c r="O58" s="1068">
        <f t="shared" si="5"/>
        <v>1139978.9466659352</v>
      </c>
      <c r="P58" s="1070">
        <f t="shared" si="2"/>
        <v>0.16919784590332321</v>
      </c>
    </row>
    <row r="59" spans="1:16" ht="15">
      <c r="A59" s="1073" t="s">
        <v>104</v>
      </c>
      <c r="B59" s="90" t="s">
        <v>111</v>
      </c>
      <c r="C59" s="1068">
        <v>7934286</v>
      </c>
      <c r="D59" s="1069"/>
      <c r="E59" s="1068">
        <v>7814580</v>
      </c>
      <c r="F59" s="1068">
        <f t="shared" si="6"/>
        <v>-119706</v>
      </c>
      <c r="G59" s="1070">
        <f t="shared" si="7"/>
        <v>-1.5087179867224347E-2</v>
      </c>
      <c r="H59" s="683">
        <v>7598883.8567219153</v>
      </c>
      <c r="I59" s="1068">
        <f t="shared" si="3"/>
        <v>-335402.1432780847</v>
      </c>
      <c r="J59" s="1074">
        <f t="shared" si="0"/>
        <v>-4.2272504832581617E-2</v>
      </c>
      <c r="K59" s="683">
        <v>7264041.6569009097</v>
      </c>
      <c r="L59" s="1068">
        <f t="shared" si="4"/>
        <v>-670244.34309909027</v>
      </c>
      <c r="M59" s="1074">
        <f t="shared" si="8"/>
        <v>-8.4474437031774541E-2</v>
      </c>
      <c r="N59" s="1072">
        <v>7397846.3802625854</v>
      </c>
      <c r="O59" s="1068">
        <f t="shared" si="5"/>
        <v>-536439.61973741464</v>
      </c>
      <c r="P59" s="1070">
        <f t="shared" si="2"/>
        <v>-6.7610320542694655E-2</v>
      </c>
    </row>
    <row r="60" spans="1:16" ht="15">
      <c r="A60" s="1073" t="s">
        <v>112</v>
      </c>
      <c r="B60" s="90" t="s">
        <v>113</v>
      </c>
      <c r="C60" s="1068">
        <v>1224167</v>
      </c>
      <c r="D60" s="1069"/>
      <c r="E60" s="1068">
        <v>1224167</v>
      </c>
      <c r="F60" s="1068">
        <f t="shared" si="6"/>
        <v>0</v>
      </c>
      <c r="G60" s="1070">
        <f t="shared" si="7"/>
        <v>0</v>
      </c>
      <c r="H60" s="683">
        <v>1224166.8</v>
      </c>
      <c r="I60" s="1068">
        <f t="shared" si="3"/>
        <v>-0.19999999995343387</v>
      </c>
      <c r="J60" s="1070">
        <f t="shared" si="0"/>
        <v>-1.6337640203782153E-7</v>
      </c>
      <c r="K60" s="683">
        <v>1224166.8</v>
      </c>
      <c r="L60" s="1068">
        <f t="shared" si="4"/>
        <v>-0.19999999995343387</v>
      </c>
      <c r="M60" s="1070">
        <f t="shared" si="8"/>
        <v>-1.6337640203782153E-7</v>
      </c>
      <c r="N60" s="1072">
        <v>1224166.8</v>
      </c>
      <c r="O60" s="1068">
        <f t="shared" si="5"/>
        <v>-0.19999999995343387</v>
      </c>
      <c r="P60" s="1070">
        <f t="shared" si="2"/>
        <v>-1.6337640203782153E-7</v>
      </c>
    </row>
    <row r="61" spans="1:16" ht="15">
      <c r="A61" s="1073" t="s">
        <v>112</v>
      </c>
      <c r="B61" s="90" t="s">
        <v>114</v>
      </c>
      <c r="C61" s="1068">
        <v>17510246</v>
      </c>
      <c r="D61" s="1069"/>
      <c r="E61" s="1068">
        <v>17510246</v>
      </c>
      <c r="F61" s="1068">
        <f t="shared" si="6"/>
        <v>0</v>
      </c>
      <c r="G61" s="1070">
        <f t="shared" si="7"/>
        <v>0</v>
      </c>
      <c r="H61" s="683">
        <v>17510246.399999999</v>
      </c>
      <c r="I61" s="1068">
        <f t="shared" si="3"/>
        <v>0.39999999850988388</v>
      </c>
      <c r="J61" s="1070">
        <f t="shared" si="0"/>
        <v>2.2843768072126677E-8</v>
      </c>
      <c r="K61" s="683">
        <v>17510246.399999999</v>
      </c>
      <c r="L61" s="1068">
        <f t="shared" si="4"/>
        <v>0.39999999850988388</v>
      </c>
      <c r="M61" s="1070">
        <f t="shared" si="8"/>
        <v>2.2843768072126677E-8</v>
      </c>
      <c r="N61" s="1072">
        <v>17510246.399999999</v>
      </c>
      <c r="O61" s="1068">
        <f t="shared" si="5"/>
        <v>0.39999999850988388</v>
      </c>
      <c r="P61" s="1070">
        <f t="shared" si="2"/>
        <v>2.2843768072126677E-8</v>
      </c>
    </row>
    <row r="62" spans="1:16" ht="15">
      <c r="A62" s="1073" t="s">
        <v>115</v>
      </c>
      <c r="B62" s="90" t="s">
        <v>116</v>
      </c>
      <c r="C62" s="1068">
        <v>3000449</v>
      </c>
      <c r="D62" s="1069"/>
      <c r="E62" s="1068">
        <v>3000449</v>
      </c>
      <c r="F62" s="1068">
        <f t="shared" si="6"/>
        <v>0</v>
      </c>
      <c r="G62" s="1070">
        <f t="shared" si="7"/>
        <v>0</v>
      </c>
      <c r="H62" s="683">
        <v>3000448.5</v>
      </c>
      <c r="I62" s="1068">
        <f t="shared" si="3"/>
        <v>-0.5</v>
      </c>
      <c r="J62" s="1070">
        <f t="shared" si="0"/>
        <v>-1.6664172595501541E-7</v>
      </c>
      <c r="K62" s="683">
        <v>3000448.5</v>
      </c>
      <c r="L62" s="1068">
        <f t="shared" si="4"/>
        <v>-0.5</v>
      </c>
      <c r="M62" s="1070">
        <f t="shared" si="8"/>
        <v>-1.6664172595501541E-7</v>
      </c>
      <c r="N62" s="1072">
        <v>3000448.5</v>
      </c>
      <c r="O62" s="1068">
        <f t="shared" si="5"/>
        <v>-0.5</v>
      </c>
      <c r="P62" s="1070">
        <f t="shared" si="2"/>
        <v>-1.6664172595501541E-7</v>
      </c>
    </row>
    <row r="63" spans="1:16" ht="15">
      <c r="A63" s="1073" t="s">
        <v>115</v>
      </c>
      <c r="B63" s="90" t="s">
        <v>117</v>
      </c>
      <c r="C63" s="1068">
        <v>526130</v>
      </c>
      <c r="D63" s="1069"/>
      <c r="E63" s="1068">
        <v>527425</v>
      </c>
      <c r="F63" s="1068">
        <f t="shared" si="6"/>
        <v>1295</v>
      </c>
      <c r="G63" s="1070">
        <f t="shared" si="7"/>
        <v>2.4613688632087126E-3</v>
      </c>
      <c r="H63" s="683">
        <v>527425.19999999995</v>
      </c>
      <c r="I63" s="1068">
        <f t="shared" si="3"/>
        <v>1295.1999999999534</v>
      </c>
      <c r="J63" s="1070">
        <f t="shared" si="0"/>
        <v>2.4617489973959923E-3</v>
      </c>
      <c r="K63" s="683">
        <v>527425.19999999995</v>
      </c>
      <c r="L63" s="1068">
        <f t="shared" si="4"/>
        <v>1295.1999999999534</v>
      </c>
      <c r="M63" s="1070">
        <f t="shared" si="8"/>
        <v>2.4617489973959923E-3</v>
      </c>
      <c r="N63" s="1072">
        <v>527425.19999999995</v>
      </c>
      <c r="O63" s="1068">
        <f t="shared" si="5"/>
        <v>1295.1999999999534</v>
      </c>
      <c r="P63" s="1070">
        <f t="shared" si="2"/>
        <v>2.4617489973959923E-3</v>
      </c>
    </row>
    <row r="64" spans="1:16" ht="15">
      <c r="A64" s="1073" t="s">
        <v>115</v>
      </c>
      <c r="B64" s="90" t="s">
        <v>118</v>
      </c>
      <c r="C64" s="1068">
        <v>3187292</v>
      </c>
      <c r="D64" s="1069"/>
      <c r="E64" s="1068">
        <v>3187292</v>
      </c>
      <c r="F64" s="1068">
        <f t="shared" si="6"/>
        <v>0</v>
      </c>
      <c r="G64" s="1070">
        <f t="shared" si="7"/>
        <v>0</v>
      </c>
      <c r="H64" s="683">
        <v>3187292.4</v>
      </c>
      <c r="I64" s="1068">
        <f t="shared" si="3"/>
        <v>0.39999999990686774</v>
      </c>
      <c r="J64" s="1070">
        <f t="shared" si="0"/>
        <v>1.2549838543405115E-7</v>
      </c>
      <c r="K64" s="683">
        <v>3187292.4</v>
      </c>
      <c r="L64" s="1068">
        <f t="shared" si="4"/>
        <v>0.39999999990686774</v>
      </c>
      <c r="M64" s="1070">
        <f t="shared" si="8"/>
        <v>1.2549838543405115E-7</v>
      </c>
      <c r="N64" s="1072">
        <v>3187292.4</v>
      </c>
      <c r="O64" s="1068">
        <f t="shared" si="5"/>
        <v>0.39999999990686774</v>
      </c>
      <c r="P64" s="1070">
        <f t="shared" si="2"/>
        <v>1.2549838543405115E-7</v>
      </c>
    </row>
    <row r="65" spans="1:16" ht="15">
      <c r="A65" s="1073" t="s">
        <v>115</v>
      </c>
      <c r="B65" s="90" t="s">
        <v>119</v>
      </c>
      <c r="C65" s="1068">
        <v>211380</v>
      </c>
      <c r="D65" s="1069"/>
      <c r="E65" s="1068">
        <v>236424</v>
      </c>
      <c r="F65" s="1068">
        <f t="shared" si="6"/>
        <v>25044</v>
      </c>
      <c r="G65" s="1070">
        <f t="shared" si="7"/>
        <v>0.11847856940107862</v>
      </c>
      <c r="H65" s="683">
        <v>231134.11332812798</v>
      </c>
      <c r="I65" s="1068">
        <f t="shared" si="3"/>
        <v>19754.113328127976</v>
      </c>
      <c r="J65" s="1070">
        <f t="shared" si="0"/>
        <v>9.345308604469664E-2</v>
      </c>
      <c r="K65" s="683">
        <v>225130.4103989666</v>
      </c>
      <c r="L65" s="1068">
        <f t="shared" si="4"/>
        <v>13750.410398966604</v>
      </c>
      <c r="M65" s="1070">
        <f t="shared" si="8"/>
        <v>6.5050668932569791E-2</v>
      </c>
      <c r="N65" s="1072">
        <v>236424.3</v>
      </c>
      <c r="O65" s="1068">
        <f t="shared" si="5"/>
        <v>25044.299999999988</v>
      </c>
      <c r="P65" s="1070">
        <f t="shared" si="2"/>
        <v>0.11847998864604026</v>
      </c>
    </row>
    <row r="66" spans="1:16" ht="15">
      <c r="A66" s="1073" t="s">
        <v>120</v>
      </c>
      <c r="B66" s="90" t="s">
        <v>121</v>
      </c>
      <c r="C66" s="1068">
        <v>693794</v>
      </c>
      <c r="D66" s="1069"/>
      <c r="E66" s="1068">
        <v>756806</v>
      </c>
      <c r="F66" s="1068">
        <f t="shared" si="6"/>
        <v>63012</v>
      </c>
      <c r="G66" s="1070">
        <f t="shared" si="7"/>
        <v>9.0822347843884502E-2</v>
      </c>
      <c r="H66" s="683">
        <v>663806.62742890953</v>
      </c>
      <c r="I66" s="1068">
        <f t="shared" si="3"/>
        <v>-29987.372571090469</v>
      </c>
      <c r="J66" s="1070">
        <f t="shared" si="0"/>
        <v>-4.3222300237664879E-2</v>
      </c>
      <c r="K66" s="683">
        <v>698580.66357230325</v>
      </c>
      <c r="L66" s="1068">
        <f t="shared" si="4"/>
        <v>4786.6635723032523</v>
      </c>
      <c r="M66" s="1070">
        <f t="shared" si="8"/>
        <v>6.8992576648158567E-3</v>
      </c>
      <c r="N66" s="1072">
        <v>773452.21059740416</v>
      </c>
      <c r="O66" s="1068">
        <f t="shared" si="5"/>
        <v>79658.210597404162</v>
      </c>
      <c r="P66" s="1070">
        <f t="shared" si="2"/>
        <v>0.11481536392272658</v>
      </c>
    </row>
    <row r="67" spans="1:16" ht="15">
      <c r="A67" s="1073" t="s">
        <v>120</v>
      </c>
      <c r="B67" s="90" t="s">
        <v>122</v>
      </c>
      <c r="C67" s="1068">
        <v>1788201</v>
      </c>
      <c r="D67" s="1069"/>
      <c r="E67" s="1068">
        <v>1788201</v>
      </c>
      <c r="F67" s="1068">
        <f t="shared" si="6"/>
        <v>0</v>
      </c>
      <c r="G67" s="1070">
        <f t="shared" si="7"/>
        <v>0</v>
      </c>
      <c r="H67" s="683">
        <v>1788201</v>
      </c>
      <c r="I67" s="1068">
        <f t="shared" si="3"/>
        <v>0</v>
      </c>
      <c r="J67" s="1070">
        <f t="shared" si="0"/>
        <v>0</v>
      </c>
      <c r="K67" s="683">
        <v>1788201</v>
      </c>
      <c r="L67" s="1068">
        <f t="shared" si="4"/>
        <v>0</v>
      </c>
      <c r="M67" s="1070">
        <f t="shared" si="8"/>
        <v>0</v>
      </c>
      <c r="N67" s="1072">
        <v>1788201</v>
      </c>
      <c r="O67" s="1068">
        <f t="shared" si="5"/>
        <v>0</v>
      </c>
      <c r="P67" s="1070">
        <f t="shared" si="2"/>
        <v>0</v>
      </c>
    </row>
    <row r="68" spans="1:16" ht="15">
      <c r="A68" s="1073" t="s">
        <v>120</v>
      </c>
      <c r="B68" s="90" t="s">
        <v>123</v>
      </c>
      <c r="C68" s="1068">
        <v>427114</v>
      </c>
      <c r="D68" s="1069"/>
      <c r="E68" s="1068">
        <v>427114</v>
      </c>
      <c r="F68" s="1068">
        <f t="shared" si="6"/>
        <v>0</v>
      </c>
      <c r="G68" s="1070">
        <f t="shared" si="7"/>
        <v>0</v>
      </c>
      <c r="H68" s="683">
        <v>427113.89999999997</v>
      </c>
      <c r="I68" s="1068">
        <f t="shared" si="3"/>
        <v>-0.1000000000349246</v>
      </c>
      <c r="J68" s="1070">
        <f t="shared" si="0"/>
        <v>-2.34129529902847E-7</v>
      </c>
      <c r="K68" s="683">
        <v>427113.89999999997</v>
      </c>
      <c r="L68" s="1068">
        <f t="shared" si="4"/>
        <v>-0.1000000000349246</v>
      </c>
      <c r="M68" s="1070">
        <f t="shared" si="8"/>
        <v>-2.34129529902847E-7</v>
      </c>
      <c r="N68" s="1072">
        <v>427113.89999999997</v>
      </c>
      <c r="O68" s="1068">
        <f t="shared" si="5"/>
        <v>-0.1000000000349246</v>
      </c>
      <c r="P68" s="1070">
        <f t="shared" si="2"/>
        <v>-2.34129529902847E-7</v>
      </c>
    </row>
    <row r="69" spans="1:16" ht="15">
      <c r="A69" s="1073" t="s">
        <v>124</v>
      </c>
      <c r="B69" s="90" t="s">
        <v>125</v>
      </c>
      <c r="C69" s="1068">
        <v>1391292</v>
      </c>
      <c r="D69" s="1069"/>
      <c r="E69" s="1068">
        <v>1391292</v>
      </c>
      <c r="F69" s="1068">
        <f t="shared" si="6"/>
        <v>0</v>
      </c>
      <c r="G69" s="1070">
        <f t="shared" si="7"/>
        <v>0</v>
      </c>
      <c r="H69" s="683">
        <v>1188277.73368971</v>
      </c>
      <c r="I69" s="1068">
        <f t="shared" si="3"/>
        <v>-203014.26631028997</v>
      </c>
      <c r="J69" s="1070">
        <f t="shared" si="0"/>
        <v>-0.14591779893098641</v>
      </c>
      <c r="K69" s="683">
        <v>1127051.475031958</v>
      </c>
      <c r="L69" s="1068">
        <f t="shared" si="4"/>
        <v>-264240.52496804204</v>
      </c>
      <c r="M69" s="1070">
        <f t="shared" si="8"/>
        <v>-0.18992456290127596</v>
      </c>
      <c r="N69" s="1072">
        <v>1270462.1263519444</v>
      </c>
      <c r="O69" s="1068">
        <f t="shared" si="5"/>
        <v>-120829.8736480556</v>
      </c>
      <c r="P69" s="1070">
        <f t="shared" si="2"/>
        <v>-8.6847242453816739E-2</v>
      </c>
    </row>
    <row r="70" spans="1:16" ht="15">
      <c r="A70" s="1073" t="s">
        <v>124</v>
      </c>
      <c r="B70" s="90" t="s">
        <v>126</v>
      </c>
      <c r="C70" s="1068">
        <v>172014</v>
      </c>
      <c r="D70" s="1069"/>
      <c r="E70" s="1068">
        <v>172014</v>
      </c>
      <c r="F70" s="1068">
        <f t="shared" si="6"/>
        <v>0</v>
      </c>
      <c r="G70" s="1070">
        <f t="shared" si="7"/>
        <v>0</v>
      </c>
      <c r="H70" s="683">
        <v>172014.3</v>
      </c>
      <c r="I70" s="1068">
        <f t="shared" si="3"/>
        <v>0.29999999998835847</v>
      </c>
      <c r="J70" s="1070">
        <f t="shared" si="0"/>
        <v>1.744044089366903E-6</v>
      </c>
      <c r="K70" s="683">
        <v>172014.3</v>
      </c>
      <c r="L70" s="1068">
        <f t="shared" si="4"/>
        <v>0.29999999998835847</v>
      </c>
      <c r="M70" s="1070">
        <f t="shared" si="8"/>
        <v>1.744044089366903E-6</v>
      </c>
      <c r="N70" s="1072">
        <v>172014.3</v>
      </c>
      <c r="O70" s="1068">
        <f t="shared" si="5"/>
        <v>0.29999999998835847</v>
      </c>
      <c r="P70" s="1070">
        <f t="shared" si="2"/>
        <v>1.744044089366903E-6</v>
      </c>
    </row>
    <row r="71" spans="1:16" ht="15">
      <c r="A71" s="1073" t="s">
        <v>124</v>
      </c>
      <c r="B71" s="90" t="s">
        <v>127</v>
      </c>
      <c r="C71" s="1068">
        <v>1854386</v>
      </c>
      <c r="D71" s="1069"/>
      <c r="E71" s="1068">
        <v>1850558</v>
      </c>
      <c r="F71" s="1068">
        <f t="shared" si="6"/>
        <v>-3828</v>
      </c>
      <c r="G71" s="1070">
        <f t="shared" si="7"/>
        <v>-2.0642951359641413E-3</v>
      </c>
      <c r="H71" s="683">
        <v>1644018.9122236022</v>
      </c>
      <c r="I71" s="1068">
        <f t="shared" si="3"/>
        <v>-210367.08777639782</v>
      </c>
      <c r="J71" s="1070">
        <f t="shared" si="0"/>
        <v>-0.11344298747747115</v>
      </c>
      <c r="K71" s="683">
        <v>1520736.2448391817</v>
      </c>
      <c r="L71" s="1068">
        <f t="shared" si="4"/>
        <v>-333649.75516081834</v>
      </c>
      <c r="M71" s="1070">
        <f t="shared" si="8"/>
        <v>-0.17992465169647437</v>
      </c>
      <c r="N71" s="1072">
        <v>1611835.0217557601</v>
      </c>
      <c r="O71" s="1068">
        <f t="shared" si="5"/>
        <v>-242550.97824423993</v>
      </c>
      <c r="P71" s="1070">
        <f t="shared" si="2"/>
        <v>-0.13079853830013813</v>
      </c>
    </row>
    <row r="72" spans="1:16" s="1077" customFormat="1" ht="15">
      <c r="A72" s="1073" t="s">
        <v>124</v>
      </c>
      <c r="B72" s="90" t="s">
        <v>128</v>
      </c>
      <c r="C72" s="1068">
        <v>48603</v>
      </c>
      <c r="D72" s="1069"/>
      <c r="E72" s="1068">
        <v>48603</v>
      </c>
      <c r="F72" s="1068">
        <f t="shared" si="6"/>
        <v>0</v>
      </c>
      <c r="G72" s="1070">
        <f t="shared" si="7"/>
        <v>0</v>
      </c>
      <c r="H72" s="683">
        <v>48603</v>
      </c>
      <c r="I72" s="1068">
        <f t="shared" si="3"/>
        <v>0</v>
      </c>
      <c r="J72" s="1070">
        <f t="shared" si="0"/>
        <v>0</v>
      </c>
      <c r="K72" s="683">
        <v>48603</v>
      </c>
      <c r="L72" s="1068">
        <f t="shared" si="4"/>
        <v>0</v>
      </c>
      <c r="M72" s="1070">
        <f t="shared" si="8"/>
        <v>0</v>
      </c>
      <c r="N72" s="1072">
        <v>48603</v>
      </c>
      <c r="O72" s="1068">
        <f t="shared" si="5"/>
        <v>0</v>
      </c>
      <c r="P72" s="1131">
        <f t="shared" si="2"/>
        <v>0</v>
      </c>
    </row>
    <row r="73" spans="1:16" ht="15">
      <c r="A73" s="1073" t="s">
        <v>124</v>
      </c>
      <c r="B73" s="90" t="s">
        <v>129</v>
      </c>
      <c r="C73" s="1068">
        <v>358161</v>
      </c>
      <c r="D73" s="1069"/>
      <c r="E73" s="1068">
        <v>387395</v>
      </c>
      <c r="F73" s="1068">
        <f t="shared" si="6"/>
        <v>29234</v>
      </c>
      <c r="G73" s="1070">
        <f t="shared" si="7"/>
        <v>8.16225105469328E-2</v>
      </c>
      <c r="H73" s="683">
        <v>331059.5496097359</v>
      </c>
      <c r="I73" s="1068">
        <f t="shared" si="3"/>
        <v>-27101.450390264101</v>
      </c>
      <c r="J73" s="1070">
        <f t="shared" si="0"/>
        <v>-7.5668345772610918E-2</v>
      </c>
      <c r="K73" s="683">
        <v>321182.02520760754</v>
      </c>
      <c r="L73" s="1068">
        <f t="shared" si="4"/>
        <v>-36978.974792392459</v>
      </c>
      <c r="M73" s="1070">
        <f t="shared" si="8"/>
        <v>-0.1032467934599034</v>
      </c>
      <c r="N73" s="1072">
        <v>353068.90835706651</v>
      </c>
      <c r="O73" s="1068">
        <f t="shared" si="5"/>
        <v>-5092.0916429334902</v>
      </c>
      <c r="P73" s="1131">
        <f t="shared" si="2"/>
        <v>-1.4217325847687185E-2</v>
      </c>
    </row>
    <row r="74" spans="1:16" ht="15.75" thickBot="1">
      <c r="A74" s="1080" t="s">
        <v>124</v>
      </c>
      <c r="B74" s="1132" t="s">
        <v>130</v>
      </c>
      <c r="C74" s="1082">
        <v>1194300</v>
      </c>
      <c r="D74" s="1133"/>
      <c r="E74" s="1082">
        <v>1206705</v>
      </c>
      <c r="F74" s="1082">
        <f t="shared" si="6"/>
        <v>12405</v>
      </c>
      <c r="G74" s="1083">
        <f t="shared" si="7"/>
        <v>1.0386837478020598E-2</v>
      </c>
      <c r="H74" s="890">
        <v>1099295.8987833429</v>
      </c>
      <c r="I74" s="1082">
        <f t="shared" si="3"/>
        <v>-95004.101216657087</v>
      </c>
      <c r="J74" s="1083">
        <f t="shared" si="0"/>
        <v>-7.9547937048193157E-2</v>
      </c>
      <c r="K74" s="890">
        <v>1070850.356671449</v>
      </c>
      <c r="L74" s="1082">
        <f t="shared" si="4"/>
        <v>-123449.64332855097</v>
      </c>
      <c r="M74" s="1083">
        <f t="shared" si="8"/>
        <v>-0.10336568980034411</v>
      </c>
      <c r="N74" s="1134">
        <v>1165850.7717126587</v>
      </c>
      <c r="O74" s="1082">
        <f t="shared" si="5"/>
        <v>-28449.228287341306</v>
      </c>
      <c r="P74" s="1135">
        <f t="shared" si="2"/>
        <v>-2.3820839225773511E-2</v>
      </c>
    </row>
    <row r="75" spans="1:16" ht="15" thickTop="1">
      <c r="A75" s="1085"/>
      <c r="B75" s="896" t="s">
        <v>131</v>
      </c>
      <c r="C75" s="1086">
        <f>SUM(C35:C74)</f>
        <v>133266168</v>
      </c>
      <c r="D75" s="1087"/>
      <c r="E75" s="1086">
        <f>SUM(E35:E74)</f>
        <v>133266168</v>
      </c>
      <c r="F75" s="1086">
        <f>SUM(F35:F72)</f>
        <v>-41639</v>
      </c>
      <c r="G75" s="1088"/>
      <c r="H75" s="1086">
        <f>SUM(H35:H74)</f>
        <v>133266168</v>
      </c>
      <c r="I75" s="1089">
        <f>SUM(I35:I74)</f>
        <v>-2.0256265997886658E-8</v>
      </c>
      <c r="J75" s="1077"/>
      <c r="K75" s="1136">
        <f>SUM(K35:K74)</f>
        <v>133266167.99999999</v>
      </c>
      <c r="L75" s="1089">
        <f>SUM(L35:L74)</f>
        <v>-4.0163286030292511E-9</v>
      </c>
      <c r="M75" s="1077"/>
      <c r="N75" s="1090">
        <f>SUM(N35:N72)</f>
        <v>131747248.31993018</v>
      </c>
      <c r="O75" s="1136">
        <f>SUM(O35:O72)</f>
        <v>33541.319930202619</v>
      </c>
      <c r="P75" s="1137"/>
    </row>
    <row r="76" spans="1:16">
      <c r="A76" s="1091"/>
      <c r="B76" s="910" t="s">
        <v>334</v>
      </c>
      <c r="C76" s="1092"/>
      <c r="D76" s="1093"/>
      <c r="E76" s="1092"/>
      <c r="F76" s="675">
        <f>COUNTIF(F35:F72,0)</f>
        <v>21</v>
      </c>
      <c r="I76" s="675">
        <f>COUNTIF(I35:I72,0)</f>
        <v>3</v>
      </c>
      <c r="L76" s="675">
        <f>COUNTIF(L35:L72,0)</f>
        <v>3</v>
      </c>
      <c r="N76" s="1092"/>
      <c r="O76" s="675">
        <f>COUNTIF(O35:O72,0)</f>
        <v>3</v>
      </c>
    </row>
    <row r="77" spans="1:16">
      <c r="A77" s="1091"/>
      <c r="B77" s="910" t="s">
        <v>335</v>
      </c>
      <c r="C77" s="1092"/>
      <c r="D77" s="1093"/>
      <c r="E77" s="1092"/>
      <c r="F77" s="675">
        <f>COUNTIF(F35:F72,"&lt;0")</f>
        <v>6</v>
      </c>
      <c r="I77" s="675">
        <f>COUNTIF(I35:I72,"&lt;0")</f>
        <v>18</v>
      </c>
      <c r="L77" s="675">
        <f>COUNTIF(L35:L72,"&lt;0")</f>
        <v>17</v>
      </c>
      <c r="N77" s="1092"/>
      <c r="O77" s="675">
        <f>COUNTIF(O35:O72,"&lt;0")</f>
        <v>14</v>
      </c>
    </row>
    <row r="78" spans="1:16">
      <c r="A78" s="1091"/>
      <c r="B78" s="910" t="s">
        <v>336</v>
      </c>
      <c r="C78" s="1092"/>
      <c r="D78" s="1093"/>
      <c r="E78" s="1092"/>
      <c r="F78" s="675">
        <f>COUNTIF(F35:F72,"&gt;0")</f>
        <v>11</v>
      </c>
      <c r="I78" s="675">
        <f>COUNTIF(I35:I72,"&gt;0")</f>
        <v>17</v>
      </c>
      <c r="L78" s="675">
        <f>COUNTIF(L35:L72,"&gt;0")</f>
        <v>18</v>
      </c>
      <c r="N78" s="1092"/>
      <c r="O78" s="675">
        <f>COUNTIF(O35:O72,"&gt;0")</f>
        <v>21</v>
      </c>
    </row>
    <row r="79" spans="1:16">
      <c r="A79" s="1091"/>
      <c r="B79" s="910"/>
      <c r="C79" s="1092"/>
      <c r="D79" s="1093"/>
      <c r="E79" s="1092" t="s">
        <v>337</v>
      </c>
      <c r="F79" s="675"/>
      <c r="H79" s="1092" t="s">
        <v>337</v>
      </c>
      <c r="I79" s="675"/>
      <c r="K79" s="1092" t="s">
        <v>337</v>
      </c>
      <c r="L79" s="675"/>
      <c r="N79" s="1092" t="s">
        <v>337</v>
      </c>
      <c r="O79" s="675"/>
    </row>
    <row r="80" spans="1:16" ht="15">
      <c r="A80" s="608" t="s">
        <v>82</v>
      </c>
      <c r="B80" s="910"/>
      <c r="C80" s="914">
        <f t="shared" ref="C80:C88" si="9">SUMIF($A$35:$A$72,$A80,C$35:C$74)</f>
        <v>2393545</v>
      </c>
      <c r="D80" s="1093"/>
      <c r="E80" s="914">
        <f t="shared" ref="E80:F88" si="10">SUMIF($A$35:$A$72,$A80,E$35:E$74)</f>
        <v>2407960</v>
      </c>
      <c r="F80" s="914">
        <f t="shared" si="10"/>
        <v>14415</v>
      </c>
      <c r="G80" s="707">
        <f>F80/$C80</f>
        <v>6.0224478754316293E-3</v>
      </c>
      <c r="H80" s="914">
        <f t="shared" ref="H80:I88" si="11">SUMIF($A$35:$A$72,$A80,H$35:H$74)</f>
        <v>2302879.006012334</v>
      </c>
      <c r="I80" s="914">
        <f t="shared" si="11"/>
        <v>-90665.993987665919</v>
      </c>
      <c r="J80" s="707">
        <f>I80/$C80</f>
        <v>-3.7879377236553283E-2</v>
      </c>
      <c r="K80" s="914">
        <f t="shared" ref="K80:K88" si="12">SUMIF($A$35:$A$72,$A80,K$35:K$74)</f>
        <v>2274345.4413366504</v>
      </c>
      <c r="L80" s="689">
        <f t="shared" ref="L80:L89" si="13">SUMIF($A$35:$A$72,$A80,L$35:L$72)</f>
        <v>-119199.55866334919</v>
      </c>
      <c r="M80" s="707">
        <f>L80/$C80</f>
        <v>-4.9800425169925444E-2</v>
      </c>
      <c r="N80" s="914">
        <f t="shared" ref="N80:O88" si="14">SUMIF($A$35:$A$72,$A80,N$35:N$74)</f>
        <v>2390535.8185383161</v>
      </c>
      <c r="O80" s="914">
        <f t="shared" si="14"/>
        <v>-3009.1814616837073</v>
      </c>
      <c r="P80" s="707">
        <f>O80/$C80</f>
        <v>-1.2572069719531938E-3</v>
      </c>
    </row>
    <row r="81" spans="1:16" ht="15">
      <c r="A81" s="1094" t="s">
        <v>88</v>
      </c>
      <c r="B81" s="910"/>
      <c r="C81" s="914">
        <f t="shared" si="9"/>
        <v>2759211</v>
      </c>
      <c r="D81" s="1093"/>
      <c r="E81" s="914">
        <f t="shared" si="10"/>
        <v>2759211</v>
      </c>
      <c r="F81" s="914">
        <f t="shared" si="10"/>
        <v>0</v>
      </c>
      <c r="G81" s="707">
        <f t="shared" ref="G81:G89" si="15">F81/$C81</f>
        <v>0</v>
      </c>
      <c r="H81" s="914">
        <f t="shared" si="11"/>
        <v>2759210.6999999997</v>
      </c>
      <c r="I81" s="914">
        <f t="shared" si="11"/>
        <v>-0.30000000027939677</v>
      </c>
      <c r="J81" s="707">
        <f t="shared" ref="J81:J89" si="16">I81/$C81</f>
        <v>-1.087267339393025E-7</v>
      </c>
      <c r="K81" s="914">
        <f t="shared" si="12"/>
        <v>2759210.6999999997</v>
      </c>
      <c r="L81" s="689">
        <f t="shared" si="13"/>
        <v>-0.30000000027939677</v>
      </c>
      <c r="M81" s="707">
        <f t="shared" ref="M81:M89" si="17">L81/$C81</f>
        <v>-1.087267339393025E-7</v>
      </c>
      <c r="N81" s="914">
        <f t="shared" si="14"/>
        <v>2759210.6999999997</v>
      </c>
      <c r="O81" s="914">
        <f t="shared" si="14"/>
        <v>-0.30000000027939677</v>
      </c>
      <c r="P81" s="707">
        <f t="shared" ref="P81:P89" si="18">O81/$C81</f>
        <v>-1.087267339393025E-7</v>
      </c>
    </row>
    <row r="82" spans="1:16" ht="15">
      <c r="A82" s="1094" t="s">
        <v>90</v>
      </c>
      <c r="B82" s="910"/>
      <c r="C82" s="914">
        <f t="shared" si="9"/>
        <v>1083494</v>
      </c>
      <c r="D82" s="1093"/>
      <c r="E82" s="914">
        <f t="shared" si="10"/>
        <v>1085230</v>
      </c>
      <c r="F82" s="914">
        <f t="shared" si="10"/>
        <v>1736</v>
      </c>
      <c r="G82" s="707">
        <f t="shared" si="15"/>
        <v>1.6022239163299473E-3</v>
      </c>
      <c r="H82" s="914">
        <f t="shared" si="11"/>
        <v>1029605.5133403199</v>
      </c>
      <c r="I82" s="914">
        <f t="shared" si="11"/>
        <v>-53888.486659680144</v>
      </c>
      <c r="J82" s="707">
        <f t="shared" si="16"/>
        <v>-4.9735842247100717E-2</v>
      </c>
      <c r="K82" s="914">
        <f t="shared" si="12"/>
        <v>998376.42887443048</v>
      </c>
      <c r="L82" s="689">
        <f t="shared" si="13"/>
        <v>-85117.571125569521</v>
      </c>
      <c r="M82" s="707">
        <f t="shared" si="17"/>
        <v>-7.8558414837156018E-2</v>
      </c>
      <c r="N82" s="914">
        <f t="shared" si="14"/>
        <v>1021327.0925876829</v>
      </c>
      <c r="O82" s="914">
        <f t="shared" si="14"/>
        <v>-62166.907412317116</v>
      </c>
      <c r="P82" s="707">
        <f t="shared" si="18"/>
        <v>-5.7376328260532239E-2</v>
      </c>
    </row>
    <row r="83" spans="1:16" ht="15">
      <c r="A83" s="1094" t="s">
        <v>92</v>
      </c>
      <c r="B83" s="910"/>
      <c r="C83" s="914">
        <f t="shared" si="9"/>
        <v>29989399</v>
      </c>
      <c r="D83" s="1093"/>
      <c r="E83" s="914">
        <f t="shared" si="10"/>
        <v>30354378</v>
      </c>
      <c r="F83" s="914">
        <f t="shared" si="10"/>
        <v>364979</v>
      </c>
      <c r="G83" s="707">
        <f t="shared" si="15"/>
        <v>1.2170267233431387E-2</v>
      </c>
      <c r="H83" s="914">
        <f t="shared" si="11"/>
        <v>30120915.351755798</v>
      </c>
      <c r="I83" s="914">
        <f t="shared" si="11"/>
        <v>131516.35175579746</v>
      </c>
      <c r="J83" s="707">
        <f t="shared" si="16"/>
        <v>4.3854280559539544E-3</v>
      </c>
      <c r="K83" s="914">
        <f t="shared" si="12"/>
        <v>30643144.267366067</v>
      </c>
      <c r="L83" s="689">
        <f t="shared" si="13"/>
        <v>653745.26736606518</v>
      </c>
      <c r="M83" s="707">
        <f t="shared" si="17"/>
        <v>2.1799212027092146E-2</v>
      </c>
      <c r="N83" s="914">
        <f t="shared" si="14"/>
        <v>30483257.5740286</v>
      </c>
      <c r="O83" s="914">
        <f t="shared" si="14"/>
        <v>493858.57402860012</v>
      </c>
      <c r="P83" s="707">
        <f t="shared" si="18"/>
        <v>1.6467771629188038E-2</v>
      </c>
    </row>
    <row r="84" spans="1:16" ht="15">
      <c r="A84" s="1094" t="s">
        <v>99</v>
      </c>
      <c r="B84" s="910"/>
      <c r="C84" s="914">
        <f t="shared" si="9"/>
        <v>2955096</v>
      </c>
      <c r="D84" s="1093"/>
      <c r="E84" s="914">
        <f t="shared" si="10"/>
        <v>2986138</v>
      </c>
      <c r="F84" s="914">
        <f t="shared" si="10"/>
        <v>31042</v>
      </c>
      <c r="G84" s="707">
        <f t="shared" si="15"/>
        <v>1.0504565672316567E-2</v>
      </c>
      <c r="H84" s="914">
        <f t="shared" si="11"/>
        <v>3188942.5250310525</v>
      </c>
      <c r="I84" s="914">
        <f t="shared" si="11"/>
        <v>233846.52503105244</v>
      </c>
      <c r="J84" s="707">
        <f t="shared" si="16"/>
        <v>7.9133309046830441E-2</v>
      </c>
      <c r="K84" s="914">
        <f t="shared" si="12"/>
        <v>3232132.8289853828</v>
      </c>
      <c r="L84" s="689">
        <f t="shared" si="13"/>
        <v>277036.82898538274</v>
      </c>
      <c r="M84" s="707">
        <f t="shared" si="17"/>
        <v>9.3748842333847268E-2</v>
      </c>
      <c r="N84" s="914">
        <f t="shared" si="14"/>
        <v>3229371.7141590426</v>
      </c>
      <c r="O84" s="914">
        <f t="shared" si="14"/>
        <v>274275.71415904287</v>
      </c>
      <c r="P84" s="707">
        <f t="shared" si="18"/>
        <v>9.2814485268513394E-2</v>
      </c>
    </row>
    <row r="85" spans="1:16" ht="15">
      <c r="A85" s="1094" t="s">
        <v>104</v>
      </c>
      <c r="B85" s="910"/>
      <c r="C85" s="914">
        <f t="shared" si="9"/>
        <v>60497894</v>
      </c>
      <c r="D85" s="1093"/>
      <c r="E85" s="914">
        <f t="shared" si="10"/>
        <v>59958560</v>
      </c>
      <c r="F85" s="914">
        <f t="shared" si="10"/>
        <v>-539334</v>
      </c>
      <c r="G85" s="707">
        <f t="shared" si="15"/>
        <v>-8.9149218979424315E-3</v>
      </c>
      <c r="H85" s="914">
        <f t="shared" si="11"/>
        <v>60821510.568797052</v>
      </c>
      <c r="I85" s="914">
        <f t="shared" si="11"/>
        <v>323616.56879704935</v>
      </c>
      <c r="J85" s="707">
        <f t="shared" si="16"/>
        <v>5.3492204009126226E-3</v>
      </c>
      <c r="K85" s="914">
        <f t="shared" si="12"/>
        <v>60509915.657716013</v>
      </c>
      <c r="L85" s="689">
        <f t="shared" si="13"/>
        <v>12021.657716002548</v>
      </c>
      <c r="M85" s="707">
        <f t="shared" si="17"/>
        <v>1.9871200336333276E-4</v>
      </c>
      <c r="N85" s="914">
        <f t="shared" si="14"/>
        <v>60085860.261911452</v>
      </c>
      <c r="O85" s="914">
        <f t="shared" si="14"/>
        <v>-412033.73808854632</v>
      </c>
      <c r="P85" s="707">
        <f t="shared" si="18"/>
        <v>-6.8107120900530241E-3</v>
      </c>
    </row>
    <row r="86" spans="1:16" ht="15">
      <c r="A86" s="1094" t="s">
        <v>112</v>
      </c>
      <c r="B86" s="910"/>
      <c r="C86" s="914">
        <f t="shared" si="9"/>
        <v>18734413</v>
      </c>
      <c r="D86" s="1093"/>
      <c r="E86" s="914">
        <f t="shared" si="10"/>
        <v>18734413</v>
      </c>
      <c r="F86" s="914">
        <f t="shared" si="10"/>
        <v>0</v>
      </c>
      <c r="G86" s="707">
        <f t="shared" si="15"/>
        <v>0</v>
      </c>
      <c r="H86" s="914">
        <f t="shared" si="11"/>
        <v>18734413.199999999</v>
      </c>
      <c r="I86" s="914">
        <f t="shared" si="11"/>
        <v>0.19999999855645001</v>
      </c>
      <c r="J86" s="707">
        <f t="shared" si="16"/>
        <v>1.0675541238278991E-8</v>
      </c>
      <c r="K86" s="914">
        <f t="shared" si="12"/>
        <v>18734413.199999999</v>
      </c>
      <c r="L86" s="689">
        <f t="shared" si="13"/>
        <v>0.19999999855645001</v>
      </c>
      <c r="M86" s="707">
        <f t="shared" si="17"/>
        <v>1.0675541238278991E-8</v>
      </c>
      <c r="N86" s="914">
        <f t="shared" si="14"/>
        <v>18734413.199999999</v>
      </c>
      <c r="O86" s="914">
        <f t="shared" si="14"/>
        <v>0.19999999855645001</v>
      </c>
      <c r="P86" s="707">
        <f t="shared" si="18"/>
        <v>1.0675541238278991E-8</v>
      </c>
    </row>
    <row r="87" spans="1:16" ht="15">
      <c r="A87" s="1094" t="s">
        <v>115</v>
      </c>
      <c r="B87" s="910"/>
      <c r="C87" s="914">
        <f t="shared" si="9"/>
        <v>6925251</v>
      </c>
      <c r="D87" s="1093"/>
      <c r="E87" s="914">
        <f t="shared" si="10"/>
        <v>6951590</v>
      </c>
      <c r="F87" s="914">
        <f t="shared" si="10"/>
        <v>26339</v>
      </c>
      <c r="G87" s="707">
        <f t="shared" si="15"/>
        <v>3.8033278504995705E-3</v>
      </c>
      <c r="H87" s="914">
        <f t="shared" si="11"/>
        <v>6946300.2133281277</v>
      </c>
      <c r="I87" s="914">
        <f t="shared" si="11"/>
        <v>21049.213328127837</v>
      </c>
      <c r="J87" s="707">
        <f t="shared" si="16"/>
        <v>3.0394874248063841E-3</v>
      </c>
      <c r="K87" s="914">
        <f t="shared" si="12"/>
        <v>6940296.5103989663</v>
      </c>
      <c r="L87" s="689">
        <f t="shared" si="13"/>
        <v>15045.510398966464</v>
      </c>
      <c r="M87" s="707">
        <f t="shared" si="17"/>
        <v>2.1725581352887375E-3</v>
      </c>
      <c r="N87" s="914">
        <f t="shared" si="14"/>
        <v>6951590.3999999994</v>
      </c>
      <c r="O87" s="914">
        <f t="shared" si="14"/>
        <v>26339.399999999849</v>
      </c>
      <c r="P87" s="707">
        <f t="shared" si="18"/>
        <v>3.8033856101388742E-3</v>
      </c>
    </row>
    <row r="88" spans="1:16" ht="15">
      <c r="A88" s="1094" t="s">
        <v>120</v>
      </c>
      <c r="B88" s="910"/>
      <c r="C88" s="914">
        <f t="shared" si="9"/>
        <v>2909109</v>
      </c>
      <c r="D88" s="1093"/>
      <c r="E88" s="914">
        <f t="shared" si="10"/>
        <v>2972121</v>
      </c>
      <c r="F88" s="914">
        <f t="shared" si="10"/>
        <v>63012</v>
      </c>
      <c r="G88" s="707">
        <f t="shared" si="15"/>
        <v>2.1660240300380631E-2</v>
      </c>
      <c r="H88" s="914">
        <f t="shared" si="11"/>
        <v>2879121.5274289097</v>
      </c>
      <c r="I88" s="914">
        <f t="shared" si="11"/>
        <v>-29987.472571090504</v>
      </c>
      <c r="J88" s="707">
        <f t="shared" si="16"/>
        <v>-1.0308129592631457E-2</v>
      </c>
      <c r="K88" s="914">
        <f t="shared" si="12"/>
        <v>2913895.5635723029</v>
      </c>
      <c r="L88" s="689">
        <f t="shared" si="13"/>
        <v>4786.5635723032174</v>
      </c>
      <c r="M88" s="707">
        <f t="shared" si="17"/>
        <v>1.6453709958283507E-3</v>
      </c>
      <c r="N88" s="914">
        <f t="shared" si="14"/>
        <v>2988767.1105974042</v>
      </c>
      <c r="O88" s="914">
        <f t="shared" si="14"/>
        <v>79658.110597404127</v>
      </c>
      <c r="P88" s="707">
        <f t="shared" si="18"/>
        <v>2.7382305234146993E-2</v>
      </c>
    </row>
    <row r="89" spans="1:16" ht="15">
      <c r="A89" s="1094" t="s">
        <v>124</v>
      </c>
      <c r="B89" s="910"/>
      <c r="C89" s="914">
        <f>SUMIF($A$35:$A$74,$A89,C$35:C$74)</f>
        <v>5018756</v>
      </c>
      <c r="D89" s="1093"/>
      <c r="E89" s="914">
        <f>SUMIF($A$35:$A$74,$A89,E$35:E$74)</f>
        <v>5056567</v>
      </c>
      <c r="F89" s="914">
        <f>SUMIF($A$35:$A$74,$A89,F$35:F$74)</f>
        <v>37811</v>
      </c>
      <c r="G89" s="707">
        <f t="shared" si="15"/>
        <v>7.5339386891891142E-3</v>
      </c>
      <c r="H89" s="914">
        <f>SUMIF($A$35:$A$74,$A89,H$35:H$74)</f>
        <v>4483269.3943063915</v>
      </c>
      <c r="I89" s="914">
        <f>SUMIF($A$35:$A$74,$A89,I$35:I$74)</f>
        <v>-535486.60569360899</v>
      </c>
      <c r="J89" s="707">
        <f t="shared" si="16"/>
        <v>-0.10669707905576781</v>
      </c>
      <c r="K89" s="914">
        <f>SUMIF($A$35:$A$74,$A89,K$35:K$74)</f>
        <v>4260437.4017501967</v>
      </c>
      <c r="L89" s="689">
        <f t="shared" si="13"/>
        <v>-597889.98012886033</v>
      </c>
      <c r="M89" s="707">
        <f t="shared" si="17"/>
        <v>-0.11913111140068582</v>
      </c>
      <c r="N89" s="914">
        <f>SUMIF($A$35:$A$74,$A89,N$35:N$74)</f>
        <v>4621834.1281774295</v>
      </c>
      <c r="O89" s="914">
        <f>SUMIF($A$35:$A$74,$A89,O$35:O$74)</f>
        <v>-396921.87182257033</v>
      </c>
      <c r="P89" s="707">
        <f t="shared" si="18"/>
        <v>-7.9087700582090525E-2</v>
      </c>
    </row>
    <row r="90" spans="1:16">
      <c r="A90" s="1091"/>
      <c r="B90" s="910"/>
      <c r="C90" s="1092"/>
      <c r="D90" s="1093"/>
      <c r="E90" s="1092"/>
      <c r="F90" s="675"/>
      <c r="N90" s="1092"/>
      <c r="O90" s="675"/>
    </row>
    <row r="91" spans="1:16">
      <c r="E91" s="1096" t="s">
        <v>338</v>
      </c>
      <c r="H91" s="1096"/>
    </row>
    <row r="92" spans="1:16">
      <c r="A92" s="1068" t="s">
        <v>342</v>
      </c>
      <c r="E92" s="1068" t="s">
        <v>228</v>
      </c>
      <c r="H92" s="1096" t="s">
        <v>232</v>
      </c>
      <c r="K92" s="1068" t="s">
        <v>228</v>
      </c>
      <c r="N92" s="1068" t="s">
        <v>228</v>
      </c>
    </row>
    <row r="93" spans="1:16">
      <c r="A93" s="967" t="s">
        <v>347</v>
      </c>
      <c r="E93" s="1068" t="s">
        <v>232</v>
      </c>
      <c r="H93" s="1096" t="s">
        <v>351</v>
      </c>
      <c r="K93" s="1096" t="s">
        <v>351</v>
      </c>
      <c r="N93" s="1096" t="s">
        <v>351</v>
      </c>
    </row>
    <row r="94" spans="1:16">
      <c r="A94" s="967" t="s">
        <v>353</v>
      </c>
      <c r="E94" s="1068" t="s">
        <v>232</v>
      </c>
      <c r="H94" s="1096" t="s">
        <v>355</v>
      </c>
      <c r="K94" s="1096" t="s">
        <v>355</v>
      </c>
      <c r="N94" s="966" t="s">
        <v>232</v>
      </c>
    </row>
    <row r="95" spans="1:16">
      <c r="A95" s="967" t="s">
        <v>356</v>
      </c>
      <c r="E95" s="1068" t="s">
        <v>232</v>
      </c>
      <c r="H95" s="1068" t="s">
        <v>232</v>
      </c>
      <c r="K95" s="966" t="s">
        <v>394</v>
      </c>
      <c r="N95" s="966" t="s">
        <v>394</v>
      </c>
    </row>
    <row r="97" spans="1:13" s="1105" customFormat="1" ht="17.100000000000001" customHeight="1">
      <c r="A97" s="1097" t="s">
        <v>252</v>
      </c>
      <c r="B97" s="1098"/>
      <c r="C97" s="1099"/>
      <c r="D97" s="1100"/>
      <c r="E97" s="1101"/>
      <c r="F97" s="1101"/>
      <c r="G97" s="1101"/>
      <c r="H97" s="1103"/>
      <c r="I97" s="1103"/>
      <c r="J97" s="1103"/>
      <c r="K97" s="1104"/>
      <c r="L97" s="1104"/>
      <c r="M97" s="1104"/>
    </row>
    <row r="98" spans="1:13" ht="102" customHeight="1">
      <c r="A98" s="1106" t="s">
        <v>362</v>
      </c>
      <c r="B98" s="1107"/>
      <c r="C98" s="1108"/>
      <c r="D98" s="1109"/>
      <c r="E98" s="1110" t="s">
        <v>365</v>
      </c>
      <c r="F98" s="1110"/>
      <c r="G98" s="1108"/>
      <c r="H98" s="1113"/>
      <c r="I98" s="1113"/>
      <c r="J98" s="1113"/>
      <c r="K98" s="1116"/>
      <c r="L98" s="1116"/>
      <c r="M98" s="1116"/>
    </row>
    <row r="99" spans="1:13" ht="81" customHeight="1">
      <c r="A99" s="1106" t="s">
        <v>362</v>
      </c>
      <c r="B99" s="1107"/>
      <c r="C99" s="1108"/>
      <c r="D99" s="1109"/>
      <c r="E99" s="1110" t="s">
        <v>373</v>
      </c>
      <c r="F99" s="1110"/>
      <c r="G99" s="1108"/>
      <c r="H99" s="1118"/>
      <c r="I99" s="1118"/>
      <c r="J99" s="1118"/>
      <c r="K99" s="1116"/>
      <c r="L99" s="1116"/>
      <c r="M99" s="1116"/>
    </row>
    <row r="100" spans="1:13" ht="76.5" customHeight="1">
      <c r="A100" s="1120" t="s">
        <v>377</v>
      </c>
      <c r="B100" s="1121"/>
      <c r="C100" s="1122"/>
      <c r="D100" s="1123"/>
      <c r="E100" s="1112" t="s">
        <v>380</v>
      </c>
      <c r="F100" s="1112"/>
      <c r="G100" s="1122"/>
      <c r="H100" s="1126"/>
      <c r="I100" s="1126"/>
      <c r="J100" s="1126"/>
      <c r="K100" s="1116"/>
      <c r="L100" s="1116"/>
      <c r="M100" s="1116"/>
    </row>
    <row r="101" spans="1:13" ht="92.45" customHeight="1">
      <c r="A101" s="1106" t="s">
        <v>377</v>
      </c>
      <c r="B101" s="1107"/>
      <c r="C101" s="1108"/>
      <c r="D101" s="1109"/>
      <c r="E101" s="1110" t="s">
        <v>387</v>
      </c>
      <c r="F101" s="1110"/>
      <c r="G101" s="1108"/>
      <c r="H101" s="1113"/>
      <c r="I101" s="1113"/>
      <c r="J101" s="1113"/>
      <c r="K101" s="1116"/>
      <c r="L101" s="1116"/>
      <c r="M101" s="1116"/>
    </row>
    <row r="102" spans="1:13" ht="132.94999999999999" customHeight="1"/>
    <row r="103" spans="1:13" ht="132.94999999999999" customHeight="1"/>
    <row r="104" spans="1:13">
      <c r="B104" s="1095" t="s">
        <v>389</v>
      </c>
    </row>
    <row r="105" spans="1:13">
      <c r="B105" s="1095" t="s">
        <v>390</v>
      </c>
    </row>
    <row r="106" spans="1:13">
      <c r="B106" s="1095" t="s">
        <v>391</v>
      </c>
    </row>
  </sheetData>
  <mergeCells count="2">
    <mergeCell ref="A12:A17"/>
    <mergeCell ref="B12:B17"/>
  </mergeCells>
  <conditionalFormatting sqref="F35:F74">
    <cfRule type="cellIs" dxfId="96" priority="15" operator="greaterThan">
      <formula>500000</formula>
    </cfRule>
    <cfRule type="cellIs" dxfId="95" priority="16" operator="greaterThan">
      <formula>1000000</formula>
    </cfRule>
    <cfRule type="cellIs" dxfId="94" priority="17" operator="lessThan">
      <formula>-1000000</formula>
    </cfRule>
    <cfRule type="cellIs" dxfId="93" priority="18" operator="lessThan">
      <formula>-500000</formula>
    </cfRule>
    <cfRule type="cellIs" dxfId="92" priority="19" operator="greaterThan">
      <formula>500000</formula>
    </cfRule>
  </conditionalFormatting>
  <conditionalFormatting sqref="G35:G74">
    <cfRule type="cellIs" dxfId="91" priority="29" operator="lessThan">
      <formula>-0.05</formula>
    </cfRule>
    <cfRule type="cellIs" dxfId="90" priority="30" operator="greaterThan">
      <formula>0.05</formula>
    </cfRule>
  </conditionalFormatting>
  <conditionalFormatting sqref="I35:I74">
    <cfRule type="cellIs" dxfId="89" priority="10" operator="greaterThan">
      <formula>500000</formula>
    </cfRule>
    <cfRule type="cellIs" dxfId="88" priority="11" operator="greaterThan">
      <formula>1000000</formula>
    </cfRule>
    <cfRule type="cellIs" dxfId="87" priority="12" operator="lessThan">
      <formula>-1000000</formula>
    </cfRule>
    <cfRule type="cellIs" dxfId="86" priority="13" operator="lessThan">
      <formula>-500000</formula>
    </cfRule>
    <cfRule type="cellIs" dxfId="85" priority="14" operator="greaterThan">
      <formula>500000</formula>
    </cfRule>
  </conditionalFormatting>
  <conditionalFormatting sqref="J35:J74">
    <cfRule type="cellIs" dxfId="84" priority="27" operator="lessThan">
      <formula>-0.05</formula>
    </cfRule>
    <cfRule type="cellIs" dxfId="83" priority="28" operator="greaterThan">
      <formula>0.05</formula>
    </cfRule>
  </conditionalFormatting>
  <conditionalFormatting sqref="L35:L74">
    <cfRule type="cellIs" dxfId="82" priority="3" operator="greaterThan">
      <formula>500000</formula>
    </cfRule>
    <cfRule type="cellIs" dxfId="81" priority="4" operator="greaterThan">
      <formula>1000000</formula>
    </cfRule>
    <cfRule type="cellIs" dxfId="80" priority="5" operator="lessThan">
      <formula>-1000000</formula>
    </cfRule>
    <cfRule type="cellIs" dxfId="79" priority="6" operator="lessThan">
      <formula>-500000</formula>
    </cfRule>
    <cfRule type="cellIs" dxfId="78" priority="7" operator="greaterThan">
      <formula>500000</formula>
    </cfRule>
  </conditionalFormatting>
  <conditionalFormatting sqref="L80:L89">
    <cfRule type="cellIs" dxfId="77" priority="1" operator="lessThan">
      <formula>-200000</formula>
    </cfRule>
    <cfRule type="cellIs" dxfId="76" priority="2" operator="greaterThan">
      <formula>200000</formula>
    </cfRule>
  </conditionalFormatting>
  <conditionalFormatting sqref="M35:M74">
    <cfRule type="cellIs" dxfId="75" priority="8" operator="lessThan">
      <formula>-0.05</formula>
    </cfRule>
    <cfRule type="cellIs" dxfId="74" priority="9" operator="greaterThan">
      <formula>0.05</formula>
    </cfRule>
  </conditionalFormatting>
  <conditionalFormatting sqref="O35:O74">
    <cfRule type="cellIs" dxfId="73" priority="20" operator="greaterThan">
      <formula>500000</formula>
    </cfRule>
    <cfRule type="cellIs" dxfId="72" priority="21" operator="greaterThan">
      <formula>1000000</formula>
    </cfRule>
    <cfRule type="cellIs" dxfId="71" priority="22" operator="lessThan">
      <formula>-1000000</formula>
    </cfRule>
    <cfRule type="cellIs" dxfId="70" priority="23" operator="lessThan">
      <formula>-500000</formula>
    </cfRule>
    <cfRule type="cellIs" dxfId="69" priority="24" operator="greaterThan">
      <formula>500000</formula>
    </cfRule>
  </conditionalFormatting>
  <conditionalFormatting sqref="P35:P74">
    <cfRule type="cellIs" dxfId="68" priority="25" operator="lessThan">
      <formula>-0.05</formula>
    </cfRule>
    <cfRule type="cellIs" dxfId="67" priority="26" operator="greaterThan">
      <formula>0.05</formula>
    </cfRule>
  </conditionalFormatting>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058F64028E5BD499EC8204CB79B4088" ma:contentTypeVersion="3" ma:contentTypeDescription="Create a new document." ma:contentTypeScope="" ma:versionID="ce0006d08b26f1c3f0584f964faca600">
  <xsd:schema xmlns:xsd="http://www.w3.org/2001/XMLSchema" xmlns:xs="http://www.w3.org/2001/XMLSchema" xmlns:p="http://schemas.microsoft.com/office/2006/metadata/properties" xmlns:ns2="a5c324cd-8edd-4443-96c0-49a336b05a99" targetNamespace="http://schemas.microsoft.com/office/2006/metadata/properties" ma:root="true" ma:fieldsID="75967243169641aa46b4e9f19fdcbe71" ns2:_="">
    <xsd:import namespace="a5c324cd-8edd-4443-96c0-49a336b05a99"/>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c324cd-8edd-4443-96c0-49a336b05a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F8D4E0-22B8-447D-9B92-6A75AB14A0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c324cd-8edd-4443-96c0-49a336b05a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80D13B-51EC-42AC-87CD-A21022BF5A3D}">
  <ds:schemaRefs>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a5c324cd-8edd-4443-96c0-49a336b05a99"/>
    <ds:schemaRef ds:uri="http://purl.org/dc/dcmitype/"/>
    <ds:schemaRef ds:uri="http://www.w3.org/XML/1998/namespace"/>
    <ds:schemaRef ds:uri="http://purl.org/dc/terms/"/>
  </ds:schemaRefs>
</ds:datastoreItem>
</file>

<file path=customXml/itemProps3.xml><?xml version="1.0" encoding="utf-8"?>
<ds:datastoreItem xmlns:ds="http://schemas.openxmlformats.org/officeDocument/2006/customXml" ds:itemID="{885AEBC2-DBAB-4F4D-AFBB-C50A89593243}">
  <ds:schemaRefs>
    <ds:schemaRef ds:uri="http://schemas.microsoft.com/sharepoint/v3/contenttype/forms"/>
  </ds:schemaRefs>
</ds:datastoreItem>
</file>

<file path=docMetadata/LabelInfo.xml><?xml version="1.0" encoding="utf-8"?>
<clbl:labelList xmlns:clbl="http://schemas.microsoft.com/office/2020/mipLabelMetadata">
  <clbl:label id="{3667e201-cbdc-48b3-9b42-5d2d3f16e2a9}" enabled="0" method="" siteId="{3667e201-cbdc-48b3-9b42-5d2d3f16e2a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Summary Table</vt:lpstr>
      <vt:lpstr>S6C</vt:lpstr>
      <vt:lpstr>S6C-A</vt:lpstr>
      <vt:lpstr>S6C-B</vt:lpstr>
      <vt:lpstr>S6C-C</vt:lpstr>
      <vt:lpstr>S6C-D</vt:lpstr>
      <vt:lpstr>Comparisons-26</vt:lpstr>
      <vt:lpstr>Comparisons-25</vt:lpstr>
      <vt:lpstr>Comparisons-24</vt:lpstr>
      <vt:lpstr>S6C-26</vt:lpstr>
      <vt:lpstr>S6C-Deadhead-26</vt:lpstr>
      <vt:lpstr>S6C-Avg-26</vt:lpstr>
      <vt:lpstr>S6C-Cost-26</vt:lpstr>
      <vt:lpstr>S6C-Combo-26</vt:lpstr>
      <vt:lpstr>S6C-25</vt:lpstr>
      <vt:lpstr>S6C-Avg-25</vt:lpstr>
      <vt:lpstr>S6C-Deadhead-25</vt:lpstr>
      <vt:lpstr>S6C-Cost-25</vt:lpstr>
      <vt:lpstr>S6C-Combo-25</vt:lpstr>
      <vt:lpstr>S6C-24</vt:lpstr>
      <vt:lpstr>S6C-Avg-24</vt:lpstr>
      <vt:lpstr>S6C-Deadhead-24</vt:lpstr>
      <vt:lpstr>S6C-Cost-24</vt:lpstr>
      <vt:lpstr>S6C-Combo-24</vt:lpstr>
      <vt:lpstr>Ridership-26</vt:lpstr>
      <vt:lpstr>Revenue Hours-26</vt:lpstr>
      <vt:lpstr>Revenue Miles-26</vt:lpstr>
      <vt:lpstr>Sizing - Reimb Exp-26</vt:lpstr>
      <vt:lpstr>Op Cost-26</vt:lpstr>
      <vt:lpstr>Ridership-25</vt:lpstr>
      <vt:lpstr>Revenue Hours-25</vt:lpstr>
      <vt:lpstr>Revenue Miles-25</vt:lpstr>
      <vt:lpstr>Sizing - Reimb Exp-25</vt:lpstr>
      <vt:lpstr>Op Cost-25</vt:lpstr>
      <vt:lpstr>Ridership-24</vt:lpstr>
      <vt:lpstr>Revenue Hours-24</vt:lpstr>
      <vt:lpstr>Revenue Miles-24</vt:lpstr>
      <vt:lpstr>Sizing - Reimb Expen-24</vt:lpstr>
      <vt:lpstr>Op Cost-24</vt:lpstr>
    </vt:vector>
  </TitlesOfParts>
  <Company>HDR,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Sethi, Sonika</dc:creator>
  <cp:lastModifiedBy>Macek, Nathan</cp:lastModifiedBy>
  <dcterms:created xsi:type="dcterms:W3CDTF">2025-10-06T14:18:56Z</dcterms:created>
  <dcterms:modified xsi:type="dcterms:W3CDTF">2025-10-08T21:31:33Z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0x010100F058F64028E5BD499EC8204CB79B4088</vt:lpwstr>
  </property>
</Properties>
</file>